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Февраль/"/>
    </mc:Choice>
  </mc:AlternateContent>
  <xr:revisionPtr revIDLastSave="0" documentId="13_ncr:1_{7DB69056-6561-C043-AF88-D4C540315900}" xr6:coauthVersionLast="45" xr6:coauthVersionMax="45" xr10:uidLastSave="{00000000-0000-0000-0000-000000000000}"/>
  <bookViews>
    <workbookView xWindow="0" yWindow="460" windowWidth="28800" windowHeight="16240" tabRatio="780" firstSheet="4" activeTab="9" xr2:uid="{00000000-000D-0000-FFFF-FFFF00000000}"/>
  </bookViews>
  <sheets>
    <sheet name="WRPF Жим лежа без экип ДК" sheetId="7" r:id="rId1"/>
    <sheet name="WRPF Жим лежа без экип" sheetId="6" r:id="rId2"/>
    <sheet name="WRPF Жим лежа без экип клиенты" sheetId="25" r:id="rId3"/>
    <sheet name="WRPF Жим лежа без экип сотрудн." sheetId="27" r:id="rId4"/>
    <sheet name="WRPF Тяга без экипировки ДК" sheetId="16" r:id="rId5"/>
    <sheet name="WRPF Тяга без экипировки" sheetId="15" r:id="rId6"/>
    <sheet name="WRPF Тяга без экип. клиенты" sheetId="26" r:id="rId7"/>
    <sheet name="WRPF Тяга без экип. сотрудники" sheetId="28" r:id="rId8"/>
    <sheet name="WRPF Подъем на бицепс ДК" sheetId="20" r:id="rId9"/>
    <sheet name="WRPF Подъем на бицепс" sheetId="1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0" i="7" l="1"/>
  <c r="L23" i="28" l="1"/>
  <c r="K23" i="28"/>
  <c r="L22" i="28"/>
  <c r="K22" i="28"/>
  <c r="L21" i="28"/>
  <c r="K21" i="28"/>
  <c r="L18" i="28"/>
  <c r="L15" i="28"/>
  <c r="K15" i="28"/>
  <c r="L12" i="28"/>
  <c r="K12" i="28"/>
  <c r="L9" i="28"/>
  <c r="K9" i="28"/>
  <c r="L6" i="28"/>
  <c r="K6" i="28"/>
  <c r="L20" i="27"/>
  <c r="K20" i="27"/>
  <c r="L17" i="27"/>
  <c r="K17" i="27"/>
  <c r="L14" i="27"/>
  <c r="K14" i="27"/>
  <c r="L13" i="27"/>
  <c r="K13" i="27"/>
  <c r="L10" i="27"/>
  <c r="K10" i="27"/>
  <c r="L9" i="27"/>
  <c r="K9" i="27"/>
  <c r="L6" i="27"/>
  <c r="K6" i="27"/>
  <c r="L31" i="26"/>
  <c r="K31" i="26"/>
  <c r="L28" i="26"/>
  <c r="K28" i="26"/>
  <c r="L27" i="26"/>
  <c r="K27" i="26"/>
  <c r="L26" i="26"/>
  <c r="K26" i="26"/>
  <c r="L25" i="26"/>
  <c r="K25" i="26"/>
  <c r="L24" i="26"/>
  <c r="K24" i="26"/>
  <c r="L21" i="26"/>
  <c r="K21" i="26"/>
  <c r="L18" i="26"/>
  <c r="K18" i="26"/>
  <c r="L15" i="26"/>
  <c r="K15" i="26"/>
  <c r="L12" i="26"/>
  <c r="K12" i="26"/>
  <c r="L9" i="26"/>
  <c r="K9" i="26"/>
  <c r="L6" i="26"/>
  <c r="K6" i="26"/>
  <c r="L34" i="25"/>
  <c r="K34" i="25"/>
  <c r="L33" i="25"/>
  <c r="K33" i="25"/>
  <c r="L32" i="25"/>
  <c r="K32" i="25"/>
  <c r="L31" i="25"/>
  <c r="K31" i="25"/>
  <c r="L28" i="25"/>
  <c r="K28" i="25"/>
  <c r="L27" i="25"/>
  <c r="K27" i="25"/>
  <c r="L26" i="25"/>
  <c r="K26" i="25"/>
  <c r="L25" i="25"/>
  <c r="K25" i="25"/>
  <c r="L24" i="25"/>
  <c r="K24" i="25"/>
  <c r="L23" i="25"/>
  <c r="K23" i="25"/>
  <c r="L20" i="25"/>
  <c r="L19" i="25"/>
  <c r="K19" i="25"/>
  <c r="L18" i="25"/>
  <c r="K18" i="25"/>
  <c r="L15" i="25"/>
  <c r="K15" i="25"/>
  <c r="L12" i="25"/>
  <c r="K12" i="25"/>
  <c r="L9" i="25"/>
  <c r="K9" i="25"/>
  <c r="L6" i="25"/>
  <c r="K6" i="25"/>
  <c r="L36" i="20"/>
  <c r="L33" i="20"/>
  <c r="K33" i="20"/>
  <c r="L32" i="20"/>
  <c r="K32" i="20"/>
  <c r="L31" i="20"/>
  <c r="K31" i="20"/>
  <c r="L28" i="20"/>
  <c r="K28" i="20"/>
  <c r="L27" i="20"/>
  <c r="K27" i="20"/>
  <c r="L26" i="20"/>
  <c r="K26" i="20"/>
  <c r="L25" i="20"/>
  <c r="K25" i="20"/>
  <c r="L24" i="20"/>
  <c r="K24" i="20"/>
  <c r="L23" i="20"/>
  <c r="K23" i="20"/>
  <c r="L20" i="20"/>
  <c r="K20" i="20"/>
  <c r="L19" i="20"/>
  <c r="K19" i="20"/>
  <c r="L18" i="20"/>
  <c r="K18" i="20"/>
  <c r="L17" i="20"/>
  <c r="K17" i="20"/>
  <c r="L16" i="20"/>
  <c r="K16" i="20"/>
  <c r="L15" i="20"/>
  <c r="K15" i="20"/>
  <c r="L14" i="20"/>
  <c r="K14" i="20"/>
  <c r="L11" i="20"/>
  <c r="K11" i="20"/>
  <c r="L10" i="20"/>
  <c r="K10" i="20"/>
  <c r="L9" i="20"/>
  <c r="K9" i="20"/>
  <c r="L6" i="20"/>
  <c r="K6" i="20"/>
  <c r="L23" i="19"/>
  <c r="K23" i="19"/>
  <c r="L20" i="19"/>
  <c r="K20" i="19"/>
  <c r="L17" i="19"/>
  <c r="K17" i="19"/>
  <c r="L16" i="19"/>
  <c r="K16" i="19"/>
  <c r="L13" i="19"/>
  <c r="K13" i="19"/>
  <c r="L10" i="19"/>
  <c r="K10" i="19"/>
  <c r="L9" i="19"/>
  <c r="K9" i="19"/>
  <c r="L6" i="19"/>
  <c r="K6" i="19"/>
  <c r="L31" i="16"/>
  <c r="K31" i="16"/>
  <c r="L30" i="16"/>
  <c r="K30" i="16"/>
  <c r="L29" i="16"/>
  <c r="K29" i="16"/>
  <c r="L26" i="16"/>
  <c r="K26" i="16"/>
  <c r="L23" i="16"/>
  <c r="K23" i="16"/>
  <c r="L22" i="16"/>
  <c r="K22" i="16"/>
  <c r="L21" i="16"/>
  <c r="K21" i="16"/>
  <c r="L18" i="16"/>
  <c r="K18" i="16"/>
  <c r="L15" i="16"/>
  <c r="K15" i="16"/>
  <c r="L12" i="16"/>
  <c r="K12" i="16"/>
  <c r="L9" i="16"/>
  <c r="K9" i="16"/>
  <c r="L6" i="16"/>
  <c r="K6" i="16"/>
  <c r="L13" i="15"/>
  <c r="K13" i="15"/>
  <c r="L12" i="15"/>
  <c r="K12" i="15"/>
  <c r="L9" i="15"/>
  <c r="K9" i="15"/>
  <c r="L6" i="15"/>
  <c r="K6" i="15"/>
  <c r="L64" i="7"/>
  <c r="K64" i="7"/>
  <c r="L61" i="7"/>
  <c r="K61" i="7"/>
  <c r="L58" i="7"/>
  <c r="K58" i="7"/>
  <c r="L57" i="7"/>
  <c r="K57" i="7"/>
  <c r="L54" i="7"/>
  <c r="K54" i="7"/>
  <c r="L53" i="7"/>
  <c r="K53" i="7"/>
  <c r="L50" i="7"/>
  <c r="K50" i="7"/>
  <c r="L49" i="7"/>
  <c r="L48" i="7"/>
  <c r="K48" i="7"/>
  <c r="L47" i="7"/>
  <c r="L46" i="7"/>
  <c r="K46" i="7"/>
  <c r="L45" i="7"/>
  <c r="K45" i="7"/>
  <c r="L44" i="7"/>
  <c r="K44" i="7"/>
  <c r="L41" i="7"/>
  <c r="K41" i="7"/>
  <c r="L40" i="7"/>
  <c r="K40" i="7"/>
  <c r="L39" i="7"/>
  <c r="K39" i="7"/>
  <c r="L38" i="7"/>
  <c r="K38" i="7"/>
  <c r="L37" i="7"/>
  <c r="K37" i="7"/>
  <c r="L36" i="7"/>
  <c r="K36" i="7"/>
  <c r="L33" i="7"/>
  <c r="K33" i="7"/>
  <c r="L32" i="7"/>
  <c r="L31" i="7"/>
  <c r="K31" i="7"/>
  <c r="L30" i="7"/>
  <c r="L29" i="7"/>
  <c r="K29" i="7"/>
  <c r="L26" i="7"/>
  <c r="K26" i="7"/>
  <c r="L23" i="7"/>
  <c r="K23" i="7"/>
  <c r="L22" i="7"/>
  <c r="L21" i="7"/>
  <c r="K21" i="7"/>
  <c r="L18" i="7"/>
  <c r="K18" i="7"/>
  <c r="L17" i="7"/>
  <c r="K17" i="7"/>
  <c r="L14" i="7"/>
  <c r="L13" i="7"/>
  <c r="K13" i="7"/>
  <c r="L12" i="7"/>
  <c r="L9" i="7"/>
  <c r="L6" i="7"/>
  <c r="K6" i="7"/>
  <c r="L15" i="6"/>
  <c r="K15" i="6"/>
  <c r="L14" i="6"/>
  <c r="K14" i="6"/>
  <c r="L11" i="6"/>
  <c r="K11" i="6"/>
  <c r="L10" i="6"/>
  <c r="K10" i="6"/>
  <c r="L7" i="6"/>
  <c r="K7" i="6"/>
  <c r="L6" i="6"/>
  <c r="K6" i="6"/>
</calcChain>
</file>

<file path=xl/sharedStrings.xml><?xml version="1.0" encoding="utf-8"?>
<sst xmlns="http://schemas.openxmlformats.org/spreadsheetml/2006/main" count="1576" uniqueCount="530">
  <si>
    <t>ФИО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</si>
  <si>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</si>
  <si>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</si>
  <si>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</si>
  <si>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</si>
  <si>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</si>
  <si>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</si>
  <si>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>Результат</t>
  </si>
  <si>
    <t/>
  </si>
  <si>
    <t>Жим лёжа</t>
  </si>
  <si>
    <t>ВЕСОВАЯ КАТЕГОРИЯ   90</t>
  </si>
  <si>
    <t>Сосунов Антон</t>
  </si>
  <si>
    <t>Мастера 40-49 (14.12.1980)/41</t>
  </si>
  <si>
    <t>86,60</t>
  </si>
  <si>
    <t>150,0</t>
  </si>
  <si>
    <t>155,0</t>
  </si>
  <si>
    <t>157,5</t>
  </si>
  <si>
    <t>Марков Анатолий</t>
  </si>
  <si>
    <t>Мастера 70-79 (13.01.1951)/71</t>
  </si>
  <si>
    <t>88,70</t>
  </si>
  <si>
    <t>125,0</t>
  </si>
  <si>
    <t>135,0</t>
  </si>
  <si>
    <t>142,5</t>
  </si>
  <si>
    <t>ВЕСОВАЯ КАТЕГОРИЯ   100</t>
  </si>
  <si>
    <t>Андрюхин Даниил</t>
  </si>
  <si>
    <t>Юниоры (14.08.1998)/23</t>
  </si>
  <si>
    <t>96,00</t>
  </si>
  <si>
    <t xml:space="preserve">Тула/Тульская область </t>
  </si>
  <si>
    <t>152,5</t>
  </si>
  <si>
    <t>160,0</t>
  </si>
  <si>
    <t>167,5</t>
  </si>
  <si>
    <t>Бережной Дмитрий</t>
  </si>
  <si>
    <t>Открытая (21.06.1985)/36</t>
  </si>
  <si>
    <t>98,00</t>
  </si>
  <si>
    <t xml:space="preserve">Кимовск/Тульская область </t>
  </si>
  <si>
    <t>165,0</t>
  </si>
  <si>
    <t>ВЕСОВАЯ КАТЕГОРИЯ   125</t>
  </si>
  <si>
    <t>Завражин Роман</t>
  </si>
  <si>
    <t>Открытая (31.01.1991)/31</t>
  </si>
  <si>
    <t>123,20</t>
  </si>
  <si>
    <t xml:space="preserve">Псков/Псковская область </t>
  </si>
  <si>
    <t>210,0</t>
  </si>
  <si>
    <t>220,0</t>
  </si>
  <si>
    <t>Крюков Владислав</t>
  </si>
  <si>
    <t>Мастера 40-49 (08.03.1975)/46</t>
  </si>
  <si>
    <t>115,60</t>
  </si>
  <si>
    <t xml:space="preserve">Мужчины </t>
  </si>
  <si>
    <t xml:space="preserve">ФИО </t>
  </si>
  <si>
    <t xml:space="preserve">Возрастная группа </t>
  </si>
  <si>
    <t xml:space="preserve">Результат </t>
  </si>
  <si>
    <t xml:space="preserve">Wilks </t>
  </si>
  <si>
    <t>100</t>
  </si>
  <si>
    <t xml:space="preserve">Открытая </t>
  </si>
  <si>
    <t>125</t>
  </si>
  <si>
    <t>90</t>
  </si>
  <si>
    <t>1</t>
  </si>
  <si>
    <t>ВЕСОВАЯ КАТЕГОРИЯ   44</t>
  </si>
  <si>
    <t>Гусева Ксения</t>
  </si>
  <si>
    <t>Открытая (26.06.2000)/21</t>
  </si>
  <si>
    <t>43,90</t>
  </si>
  <si>
    <t>42,5</t>
  </si>
  <si>
    <t>47,5</t>
  </si>
  <si>
    <t>50,0</t>
  </si>
  <si>
    <t xml:space="preserve">Румянцев С. </t>
  </si>
  <si>
    <t>ВЕСОВАЯ КАТЕГОРИЯ   48</t>
  </si>
  <si>
    <t>Каминская Наталья</t>
  </si>
  <si>
    <t>Открытая (25.07.1983)/38</t>
  </si>
  <si>
    <t>46,40</t>
  </si>
  <si>
    <t>55,0</t>
  </si>
  <si>
    <t>ВЕСОВАЯ КАТЕГОРИЯ   52</t>
  </si>
  <si>
    <t>Арсентьева Елизавета</t>
  </si>
  <si>
    <t>Юниорки (12.06.2001)/20</t>
  </si>
  <si>
    <t>50,30</t>
  </si>
  <si>
    <t>52,5</t>
  </si>
  <si>
    <t>Афиногенова Галина</t>
  </si>
  <si>
    <t>Открытая (10.08.1989)/32</t>
  </si>
  <si>
    <t>48,60</t>
  </si>
  <si>
    <t xml:space="preserve">Иркутск/Иркутская область </t>
  </si>
  <si>
    <t>35,0</t>
  </si>
  <si>
    <t>40,0</t>
  </si>
  <si>
    <t xml:space="preserve">Новоголуб О. </t>
  </si>
  <si>
    <t>Открытая (12.06.2001)/20</t>
  </si>
  <si>
    <t>ВЕСОВАЯ КАТЕГОРИЯ   56</t>
  </si>
  <si>
    <t>Пацкова Екатерина</t>
  </si>
  <si>
    <t>Открытая (01.08.1998)/23</t>
  </si>
  <si>
    <t>54,90</t>
  </si>
  <si>
    <t xml:space="preserve">Пермь/Пермский край </t>
  </si>
  <si>
    <t>62,5</t>
  </si>
  <si>
    <t>72,5</t>
  </si>
  <si>
    <t>75,0</t>
  </si>
  <si>
    <t>Козлова Анна</t>
  </si>
  <si>
    <t>Открытая (06.05.1983)/38</t>
  </si>
  <si>
    <t>54,80</t>
  </si>
  <si>
    <t xml:space="preserve">Мытищи/Московская область </t>
  </si>
  <si>
    <t>ВЕСОВАЯ КАТЕГОРИЯ   60</t>
  </si>
  <si>
    <t>Помогаева Елена</t>
  </si>
  <si>
    <t>Открытая (07.07.1981)/40</t>
  </si>
  <si>
    <t>59,50</t>
  </si>
  <si>
    <t xml:space="preserve">Химки/Московская область </t>
  </si>
  <si>
    <t>70,0</t>
  </si>
  <si>
    <t>Швецова Наталья</t>
  </si>
  <si>
    <t>Открытая (05.02.1984)/38</t>
  </si>
  <si>
    <t>59,20</t>
  </si>
  <si>
    <t>60,0</t>
  </si>
  <si>
    <t>Мастера 40-49 (07.07.1981)/40</t>
  </si>
  <si>
    <t>ВЕСОВАЯ КАТЕГОРИЯ   67.5</t>
  </si>
  <si>
    <t>Соловьев Андрей</t>
  </si>
  <si>
    <t>Открытая (14.10.1988)/33</t>
  </si>
  <si>
    <t>66,20</t>
  </si>
  <si>
    <t xml:space="preserve">Голицыно/Московская область </t>
  </si>
  <si>
    <t>100,0</t>
  </si>
  <si>
    <t>107,5</t>
  </si>
  <si>
    <t>110,0</t>
  </si>
  <si>
    <t>ВЕСОВАЯ КАТЕГОРИЯ   75</t>
  </si>
  <si>
    <t>Савин Дмитрий</t>
  </si>
  <si>
    <t>Юниоры (14.01.1999)/23</t>
  </si>
  <si>
    <t>75,00</t>
  </si>
  <si>
    <t>105,0</t>
  </si>
  <si>
    <t>115,0</t>
  </si>
  <si>
    <t>Яровой Евгений</t>
  </si>
  <si>
    <t>Открытая (01.12.1986)/35</t>
  </si>
  <si>
    <t>71,60</t>
  </si>
  <si>
    <t xml:space="preserve">Балашиха/Московская область </t>
  </si>
  <si>
    <t>120,0</t>
  </si>
  <si>
    <t>Открытая (14.01.1999)/23</t>
  </si>
  <si>
    <t>Рябов Роман</t>
  </si>
  <si>
    <t>Открытая (26.12.1984)/37</t>
  </si>
  <si>
    <t>72,80</t>
  </si>
  <si>
    <t xml:space="preserve">Электросталь/Московская область </t>
  </si>
  <si>
    <t>117,5</t>
  </si>
  <si>
    <t>Бондаренко Игорь</t>
  </si>
  <si>
    <t>Мастера 40-49 (30.08.1979)/42</t>
  </si>
  <si>
    <t>73,70</t>
  </si>
  <si>
    <t>ВЕСОВАЯ КАТЕГОРИЯ   82.5</t>
  </si>
  <si>
    <t>Бобочонов Умедчон</t>
  </si>
  <si>
    <t>Юноши 17-19 (11.04.2003)/18</t>
  </si>
  <si>
    <t>81,70</t>
  </si>
  <si>
    <t>Колосов Евгений</t>
  </si>
  <si>
    <t>Юниоры (02.12.1998)/23</t>
  </si>
  <si>
    <t>81,90</t>
  </si>
  <si>
    <t>145,0</t>
  </si>
  <si>
    <t>147,5</t>
  </si>
  <si>
    <t>Наврузбеков Наврузбек</t>
  </si>
  <si>
    <t>Открытая (25.03.1993)/28</t>
  </si>
  <si>
    <t>76,30</t>
  </si>
  <si>
    <t>Открытая (02.12.1998)/23</t>
  </si>
  <si>
    <t>Алексеев Василий</t>
  </si>
  <si>
    <t>Открытая (10.11.1991)/30</t>
  </si>
  <si>
    <t>78,60</t>
  </si>
  <si>
    <t>127,5</t>
  </si>
  <si>
    <t>132,5</t>
  </si>
  <si>
    <t>137,5</t>
  </si>
  <si>
    <t>Васин Михаил</t>
  </si>
  <si>
    <t>Открытая (21.02.1982)/39</t>
  </si>
  <si>
    <t>78,50</t>
  </si>
  <si>
    <t>112,5</t>
  </si>
  <si>
    <t>Жаров Евгений</t>
  </si>
  <si>
    <t>Открытая (07.11.1986)/35</t>
  </si>
  <si>
    <t>87,70</t>
  </si>
  <si>
    <t>175,0</t>
  </si>
  <si>
    <t>Горбачев Антон</t>
  </si>
  <si>
    <t>Открытая (04.10.1985)/36</t>
  </si>
  <si>
    <t>89,20</t>
  </si>
  <si>
    <t>140,0</t>
  </si>
  <si>
    <t>Москалев Тимофей</t>
  </si>
  <si>
    <t>Открытая (09.02.1992)/30</t>
  </si>
  <si>
    <t>90,00</t>
  </si>
  <si>
    <t xml:space="preserve">Павлов С. </t>
  </si>
  <si>
    <t>Лабутин Валерий</t>
  </si>
  <si>
    <t>Открытая (23.12.1979)/42</t>
  </si>
  <si>
    <t>88,10</t>
  </si>
  <si>
    <t xml:space="preserve">Тверь/Тверская область </t>
  </si>
  <si>
    <t>Куличихин Андрей</t>
  </si>
  <si>
    <t>Мастера 40-49 (16.06.1977)/44</t>
  </si>
  <si>
    <t>87,60</t>
  </si>
  <si>
    <t>95,0</t>
  </si>
  <si>
    <t>Мастера 40-49 (23.12.1979)/42</t>
  </si>
  <si>
    <t>Клименко Владимир</t>
  </si>
  <si>
    <t>Мастера 70-79 (12.03.1945)/76</t>
  </si>
  <si>
    <t>85,00</t>
  </si>
  <si>
    <t xml:space="preserve">Красногорск/Московская область </t>
  </si>
  <si>
    <t>Рогозный Никита</t>
  </si>
  <si>
    <t>Открытая (10.04.1987)/34</t>
  </si>
  <si>
    <t>91,30</t>
  </si>
  <si>
    <t>102,5</t>
  </si>
  <si>
    <t>Карабанов Александр</t>
  </si>
  <si>
    <t>Мастера 40-49 (16.05.1977)/44</t>
  </si>
  <si>
    <t>98,90</t>
  </si>
  <si>
    <t>130,0</t>
  </si>
  <si>
    <t>ВЕСОВАЯ КАТЕГОРИЯ   110</t>
  </si>
  <si>
    <t>Миронов Сергей</t>
  </si>
  <si>
    <t>Мастера 40-49 (12.09.1977)/44</t>
  </si>
  <si>
    <t>104,30</t>
  </si>
  <si>
    <t xml:space="preserve">Павловский Посад/Московская область </t>
  </si>
  <si>
    <t xml:space="preserve">Антонова Ю. </t>
  </si>
  <si>
    <t>Воробьев Дмитрий</t>
  </si>
  <si>
    <t>Мастера 40-49 (10.06.1976)/45</t>
  </si>
  <si>
    <t>106,80</t>
  </si>
  <si>
    <t>Рудыченко Станислав</t>
  </si>
  <si>
    <t>Открытая (23.10.1989)/32</t>
  </si>
  <si>
    <t>121,30</t>
  </si>
  <si>
    <t>185,0</t>
  </si>
  <si>
    <t>200,0</t>
  </si>
  <si>
    <t>ВЕСОВАЯ КАТЕГОРИЯ   140</t>
  </si>
  <si>
    <t>Тимошенко Сергей</t>
  </si>
  <si>
    <t>Юниоры (05.07.1998)/23</t>
  </si>
  <si>
    <t>129,20</t>
  </si>
  <si>
    <t xml:space="preserve">Москва </t>
  </si>
  <si>
    <t>182,5</t>
  </si>
  <si>
    <t>195,0</t>
  </si>
  <si>
    <t>82.5</t>
  </si>
  <si>
    <t>75</t>
  </si>
  <si>
    <t>113,2425</t>
  </si>
  <si>
    <t>109,1510</t>
  </si>
  <si>
    <t>106,0975</t>
  </si>
  <si>
    <t>-</t>
  </si>
  <si>
    <t>2</t>
  </si>
  <si>
    <t>3</t>
  </si>
  <si>
    <t>4</t>
  </si>
  <si>
    <t>Становая тяга</t>
  </si>
  <si>
    <t>Лихолай Александр</t>
  </si>
  <si>
    <t>Открытая (22.02.1939)/82</t>
  </si>
  <si>
    <t>74,90</t>
  </si>
  <si>
    <t>Пацков Алексей</t>
  </si>
  <si>
    <t>Открытая (19.08.1985)/36</t>
  </si>
  <si>
    <t>81,80</t>
  </si>
  <si>
    <t>245,0</t>
  </si>
  <si>
    <t>260,0</t>
  </si>
  <si>
    <t>272,5</t>
  </si>
  <si>
    <t>Гущин Дмитрий</t>
  </si>
  <si>
    <t>Юниоры (10.08.2000)/21</t>
  </si>
  <si>
    <t>99,40</t>
  </si>
  <si>
    <t>215,0</t>
  </si>
  <si>
    <t>230,0</t>
  </si>
  <si>
    <t>240,0</t>
  </si>
  <si>
    <t>270,0</t>
  </si>
  <si>
    <t>80,0</t>
  </si>
  <si>
    <t>85,0</t>
  </si>
  <si>
    <t>Басина Алёна</t>
  </si>
  <si>
    <t>Девушки 17-19 (05.02.2003)/19</t>
  </si>
  <si>
    <t>58,80</t>
  </si>
  <si>
    <t>Чеклина Ольга</t>
  </si>
  <si>
    <t>Юниорки (21.06.2000)/21</t>
  </si>
  <si>
    <t>65,90</t>
  </si>
  <si>
    <t>122,5</t>
  </si>
  <si>
    <t>Кузьмина Юлия</t>
  </si>
  <si>
    <t>Открытая (02.09.1988)/33</t>
  </si>
  <si>
    <t>73,00</t>
  </si>
  <si>
    <t xml:space="preserve">Зеленокумск/Ставропольский край </t>
  </si>
  <si>
    <t>Артамонов Василий</t>
  </si>
  <si>
    <t>Мастера 40-49 (27.04.1974)/47</t>
  </si>
  <si>
    <t>59,80</t>
  </si>
  <si>
    <t>Савицкий Егор</t>
  </si>
  <si>
    <t>Юноши 17-19 (13.09.2003)/18</t>
  </si>
  <si>
    <t>72,60</t>
  </si>
  <si>
    <t>180,0</t>
  </si>
  <si>
    <t>207,5</t>
  </si>
  <si>
    <t>Мироненко Владимир</t>
  </si>
  <si>
    <t>Юноши 17-19 (23.07.2002)/19</t>
  </si>
  <si>
    <t>72,30</t>
  </si>
  <si>
    <t>Исаев Михаил</t>
  </si>
  <si>
    <t>Открытая (05.10.1986)/35</t>
  </si>
  <si>
    <t>74,00</t>
  </si>
  <si>
    <t>190,0</t>
  </si>
  <si>
    <t>Саркисян Аркадий</t>
  </si>
  <si>
    <t>Открытая (05.02.1993)/29</t>
  </si>
  <si>
    <t>235,0</t>
  </si>
  <si>
    <t>Верховников Сергей</t>
  </si>
  <si>
    <t>Открытая (06.07.1990)/31</t>
  </si>
  <si>
    <t>85,70</t>
  </si>
  <si>
    <t>170,0</t>
  </si>
  <si>
    <t>158,2490</t>
  </si>
  <si>
    <t>Карев Владимир</t>
  </si>
  <si>
    <t>Мастера 60+ (18.12.1948)/73</t>
  </si>
  <si>
    <t xml:space="preserve">Мичуринск/Тамбовская область </t>
  </si>
  <si>
    <t>Зуев Владимир</t>
  </si>
  <si>
    <t>81,50</t>
  </si>
  <si>
    <t>Юмшанов Дмитрий</t>
  </si>
  <si>
    <t>81,30</t>
  </si>
  <si>
    <t xml:space="preserve">Киров/Кировская область </t>
  </si>
  <si>
    <t>65,0</t>
  </si>
  <si>
    <t>67,5</t>
  </si>
  <si>
    <t>73,5</t>
  </si>
  <si>
    <t>Козупица Константин</t>
  </si>
  <si>
    <t>86,00</t>
  </si>
  <si>
    <t>Березников Александр</t>
  </si>
  <si>
    <t>93,80</t>
  </si>
  <si>
    <t xml:space="preserve">Ржев/Тверская область </t>
  </si>
  <si>
    <t>Косьянов Павел</t>
  </si>
  <si>
    <t>Открытая (31.08.1994)/27</t>
  </si>
  <si>
    <t>94,30</t>
  </si>
  <si>
    <t xml:space="preserve">Мценск/Орловская область </t>
  </si>
  <si>
    <t>77,5</t>
  </si>
  <si>
    <t>Маркин Иван</t>
  </si>
  <si>
    <t>Открытая (05.11.1988)/33</t>
  </si>
  <si>
    <t>101,70</t>
  </si>
  <si>
    <t xml:space="preserve">Можайск/Московская область </t>
  </si>
  <si>
    <t>82,5</t>
  </si>
  <si>
    <t>Молчаков Алексей</t>
  </si>
  <si>
    <t>Открытая (12.03.1992)/29</t>
  </si>
  <si>
    <t>116,50</t>
  </si>
  <si>
    <t xml:space="preserve">Gloss </t>
  </si>
  <si>
    <t>22,5</t>
  </si>
  <si>
    <t>25,0</t>
  </si>
  <si>
    <t>27,5</t>
  </si>
  <si>
    <t>32,5</t>
  </si>
  <si>
    <t>37,5</t>
  </si>
  <si>
    <t>Шубович Алексей</t>
  </si>
  <si>
    <t>72,00</t>
  </si>
  <si>
    <t xml:space="preserve">Муром/Владимирская область </t>
  </si>
  <si>
    <t>Панков Дмитрий</t>
  </si>
  <si>
    <t xml:space="preserve">Пенза/Пензенская область </t>
  </si>
  <si>
    <t>Колистратов Дмитрий</t>
  </si>
  <si>
    <t>Открытая (08.03.1977)/44</t>
  </si>
  <si>
    <t>74,50</t>
  </si>
  <si>
    <t>69,5</t>
  </si>
  <si>
    <t>Шавырин Андрей</t>
  </si>
  <si>
    <t>Открытая (13.09.1990)/31</t>
  </si>
  <si>
    <t>73,50</t>
  </si>
  <si>
    <t>Некрасов Олег</t>
  </si>
  <si>
    <t>Открытая (02.05.2003)/18</t>
  </si>
  <si>
    <t>72,70</t>
  </si>
  <si>
    <t>Степеренков Александр</t>
  </si>
  <si>
    <t>82,10</t>
  </si>
  <si>
    <t xml:space="preserve">Железногорск/Курская область </t>
  </si>
  <si>
    <t>Губарев Евгений</t>
  </si>
  <si>
    <t>Открытая (01.10.1986)/35</t>
  </si>
  <si>
    <t>Петров Владислав</t>
  </si>
  <si>
    <t>Открытая (12.05.2000)/21</t>
  </si>
  <si>
    <t xml:space="preserve">Ступино/Московская область </t>
  </si>
  <si>
    <t>Зинушин Михаил</t>
  </si>
  <si>
    <t>Открытая (18.11.1987)/34</t>
  </si>
  <si>
    <t>82,00</t>
  </si>
  <si>
    <t xml:space="preserve">Реутов/Московская область </t>
  </si>
  <si>
    <t>Бондаренко Данила</t>
  </si>
  <si>
    <t>Открытая (11.03.2001)/20</t>
  </si>
  <si>
    <t>75,90</t>
  </si>
  <si>
    <t xml:space="preserve">Омск/Омская область </t>
  </si>
  <si>
    <t>Артюшкин Иван</t>
  </si>
  <si>
    <t>Открытая (29.01.1994)/28</t>
  </si>
  <si>
    <t>89,60</t>
  </si>
  <si>
    <t xml:space="preserve">Жуковский/Московская область </t>
  </si>
  <si>
    <t>Шнайдер Алекс</t>
  </si>
  <si>
    <t>Открытая (16.02.1991)/31</t>
  </si>
  <si>
    <t>88,40</t>
  </si>
  <si>
    <t>57,5</t>
  </si>
  <si>
    <t>Кириленок Анатолий</t>
  </si>
  <si>
    <t>120,00</t>
  </si>
  <si>
    <t xml:space="preserve">Дмитров/Московская область </t>
  </si>
  <si>
    <t>45,3355</t>
  </si>
  <si>
    <t>44,9768</t>
  </si>
  <si>
    <t>42,9345</t>
  </si>
  <si>
    <t xml:space="preserve">Ивантеевка/Московская область </t>
  </si>
  <si>
    <t>Телегина Любовь</t>
  </si>
  <si>
    <t>Открытая (05.08.1985)/36</t>
  </si>
  <si>
    <t>55,90</t>
  </si>
  <si>
    <t xml:space="preserve">Телегин А. </t>
  </si>
  <si>
    <t>Никонова Екатерина</t>
  </si>
  <si>
    <t>Открытая (15.09.1984)/37</t>
  </si>
  <si>
    <t>67,50</t>
  </si>
  <si>
    <t>90,0</t>
  </si>
  <si>
    <t>92,5</t>
  </si>
  <si>
    <t xml:space="preserve">Гетманчук А. </t>
  </si>
  <si>
    <t>Бадьянова Елена</t>
  </si>
  <si>
    <t>Открытая (06.01.1987)/35</t>
  </si>
  <si>
    <t>73,20</t>
  </si>
  <si>
    <t>Ульянов Александр</t>
  </si>
  <si>
    <t>Открытая (22.08.1994)/27</t>
  </si>
  <si>
    <t xml:space="preserve">Благовещенск/Амурская область </t>
  </si>
  <si>
    <t>Кретов Сергей</t>
  </si>
  <si>
    <t>Открытая (23.05.1973)/48</t>
  </si>
  <si>
    <t xml:space="preserve">Комаревцев А. </t>
  </si>
  <si>
    <t>Селезнев Артем</t>
  </si>
  <si>
    <t>Открытая (28.09.1989)/32</t>
  </si>
  <si>
    <t>Вислогузов Артем</t>
  </si>
  <si>
    <t>Открытая (25.12.1990)/31</t>
  </si>
  <si>
    <t>Бабич Артем</t>
  </si>
  <si>
    <t>Открытая (25.09.1998)/23</t>
  </si>
  <si>
    <t>89,30</t>
  </si>
  <si>
    <t>Землемеров Андрей</t>
  </si>
  <si>
    <t>Открытая (01.12.2000)/21</t>
  </si>
  <si>
    <t>Власов Денис</t>
  </si>
  <si>
    <t>Открытая (26.01.1971)/51</t>
  </si>
  <si>
    <t>88,50</t>
  </si>
  <si>
    <t xml:space="preserve">Головин А. </t>
  </si>
  <si>
    <t>Щеглов Сергей</t>
  </si>
  <si>
    <t>Открытая (29.10.1988)/33</t>
  </si>
  <si>
    <t>86,50</t>
  </si>
  <si>
    <t>Алексеев Евгений</t>
  </si>
  <si>
    <t>Открытая (09.10.1979)/42</t>
  </si>
  <si>
    <t>98,80</t>
  </si>
  <si>
    <t>172,5</t>
  </si>
  <si>
    <t>Дорохов Алексей</t>
  </si>
  <si>
    <t>Открытая (07.01.1990)/32</t>
  </si>
  <si>
    <t>95,80</t>
  </si>
  <si>
    <t xml:space="preserve">Филиппов Д. </t>
  </si>
  <si>
    <t>Бойко Дмитрий</t>
  </si>
  <si>
    <t>Открытая (11.09.1995)/26</t>
  </si>
  <si>
    <t>92,30</t>
  </si>
  <si>
    <t>Синельщиков Геннадий</t>
  </si>
  <si>
    <t>Открытая (04.02.1984)/38</t>
  </si>
  <si>
    <t xml:space="preserve">Томилин М. </t>
  </si>
  <si>
    <t>110,0880</t>
  </si>
  <si>
    <t>108,5280</t>
  </si>
  <si>
    <t>90,7065</t>
  </si>
  <si>
    <t>5</t>
  </si>
  <si>
    <t>6</t>
  </si>
  <si>
    <t>Кузнецова Анна</t>
  </si>
  <si>
    <t>Открытая (14.10.1983)/38</t>
  </si>
  <si>
    <t>50,90</t>
  </si>
  <si>
    <t xml:space="preserve">Зеленоград/Московская область </t>
  </si>
  <si>
    <t>45,0</t>
  </si>
  <si>
    <t>162,5</t>
  </si>
  <si>
    <t>Лысенко Виталий</t>
  </si>
  <si>
    <t>Открытая (24.01.2002)/20</t>
  </si>
  <si>
    <t>55,00</t>
  </si>
  <si>
    <t>Бушуев Павел</t>
  </si>
  <si>
    <t>Открытая (28.11.1978)/43</t>
  </si>
  <si>
    <t>225,0</t>
  </si>
  <si>
    <t>Якубов Эрик</t>
  </si>
  <si>
    <t>Открытая (17.08.1992)/29</t>
  </si>
  <si>
    <t>89,40</t>
  </si>
  <si>
    <t>242,5</t>
  </si>
  <si>
    <t>Лисицын Кирилл</t>
  </si>
  <si>
    <t>Открытая (16.04.1983)/38</t>
  </si>
  <si>
    <t>205,0</t>
  </si>
  <si>
    <t>Шустов Алексей</t>
  </si>
  <si>
    <t>Открытая (01.09.1976)/45</t>
  </si>
  <si>
    <t>97,00</t>
  </si>
  <si>
    <t>148,2120</t>
  </si>
  <si>
    <t>147,3380</t>
  </si>
  <si>
    <t>Ястребова Дария</t>
  </si>
  <si>
    <t>Открытая (01.04.1995)/26</t>
  </si>
  <si>
    <t>61,80</t>
  </si>
  <si>
    <t>Баймуханов Тимур</t>
  </si>
  <si>
    <t>Открытая (23.04.1993)/28</t>
  </si>
  <si>
    <t>Соболев Андрей</t>
  </si>
  <si>
    <t>Открытая (18.02.1988)/34</t>
  </si>
  <si>
    <t>Перевалов Александр</t>
  </si>
  <si>
    <t>Открытая (14.04.1984)/37</t>
  </si>
  <si>
    <t>82,30</t>
  </si>
  <si>
    <t>Наршиев Бахытжан</t>
  </si>
  <si>
    <t>Открытая (03.01.1991)/31</t>
  </si>
  <si>
    <t>82,40</t>
  </si>
  <si>
    <t>Айрапетян Захар</t>
  </si>
  <si>
    <t>Открытая (16.06.1984)/37</t>
  </si>
  <si>
    <t>85,80</t>
  </si>
  <si>
    <t>Озернюк Инна</t>
  </si>
  <si>
    <t>Открытая (06.06.1989)/32</t>
  </si>
  <si>
    <t>51,90</t>
  </si>
  <si>
    <t xml:space="preserve">Истра/Московская область </t>
  </si>
  <si>
    <t>Следь Анастасия</t>
  </si>
  <si>
    <t>53,70</t>
  </si>
  <si>
    <t>Плиско Екатерина</t>
  </si>
  <si>
    <t>Открытая (12.12.2001)/20</t>
  </si>
  <si>
    <t>68,00</t>
  </si>
  <si>
    <t xml:space="preserve">Краснослободск/Волгоградская область </t>
  </si>
  <si>
    <t>255,0</t>
  </si>
  <si>
    <t>Ермаков Дмитрий</t>
  </si>
  <si>
    <t>Открытая (22.08.1990)/31</t>
  </si>
  <si>
    <t>89,80</t>
  </si>
  <si>
    <t>Кулиш Александр</t>
  </si>
  <si>
    <t>Открытая (31.08.1990)/31</t>
  </si>
  <si>
    <t>97,70</t>
  </si>
  <si>
    <t>250,0</t>
  </si>
  <si>
    <t>265,0</t>
  </si>
  <si>
    <t>Сапунков Константин</t>
  </si>
  <si>
    <t>Открытая (02.09.1981)/40</t>
  </si>
  <si>
    <t>93,50</t>
  </si>
  <si>
    <t>Жулин А.</t>
  </si>
  <si>
    <t>Литвинов А.</t>
  </si>
  <si>
    <t>Соколов Н.</t>
  </si>
  <si>
    <t>Следь А.</t>
  </si>
  <si>
    <t>Степаненко В.</t>
  </si>
  <si>
    <t>Жеребятьев Г.</t>
  </si>
  <si>
    <t>Журавлев С.</t>
  </si>
  <si>
    <t>Бережной Д.</t>
  </si>
  <si>
    <t>Иванов С.</t>
  </si>
  <si>
    <t>Федосов П.</t>
  </si>
  <si>
    <t xml:space="preserve">Гончаров В. </t>
  </si>
  <si>
    <t>Румянцев С.</t>
  </si>
  <si>
    <t xml:space="preserve">Шевелев А. </t>
  </si>
  <si>
    <t>Ильин Б.</t>
  </si>
  <si>
    <t>Пацков А.</t>
  </si>
  <si>
    <t>Благов Д.</t>
  </si>
  <si>
    <t>Новоголуб О.</t>
  </si>
  <si>
    <t>Бондаренко В.</t>
  </si>
  <si>
    <t>Шевцова Н.</t>
  </si>
  <si>
    <t>Шашин К.</t>
  </si>
  <si>
    <t>Григорян А.</t>
  </si>
  <si>
    <t>Прусов И.</t>
  </si>
  <si>
    <t>Наумов А.</t>
  </si>
  <si>
    <t>Дурнов Р.</t>
  </si>
  <si>
    <t>Батин А.</t>
  </si>
  <si>
    <t>ВМТ сети фитнес клубов World Class
WRPF любители Жим лежа без экипировки ДК
Москва, 19-20 февраля 2022 года</t>
  </si>
  <si>
    <t>ВМТ сети фитнес клубов World Class
WRPF любители Жим лежа без экипировки
Москва, 19-20 февраля 2022 года</t>
  </si>
  <si>
    <t>ВМТ сети фитнес клубов World Class
WRPF Жим лежа без экипировки среди клиентов World Class
Москва, 19-20 февраля 2022 года</t>
  </si>
  <si>
    <t>ВМТ сети фитнес клубов World Class
WRPF любители Становая тяга без экипировки ДК
Москва, 19-20 февраля 2022 года</t>
  </si>
  <si>
    <t>ВМТ сети фитнес клубов World Class
WRPF любители Становая тяга без экипировки
Москва, 19-20 февраля 2022 года</t>
  </si>
  <si>
    <t>ВМТ сети фитнес клубов World Class
WRPF Строгий подъем штанги на бицепс ДК
Москва, 19-20 февраля 2022 года</t>
  </si>
  <si>
    <t>ВМТ сети фитнес клубов World Class
WRPF Строгий подъем штанги на бицепс
Москва, 19-20 февраля 2022 года</t>
  </si>
  <si>
    <t>ВМТ сети фитнес клубов World Class 
WRPF Жим лежа без экипировки среди сотрудников World Class
Москва, 19-20 февраля 2022 года</t>
  </si>
  <si>
    <t>Юноши 13-19 (23.07.2002)/19</t>
  </si>
  <si>
    <t>Юниоры 20-23 (30.04.1999)/22</t>
  </si>
  <si>
    <t>Юниоры 20-23 (09.10.2000)/21</t>
  </si>
  <si>
    <t>Мастера 40-49 (08.03.1977)/44</t>
  </si>
  <si>
    <t>Юноши 13-19 (03.06.2007)/14</t>
  </si>
  <si>
    <t>Юниоры 20-23 (25.05.2000)/21</t>
  </si>
  <si>
    <t>Мастера 40-49 (09.10.1981)/40</t>
  </si>
  <si>
    <t>Мастера 40-49 (27.02.1980)/41</t>
  </si>
  <si>
    <t>Юниоры 20-23 (30.12.1999)/22</t>
  </si>
  <si>
    <t>Юниоры 20-23 (04.06.1999)/22</t>
  </si>
  <si>
    <t>ВМТ сети фитнес клубов World Class 
WRPF Становая тяга без экипировки среди клиентов World Class
Москва, 19-20 февраля 2022 года</t>
  </si>
  <si>
    <t>Весовая категория</t>
  </si>
  <si>
    <t>ВМТ сети фитнес клубов World Class 
WRPF Становая тяга без экипировки среди сотрудников World Class
Москва, 19-20 февраля 2022 года</t>
  </si>
  <si>
    <t>Душанбе/Таджикистан</t>
  </si>
  <si>
    <t xml:space="preserve">Бугульма/Республика Татарстан </t>
  </si>
  <si>
    <t xml:space="preserve">Жеребятьев Г. </t>
  </si>
  <si>
    <t>Жим</t>
  </si>
  <si>
    <t xml:space="preserve"> </t>
  </si>
  <si>
    <t>№</t>
  </si>
  <si>
    <t xml:space="preserve">
Дата рождения/Возраст</t>
  </si>
  <si>
    <t>Возрастная группа</t>
  </si>
  <si>
    <t>O</t>
  </si>
  <si>
    <t>J</t>
  </si>
  <si>
    <t>M1</t>
  </si>
  <si>
    <t>T2</t>
  </si>
  <si>
    <t>M4</t>
  </si>
  <si>
    <t>T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</si>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</sst>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75"/>
  <sheetViews>
    <sheetView topLeftCell="A33" workbookViewId="0">
      <selection activeCell="E65" sqref="E65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6.6640625" style="5" bestFit="1" customWidth="1"/>
    <col min="7" max="10" width="5.5" style="6" customWidth="1"/>
    <col min="11" max="11" width="11.1640625" style="29" customWidth="1"/>
    <col min="12" max="12" width="8.5" style="6" bestFit="1" customWidth="1"/>
    <col min="13" max="13" width="29.5" style="5" bestFit="1" customWidth="1"/>
    <col min="14" max="16384" width="9.1640625" style="3"/>
  </cols>
  <sheetData>
    <row r="1" spans="1:13" s="2" customFormat="1" ht="29" customHeight="1">
      <c r="A1" s="38" t="s">
        <v>494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520</v>
      </c>
      <c r="B3" s="35" t="s">
        <v>0</v>
      </c>
      <c r="C3" s="48" t="s">
        <v>521</v>
      </c>
      <c r="D3" s="48" t="s">
        <v>5</v>
      </c>
      <c r="E3" s="50" t="s">
        <v>522</v>
      </c>
      <c r="F3" s="50" t="s">
        <v>4</v>
      </c>
      <c r="G3" s="50" t="s">
        <v>9</v>
      </c>
      <c r="H3" s="50"/>
      <c r="I3" s="50"/>
      <c r="J3" s="50"/>
      <c r="K3" s="51" t="s">
        <v>7</v>
      </c>
      <c r="L3" s="50" t="s">
        <v>2</v>
      </c>
      <c r="M3" s="53" t="s">
        <v>1</v>
      </c>
    </row>
    <row r="4" spans="1:13" s="1" customFormat="1" ht="21" customHeight="1" thickBot="1">
      <c r="A4" s="47"/>
      <c r="B4" s="36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3</v>
      </c>
      <c r="K4" s="52"/>
      <c r="L4" s="49"/>
      <c r="M4" s="54"/>
    </row>
    <row r="5" spans="1:13" ht="16">
      <c r="A5" s="33" t="s">
        <v>56</v>
      </c>
      <c r="B5" s="33"/>
      <c r="C5" s="34"/>
      <c r="D5" s="34"/>
      <c r="E5" s="34"/>
      <c r="F5" s="34"/>
      <c r="G5" s="34"/>
      <c r="H5" s="34"/>
      <c r="I5" s="34"/>
      <c r="J5" s="34"/>
    </row>
    <row r="6" spans="1:13">
      <c r="A6" s="21" t="s">
        <v>55</v>
      </c>
      <c r="B6" s="15" t="s">
        <v>57</v>
      </c>
      <c r="C6" s="15" t="s">
        <v>58</v>
      </c>
      <c r="D6" s="15" t="s">
        <v>59</v>
      </c>
      <c r="E6" s="15" t="s">
        <v>523</v>
      </c>
      <c r="F6" s="15" t="s">
        <v>207</v>
      </c>
      <c r="G6" s="24" t="s">
        <v>60</v>
      </c>
      <c r="H6" s="24" t="s">
        <v>61</v>
      </c>
      <c r="I6" s="25" t="s">
        <v>62</v>
      </c>
      <c r="J6" s="21"/>
      <c r="K6" s="28" t="str">
        <f>"47,5"</f>
        <v>47,5</v>
      </c>
      <c r="L6" s="21" t="str">
        <f>"66,9845"</f>
        <v>66,9845</v>
      </c>
      <c r="M6" s="15" t="s">
        <v>63</v>
      </c>
    </row>
    <row r="7" spans="1:13">
      <c r="B7" s="5" t="s">
        <v>8</v>
      </c>
    </row>
    <row r="8" spans="1:13" ht="16">
      <c r="A8" s="37" t="s">
        <v>64</v>
      </c>
      <c r="B8" s="37"/>
      <c r="C8" s="37"/>
      <c r="D8" s="37"/>
      <c r="E8" s="37"/>
      <c r="F8" s="37"/>
      <c r="G8" s="37"/>
      <c r="H8" s="37"/>
      <c r="I8" s="37"/>
      <c r="J8" s="37"/>
    </row>
    <row r="9" spans="1:13">
      <c r="A9" s="21" t="s">
        <v>215</v>
      </c>
      <c r="B9" s="15" t="s">
        <v>65</v>
      </c>
      <c r="C9" s="15" t="s">
        <v>66</v>
      </c>
      <c r="D9" s="15" t="s">
        <v>67</v>
      </c>
      <c r="E9" s="15" t="s">
        <v>523</v>
      </c>
      <c r="F9" s="15" t="s">
        <v>207</v>
      </c>
      <c r="G9" s="25" t="s">
        <v>68</v>
      </c>
      <c r="H9" s="25" t="s">
        <v>68</v>
      </c>
      <c r="I9" s="25" t="s">
        <v>68</v>
      </c>
      <c r="J9" s="21"/>
      <c r="K9" s="28">
        <v>0</v>
      </c>
      <c r="L9" s="21" t="str">
        <f>"0,0000"</f>
        <v>0,0000</v>
      </c>
      <c r="M9" s="15" t="s">
        <v>487</v>
      </c>
    </row>
    <row r="10" spans="1:13">
      <c r="B10" s="5" t="s">
        <v>8</v>
      </c>
    </row>
    <row r="11" spans="1:13" ht="16">
      <c r="A11" s="37" t="s">
        <v>69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3">
      <c r="A12" s="9" t="s">
        <v>215</v>
      </c>
      <c r="B12" s="8" t="s">
        <v>70</v>
      </c>
      <c r="C12" s="8" t="s">
        <v>71</v>
      </c>
      <c r="D12" s="8" t="s">
        <v>72</v>
      </c>
      <c r="E12" s="8" t="s">
        <v>524</v>
      </c>
      <c r="F12" s="8" t="s">
        <v>207</v>
      </c>
      <c r="G12" s="18" t="s">
        <v>73</v>
      </c>
      <c r="H12" s="18" t="s">
        <v>68</v>
      </c>
      <c r="I12" s="18" t="s">
        <v>68</v>
      </c>
      <c r="J12" s="9"/>
      <c r="K12" s="30">
        <v>0</v>
      </c>
      <c r="L12" s="9" t="str">
        <f>"0,0000"</f>
        <v>0,0000</v>
      </c>
      <c r="M12" s="8" t="s">
        <v>476</v>
      </c>
    </row>
    <row r="13" spans="1:13">
      <c r="A13" s="23" t="s">
        <v>55</v>
      </c>
      <c r="B13" s="22" t="s">
        <v>74</v>
      </c>
      <c r="C13" s="22" t="s">
        <v>75</v>
      </c>
      <c r="D13" s="22" t="s">
        <v>76</v>
      </c>
      <c r="E13" s="22" t="s">
        <v>523</v>
      </c>
      <c r="F13" s="22" t="s">
        <v>77</v>
      </c>
      <c r="G13" s="26" t="s">
        <v>78</v>
      </c>
      <c r="H13" s="26" t="s">
        <v>79</v>
      </c>
      <c r="I13" s="27" t="s">
        <v>60</v>
      </c>
      <c r="J13" s="23"/>
      <c r="K13" s="31" t="str">
        <f>"40,0"</f>
        <v>40,0</v>
      </c>
      <c r="L13" s="23" t="str">
        <f>"52,4920"</f>
        <v>52,4920</v>
      </c>
      <c r="M13" s="22" t="s">
        <v>80</v>
      </c>
    </row>
    <row r="14" spans="1:13">
      <c r="A14" s="11" t="s">
        <v>215</v>
      </c>
      <c r="B14" s="10" t="s">
        <v>70</v>
      </c>
      <c r="C14" s="10" t="s">
        <v>81</v>
      </c>
      <c r="D14" s="10" t="s">
        <v>72</v>
      </c>
      <c r="E14" s="10" t="s">
        <v>523</v>
      </c>
      <c r="F14" s="10" t="s">
        <v>207</v>
      </c>
      <c r="G14" s="20" t="s">
        <v>73</v>
      </c>
      <c r="H14" s="20" t="s">
        <v>68</v>
      </c>
      <c r="I14" s="20" t="s">
        <v>68</v>
      </c>
      <c r="J14" s="11"/>
      <c r="K14" s="32">
        <v>0</v>
      </c>
      <c r="L14" s="11" t="str">
        <f>"0,0000"</f>
        <v>0,0000</v>
      </c>
      <c r="M14" s="10" t="s">
        <v>476</v>
      </c>
    </row>
    <row r="15" spans="1:13">
      <c r="B15" s="5" t="s">
        <v>8</v>
      </c>
    </row>
    <row r="16" spans="1:13" ht="16">
      <c r="A16" s="37" t="s">
        <v>82</v>
      </c>
      <c r="B16" s="37"/>
      <c r="C16" s="37"/>
      <c r="D16" s="37"/>
      <c r="E16" s="37"/>
      <c r="F16" s="37"/>
      <c r="G16" s="37"/>
      <c r="H16" s="37"/>
      <c r="I16" s="37"/>
      <c r="J16" s="37"/>
    </row>
    <row r="17" spans="1:13">
      <c r="A17" s="9" t="s">
        <v>55</v>
      </c>
      <c r="B17" s="8" t="s">
        <v>83</v>
      </c>
      <c r="C17" s="8" t="s">
        <v>84</v>
      </c>
      <c r="D17" s="8" t="s">
        <v>85</v>
      </c>
      <c r="E17" s="8" t="s">
        <v>523</v>
      </c>
      <c r="F17" s="8" t="s">
        <v>86</v>
      </c>
      <c r="G17" s="17" t="s">
        <v>87</v>
      </c>
      <c r="H17" s="17" t="s">
        <v>88</v>
      </c>
      <c r="I17" s="17" t="s">
        <v>89</v>
      </c>
      <c r="J17" s="9"/>
      <c r="K17" s="30" t="str">
        <f>"75,0"</f>
        <v>75,0</v>
      </c>
      <c r="L17" s="9" t="str">
        <f>"89,6250"</f>
        <v>89,6250</v>
      </c>
      <c r="M17" s="8" t="s">
        <v>483</v>
      </c>
    </row>
    <row r="18" spans="1:13">
      <c r="A18" s="11" t="s">
        <v>216</v>
      </c>
      <c r="B18" s="10" t="s">
        <v>90</v>
      </c>
      <c r="C18" s="10" t="s">
        <v>91</v>
      </c>
      <c r="D18" s="10" t="s">
        <v>92</v>
      </c>
      <c r="E18" s="10" t="s">
        <v>523</v>
      </c>
      <c r="F18" s="10" t="s">
        <v>93</v>
      </c>
      <c r="G18" s="19" t="s">
        <v>61</v>
      </c>
      <c r="H18" s="19" t="s">
        <v>62</v>
      </c>
      <c r="I18" s="20" t="s">
        <v>73</v>
      </c>
      <c r="J18" s="11"/>
      <c r="K18" s="32" t="str">
        <f>"50,0"</f>
        <v>50,0</v>
      </c>
      <c r="L18" s="11" t="str">
        <f>"59,8350"</f>
        <v>59,8350</v>
      </c>
      <c r="M18" s="10" t="s">
        <v>488</v>
      </c>
    </row>
    <row r="19" spans="1:13">
      <c r="B19" s="5" t="s">
        <v>8</v>
      </c>
    </row>
    <row r="20" spans="1:13" ht="16">
      <c r="A20" s="37" t="s">
        <v>94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3">
      <c r="A21" s="9" t="s">
        <v>55</v>
      </c>
      <c r="B21" s="8" t="s">
        <v>95</v>
      </c>
      <c r="C21" s="8" t="s">
        <v>96</v>
      </c>
      <c r="D21" s="8" t="s">
        <v>97</v>
      </c>
      <c r="E21" s="8" t="s">
        <v>523</v>
      </c>
      <c r="F21" s="8" t="s">
        <v>98</v>
      </c>
      <c r="G21" s="17" t="s">
        <v>99</v>
      </c>
      <c r="H21" s="17" t="s">
        <v>88</v>
      </c>
      <c r="I21" s="18" t="s">
        <v>89</v>
      </c>
      <c r="J21" s="9"/>
      <c r="K21" s="30" t="str">
        <f>"72,5"</f>
        <v>72,5</v>
      </c>
      <c r="L21" s="9" t="str">
        <f>"81,3522"</f>
        <v>81,3522</v>
      </c>
      <c r="M21" s="8"/>
    </row>
    <row r="22" spans="1:13">
      <c r="A22" s="23" t="s">
        <v>215</v>
      </c>
      <c r="B22" s="22" t="s">
        <v>100</v>
      </c>
      <c r="C22" s="22" t="s">
        <v>101</v>
      </c>
      <c r="D22" s="22" t="s">
        <v>102</v>
      </c>
      <c r="E22" s="22" t="s">
        <v>523</v>
      </c>
      <c r="F22" s="22" t="s">
        <v>207</v>
      </c>
      <c r="G22" s="27" t="s">
        <v>103</v>
      </c>
      <c r="H22" s="27" t="s">
        <v>103</v>
      </c>
      <c r="I22" s="27" t="s">
        <v>103</v>
      </c>
      <c r="J22" s="23"/>
      <c r="K22" s="31">
        <v>0</v>
      </c>
      <c r="L22" s="23" t="str">
        <f>"0,0000"</f>
        <v>0,0000</v>
      </c>
      <c r="M22" s="22" t="s">
        <v>477</v>
      </c>
    </row>
    <row r="23" spans="1:13">
      <c r="A23" s="11" t="s">
        <v>55</v>
      </c>
      <c r="B23" s="10" t="s">
        <v>95</v>
      </c>
      <c r="C23" s="10" t="s">
        <v>104</v>
      </c>
      <c r="D23" s="10" t="s">
        <v>97</v>
      </c>
      <c r="E23" s="10" t="s">
        <v>525</v>
      </c>
      <c r="F23" s="10" t="s">
        <v>98</v>
      </c>
      <c r="G23" s="19" t="s">
        <v>99</v>
      </c>
      <c r="H23" s="19" t="s">
        <v>88</v>
      </c>
      <c r="I23" s="20" t="s">
        <v>89</v>
      </c>
      <c r="J23" s="11"/>
      <c r="K23" s="32" t="str">
        <f>"72,5"</f>
        <v>72,5</v>
      </c>
      <c r="L23" s="11" t="str">
        <f>"81,3522"</f>
        <v>81,3522</v>
      </c>
      <c r="M23" s="10"/>
    </row>
    <row r="24" spans="1:13">
      <c r="B24" s="5" t="s">
        <v>8</v>
      </c>
    </row>
    <row r="25" spans="1:13" ht="16">
      <c r="A25" s="37" t="s">
        <v>105</v>
      </c>
      <c r="B25" s="37"/>
      <c r="C25" s="37"/>
      <c r="D25" s="37"/>
      <c r="E25" s="37"/>
      <c r="F25" s="37"/>
      <c r="G25" s="37"/>
      <c r="H25" s="37"/>
      <c r="I25" s="37"/>
      <c r="J25" s="37"/>
    </row>
    <row r="26" spans="1:13">
      <c r="A26" s="21" t="s">
        <v>55</v>
      </c>
      <c r="B26" s="15" t="s">
        <v>106</v>
      </c>
      <c r="C26" s="15" t="s">
        <v>107</v>
      </c>
      <c r="D26" s="15" t="s">
        <v>108</v>
      </c>
      <c r="E26" s="15" t="s">
        <v>523</v>
      </c>
      <c r="F26" s="15" t="s">
        <v>109</v>
      </c>
      <c r="G26" s="24" t="s">
        <v>110</v>
      </c>
      <c r="H26" s="24" t="s">
        <v>111</v>
      </c>
      <c r="I26" s="25" t="s">
        <v>112</v>
      </c>
      <c r="J26" s="21"/>
      <c r="K26" s="28" t="str">
        <f>"107,5"</f>
        <v>107,5</v>
      </c>
      <c r="L26" s="21" t="str">
        <f>"84,1940"</f>
        <v>84,1940</v>
      </c>
      <c r="M26" s="15" t="s">
        <v>489</v>
      </c>
    </row>
    <row r="27" spans="1:13">
      <c r="B27" s="5" t="s">
        <v>8</v>
      </c>
    </row>
    <row r="28" spans="1:13" ht="16">
      <c r="A28" s="37" t="s">
        <v>113</v>
      </c>
      <c r="B28" s="37"/>
      <c r="C28" s="37"/>
      <c r="D28" s="37"/>
      <c r="E28" s="37"/>
      <c r="F28" s="37"/>
      <c r="G28" s="37"/>
      <c r="H28" s="37"/>
      <c r="I28" s="37"/>
      <c r="J28" s="37"/>
    </row>
    <row r="29" spans="1:13">
      <c r="A29" s="9" t="s">
        <v>55</v>
      </c>
      <c r="B29" s="8" t="s">
        <v>114</v>
      </c>
      <c r="C29" s="8" t="s">
        <v>115</v>
      </c>
      <c r="D29" s="8" t="s">
        <v>116</v>
      </c>
      <c r="E29" s="8" t="s">
        <v>524</v>
      </c>
      <c r="F29" s="8" t="s">
        <v>207</v>
      </c>
      <c r="G29" s="17" t="s">
        <v>117</v>
      </c>
      <c r="H29" s="17" t="s">
        <v>112</v>
      </c>
      <c r="I29" s="18" t="s">
        <v>118</v>
      </c>
      <c r="J29" s="9"/>
      <c r="K29" s="30" t="str">
        <f>"110,0"</f>
        <v>110,0</v>
      </c>
      <c r="L29" s="9" t="str">
        <f>"78,3860"</f>
        <v>78,3860</v>
      </c>
      <c r="M29" s="8"/>
    </row>
    <row r="30" spans="1:13">
      <c r="A30" s="23" t="s">
        <v>55</v>
      </c>
      <c r="B30" s="22" t="s">
        <v>119</v>
      </c>
      <c r="C30" s="22" t="s">
        <v>120</v>
      </c>
      <c r="D30" s="22" t="s">
        <v>121</v>
      </c>
      <c r="E30" s="22" t="s">
        <v>523</v>
      </c>
      <c r="F30" s="22" t="s">
        <v>122</v>
      </c>
      <c r="G30" s="27" t="s">
        <v>123</v>
      </c>
      <c r="H30" s="27" t="s">
        <v>123</v>
      </c>
      <c r="I30" s="26" t="s">
        <v>123</v>
      </c>
      <c r="J30" s="23"/>
      <c r="K30" s="31" t="str">
        <f>"120,0"</f>
        <v>120,0</v>
      </c>
      <c r="L30" s="23" t="str">
        <f>"88,4040"</f>
        <v>88,4040</v>
      </c>
      <c r="M30" s="22"/>
    </row>
    <row r="31" spans="1:13">
      <c r="A31" s="23" t="s">
        <v>216</v>
      </c>
      <c r="B31" s="22" t="s">
        <v>114</v>
      </c>
      <c r="C31" s="22" t="s">
        <v>124</v>
      </c>
      <c r="D31" s="22" t="s">
        <v>116</v>
      </c>
      <c r="E31" s="22" t="s">
        <v>523</v>
      </c>
      <c r="F31" s="22" t="s">
        <v>207</v>
      </c>
      <c r="G31" s="26" t="s">
        <v>117</v>
      </c>
      <c r="H31" s="26" t="s">
        <v>112</v>
      </c>
      <c r="I31" s="27" t="s">
        <v>118</v>
      </c>
      <c r="J31" s="23"/>
      <c r="K31" s="31" t="str">
        <f>"110,0"</f>
        <v>110,0</v>
      </c>
      <c r="L31" s="23" t="str">
        <f>"78,3860"</f>
        <v>78,3860</v>
      </c>
      <c r="M31" s="22"/>
    </row>
    <row r="32" spans="1:13">
      <c r="A32" s="23" t="s">
        <v>215</v>
      </c>
      <c r="B32" s="22" t="s">
        <v>125</v>
      </c>
      <c r="C32" s="22" t="s">
        <v>126</v>
      </c>
      <c r="D32" s="22" t="s">
        <v>127</v>
      </c>
      <c r="E32" s="22" t="s">
        <v>523</v>
      </c>
      <c r="F32" s="22" t="s">
        <v>128</v>
      </c>
      <c r="G32" s="27" t="s">
        <v>129</v>
      </c>
      <c r="H32" s="27" t="s">
        <v>129</v>
      </c>
      <c r="I32" s="27" t="s">
        <v>129</v>
      </c>
      <c r="J32" s="23"/>
      <c r="K32" s="31">
        <v>0</v>
      </c>
      <c r="L32" s="23" t="str">
        <f>"0,0000"</f>
        <v>0,0000</v>
      </c>
      <c r="M32" s="22"/>
    </row>
    <row r="33" spans="1:13">
      <c r="A33" s="11" t="s">
        <v>55</v>
      </c>
      <c r="B33" s="10" t="s">
        <v>130</v>
      </c>
      <c r="C33" s="10" t="s">
        <v>131</v>
      </c>
      <c r="D33" s="10" t="s">
        <v>132</v>
      </c>
      <c r="E33" s="10" t="s">
        <v>525</v>
      </c>
      <c r="F33" s="10" t="s">
        <v>207</v>
      </c>
      <c r="G33" s="19" t="s">
        <v>129</v>
      </c>
      <c r="H33" s="20" t="s">
        <v>123</v>
      </c>
      <c r="I33" s="20" t="s">
        <v>123</v>
      </c>
      <c r="J33" s="11"/>
      <c r="K33" s="32" t="str">
        <f>"117,5"</f>
        <v>117,5</v>
      </c>
      <c r="L33" s="11" t="str">
        <f>"85,9512"</f>
        <v>85,9512</v>
      </c>
      <c r="M33" s="10"/>
    </row>
    <row r="34" spans="1:13">
      <c r="B34" s="5" t="s">
        <v>8</v>
      </c>
    </row>
    <row r="35" spans="1:13" ht="16">
      <c r="A35" s="37" t="s">
        <v>133</v>
      </c>
      <c r="B35" s="37"/>
      <c r="C35" s="37"/>
      <c r="D35" s="37"/>
      <c r="E35" s="37"/>
      <c r="F35" s="37"/>
      <c r="G35" s="37"/>
      <c r="H35" s="37"/>
      <c r="I35" s="37"/>
      <c r="J35" s="37"/>
    </row>
    <row r="36" spans="1:13">
      <c r="A36" s="9" t="s">
        <v>55</v>
      </c>
      <c r="B36" s="8" t="s">
        <v>134</v>
      </c>
      <c r="C36" s="8" t="s">
        <v>135</v>
      </c>
      <c r="D36" s="8" t="s">
        <v>136</v>
      </c>
      <c r="E36" s="8" t="s">
        <v>526</v>
      </c>
      <c r="F36" s="8" t="s">
        <v>515</v>
      </c>
      <c r="G36" s="17" t="s">
        <v>123</v>
      </c>
      <c r="H36" s="18" t="s">
        <v>20</v>
      </c>
      <c r="I36" s="18" t="s">
        <v>20</v>
      </c>
      <c r="J36" s="9"/>
      <c r="K36" s="30" t="str">
        <f>"120,0"</f>
        <v>120,0</v>
      </c>
      <c r="L36" s="9" t="str">
        <f>"80,8680"</f>
        <v>80,8680</v>
      </c>
      <c r="M36" s="8"/>
    </row>
    <row r="37" spans="1:13">
      <c r="A37" s="23" t="s">
        <v>55</v>
      </c>
      <c r="B37" s="22" t="s">
        <v>137</v>
      </c>
      <c r="C37" s="22" t="s">
        <v>138</v>
      </c>
      <c r="D37" s="22" t="s">
        <v>139</v>
      </c>
      <c r="E37" s="22" t="s">
        <v>524</v>
      </c>
      <c r="F37" s="22" t="s">
        <v>207</v>
      </c>
      <c r="G37" s="26" t="s">
        <v>21</v>
      </c>
      <c r="H37" s="26" t="s">
        <v>140</v>
      </c>
      <c r="I37" s="27" t="s">
        <v>141</v>
      </c>
      <c r="J37" s="23"/>
      <c r="K37" s="31" t="str">
        <f>"145,0"</f>
        <v>145,0</v>
      </c>
      <c r="L37" s="23" t="str">
        <f>"97,5705"</f>
        <v>97,5705</v>
      </c>
      <c r="M37" s="22"/>
    </row>
    <row r="38" spans="1:13">
      <c r="A38" s="23" t="s">
        <v>55</v>
      </c>
      <c r="B38" s="22" t="s">
        <v>142</v>
      </c>
      <c r="C38" s="22" t="s">
        <v>143</v>
      </c>
      <c r="D38" s="22" t="s">
        <v>144</v>
      </c>
      <c r="E38" s="22" t="s">
        <v>523</v>
      </c>
      <c r="F38" s="22" t="s">
        <v>207</v>
      </c>
      <c r="G38" s="27" t="s">
        <v>14</v>
      </c>
      <c r="H38" s="26" t="s">
        <v>14</v>
      </c>
      <c r="I38" s="26" t="s">
        <v>15</v>
      </c>
      <c r="J38" s="23"/>
      <c r="K38" s="31" t="str">
        <f>"155,0"</f>
        <v>155,0</v>
      </c>
      <c r="L38" s="23" t="str">
        <f>"109,1510"</f>
        <v>109,1510</v>
      </c>
      <c r="M38" s="22"/>
    </row>
    <row r="39" spans="1:13">
      <c r="A39" s="23" t="s">
        <v>216</v>
      </c>
      <c r="B39" s="22" t="s">
        <v>137</v>
      </c>
      <c r="C39" s="22" t="s">
        <v>145</v>
      </c>
      <c r="D39" s="22" t="s">
        <v>139</v>
      </c>
      <c r="E39" s="22" t="s">
        <v>523</v>
      </c>
      <c r="F39" s="22" t="s">
        <v>207</v>
      </c>
      <c r="G39" s="26" t="s">
        <v>21</v>
      </c>
      <c r="H39" s="26" t="s">
        <v>140</v>
      </c>
      <c r="I39" s="27" t="s">
        <v>141</v>
      </c>
      <c r="J39" s="23"/>
      <c r="K39" s="31" t="str">
        <f>"145,0"</f>
        <v>145,0</v>
      </c>
      <c r="L39" s="23" t="str">
        <f>"97,5705"</f>
        <v>97,5705</v>
      </c>
      <c r="M39" s="22"/>
    </row>
    <row r="40" spans="1:13">
      <c r="A40" s="23" t="s">
        <v>217</v>
      </c>
      <c r="B40" s="22" t="s">
        <v>146</v>
      </c>
      <c r="C40" s="22" t="s">
        <v>147</v>
      </c>
      <c r="D40" s="22" t="s">
        <v>148</v>
      </c>
      <c r="E40" s="22" t="s">
        <v>523</v>
      </c>
      <c r="F40" s="22" t="s">
        <v>207</v>
      </c>
      <c r="G40" s="26" t="s">
        <v>149</v>
      </c>
      <c r="H40" s="26" t="s">
        <v>150</v>
      </c>
      <c r="I40" s="26" t="s">
        <v>151</v>
      </c>
      <c r="J40" s="23"/>
      <c r="K40" s="31" t="str">
        <f>"137,5"</f>
        <v>137,5</v>
      </c>
      <c r="L40" s="23" t="str">
        <f>"94,9438"</f>
        <v>94,9438</v>
      </c>
      <c r="M40" s="22"/>
    </row>
    <row r="41" spans="1:13">
      <c r="A41" s="11" t="s">
        <v>218</v>
      </c>
      <c r="B41" s="10" t="s">
        <v>152</v>
      </c>
      <c r="C41" s="10" t="s">
        <v>153</v>
      </c>
      <c r="D41" s="10" t="s">
        <v>154</v>
      </c>
      <c r="E41" s="10" t="s">
        <v>523</v>
      </c>
      <c r="F41" s="10" t="s">
        <v>207</v>
      </c>
      <c r="G41" s="19" t="s">
        <v>155</v>
      </c>
      <c r="H41" s="20" t="s">
        <v>123</v>
      </c>
      <c r="I41" s="20" t="s">
        <v>123</v>
      </c>
      <c r="J41" s="11"/>
      <c r="K41" s="32" t="str">
        <f>"112,5"</f>
        <v>112,5</v>
      </c>
      <c r="L41" s="11" t="str">
        <f>"77,7375"</f>
        <v>77,7375</v>
      </c>
      <c r="M41" s="10" t="s">
        <v>490</v>
      </c>
    </row>
    <row r="42" spans="1:13">
      <c r="B42" s="5" t="s">
        <v>8</v>
      </c>
    </row>
    <row r="43" spans="1:13" ht="16">
      <c r="A43" s="37" t="s">
        <v>10</v>
      </c>
      <c r="B43" s="37"/>
      <c r="C43" s="37"/>
      <c r="D43" s="37"/>
      <c r="E43" s="37"/>
      <c r="F43" s="37"/>
      <c r="G43" s="37"/>
      <c r="H43" s="37"/>
      <c r="I43" s="37"/>
      <c r="J43" s="37"/>
    </row>
    <row r="44" spans="1:13">
      <c r="A44" s="9" t="s">
        <v>55</v>
      </c>
      <c r="B44" s="8" t="s">
        <v>156</v>
      </c>
      <c r="C44" s="8" t="s">
        <v>157</v>
      </c>
      <c r="D44" s="8" t="s">
        <v>158</v>
      </c>
      <c r="E44" s="8" t="s">
        <v>523</v>
      </c>
      <c r="F44" s="8" t="s">
        <v>122</v>
      </c>
      <c r="G44" s="17" t="s">
        <v>35</v>
      </c>
      <c r="H44" s="17" t="s">
        <v>159</v>
      </c>
      <c r="I44" s="9"/>
      <c r="J44" s="9"/>
      <c r="K44" s="30" t="str">
        <f>"175,0"</f>
        <v>175,0</v>
      </c>
      <c r="L44" s="9" t="str">
        <f>"113,2425"</f>
        <v>113,2425</v>
      </c>
      <c r="M44" s="8"/>
    </row>
    <row r="45" spans="1:13">
      <c r="A45" s="23" t="s">
        <v>216</v>
      </c>
      <c r="B45" s="22" t="s">
        <v>160</v>
      </c>
      <c r="C45" s="22" t="s">
        <v>161</v>
      </c>
      <c r="D45" s="22" t="s">
        <v>162</v>
      </c>
      <c r="E45" s="22" t="s">
        <v>523</v>
      </c>
      <c r="F45" s="22" t="s">
        <v>207</v>
      </c>
      <c r="G45" s="26" t="s">
        <v>150</v>
      </c>
      <c r="H45" s="26" t="s">
        <v>151</v>
      </c>
      <c r="I45" s="27" t="s">
        <v>163</v>
      </c>
      <c r="J45" s="23"/>
      <c r="K45" s="31" t="str">
        <f>"137,5"</f>
        <v>137,5</v>
      </c>
      <c r="L45" s="23" t="str">
        <f>"88,1788"</f>
        <v>88,1788</v>
      </c>
      <c r="M45" s="22"/>
    </row>
    <row r="46" spans="1:13">
      <c r="A46" s="23" t="s">
        <v>217</v>
      </c>
      <c r="B46" s="22" t="s">
        <v>164</v>
      </c>
      <c r="C46" s="22" t="s">
        <v>165</v>
      </c>
      <c r="D46" s="22" t="s">
        <v>166</v>
      </c>
      <c r="E46" s="22" t="s">
        <v>523</v>
      </c>
      <c r="F46" s="22" t="s">
        <v>207</v>
      </c>
      <c r="G46" s="27" t="s">
        <v>150</v>
      </c>
      <c r="H46" s="26" t="s">
        <v>150</v>
      </c>
      <c r="I46" s="27" t="s">
        <v>21</v>
      </c>
      <c r="J46" s="23"/>
      <c r="K46" s="31" t="str">
        <f>"132,5"</f>
        <v>132,5</v>
      </c>
      <c r="L46" s="23" t="str">
        <f>"84,5880"</f>
        <v>84,5880</v>
      </c>
      <c r="M46" s="22" t="s">
        <v>167</v>
      </c>
    </row>
    <row r="47" spans="1:13">
      <c r="A47" s="23" t="s">
        <v>215</v>
      </c>
      <c r="B47" s="22" t="s">
        <v>168</v>
      </c>
      <c r="C47" s="22" t="s">
        <v>169</v>
      </c>
      <c r="D47" s="22" t="s">
        <v>170</v>
      </c>
      <c r="E47" s="22" t="s">
        <v>523</v>
      </c>
      <c r="F47" s="22" t="s">
        <v>171</v>
      </c>
      <c r="G47" s="27" t="s">
        <v>140</v>
      </c>
      <c r="H47" s="27" t="s">
        <v>140</v>
      </c>
      <c r="I47" s="27" t="s">
        <v>140</v>
      </c>
      <c r="J47" s="23"/>
      <c r="K47" s="31">
        <v>0</v>
      </c>
      <c r="L47" s="23" t="str">
        <f>"0,0000"</f>
        <v>0,0000</v>
      </c>
      <c r="M47" s="22"/>
    </row>
    <row r="48" spans="1:13">
      <c r="A48" s="23" t="s">
        <v>55</v>
      </c>
      <c r="B48" s="22" t="s">
        <v>172</v>
      </c>
      <c r="C48" s="22" t="s">
        <v>173</v>
      </c>
      <c r="D48" s="22" t="s">
        <v>174</v>
      </c>
      <c r="E48" s="22" t="s">
        <v>525</v>
      </c>
      <c r="F48" s="22" t="s">
        <v>207</v>
      </c>
      <c r="G48" s="26" t="s">
        <v>175</v>
      </c>
      <c r="H48" s="27" t="s">
        <v>117</v>
      </c>
      <c r="I48" s="27" t="s">
        <v>112</v>
      </c>
      <c r="J48" s="23"/>
      <c r="K48" s="31" t="str">
        <f>"95,0"</f>
        <v>95,0</v>
      </c>
      <c r="L48" s="23" t="str">
        <f>"64,2190"</f>
        <v>64,2190</v>
      </c>
      <c r="M48" s="22" t="s">
        <v>486</v>
      </c>
    </row>
    <row r="49" spans="1:13">
      <c r="A49" s="23" t="s">
        <v>215</v>
      </c>
      <c r="B49" s="22" t="s">
        <v>168</v>
      </c>
      <c r="C49" s="22" t="s">
        <v>176</v>
      </c>
      <c r="D49" s="22" t="s">
        <v>170</v>
      </c>
      <c r="E49" s="22" t="s">
        <v>525</v>
      </c>
      <c r="F49" s="22" t="s">
        <v>171</v>
      </c>
      <c r="G49" s="27" t="s">
        <v>140</v>
      </c>
      <c r="H49" s="27" t="s">
        <v>140</v>
      </c>
      <c r="I49" s="27" t="s">
        <v>140</v>
      </c>
      <c r="J49" s="23"/>
      <c r="K49" s="31">
        <v>0</v>
      </c>
      <c r="L49" s="23" t="str">
        <f>"0,0000"</f>
        <v>0,0000</v>
      </c>
      <c r="M49" s="22"/>
    </row>
    <row r="50" spans="1:13">
      <c r="A50" s="11" t="s">
        <v>55</v>
      </c>
      <c r="B50" s="10" t="s">
        <v>177</v>
      </c>
      <c r="C50" s="10" t="s">
        <v>178</v>
      </c>
      <c r="D50" s="10" t="s">
        <v>179</v>
      </c>
      <c r="E50" s="10" t="s">
        <v>527</v>
      </c>
      <c r="F50" s="10" t="s">
        <v>180</v>
      </c>
      <c r="G50" s="19" t="s">
        <v>117</v>
      </c>
      <c r="H50" s="19" t="s">
        <v>112</v>
      </c>
      <c r="I50" s="20" t="s">
        <v>155</v>
      </c>
      <c r="J50" s="11"/>
      <c r="K50" s="32" t="str">
        <f>"110,0"</f>
        <v>110,0</v>
      </c>
      <c r="L50" s="11" t="str">
        <f>"140,4812"</f>
        <v>140,4812</v>
      </c>
      <c r="M50" s="10" t="s">
        <v>491</v>
      </c>
    </row>
    <row r="51" spans="1:13">
      <c r="B51" s="5" t="s">
        <v>8</v>
      </c>
    </row>
    <row r="52" spans="1:13" ht="16">
      <c r="A52" s="37" t="s">
        <v>23</v>
      </c>
      <c r="B52" s="37"/>
      <c r="C52" s="37"/>
      <c r="D52" s="37"/>
      <c r="E52" s="37"/>
      <c r="F52" s="37"/>
      <c r="G52" s="37"/>
      <c r="H52" s="37"/>
      <c r="I52" s="37"/>
      <c r="J52" s="37"/>
    </row>
    <row r="53" spans="1:13">
      <c r="A53" s="9" t="s">
        <v>55</v>
      </c>
      <c r="B53" s="8" t="s">
        <v>181</v>
      </c>
      <c r="C53" s="8" t="s">
        <v>182</v>
      </c>
      <c r="D53" s="8" t="s">
        <v>183</v>
      </c>
      <c r="E53" s="8" t="s">
        <v>523</v>
      </c>
      <c r="F53" s="8" t="s">
        <v>207</v>
      </c>
      <c r="G53" s="17" t="s">
        <v>184</v>
      </c>
      <c r="H53" s="17" t="s">
        <v>112</v>
      </c>
      <c r="I53" s="17" t="s">
        <v>155</v>
      </c>
      <c r="J53" s="9"/>
      <c r="K53" s="30" t="str">
        <f>"112,5"</f>
        <v>112,5</v>
      </c>
      <c r="L53" s="9" t="str">
        <f>"71,3025"</f>
        <v>71,3025</v>
      </c>
      <c r="M53" s="8" t="s">
        <v>492</v>
      </c>
    </row>
    <row r="54" spans="1:13">
      <c r="A54" s="11" t="s">
        <v>55</v>
      </c>
      <c r="B54" s="10" t="s">
        <v>185</v>
      </c>
      <c r="C54" s="10" t="s">
        <v>186</v>
      </c>
      <c r="D54" s="10" t="s">
        <v>187</v>
      </c>
      <c r="E54" s="10" t="s">
        <v>525</v>
      </c>
      <c r="F54" s="10" t="s">
        <v>207</v>
      </c>
      <c r="G54" s="20" t="s">
        <v>188</v>
      </c>
      <c r="H54" s="19" t="s">
        <v>188</v>
      </c>
      <c r="I54" s="19" t="s">
        <v>21</v>
      </c>
      <c r="J54" s="11"/>
      <c r="K54" s="32" t="str">
        <f>"135,0"</f>
        <v>135,0</v>
      </c>
      <c r="L54" s="11" t="str">
        <f>"86,1566"</f>
        <v>86,1566</v>
      </c>
      <c r="M54" s="10" t="s">
        <v>493</v>
      </c>
    </row>
    <row r="55" spans="1:13">
      <c r="B55" s="5" t="s">
        <v>8</v>
      </c>
    </row>
    <row r="56" spans="1:13" ht="16">
      <c r="A56" s="37" t="s">
        <v>189</v>
      </c>
      <c r="B56" s="37"/>
      <c r="C56" s="37"/>
      <c r="D56" s="37"/>
      <c r="E56" s="37"/>
      <c r="F56" s="37"/>
      <c r="G56" s="37"/>
      <c r="H56" s="37"/>
      <c r="I56" s="37"/>
      <c r="J56" s="37"/>
    </row>
    <row r="57" spans="1:13">
      <c r="A57" s="9" t="s">
        <v>55</v>
      </c>
      <c r="B57" s="8" t="s">
        <v>190</v>
      </c>
      <c r="C57" s="8" t="s">
        <v>191</v>
      </c>
      <c r="D57" s="8" t="s">
        <v>192</v>
      </c>
      <c r="E57" s="8" t="s">
        <v>525</v>
      </c>
      <c r="F57" s="8" t="s">
        <v>193</v>
      </c>
      <c r="G57" s="17" t="s">
        <v>141</v>
      </c>
      <c r="H57" s="17" t="s">
        <v>28</v>
      </c>
      <c r="I57" s="17" t="s">
        <v>15</v>
      </c>
      <c r="J57" s="9"/>
      <c r="K57" s="30" t="str">
        <f>"155,0"</f>
        <v>155,0</v>
      </c>
      <c r="L57" s="9" t="str">
        <f>"96,9302"</f>
        <v>96,9302</v>
      </c>
      <c r="M57" s="8" t="s">
        <v>194</v>
      </c>
    </row>
    <row r="58" spans="1:13">
      <c r="A58" s="11" t="s">
        <v>216</v>
      </c>
      <c r="B58" s="10" t="s">
        <v>195</v>
      </c>
      <c r="C58" s="10" t="s">
        <v>196</v>
      </c>
      <c r="D58" s="10" t="s">
        <v>197</v>
      </c>
      <c r="E58" s="10" t="s">
        <v>525</v>
      </c>
      <c r="F58" s="10" t="s">
        <v>207</v>
      </c>
      <c r="G58" s="20" t="s">
        <v>14</v>
      </c>
      <c r="H58" s="19" t="s">
        <v>15</v>
      </c>
      <c r="I58" s="20" t="s">
        <v>29</v>
      </c>
      <c r="J58" s="11"/>
      <c r="K58" s="32" t="str">
        <f>"155,0"</f>
        <v>155,0</v>
      </c>
      <c r="L58" s="11" t="str">
        <f>"97,6106"</f>
        <v>97,6106</v>
      </c>
      <c r="M58" s="10"/>
    </row>
    <row r="59" spans="1:13">
      <c r="B59" s="5" t="s">
        <v>8</v>
      </c>
    </row>
    <row r="60" spans="1:13" ht="16">
      <c r="A60" s="37" t="s">
        <v>36</v>
      </c>
      <c r="B60" s="37"/>
      <c r="C60" s="37"/>
      <c r="D60" s="37"/>
      <c r="E60" s="37"/>
      <c r="F60" s="37"/>
      <c r="G60" s="37"/>
      <c r="H60" s="37"/>
      <c r="I60" s="37"/>
      <c r="J60" s="37"/>
    </row>
    <row r="61" spans="1:13">
      <c r="A61" s="21" t="s">
        <v>55</v>
      </c>
      <c r="B61" s="15" t="s">
        <v>198</v>
      </c>
      <c r="C61" s="15" t="s">
        <v>199</v>
      </c>
      <c r="D61" s="15" t="s">
        <v>200</v>
      </c>
      <c r="E61" s="15" t="s">
        <v>523</v>
      </c>
      <c r="F61" s="15" t="s">
        <v>207</v>
      </c>
      <c r="G61" s="24" t="s">
        <v>201</v>
      </c>
      <c r="H61" s="25" t="s">
        <v>202</v>
      </c>
      <c r="I61" s="25" t="s">
        <v>202</v>
      </c>
      <c r="J61" s="21"/>
      <c r="K61" s="28" t="str">
        <f>"185,0"</f>
        <v>185,0</v>
      </c>
      <c r="L61" s="21" t="str">
        <f>"106,0975"</f>
        <v>106,0975</v>
      </c>
      <c r="M61" s="15"/>
    </row>
    <row r="62" spans="1:13">
      <c r="B62" s="5" t="s">
        <v>8</v>
      </c>
    </row>
    <row r="63" spans="1:13" ht="16">
      <c r="A63" s="37" t="s">
        <v>203</v>
      </c>
      <c r="B63" s="37"/>
      <c r="C63" s="37"/>
      <c r="D63" s="37"/>
      <c r="E63" s="37"/>
      <c r="F63" s="37"/>
      <c r="G63" s="37"/>
      <c r="H63" s="37"/>
      <c r="I63" s="37"/>
      <c r="J63" s="37"/>
    </row>
    <row r="64" spans="1:13">
      <c r="A64" s="21" t="s">
        <v>55</v>
      </c>
      <c r="B64" s="15" t="s">
        <v>204</v>
      </c>
      <c r="C64" s="15" t="s">
        <v>205</v>
      </c>
      <c r="D64" s="15" t="s">
        <v>206</v>
      </c>
      <c r="E64" s="15" t="s">
        <v>524</v>
      </c>
      <c r="F64" s="15" t="s">
        <v>207</v>
      </c>
      <c r="G64" s="24" t="s">
        <v>208</v>
      </c>
      <c r="H64" s="25" t="s">
        <v>209</v>
      </c>
      <c r="I64" s="25" t="s">
        <v>209</v>
      </c>
      <c r="J64" s="21"/>
      <c r="K64" s="28" t="str">
        <f>"182,5"</f>
        <v>182,5</v>
      </c>
      <c r="L64" s="21" t="str">
        <f>"103,3315"</f>
        <v>103,3315</v>
      </c>
      <c r="M64" s="15" t="s">
        <v>519</v>
      </c>
    </row>
    <row r="65" spans="2:6">
      <c r="B65" s="5" t="s">
        <v>8</v>
      </c>
    </row>
    <row r="68" spans="2:6" ht="18">
      <c r="B68" s="7" t="s">
        <v>6</v>
      </c>
      <c r="C68" s="7"/>
    </row>
    <row r="69" spans="2:6" ht="16">
      <c r="B69" s="12" t="s">
        <v>46</v>
      </c>
      <c r="C69" s="12"/>
    </row>
    <row r="70" spans="2:6" ht="14">
      <c r="B70" s="13"/>
      <c r="C70" s="14" t="s">
        <v>52</v>
      </c>
    </row>
    <row r="71" spans="2:6" ht="14">
      <c r="B71" s="16" t="s">
        <v>47</v>
      </c>
      <c r="C71" s="16" t="s">
        <v>48</v>
      </c>
      <c r="D71" s="16" t="s">
        <v>513</v>
      </c>
      <c r="E71" s="16" t="s">
        <v>49</v>
      </c>
      <c r="F71" s="16" t="s">
        <v>50</v>
      </c>
    </row>
    <row r="72" spans="2:6">
      <c r="B72" s="5" t="s">
        <v>156</v>
      </c>
      <c r="C72" s="5" t="s">
        <v>52</v>
      </c>
      <c r="D72" s="6" t="s">
        <v>54</v>
      </c>
      <c r="E72" s="6" t="s">
        <v>159</v>
      </c>
      <c r="F72" s="6" t="s">
        <v>212</v>
      </c>
    </row>
    <row r="73" spans="2:6">
      <c r="B73" s="5" t="s">
        <v>142</v>
      </c>
      <c r="C73" s="5" t="s">
        <v>52</v>
      </c>
      <c r="D73" s="6" t="s">
        <v>210</v>
      </c>
      <c r="E73" s="6" t="s">
        <v>15</v>
      </c>
      <c r="F73" s="6" t="s">
        <v>213</v>
      </c>
    </row>
    <row r="74" spans="2:6">
      <c r="B74" s="5" t="s">
        <v>198</v>
      </c>
      <c r="C74" s="5" t="s">
        <v>52</v>
      </c>
      <c r="D74" s="6" t="s">
        <v>53</v>
      </c>
      <c r="E74" s="6" t="s">
        <v>201</v>
      </c>
      <c r="F74" s="6" t="s">
        <v>214</v>
      </c>
    </row>
    <row r="75" spans="2:6">
      <c r="B75" s="5" t="s">
        <v>8</v>
      </c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63:J63"/>
    <mergeCell ref="A8:J8"/>
    <mergeCell ref="A11:J11"/>
    <mergeCell ref="A16:J16"/>
    <mergeCell ref="A20:J20"/>
    <mergeCell ref="A25:J25"/>
    <mergeCell ref="A28:J28"/>
    <mergeCell ref="A35:J35"/>
    <mergeCell ref="A43:J43"/>
    <mergeCell ref="A52:J52"/>
    <mergeCell ref="A56:J56"/>
    <mergeCell ref="A60:J6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4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10" width="5.5" style="6" customWidth="1"/>
    <col min="11" max="11" width="9.83203125" style="6" customWidth="1"/>
    <col min="12" max="12" width="9.5" style="6" customWidth="1"/>
    <col min="13" max="13" width="21.33203125" style="5" customWidth="1"/>
    <col min="14" max="16384" width="9.1640625" style="3"/>
  </cols>
  <sheetData>
    <row r="1" spans="1:13" s="2" customFormat="1" ht="29" customHeight="1">
      <c r="A1" s="38" t="s">
        <v>500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520</v>
      </c>
      <c r="B3" s="35" t="s">
        <v>0</v>
      </c>
      <c r="C3" s="48" t="s">
        <v>521</v>
      </c>
      <c r="D3" s="48" t="s">
        <v>5</v>
      </c>
      <c r="E3" s="50" t="s">
        <v>522</v>
      </c>
      <c r="F3" s="50" t="s">
        <v>4</v>
      </c>
      <c r="G3" s="50" t="s">
        <v>518</v>
      </c>
      <c r="H3" s="50"/>
      <c r="I3" s="50"/>
      <c r="J3" s="50"/>
      <c r="K3" s="50" t="s">
        <v>7</v>
      </c>
      <c r="L3" s="50" t="s">
        <v>2</v>
      </c>
      <c r="M3" s="53" t="s">
        <v>1</v>
      </c>
    </row>
    <row r="4" spans="1:13" s="1" customFormat="1" ht="21" customHeight="1" thickBot="1">
      <c r="A4" s="47"/>
      <c r="B4" s="36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3</v>
      </c>
      <c r="K4" s="49"/>
      <c r="L4" s="49"/>
      <c r="M4" s="54"/>
    </row>
    <row r="5" spans="1:13" ht="16">
      <c r="A5" s="33" t="s">
        <v>113</v>
      </c>
      <c r="B5" s="33"/>
      <c r="C5" s="34"/>
      <c r="D5" s="34"/>
      <c r="E5" s="34"/>
      <c r="F5" s="34"/>
      <c r="G5" s="34"/>
      <c r="H5" s="34"/>
      <c r="I5" s="34"/>
      <c r="J5" s="34"/>
    </row>
    <row r="6" spans="1:13">
      <c r="A6" s="21" t="s">
        <v>55</v>
      </c>
      <c r="B6" s="15" t="s">
        <v>272</v>
      </c>
      <c r="C6" s="15" t="s">
        <v>273</v>
      </c>
      <c r="D6" s="15" t="s">
        <v>262</v>
      </c>
      <c r="E6" s="15" t="s">
        <v>529</v>
      </c>
      <c r="F6" s="15" t="s">
        <v>274</v>
      </c>
      <c r="G6" s="24" t="s">
        <v>78</v>
      </c>
      <c r="H6" s="24" t="s">
        <v>79</v>
      </c>
      <c r="I6" s="24" t="s">
        <v>60</v>
      </c>
      <c r="J6" s="21"/>
      <c r="K6" s="21" t="str">
        <f>"42,5"</f>
        <v>42,5</v>
      </c>
      <c r="L6" s="21" t="str">
        <f>"51,9014"</f>
        <v>51,9014</v>
      </c>
      <c r="M6" s="15"/>
    </row>
    <row r="7" spans="1:13">
      <c r="B7" s="5" t="s">
        <v>8</v>
      </c>
    </row>
    <row r="8" spans="1:13" ht="16">
      <c r="A8" s="37" t="s">
        <v>133</v>
      </c>
      <c r="B8" s="37"/>
      <c r="C8" s="37"/>
      <c r="D8" s="37"/>
      <c r="E8" s="37"/>
      <c r="F8" s="37"/>
      <c r="G8" s="37"/>
      <c r="H8" s="37"/>
      <c r="I8" s="37"/>
      <c r="J8" s="37"/>
    </row>
    <row r="9" spans="1:13">
      <c r="A9" s="9" t="s">
        <v>55</v>
      </c>
      <c r="B9" s="8" t="s">
        <v>275</v>
      </c>
      <c r="C9" s="8" t="s">
        <v>506</v>
      </c>
      <c r="D9" s="8" t="s">
        <v>276</v>
      </c>
      <c r="E9" s="8" t="s">
        <v>528</v>
      </c>
      <c r="F9" s="8" t="s">
        <v>207</v>
      </c>
      <c r="G9" s="18" t="s">
        <v>78</v>
      </c>
      <c r="H9" s="17" t="s">
        <v>78</v>
      </c>
      <c r="I9" s="18" t="s">
        <v>78</v>
      </c>
      <c r="J9" s="9"/>
      <c r="K9" s="9" t="str">
        <f>"35,0"</f>
        <v>35,0</v>
      </c>
      <c r="L9" s="9" t="str">
        <f>"22,7412"</f>
        <v>22,7412</v>
      </c>
      <c r="M9" s="8" t="s">
        <v>479</v>
      </c>
    </row>
    <row r="10" spans="1:13">
      <c r="A10" s="11" t="s">
        <v>55</v>
      </c>
      <c r="B10" s="10" t="s">
        <v>277</v>
      </c>
      <c r="C10" s="10" t="s">
        <v>509</v>
      </c>
      <c r="D10" s="10" t="s">
        <v>278</v>
      </c>
      <c r="E10" s="10" t="s">
        <v>525</v>
      </c>
      <c r="F10" s="10" t="s">
        <v>279</v>
      </c>
      <c r="G10" s="19" t="s">
        <v>280</v>
      </c>
      <c r="H10" s="19" t="s">
        <v>281</v>
      </c>
      <c r="I10" s="19" t="s">
        <v>99</v>
      </c>
      <c r="J10" s="20" t="s">
        <v>282</v>
      </c>
      <c r="K10" s="11" t="str">
        <f>"70,0"</f>
        <v>70,0</v>
      </c>
      <c r="L10" s="11" t="str">
        <f>"46,0116"</f>
        <v>46,0116</v>
      </c>
      <c r="M10" s="10"/>
    </row>
    <row r="11" spans="1:13">
      <c r="B11" s="5" t="s">
        <v>8</v>
      </c>
    </row>
    <row r="12" spans="1:13" ht="16">
      <c r="A12" s="37" t="s">
        <v>10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3">
      <c r="A13" s="21" t="s">
        <v>55</v>
      </c>
      <c r="B13" s="15" t="s">
        <v>283</v>
      </c>
      <c r="C13" s="15" t="s">
        <v>510</v>
      </c>
      <c r="D13" s="15" t="s">
        <v>284</v>
      </c>
      <c r="E13" s="15" t="s">
        <v>524</v>
      </c>
      <c r="F13" s="15" t="s">
        <v>122</v>
      </c>
      <c r="G13" s="25" t="s">
        <v>281</v>
      </c>
      <c r="H13" s="24" t="s">
        <v>281</v>
      </c>
      <c r="I13" s="25" t="s">
        <v>99</v>
      </c>
      <c r="J13" s="21"/>
      <c r="K13" s="21" t="str">
        <f>"67,5"</f>
        <v>67,5</v>
      </c>
      <c r="L13" s="21" t="str">
        <f>"42,3967"</f>
        <v>42,3967</v>
      </c>
      <c r="M13" s="15"/>
    </row>
    <row r="14" spans="1:13">
      <c r="B14" s="5" t="s">
        <v>8</v>
      </c>
    </row>
    <row r="15" spans="1:13" ht="16">
      <c r="A15" s="37" t="s">
        <v>23</v>
      </c>
      <c r="B15" s="37"/>
      <c r="C15" s="37"/>
      <c r="D15" s="37"/>
      <c r="E15" s="37"/>
      <c r="F15" s="37"/>
      <c r="G15" s="37"/>
      <c r="H15" s="37"/>
      <c r="I15" s="37"/>
      <c r="J15" s="37"/>
    </row>
    <row r="16" spans="1:13">
      <c r="A16" s="9" t="s">
        <v>55</v>
      </c>
      <c r="B16" s="8" t="s">
        <v>285</v>
      </c>
      <c r="C16" s="8" t="s">
        <v>511</v>
      </c>
      <c r="D16" s="8" t="s">
        <v>286</v>
      </c>
      <c r="E16" s="8" t="s">
        <v>524</v>
      </c>
      <c r="F16" s="8" t="s">
        <v>287</v>
      </c>
      <c r="G16" s="17" t="s">
        <v>99</v>
      </c>
      <c r="H16" s="17" t="s">
        <v>88</v>
      </c>
      <c r="I16" s="17" t="s">
        <v>89</v>
      </c>
      <c r="J16" s="9"/>
      <c r="K16" s="9" t="str">
        <f>"75,0"</f>
        <v>75,0</v>
      </c>
      <c r="L16" s="9" t="str">
        <f>"44,9025"</f>
        <v>44,9025</v>
      </c>
      <c r="M16" s="8"/>
    </row>
    <row r="17" spans="1:13">
      <c r="A17" s="11" t="s">
        <v>55</v>
      </c>
      <c r="B17" s="10" t="s">
        <v>288</v>
      </c>
      <c r="C17" s="10" t="s">
        <v>289</v>
      </c>
      <c r="D17" s="10" t="s">
        <v>290</v>
      </c>
      <c r="E17" s="10" t="s">
        <v>523</v>
      </c>
      <c r="F17" s="10" t="s">
        <v>291</v>
      </c>
      <c r="G17" s="20" t="s">
        <v>292</v>
      </c>
      <c r="H17" s="19" t="s">
        <v>292</v>
      </c>
      <c r="I17" s="19" t="s">
        <v>236</v>
      </c>
      <c r="J17" s="11"/>
      <c r="K17" s="11" t="str">
        <f>"80,0"</f>
        <v>80,0</v>
      </c>
      <c r="L17" s="11" t="str">
        <f>"47,7680"</f>
        <v>47,7680</v>
      </c>
      <c r="M17" s="10"/>
    </row>
    <row r="18" spans="1:13">
      <c r="B18" s="5" t="s">
        <v>8</v>
      </c>
    </row>
    <row r="19" spans="1:13" ht="16">
      <c r="A19" s="37" t="s">
        <v>189</v>
      </c>
      <c r="B19" s="37"/>
      <c r="C19" s="37"/>
      <c r="D19" s="37"/>
      <c r="E19" s="37"/>
      <c r="F19" s="37"/>
      <c r="G19" s="37"/>
      <c r="H19" s="37"/>
      <c r="I19" s="37"/>
      <c r="J19" s="37"/>
    </row>
    <row r="20" spans="1:13">
      <c r="A20" s="21" t="s">
        <v>55</v>
      </c>
      <c r="B20" s="15" t="s">
        <v>293</v>
      </c>
      <c r="C20" s="15" t="s">
        <v>294</v>
      </c>
      <c r="D20" s="15" t="s">
        <v>295</v>
      </c>
      <c r="E20" s="15" t="s">
        <v>523</v>
      </c>
      <c r="F20" s="15" t="s">
        <v>296</v>
      </c>
      <c r="G20" s="24" t="s">
        <v>99</v>
      </c>
      <c r="H20" s="24" t="s">
        <v>89</v>
      </c>
      <c r="I20" s="25" t="s">
        <v>297</v>
      </c>
      <c r="J20" s="21"/>
      <c r="K20" s="21" t="str">
        <f>"75,0"</f>
        <v>75,0</v>
      </c>
      <c r="L20" s="21" t="str">
        <f>"43,3050"</f>
        <v>43,3050</v>
      </c>
      <c r="M20" s="15" t="s">
        <v>481</v>
      </c>
    </row>
    <row r="21" spans="1:13">
      <c r="B21" s="5" t="s">
        <v>8</v>
      </c>
    </row>
    <row r="22" spans="1:13" ht="16">
      <c r="A22" s="37" t="s">
        <v>36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3">
      <c r="A23" s="21" t="s">
        <v>55</v>
      </c>
      <c r="B23" s="15" t="s">
        <v>298</v>
      </c>
      <c r="C23" s="15" t="s">
        <v>299</v>
      </c>
      <c r="D23" s="15" t="s">
        <v>300</v>
      </c>
      <c r="E23" s="15" t="s">
        <v>523</v>
      </c>
      <c r="F23" s="15" t="s">
        <v>207</v>
      </c>
      <c r="G23" s="25" t="s">
        <v>79</v>
      </c>
      <c r="H23" s="24" t="s">
        <v>79</v>
      </c>
      <c r="I23" s="24" t="s">
        <v>62</v>
      </c>
      <c r="J23" s="21"/>
      <c r="K23" s="21" t="str">
        <f>"50,0"</f>
        <v>50,0</v>
      </c>
      <c r="L23" s="21" t="str">
        <f>"27,7300"</f>
        <v>27,7300</v>
      </c>
      <c r="M23" s="15"/>
    </row>
    <row r="24" spans="1:13">
      <c r="B24" s="5" t="s">
        <v>8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2:J22"/>
    <mergeCell ref="A5:J5"/>
    <mergeCell ref="A8:J8"/>
    <mergeCell ref="A12:J12"/>
    <mergeCell ref="A15:J15"/>
    <mergeCell ref="A19:J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1.83203125" style="5" customWidth="1"/>
    <col min="7" max="10" width="5.5" style="6" customWidth="1"/>
    <col min="11" max="11" width="11.83203125" style="6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38" t="s">
        <v>495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520</v>
      </c>
      <c r="B3" s="35" t="s">
        <v>0</v>
      </c>
      <c r="C3" s="48" t="s">
        <v>521</v>
      </c>
      <c r="D3" s="48" t="s">
        <v>5</v>
      </c>
      <c r="E3" s="50" t="s">
        <v>522</v>
      </c>
      <c r="F3" s="50" t="s">
        <v>4</v>
      </c>
      <c r="G3" s="50" t="s">
        <v>9</v>
      </c>
      <c r="H3" s="50"/>
      <c r="I3" s="50"/>
      <c r="J3" s="50"/>
      <c r="K3" s="50" t="s">
        <v>7</v>
      </c>
      <c r="L3" s="50" t="s">
        <v>2</v>
      </c>
      <c r="M3" s="53" t="s">
        <v>1</v>
      </c>
    </row>
    <row r="4" spans="1:13" s="1" customFormat="1" ht="21" customHeight="1" thickBot="1">
      <c r="A4" s="47"/>
      <c r="B4" s="36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3</v>
      </c>
      <c r="K4" s="49"/>
      <c r="L4" s="49"/>
      <c r="M4" s="54"/>
    </row>
    <row r="5" spans="1:13" ht="16">
      <c r="A5" s="33" t="s">
        <v>10</v>
      </c>
      <c r="B5" s="33"/>
      <c r="C5" s="34"/>
      <c r="D5" s="34"/>
      <c r="E5" s="34"/>
      <c r="F5" s="34"/>
      <c r="G5" s="34"/>
      <c r="H5" s="34"/>
      <c r="I5" s="34"/>
      <c r="J5" s="34"/>
    </row>
    <row r="6" spans="1:13">
      <c r="A6" s="9" t="s">
        <v>55</v>
      </c>
      <c r="B6" s="8" t="s">
        <v>11</v>
      </c>
      <c r="C6" s="8" t="s">
        <v>12</v>
      </c>
      <c r="D6" s="8" t="s">
        <v>13</v>
      </c>
      <c r="E6" s="8" t="s">
        <v>525</v>
      </c>
      <c r="F6" s="8" t="s">
        <v>207</v>
      </c>
      <c r="G6" s="17" t="s">
        <v>14</v>
      </c>
      <c r="H6" s="17" t="s">
        <v>15</v>
      </c>
      <c r="I6" s="18" t="s">
        <v>16</v>
      </c>
      <c r="J6" s="9"/>
      <c r="K6" s="9" t="str">
        <f>"155,0"</f>
        <v>155,0</v>
      </c>
      <c r="L6" s="9" t="str">
        <f>"101,4874"</f>
        <v>101,4874</v>
      </c>
      <c r="M6" s="8"/>
    </row>
    <row r="7" spans="1:13">
      <c r="A7" s="11" t="s">
        <v>55</v>
      </c>
      <c r="B7" s="10" t="s">
        <v>17</v>
      </c>
      <c r="C7" s="10" t="s">
        <v>18</v>
      </c>
      <c r="D7" s="10" t="s">
        <v>19</v>
      </c>
      <c r="E7" s="10" t="s">
        <v>527</v>
      </c>
      <c r="F7" s="10" t="s">
        <v>207</v>
      </c>
      <c r="G7" s="19" t="s">
        <v>20</v>
      </c>
      <c r="H7" s="19" t="s">
        <v>21</v>
      </c>
      <c r="I7" s="20" t="s">
        <v>22</v>
      </c>
      <c r="J7" s="20" t="s">
        <v>16</v>
      </c>
      <c r="K7" s="11" t="str">
        <f>"135,0"</f>
        <v>135,0</v>
      </c>
      <c r="L7" s="11" t="str">
        <f>"151,0877"</f>
        <v>151,0877</v>
      </c>
      <c r="M7" s="10"/>
    </row>
    <row r="8" spans="1:13">
      <c r="B8" s="5" t="s">
        <v>8</v>
      </c>
    </row>
    <row r="9" spans="1:13" ht="16">
      <c r="A9" s="37" t="s">
        <v>23</v>
      </c>
      <c r="B9" s="37"/>
      <c r="C9" s="37"/>
      <c r="D9" s="37"/>
      <c r="E9" s="37"/>
      <c r="F9" s="37"/>
      <c r="G9" s="37"/>
      <c r="H9" s="37"/>
      <c r="I9" s="37"/>
      <c r="J9" s="37"/>
    </row>
    <row r="10" spans="1:13">
      <c r="A10" s="9" t="s">
        <v>55</v>
      </c>
      <c r="B10" s="8" t="s">
        <v>24</v>
      </c>
      <c r="C10" s="8" t="s">
        <v>25</v>
      </c>
      <c r="D10" s="8" t="s">
        <v>26</v>
      </c>
      <c r="E10" s="8" t="s">
        <v>524</v>
      </c>
      <c r="F10" s="8" t="s">
        <v>27</v>
      </c>
      <c r="G10" s="17" t="s">
        <v>28</v>
      </c>
      <c r="H10" s="17" t="s">
        <v>29</v>
      </c>
      <c r="I10" s="17" t="s">
        <v>30</v>
      </c>
      <c r="J10" s="9"/>
      <c r="K10" s="9" t="str">
        <f>"167,5"</f>
        <v>167,5</v>
      </c>
      <c r="L10" s="9" t="str">
        <f>"103,6992"</f>
        <v>103,6992</v>
      </c>
      <c r="M10" s="8"/>
    </row>
    <row r="11" spans="1:13">
      <c r="A11" s="11" t="s">
        <v>55</v>
      </c>
      <c r="B11" s="10" t="s">
        <v>31</v>
      </c>
      <c r="C11" s="10" t="s">
        <v>32</v>
      </c>
      <c r="D11" s="10" t="s">
        <v>33</v>
      </c>
      <c r="E11" s="10" t="s">
        <v>523</v>
      </c>
      <c r="F11" s="10" t="s">
        <v>34</v>
      </c>
      <c r="G11" s="20" t="s">
        <v>28</v>
      </c>
      <c r="H11" s="19" t="s">
        <v>16</v>
      </c>
      <c r="I11" s="19" t="s">
        <v>35</v>
      </c>
      <c r="J11" s="11"/>
      <c r="K11" s="11" t="str">
        <f>"165,0"</f>
        <v>165,0</v>
      </c>
      <c r="L11" s="11" t="str">
        <f>"101,2440"</f>
        <v>101,2440</v>
      </c>
      <c r="M11" s="10"/>
    </row>
    <row r="12" spans="1:13">
      <c r="B12" s="5" t="s">
        <v>8</v>
      </c>
    </row>
    <row r="13" spans="1:13" ht="16">
      <c r="A13" s="37" t="s">
        <v>36</v>
      </c>
      <c r="B13" s="37"/>
      <c r="C13" s="37"/>
      <c r="D13" s="37"/>
      <c r="E13" s="37"/>
      <c r="F13" s="37"/>
      <c r="G13" s="37"/>
      <c r="H13" s="37"/>
      <c r="I13" s="37"/>
      <c r="J13" s="37"/>
    </row>
    <row r="14" spans="1:13">
      <c r="A14" s="9" t="s">
        <v>55</v>
      </c>
      <c r="B14" s="8" t="s">
        <v>37</v>
      </c>
      <c r="C14" s="8" t="s">
        <v>38</v>
      </c>
      <c r="D14" s="8" t="s">
        <v>39</v>
      </c>
      <c r="E14" s="8" t="s">
        <v>523</v>
      </c>
      <c r="F14" s="8" t="s">
        <v>40</v>
      </c>
      <c r="G14" s="17" t="s">
        <v>41</v>
      </c>
      <c r="H14" s="17" t="s">
        <v>42</v>
      </c>
      <c r="I14" s="9"/>
      <c r="J14" s="9"/>
      <c r="K14" s="9" t="str">
        <f>"220,0"</f>
        <v>220,0</v>
      </c>
      <c r="L14" s="9" t="str">
        <f>"125,7520"</f>
        <v>125,7520</v>
      </c>
      <c r="M14" s="8"/>
    </row>
    <row r="15" spans="1:13">
      <c r="A15" s="11" t="s">
        <v>55</v>
      </c>
      <c r="B15" s="10" t="s">
        <v>43</v>
      </c>
      <c r="C15" s="10" t="s">
        <v>44</v>
      </c>
      <c r="D15" s="10" t="s">
        <v>45</v>
      </c>
      <c r="E15" s="10" t="s">
        <v>525</v>
      </c>
      <c r="F15" s="10" t="s">
        <v>516</v>
      </c>
      <c r="G15" s="19" t="s">
        <v>14</v>
      </c>
      <c r="H15" s="19" t="s">
        <v>16</v>
      </c>
      <c r="I15" s="19" t="s">
        <v>35</v>
      </c>
      <c r="J15" s="11"/>
      <c r="K15" s="11" t="str">
        <f>"165,0"</f>
        <v>165,0</v>
      </c>
      <c r="L15" s="11" t="str">
        <f>"103,2180"</f>
        <v>103,2180</v>
      </c>
      <c r="M15" s="10"/>
    </row>
    <row r="16" spans="1:13">
      <c r="B16" s="5" t="s">
        <v>8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3:J13"/>
    <mergeCell ref="B3:B4"/>
    <mergeCell ref="K3:K4"/>
    <mergeCell ref="L3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5"/>
  <sheetViews>
    <sheetView workbookViewId="0">
      <selection activeCell="E35" sqref="E35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6.33203125" style="5" bestFit="1" customWidth="1"/>
    <col min="4" max="4" width="21.5" style="5" bestFit="1" customWidth="1"/>
    <col min="5" max="5" width="13.1640625" style="5" customWidth="1"/>
    <col min="6" max="6" width="31.1640625" style="5" bestFit="1" customWidth="1"/>
    <col min="7" max="9" width="5.5" style="6" customWidth="1"/>
    <col min="10" max="10" width="4.83203125" style="6" customWidth="1"/>
    <col min="11" max="11" width="10.5" style="29" bestFit="1" customWidth="1"/>
    <col min="12" max="12" width="8.5" style="6" bestFit="1" customWidth="1"/>
    <col min="13" max="13" width="29.5" style="5" bestFit="1" customWidth="1"/>
    <col min="14" max="16384" width="9.1640625" style="3"/>
  </cols>
  <sheetData>
    <row r="1" spans="1:13" s="2" customFormat="1" ht="29" customHeight="1">
      <c r="A1" s="38" t="s">
        <v>496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73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520</v>
      </c>
      <c r="B3" s="35" t="s">
        <v>0</v>
      </c>
      <c r="C3" s="48" t="s">
        <v>521</v>
      </c>
      <c r="D3" s="48" t="s">
        <v>5</v>
      </c>
      <c r="E3" s="50" t="s">
        <v>522</v>
      </c>
      <c r="F3" s="50" t="s">
        <v>4</v>
      </c>
      <c r="G3" s="50" t="s">
        <v>9</v>
      </c>
      <c r="H3" s="50"/>
      <c r="I3" s="50"/>
      <c r="J3" s="50"/>
      <c r="K3" s="51" t="s">
        <v>7</v>
      </c>
      <c r="L3" s="50" t="s">
        <v>2</v>
      </c>
      <c r="M3" s="53" t="s">
        <v>1</v>
      </c>
    </row>
    <row r="4" spans="1:13" s="1" customFormat="1" ht="21" customHeight="1" thickBot="1">
      <c r="A4" s="47"/>
      <c r="B4" s="36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3</v>
      </c>
      <c r="K4" s="52"/>
      <c r="L4" s="49"/>
      <c r="M4" s="54"/>
    </row>
    <row r="5" spans="1:13" ht="16">
      <c r="A5" s="33" t="s">
        <v>69</v>
      </c>
      <c r="B5" s="33"/>
      <c r="C5" s="34"/>
      <c r="D5" s="34"/>
      <c r="E5" s="34"/>
      <c r="F5" s="34"/>
      <c r="G5" s="34"/>
      <c r="H5" s="34"/>
      <c r="I5" s="34"/>
      <c r="J5" s="34"/>
    </row>
    <row r="6" spans="1:13">
      <c r="A6" s="21" t="s">
        <v>55</v>
      </c>
      <c r="B6" s="15" t="s">
        <v>70</v>
      </c>
      <c r="C6" s="15" t="s">
        <v>81</v>
      </c>
      <c r="D6" s="15" t="s">
        <v>72</v>
      </c>
      <c r="E6" s="15" t="s">
        <v>523</v>
      </c>
      <c r="F6" s="15" t="s">
        <v>207</v>
      </c>
      <c r="G6" s="24" t="s">
        <v>62</v>
      </c>
      <c r="H6" s="25" t="s">
        <v>73</v>
      </c>
      <c r="I6" s="25" t="s">
        <v>73</v>
      </c>
      <c r="J6" s="21"/>
      <c r="K6" s="28" t="str">
        <f>"50,0"</f>
        <v>50,0</v>
      </c>
      <c r="L6" s="21" t="str">
        <f>"63,9400"</f>
        <v>63,9400</v>
      </c>
      <c r="M6" s="15" t="s">
        <v>476</v>
      </c>
    </row>
    <row r="7" spans="1:13">
      <c r="B7" s="5" t="s">
        <v>8</v>
      </c>
    </row>
    <row r="8" spans="1:13" ht="16">
      <c r="A8" s="37" t="s">
        <v>82</v>
      </c>
      <c r="B8" s="37"/>
      <c r="C8" s="37"/>
      <c r="D8" s="37"/>
      <c r="E8" s="37"/>
      <c r="F8" s="37"/>
      <c r="G8" s="37"/>
      <c r="H8" s="37"/>
      <c r="I8" s="37"/>
      <c r="J8" s="37"/>
    </row>
    <row r="9" spans="1:13">
      <c r="A9" s="21" t="s">
        <v>55</v>
      </c>
      <c r="B9" s="15" t="s">
        <v>353</v>
      </c>
      <c r="C9" s="15" t="s">
        <v>354</v>
      </c>
      <c r="D9" s="15" t="s">
        <v>355</v>
      </c>
      <c r="E9" s="15" t="s">
        <v>523</v>
      </c>
      <c r="F9" s="15" t="s">
        <v>207</v>
      </c>
      <c r="G9" s="24" t="s">
        <v>103</v>
      </c>
      <c r="H9" s="24" t="s">
        <v>87</v>
      </c>
      <c r="I9" s="25" t="s">
        <v>280</v>
      </c>
      <c r="J9" s="21"/>
      <c r="K9" s="28" t="str">
        <f>"62,5"</f>
        <v>62,5</v>
      </c>
      <c r="L9" s="21" t="str">
        <f>"73,6438"</f>
        <v>73,6438</v>
      </c>
      <c r="M9" s="15" t="s">
        <v>356</v>
      </c>
    </row>
    <row r="10" spans="1:13">
      <c r="B10" s="5" t="s">
        <v>8</v>
      </c>
    </row>
    <row r="11" spans="1:13" ht="16">
      <c r="A11" s="37" t="s">
        <v>105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3">
      <c r="A12" s="21" t="s">
        <v>55</v>
      </c>
      <c r="B12" s="15" t="s">
        <v>357</v>
      </c>
      <c r="C12" s="15" t="s">
        <v>358</v>
      </c>
      <c r="D12" s="15" t="s">
        <v>359</v>
      </c>
      <c r="E12" s="15" t="s">
        <v>523</v>
      </c>
      <c r="F12" s="15" t="s">
        <v>207</v>
      </c>
      <c r="G12" s="24" t="s">
        <v>237</v>
      </c>
      <c r="H12" s="24" t="s">
        <v>360</v>
      </c>
      <c r="I12" s="25" t="s">
        <v>361</v>
      </c>
      <c r="J12" s="21"/>
      <c r="K12" s="28" t="str">
        <f>"90,0"</f>
        <v>90,0</v>
      </c>
      <c r="L12" s="21" t="str">
        <f>"91,8540"</f>
        <v>91,8540</v>
      </c>
      <c r="M12" s="15" t="s">
        <v>362</v>
      </c>
    </row>
    <row r="13" spans="1:13">
      <c r="B13" s="5" t="s">
        <v>8</v>
      </c>
    </row>
    <row r="14" spans="1:13" ht="16">
      <c r="A14" s="37" t="s">
        <v>113</v>
      </c>
      <c r="B14" s="37"/>
      <c r="C14" s="37"/>
      <c r="D14" s="37"/>
      <c r="E14" s="37"/>
      <c r="F14" s="37"/>
      <c r="G14" s="37"/>
      <c r="H14" s="37"/>
      <c r="I14" s="37"/>
      <c r="J14" s="37"/>
    </row>
    <row r="15" spans="1:13">
      <c r="A15" s="21" t="s">
        <v>55</v>
      </c>
      <c r="B15" s="15" t="s">
        <v>363</v>
      </c>
      <c r="C15" s="15" t="s">
        <v>364</v>
      </c>
      <c r="D15" s="15" t="s">
        <v>365</v>
      </c>
      <c r="E15" s="15" t="s">
        <v>523</v>
      </c>
      <c r="F15" s="15" t="s">
        <v>207</v>
      </c>
      <c r="G15" s="24" t="s">
        <v>61</v>
      </c>
      <c r="H15" s="25" t="s">
        <v>73</v>
      </c>
      <c r="I15" s="25" t="s">
        <v>73</v>
      </c>
      <c r="J15" s="21"/>
      <c r="K15" s="28" t="str">
        <f>"47,5"</f>
        <v>47,5</v>
      </c>
      <c r="L15" s="21" t="str">
        <f>"45,8612"</f>
        <v>45,8612</v>
      </c>
      <c r="M15" s="15" t="s">
        <v>517</v>
      </c>
    </row>
    <row r="16" spans="1:13">
      <c r="B16" s="5" t="s">
        <v>8</v>
      </c>
    </row>
    <row r="17" spans="1:13" ht="16">
      <c r="A17" s="37" t="s">
        <v>133</v>
      </c>
      <c r="B17" s="37"/>
      <c r="C17" s="37"/>
      <c r="D17" s="37"/>
      <c r="E17" s="37"/>
      <c r="F17" s="37"/>
      <c r="G17" s="37"/>
      <c r="H17" s="37"/>
      <c r="I17" s="37"/>
      <c r="J17" s="37"/>
    </row>
    <row r="18" spans="1:13">
      <c r="A18" s="9" t="s">
        <v>55</v>
      </c>
      <c r="B18" s="8" t="s">
        <v>366</v>
      </c>
      <c r="C18" s="8" t="s">
        <v>367</v>
      </c>
      <c r="D18" s="8" t="s">
        <v>323</v>
      </c>
      <c r="E18" s="8" t="s">
        <v>523</v>
      </c>
      <c r="F18" s="8" t="s">
        <v>368</v>
      </c>
      <c r="G18" s="17" t="s">
        <v>20</v>
      </c>
      <c r="H18" s="17" t="s">
        <v>21</v>
      </c>
      <c r="I18" s="18" t="s">
        <v>140</v>
      </c>
      <c r="J18" s="9"/>
      <c r="K18" s="30" t="str">
        <f>"135,0"</f>
        <v>135,0</v>
      </c>
      <c r="L18" s="9" t="str">
        <f>"90,7065"</f>
        <v>90,7065</v>
      </c>
      <c r="M18" s="8" t="s">
        <v>519</v>
      </c>
    </row>
    <row r="19" spans="1:13">
      <c r="A19" s="23" t="s">
        <v>216</v>
      </c>
      <c r="B19" s="22" t="s">
        <v>369</v>
      </c>
      <c r="C19" s="22" t="s">
        <v>370</v>
      </c>
      <c r="D19" s="22" t="s">
        <v>278</v>
      </c>
      <c r="E19" s="22" t="s">
        <v>523</v>
      </c>
      <c r="F19" s="22" t="s">
        <v>329</v>
      </c>
      <c r="G19" s="26" t="s">
        <v>112</v>
      </c>
      <c r="H19" s="26" t="s">
        <v>118</v>
      </c>
      <c r="I19" s="26" t="s">
        <v>129</v>
      </c>
      <c r="J19" s="23"/>
      <c r="K19" s="31" t="str">
        <f>"117,5"</f>
        <v>117,5</v>
      </c>
      <c r="L19" s="23" t="str">
        <f>"79,4182"</f>
        <v>79,4182</v>
      </c>
      <c r="M19" s="22" t="s">
        <v>371</v>
      </c>
    </row>
    <row r="20" spans="1:13">
      <c r="A20" s="11" t="s">
        <v>215</v>
      </c>
      <c r="B20" s="10" t="s">
        <v>372</v>
      </c>
      <c r="C20" s="10" t="s">
        <v>373</v>
      </c>
      <c r="D20" s="10" t="s">
        <v>154</v>
      </c>
      <c r="E20" s="10" t="s">
        <v>523</v>
      </c>
      <c r="F20" s="10" t="s">
        <v>207</v>
      </c>
      <c r="G20" s="20" t="s">
        <v>236</v>
      </c>
      <c r="H20" s="20" t="s">
        <v>237</v>
      </c>
      <c r="I20" s="11"/>
      <c r="J20" s="11"/>
      <c r="K20" s="32">
        <v>0</v>
      </c>
      <c r="L20" s="11" t="str">
        <f>"0,0000"</f>
        <v>0,0000</v>
      </c>
      <c r="M20" s="10" t="s">
        <v>519</v>
      </c>
    </row>
    <row r="21" spans="1:13">
      <c r="B21" s="5" t="s">
        <v>8</v>
      </c>
    </row>
    <row r="22" spans="1:13" ht="16">
      <c r="A22" s="37" t="s">
        <v>10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3">
      <c r="A23" s="9" t="s">
        <v>55</v>
      </c>
      <c r="B23" s="8" t="s">
        <v>374</v>
      </c>
      <c r="C23" s="8" t="s">
        <v>375</v>
      </c>
      <c r="D23" s="8" t="s">
        <v>166</v>
      </c>
      <c r="E23" s="8" t="s">
        <v>523</v>
      </c>
      <c r="F23" s="8" t="s">
        <v>207</v>
      </c>
      <c r="G23" s="17" t="s">
        <v>14</v>
      </c>
      <c r="H23" s="17" t="s">
        <v>29</v>
      </c>
      <c r="I23" s="17" t="s">
        <v>270</v>
      </c>
      <c r="J23" s="9"/>
      <c r="K23" s="30" t="str">
        <f>"170,0"</f>
        <v>170,0</v>
      </c>
      <c r="L23" s="9" t="str">
        <f>"108,5280"</f>
        <v>108,5280</v>
      </c>
      <c r="M23" s="8" t="s">
        <v>469</v>
      </c>
    </row>
    <row r="24" spans="1:13">
      <c r="A24" s="23" t="s">
        <v>216</v>
      </c>
      <c r="B24" s="22" t="s">
        <v>376</v>
      </c>
      <c r="C24" s="22" t="s">
        <v>377</v>
      </c>
      <c r="D24" s="22" t="s">
        <v>378</v>
      </c>
      <c r="E24" s="22" t="s">
        <v>523</v>
      </c>
      <c r="F24" s="22" t="s">
        <v>207</v>
      </c>
      <c r="G24" s="26" t="s">
        <v>20</v>
      </c>
      <c r="H24" s="26" t="s">
        <v>21</v>
      </c>
      <c r="I24" s="27" t="s">
        <v>163</v>
      </c>
      <c r="J24" s="23"/>
      <c r="K24" s="31" t="str">
        <f>"135,0"</f>
        <v>135,0</v>
      </c>
      <c r="L24" s="23" t="str">
        <f>"86,5350"</f>
        <v>86,5350</v>
      </c>
      <c r="M24" s="22" t="s">
        <v>519</v>
      </c>
    </row>
    <row r="25" spans="1:13">
      <c r="A25" s="23" t="s">
        <v>217</v>
      </c>
      <c r="B25" s="22" t="s">
        <v>379</v>
      </c>
      <c r="C25" s="22" t="s">
        <v>380</v>
      </c>
      <c r="D25" s="22" t="s">
        <v>179</v>
      </c>
      <c r="E25" s="22" t="s">
        <v>523</v>
      </c>
      <c r="F25" s="22" t="s">
        <v>207</v>
      </c>
      <c r="G25" s="26" t="s">
        <v>20</v>
      </c>
      <c r="H25" s="26" t="s">
        <v>188</v>
      </c>
      <c r="I25" s="26" t="s">
        <v>150</v>
      </c>
      <c r="J25" s="23"/>
      <c r="K25" s="31" t="str">
        <f>"132,5"</f>
        <v>132,5</v>
      </c>
      <c r="L25" s="23" t="str">
        <f>"87,2247"</f>
        <v>87,2247</v>
      </c>
      <c r="M25" s="22"/>
    </row>
    <row r="26" spans="1:13">
      <c r="A26" s="23" t="s">
        <v>218</v>
      </c>
      <c r="B26" s="22" t="s">
        <v>164</v>
      </c>
      <c r="C26" s="22" t="s">
        <v>165</v>
      </c>
      <c r="D26" s="22" t="s">
        <v>166</v>
      </c>
      <c r="E26" s="22" t="s">
        <v>523</v>
      </c>
      <c r="F26" s="22" t="s">
        <v>207</v>
      </c>
      <c r="G26" s="27" t="s">
        <v>150</v>
      </c>
      <c r="H26" s="26" t="s">
        <v>150</v>
      </c>
      <c r="I26" s="27" t="s">
        <v>21</v>
      </c>
      <c r="J26" s="23"/>
      <c r="K26" s="31" t="str">
        <f>"132,5"</f>
        <v>132,5</v>
      </c>
      <c r="L26" s="23" t="str">
        <f>"84,5880"</f>
        <v>84,5880</v>
      </c>
      <c r="M26" s="22" t="s">
        <v>167</v>
      </c>
    </row>
    <row r="27" spans="1:13">
      <c r="A27" s="23" t="s">
        <v>405</v>
      </c>
      <c r="B27" s="22" t="s">
        <v>381</v>
      </c>
      <c r="C27" s="22" t="s">
        <v>382</v>
      </c>
      <c r="D27" s="22" t="s">
        <v>383</v>
      </c>
      <c r="E27" s="22" t="s">
        <v>523</v>
      </c>
      <c r="F27" s="22" t="s">
        <v>207</v>
      </c>
      <c r="G27" s="26" t="s">
        <v>20</v>
      </c>
      <c r="H27" s="27" t="s">
        <v>150</v>
      </c>
      <c r="I27" s="27" t="s">
        <v>150</v>
      </c>
      <c r="J27" s="23"/>
      <c r="K27" s="31" t="str">
        <f>"125,0"</f>
        <v>125,0</v>
      </c>
      <c r="L27" s="23" t="str">
        <f>"80,5000"</f>
        <v>80,5000</v>
      </c>
      <c r="M27" s="22" t="s">
        <v>384</v>
      </c>
    </row>
    <row r="28" spans="1:13">
      <c r="A28" s="11" t="s">
        <v>406</v>
      </c>
      <c r="B28" s="10" t="s">
        <v>385</v>
      </c>
      <c r="C28" s="10" t="s">
        <v>386</v>
      </c>
      <c r="D28" s="10" t="s">
        <v>387</v>
      </c>
      <c r="E28" s="10" t="s">
        <v>523</v>
      </c>
      <c r="F28" s="10" t="s">
        <v>207</v>
      </c>
      <c r="G28" s="19" t="s">
        <v>117</v>
      </c>
      <c r="H28" s="20" t="s">
        <v>155</v>
      </c>
      <c r="I28" s="20" t="s">
        <v>155</v>
      </c>
      <c r="J28" s="11"/>
      <c r="K28" s="32" t="str">
        <f>"105,0"</f>
        <v>105,0</v>
      </c>
      <c r="L28" s="11" t="str">
        <f>"68,4495"</f>
        <v>68,4495</v>
      </c>
      <c r="M28" s="10"/>
    </row>
    <row r="29" spans="1:13">
      <c r="B29" s="5" t="s">
        <v>8</v>
      </c>
    </row>
    <row r="30" spans="1:13" ht="16">
      <c r="A30" s="37" t="s">
        <v>23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3">
      <c r="A31" s="9" t="s">
        <v>55</v>
      </c>
      <c r="B31" s="8" t="s">
        <v>388</v>
      </c>
      <c r="C31" s="8" t="s">
        <v>389</v>
      </c>
      <c r="D31" s="8" t="s">
        <v>390</v>
      </c>
      <c r="E31" s="8" t="s">
        <v>523</v>
      </c>
      <c r="F31" s="8" t="s">
        <v>207</v>
      </c>
      <c r="G31" s="17" t="s">
        <v>30</v>
      </c>
      <c r="H31" s="17" t="s">
        <v>391</v>
      </c>
      <c r="I31" s="17" t="s">
        <v>255</v>
      </c>
      <c r="J31" s="9"/>
      <c r="K31" s="30" t="str">
        <f>"180,0"</f>
        <v>180,0</v>
      </c>
      <c r="L31" s="9" t="str">
        <f>"110,0880"</f>
        <v>110,0880</v>
      </c>
      <c r="M31" s="8"/>
    </row>
    <row r="32" spans="1:13">
      <c r="A32" s="23" t="s">
        <v>216</v>
      </c>
      <c r="B32" s="22" t="s">
        <v>392</v>
      </c>
      <c r="C32" s="22" t="s">
        <v>393</v>
      </c>
      <c r="D32" s="22" t="s">
        <v>394</v>
      </c>
      <c r="E32" s="22" t="s">
        <v>523</v>
      </c>
      <c r="F32" s="22" t="s">
        <v>207</v>
      </c>
      <c r="G32" s="26" t="s">
        <v>163</v>
      </c>
      <c r="H32" s="27" t="s">
        <v>140</v>
      </c>
      <c r="I32" s="26" t="s">
        <v>140</v>
      </c>
      <c r="J32" s="23"/>
      <c r="K32" s="31" t="str">
        <f>"145,0"</f>
        <v>145,0</v>
      </c>
      <c r="L32" s="23" t="str">
        <f>"89,8565"</f>
        <v>89,8565</v>
      </c>
      <c r="M32" s="22" t="s">
        <v>395</v>
      </c>
    </row>
    <row r="33" spans="1:13">
      <c r="A33" s="23" t="s">
        <v>217</v>
      </c>
      <c r="B33" s="22" t="s">
        <v>396</v>
      </c>
      <c r="C33" s="22" t="s">
        <v>397</v>
      </c>
      <c r="D33" s="22" t="s">
        <v>398</v>
      </c>
      <c r="E33" s="22" t="s">
        <v>523</v>
      </c>
      <c r="F33" s="22" t="s">
        <v>207</v>
      </c>
      <c r="G33" s="26" t="s">
        <v>123</v>
      </c>
      <c r="H33" s="27" t="s">
        <v>20</v>
      </c>
      <c r="I33" s="27" t="s">
        <v>20</v>
      </c>
      <c r="J33" s="23"/>
      <c r="K33" s="31" t="str">
        <f>"120,0"</f>
        <v>120,0</v>
      </c>
      <c r="L33" s="23" t="str">
        <f>"75,6600"</f>
        <v>75,6600</v>
      </c>
      <c r="M33" s="22" t="s">
        <v>475</v>
      </c>
    </row>
    <row r="34" spans="1:13">
      <c r="A34" s="11" t="s">
        <v>218</v>
      </c>
      <c r="B34" s="10" t="s">
        <v>399</v>
      </c>
      <c r="C34" s="10" t="s">
        <v>400</v>
      </c>
      <c r="D34" s="10" t="s">
        <v>398</v>
      </c>
      <c r="E34" s="10" t="s">
        <v>523</v>
      </c>
      <c r="F34" s="10" t="s">
        <v>207</v>
      </c>
      <c r="G34" s="19" t="s">
        <v>175</v>
      </c>
      <c r="H34" s="19" t="s">
        <v>184</v>
      </c>
      <c r="I34" s="19" t="s">
        <v>112</v>
      </c>
      <c r="J34" s="11"/>
      <c r="K34" s="32" t="str">
        <f>"110,0"</f>
        <v>110,0</v>
      </c>
      <c r="L34" s="11" t="str">
        <f>"69,3550"</f>
        <v>69,3550</v>
      </c>
      <c r="M34" s="10" t="s">
        <v>401</v>
      </c>
    </row>
    <row r="35" spans="1:13">
      <c r="B35" s="5" t="s">
        <v>8</v>
      </c>
    </row>
    <row r="38" spans="1:13" ht="18">
      <c r="B38" s="7" t="s">
        <v>6</v>
      </c>
      <c r="C38" s="7"/>
    </row>
    <row r="39" spans="1:13" ht="16">
      <c r="B39" s="12" t="s">
        <v>46</v>
      </c>
      <c r="C39" s="12"/>
    </row>
    <row r="40" spans="1:13" ht="14">
      <c r="B40" s="13"/>
      <c r="C40" s="14" t="s">
        <v>52</v>
      </c>
    </row>
    <row r="41" spans="1:13" ht="14">
      <c r="B41" s="16" t="s">
        <v>47</v>
      </c>
      <c r="C41" s="16" t="s">
        <v>48</v>
      </c>
      <c r="D41" s="16" t="s">
        <v>513</v>
      </c>
      <c r="E41" s="16" t="s">
        <v>49</v>
      </c>
      <c r="F41" s="16" t="s">
        <v>50</v>
      </c>
    </row>
    <row r="42" spans="1:13">
      <c r="B42" s="5" t="s">
        <v>388</v>
      </c>
      <c r="C42" s="5" t="s">
        <v>52</v>
      </c>
      <c r="D42" s="6" t="s">
        <v>51</v>
      </c>
      <c r="E42" s="6" t="s">
        <v>255</v>
      </c>
      <c r="F42" s="6" t="s">
        <v>402</v>
      </c>
    </row>
    <row r="43" spans="1:13">
      <c r="B43" s="5" t="s">
        <v>374</v>
      </c>
      <c r="C43" s="5" t="s">
        <v>52</v>
      </c>
      <c r="D43" s="6" t="s">
        <v>54</v>
      </c>
      <c r="E43" s="6" t="s">
        <v>270</v>
      </c>
      <c r="F43" s="6" t="s">
        <v>403</v>
      </c>
    </row>
    <row r="44" spans="1:13">
      <c r="B44" s="5" t="s">
        <v>366</v>
      </c>
      <c r="C44" s="5" t="s">
        <v>52</v>
      </c>
      <c r="D44" s="6" t="s">
        <v>210</v>
      </c>
      <c r="E44" s="6" t="s">
        <v>21</v>
      </c>
      <c r="F44" s="6" t="s">
        <v>404</v>
      </c>
    </row>
    <row r="45" spans="1:13">
      <c r="B45" s="5" t="s">
        <v>8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0:J30"/>
    <mergeCell ref="K3:K4"/>
    <mergeCell ref="L3:L4"/>
    <mergeCell ref="M3:M4"/>
    <mergeCell ref="A5:J5"/>
    <mergeCell ref="B3:B4"/>
    <mergeCell ref="A8:J8"/>
    <mergeCell ref="A11:J11"/>
    <mergeCell ref="A14:J14"/>
    <mergeCell ref="A17:J17"/>
    <mergeCell ref="A22:J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.1640625" style="5" bestFit="1" customWidth="1"/>
    <col min="7" max="9" width="5.5" style="6" customWidth="1"/>
    <col min="10" max="10" width="4.83203125" style="6" customWidth="1"/>
    <col min="11" max="11" width="13.1640625" style="6" customWidth="1"/>
    <col min="12" max="12" width="8.5" style="6" bestFit="1" customWidth="1"/>
    <col min="13" max="13" width="19.6640625" style="5" bestFit="1" customWidth="1"/>
    <col min="14" max="16384" width="9.1640625" style="3"/>
  </cols>
  <sheetData>
    <row r="1" spans="1:13" s="2" customFormat="1" ht="29" customHeight="1">
      <c r="A1" s="38" t="s">
        <v>501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81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520</v>
      </c>
      <c r="B3" s="35" t="s">
        <v>0</v>
      </c>
      <c r="C3" s="48" t="s">
        <v>521</v>
      </c>
      <c r="D3" s="48" t="s">
        <v>5</v>
      </c>
      <c r="E3" s="50" t="s">
        <v>522</v>
      </c>
      <c r="F3" s="50" t="s">
        <v>4</v>
      </c>
      <c r="G3" s="50" t="s">
        <v>9</v>
      </c>
      <c r="H3" s="50"/>
      <c r="I3" s="50"/>
      <c r="J3" s="50"/>
      <c r="K3" s="50" t="s">
        <v>7</v>
      </c>
      <c r="L3" s="50" t="s">
        <v>2</v>
      </c>
      <c r="M3" s="53" t="s">
        <v>1</v>
      </c>
    </row>
    <row r="4" spans="1:13" s="1" customFormat="1" ht="21" customHeight="1" thickBot="1">
      <c r="A4" s="47"/>
      <c r="B4" s="36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3</v>
      </c>
      <c r="K4" s="49"/>
      <c r="L4" s="49"/>
      <c r="M4" s="54"/>
    </row>
    <row r="5" spans="1:13" ht="16">
      <c r="A5" s="33" t="s">
        <v>105</v>
      </c>
      <c r="B5" s="33"/>
      <c r="C5" s="34"/>
      <c r="D5" s="34"/>
      <c r="E5" s="34"/>
      <c r="F5" s="34"/>
      <c r="G5" s="34"/>
      <c r="H5" s="34"/>
      <c r="I5" s="34"/>
      <c r="J5" s="34"/>
    </row>
    <row r="6" spans="1:13">
      <c r="A6" s="21" t="s">
        <v>55</v>
      </c>
      <c r="B6" s="15" t="s">
        <v>431</v>
      </c>
      <c r="C6" s="15" t="s">
        <v>432</v>
      </c>
      <c r="D6" s="15" t="s">
        <v>433</v>
      </c>
      <c r="E6" s="15" t="s">
        <v>523</v>
      </c>
      <c r="F6" s="15" t="s">
        <v>207</v>
      </c>
      <c r="G6" s="24" t="s">
        <v>61</v>
      </c>
      <c r="H6" s="25" t="s">
        <v>73</v>
      </c>
      <c r="I6" s="25" t="s">
        <v>73</v>
      </c>
      <c r="J6" s="21"/>
      <c r="K6" s="21" t="str">
        <f>"47,5"</f>
        <v>47,5</v>
      </c>
      <c r="L6" s="21" t="str">
        <f>"51,7655"</f>
        <v>51,7655</v>
      </c>
      <c r="M6" s="15"/>
    </row>
    <row r="7" spans="1:13">
      <c r="B7" s="5" t="s">
        <v>8</v>
      </c>
    </row>
    <row r="8" spans="1:13" ht="16">
      <c r="A8" s="37" t="s">
        <v>113</v>
      </c>
      <c r="B8" s="37"/>
      <c r="C8" s="37"/>
      <c r="D8" s="37"/>
      <c r="E8" s="37"/>
      <c r="F8" s="37"/>
      <c r="G8" s="37"/>
      <c r="H8" s="37"/>
      <c r="I8" s="37"/>
      <c r="J8" s="37"/>
    </row>
    <row r="9" spans="1:13">
      <c r="A9" s="9" t="s">
        <v>55</v>
      </c>
      <c r="B9" s="8" t="s">
        <v>434</v>
      </c>
      <c r="C9" s="8" t="s">
        <v>435</v>
      </c>
      <c r="D9" s="8" t="s">
        <v>222</v>
      </c>
      <c r="E9" s="8" t="s">
        <v>523</v>
      </c>
      <c r="F9" s="8" t="s">
        <v>207</v>
      </c>
      <c r="G9" s="17" t="s">
        <v>123</v>
      </c>
      <c r="H9" s="18" t="s">
        <v>188</v>
      </c>
      <c r="I9" s="17" t="s">
        <v>21</v>
      </c>
      <c r="J9" s="9"/>
      <c r="K9" s="9" t="str">
        <f>"135,0"</f>
        <v>135,0</v>
      </c>
      <c r="L9" s="9" t="str">
        <f>"96,2820"</f>
        <v>96,2820</v>
      </c>
      <c r="M9" s="8"/>
    </row>
    <row r="10" spans="1:13">
      <c r="A10" s="11" t="s">
        <v>216</v>
      </c>
      <c r="B10" s="10" t="s">
        <v>436</v>
      </c>
      <c r="C10" s="10" t="s">
        <v>437</v>
      </c>
      <c r="D10" s="10" t="s">
        <v>318</v>
      </c>
      <c r="E10" s="10" t="s">
        <v>523</v>
      </c>
      <c r="F10" s="10" t="s">
        <v>207</v>
      </c>
      <c r="G10" s="19" t="s">
        <v>112</v>
      </c>
      <c r="H10" s="20" t="s">
        <v>123</v>
      </c>
      <c r="I10" s="20" t="s">
        <v>123</v>
      </c>
      <c r="J10" s="11"/>
      <c r="K10" s="11" t="str">
        <f>"110,0"</f>
        <v>110,0</v>
      </c>
      <c r="L10" s="11" t="str">
        <f>"79,5080"</f>
        <v>79,5080</v>
      </c>
      <c r="M10" s="10"/>
    </row>
    <row r="11" spans="1:13">
      <c r="B11" s="5" t="s">
        <v>8</v>
      </c>
    </row>
    <row r="12" spans="1:13" ht="16">
      <c r="A12" s="37" t="s">
        <v>133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3">
      <c r="A13" s="9" t="s">
        <v>55</v>
      </c>
      <c r="B13" s="8" t="s">
        <v>438</v>
      </c>
      <c r="C13" s="8" t="s">
        <v>439</v>
      </c>
      <c r="D13" s="8" t="s">
        <v>440</v>
      </c>
      <c r="E13" s="8" t="s">
        <v>523</v>
      </c>
      <c r="F13" s="8" t="s">
        <v>207</v>
      </c>
      <c r="G13" s="17" t="s">
        <v>270</v>
      </c>
      <c r="H13" s="17" t="s">
        <v>255</v>
      </c>
      <c r="I13" s="18" t="s">
        <v>201</v>
      </c>
      <c r="J13" s="9"/>
      <c r="K13" s="9" t="str">
        <f>"180,0"</f>
        <v>180,0</v>
      </c>
      <c r="L13" s="9" t="str">
        <f>"120,7620"</f>
        <v>120,7620</v>
      </c>
      <c r="M13" s="8"/>
    </row>
    <row r="14" spans="1:13">
      <c r="A14" s="11" t="s">
        <v>216</v>
      </c>
      <c r="B14" s="10" t="s">
        <v>441</v>
      </c>
      <c r="C14" s="10" t="s">
        <v>442</v>
      </c>
      <c r="D14" s="10" t="s">
        <v>443</v>
      </c>
      <c r="E14" s="10" t="s">
        <v>523</v>
      </c>
      <c r="F14" s="10" t="s">
        <v>207</v>
      </c>
      <c r="G14" s="19" t="s">
        <v>188</v>
      </c>
      <c r="H14" s="19" t="s">
        <v>163</v>
      </c>
      <c r="I14" s="20" t="s">
        <v>14</v>
      </c>
      <c r="J14" s="11"/>
      <c r="K14" s="11" t="str">
        <f>"140,0"</f>
        <v>140,0</v>
      </c>
      <c r="L14" s="11" t="str">
        <f>"93,8560"</f>
        <v>93,8560</v>
      </c>
      <c r="M14" s="10" t="s">
        <v>470</v>
      </c>
    </row>
    <row r="15" spans="1:13">
      <c r="B15" s="5" t="s">
        <v>8</v>
      </c>
    </row>
    <row r="16" spans="1:13" ht="16">
      <c r="A16" s="37" t="s">
        <v>10</v>
      </c>
      <c r="B16" s="37"/>
      <c r="C16" s="37"/>
      <c r="D16" s="37"/>
      <c r="E16" s="37"/>
      <c r="F16" s="37"/>
      <c r="G16" s="37"/>
      <c r="H16" s="37"/>
      <c r="I16" s="37"/>
      <c r="J16" s="37"/>
    </row>
    <row r="17" spans="1:13">
      <c r="A17" s="21" t="s">
        <v>55</v>
      </c>
      <c r="B17" s="15" t="s">
        <v>444</v>
      </c>
      <c r="C17" s="15" t="s">
        <v>445</v>
      </c>
      <c r="D17" s="15" t="s">
        <v>446</v>
      </c>
      <c r="E17" s="15" t="s">
        <v>523</v>
      </c>
      <c r="F17" s="15" t="s">
        <v>180</v>
      </c>
      <c r="G17" s="24" t="s">
        <v>14</v>
      </c>
      <c r="H17" s="24" t="s">
        <v>16</v>
      </c>
      <c r="I17" s="24" t="s">
        <v>35</v>
      </c>
      <c r="J17" s="21"/>
      <c r="K17" s="21" t="str">
        <f>"165,0"</f>
        <v>165,0</v>
      </c>
      <c r="L17" s="21" t="str">
        <f>"108,0585"</f>
        <v>108,0585</v>
      </c>
      <c r="M17" s="15" t="s">
        <v>472</v>
      </c>
    </row>
    <row r="18" spans="1:13">
      <c r="B18" s="5" t="s">
        <v>8</v>
      </c>
    </row>
    <row r="19" spans="1:13" ht="16">
      <c r="A19" s="37" t="s">
        <v>23</v>
      </c>
      <c r="B19" s="37"/>
      <c r="C19" s="37"/>
      <c r="D19" s="37"/>
      <c r="E19" s="37"/>
      <c r="F19" s="37"/>
      <c r="G19" s="37"/>
      <c r="H19" s="37"/>
      <c r="I19" s="37"/>
      <c r="J19" s="37"/>
    </row>
    <row r="20" spans="1:13">
      <c r="A20" s="21" t="s">
        <v>55</v>
      </c>
      <c r="B20" s="15" t="s">
        <v>31</v>
      </c>
      <c r="C20" s="15" t="s">
        <v>32</v>
      </c>
      <c r="D20" s="15" t="s">
        <v>33</v>
      </c>
      <c r="E20" s="15" t="s">
        <v>523</v>
      </c>
      <c r="F20" s="15" t="s">
        <v>34</v>
      </c>
      <c r="G20" s="25" t="s">
        <v>28</v>
      </c>
      <c r="H20" s="24" t="s">
        <v>16</v>
      </c>
      <c r="I20" s="24" t="s">
        <v>35</v>
      </c>
      <c r="J20" s="21"/>
      <c r="K20" s="21" t="str">
        <f>"165,0"</f>
        <v>165,0</v>
      </c>
      <c r="L20" s="21" t="str">
        <f>"101,2440"</f>
        <v>101,2440</v>
      </c>
      <c r="M20" s="15"/>
    </row>
    <row r="21" spans="1:13">
      <c r="B21" s="5" t="s">
        <v>8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6:J16"/>
    <mergeCell ref="A19:J19"/>
    <mergeCell ref="B3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9.6640625" style="5" customWidth="1"/>
    <col min="4" max="4" width="21.5" style="5" bestFit="1" customWidth="1"/>
    <col min="5" max="5" width="10.5" style="5" bestFit="1" customWidth="1"/>
    <col min="6" max="6" width="32.33203125" style="5" bestFit="1" customWidth="1"/>
    <col min="7" max="9" width="5.5" style="6" customWidth="1"/>
    <col min="10" max="10" width="4.83203125" style="6" customWidth="1"/>
    <col min="11" max="11" width="12.83203125" style="6" customWidth="1"/>
    <col min="12" max="12" width="8.5" style="6" bestFit="1" customWidth="1"/>
    <col min="13" max="13" width="29.5" style="5" bestFit="1" customWidth="1"/>
    <col min="14" max="16384" width="9.1640625" style="3"/>
  </cols>
  <sheetData>
    <row r="1" spans="1:13" s="2" customFormat="1" ht="29" customHeight="1">
      <c r="A1" s="38" t="s">
        <v>497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520</v>
      </c>
      <c r="B3" s="35" t="s">
        <v>0</v>
      </c>
      <c r="C3" s="48" t="s">
        <v>521</v>
      </c>
      <c r="D3" s="48" t="s">
        <v>5</v>
      </c>
      <c r="E3" s="50" t="s">
        <v>522</v>
      </c>
      <c r="F3" s="50" t="s">
        <v>4</v>
      </c>
      <c r="G3" s="50" t="s">
        <v>219</v>
      </c>
      <c r="H3" s="50"/>
      <c r="I3" s="50"/>
      <c r="J3" s="50"/>
      <c r="K3" s="50" t="s">
        <v>7</v>
      </c>
      <c r="L3" s="50" t="s">
        <v>2</v>
      </c>
      <c r="M3" s="53" t="s">
        <v>1</v>
      </c>
    </row>
    <row r="4" spans="1:13" s="1" customFormat="1" ht="21" customHeight="1" thickBot="1">
      <c r="A4" s="47"/>
      <c r="B4" s="36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3</v>
      </c>
      <c r="K4" s="49"/>
      <c r="L4" s="49"/>
      <c r="M4" s="54"/>
    </row>
    <row r="5" spans="1:13" ht="16">
      <c r="A5" s="33" t="s">
        <v>69</v>
      </c>
      <c r="B5" s="33"/>
      <c r="C5" s="34"/>
      <c r="D5" s="34"/>
      <c r="E5" s="34"/>
      <c r="F5" s="34"/>
      <c r="G5" s="34"/>
      <c r="H5" s="34"/>
      <c r="I5" s="34"/>
      <c r="J5" s="34"/>
    </row>
    <row r="6" spans="1:13">
      <c r="A6" s="21" t="s">
        <v>55</v>
      </c>
      <c r="B6" s="15" t="s">
        <v>70</v>
      </c>
      <c r="C6" s="15" t="s">
        <v>71</v>
      </c>
      <c r="D6" s="15" t="s">
        <v>72</v>
      </c>
      <c r="E6" s="15" t="s">
        <v>524</v>
      </c>
      <c r="F6" s="15" t="s">
        <v>207</v>
      </c>
      <c r="G6" s="24" t="s">
        <v>236</v>
      </c>
      <c r="H6" s="25" t="s">
        <v>237</v>
      </c>
      <c r="I6" s="25" t="s">
        <v>237</v>
      </c>
      <c r="J6" s="21"/>
      <c r="K6" s="21" t="str">
        <f>"80,0"</f>
        <v>80,0</v>
      </c>
      <c r="L6" s="21" t="str">
        <f>"102,3040"</f>
        <v>102,3040</v>
      </c>
      <c r="M6" s="15" t="s">
        <v>476</v>
      </c>
    </row>
    <row r="7" spans="1:13">
      <c r="B7" s="5" t="s">
        <v>8</v>
      </c>
    </row>
    <row r="8" spans="1:13" ht="16">
      <c r="A8" s="37" t="s">
        <v>94</v>
      </c>
      <c r="B8" s="37"/>
      <c r="C8" s="37"/>
      <c r="D8" s="37"/>
      <c r="E8" s="37"/>
      <c r="F8" s="37"/>
      <c r="G8" s="37"/>
      <c r="H8" s="37"/>
      <c r="I8" s="37"/>
      <c r="J8" s="37"/>
    </row>
    <row r="9" spans="1:13">
      <c r="A9" s="21" t="s">
        <v>55</v>
      </c>
      <c r="B9" s="15" t="s">
        <v>238</v>
      </c>
      <c r="C9" s="15" t="s">
        <v>239</v>
      </c>
      <c r="D9" s="15" t="s">
        <v>240</v>
      </c>
      <c r="E9" s="15" t="s">
        <v>526</v>
      </c>
      <c r="F9" s="15" t="s">
        <v>207</v>
      </c>
      <c r="G9" s="24" t="s">
        <v>117</v>
      </c>
      <c r="H9" s="24" t="s">
        <v>118</v>
      </c>
      <c r="I9" s="25" t="s">
        <v>129</v>
      </c>
      <c r="J9" s="21"/>
      <c r="K9" s="21" t="str">
        <f>"115,0"</f>
        <v>115,0</v>
      </c>
      <c r="L9" s="21" t="str">
        <f>"130,2375"</f>
        <v>130,2375</v>
      </c>
      <c r="M9" s="15" t="s">
        <v>482</v>
      </c>
    </row>
    <row r="10" spans="1:13">
      <c r="B10" s="5" t="s">
        <v>8</v>
      </c>
    </row>
    <row r="11" spans="1:13" ht="16">
      <c r="A11" s="37" t="s">
        <v>105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3">
      <c r="A12" s="21" t="s">
        <v>55</v>
      </c>
      <c r="B12" s="15" t="s">
        <v>241</v>
      </c>
      <c r="C12" s="15" t="s">
        <v>242</v>
      </c>
      <c r="D12" s="15" t="s">
        <v>243</v>
      </c>
      <c r="E12" s="15" t="s">
        <v>524</v>
      </c>
      <c r="F12" s="15" t="s">
        <v>207</v>
      </c>
      <c r="G12" s="24" t="s">
        <v>118</v>
      </c>
      <c r="H12" s="24" t="s">
        <v>244</v>
      </c>
      <c r="I12" s="25" t="s">
        <v>188</v>
      </c>
      <c r="J12" s="21"/>
      <c r="K12" s="21" t="str">
        <f>"122,5"</f>
        <v>122,5</v>
      </c>
      <c r="L12" s="21" t="str">
        <f>"127,2162"</f>
        <v>127,2162</v>
      </c>
      <c r="M12" s="15" t="s">
        <v>483</v>
      </c>
    </row>
    <row r="13" spans="1:13">
      <c r="B13" s="5" t="s">
        <v>8</v>
      </c>
    </row>
    <row r="14" spans="1:13" ht="16">
      <c r="A14" s="37" t="s">
        <v>113</v>
      </c>
      <c r="B14" s="37"/>
      <c r="C14" s="37"/>
      <c r="D14" s="37"/>
      <c r="E14" s="37"/>
      <c r="F14" s="37"/>
      <c r="G14" s="37"/>
      <c r="H14" s="37"/>
      <c r="I14" s="37"/>
      <c r="J14" s="37"/>
    </row>
    <row r="15" spans="1:13">
      <c r="A15" s="21" t="s">
        <v>55</v>
      </c>
      <c r="B15" s="15" t="s">
        <v>245</v>
      </c>
      <c r="C15" s="15" t="s">
        <v>246</v>
      </c>
      <c r="D15" s="15" t="s">
        <v>247</v>
      </c>
      <c r="E15" s="15" t="s">
        <v>523</v>
      </c>
      <c r="F15" s="15" t="s">
        <v>248</v>
      </c>
      <c r="G15" s="24" t="s">
        <v>244</v>
      </c>
      <c r="H15" s="24" t="s">
        <v>188</v>
      </c>
      <c r="I15" s="24" t="s">
        <v>151</v>
      </c>
      <c r="J15" s="21"/>
      <c r="K15" s="21" t="str">
        <f>"137,5"</f>
        <v>137,5</v>
      </c>
      <c r="L15" s="21" t="str">
        <f>"132,9900"</f>
        <v>132,9900</v>
      </c>
      <c r="M15" s="15"/>
    </row>
    <row r="16" spans="1:13">
      <c r="B16" s="5" t="s">
        <v>8</v>
      </c>
    </row>
    <row r="17" spans="1:13" ht="16">
      <c r="A17" s="37" t="s">
        <v>94</v>
      </c>
      <c r="B17" s="37"/>
      <c r="C17" s="37"/>
      <c r="D17" s="37"/>
      <c r="E17" s="37"/>
      <c r="F17" s="37"/>
      <c r="G17" s="37"/>
      <c r="H17" s="37"/>
      <c r="I17" s="37"/>
      <c r="J17" s="37"/>
    </row>
    <row r="18" spans="1:13">
      <c r="A18" s="21" t="s">
        <v>55</v>
      </c>
      <c r="B18" s="15" t="s">
        <v>249</v>
      </c>
      <c r="C18" s="15" t="s">
        <v>250</v>
      </c>
      <c r="D18" s="15" t="s">
        <v>251</v>
      </c>
      <c r="E18" s="15" t="s">
        <v>525</v>
      </c>
      <c r="F18" s="15" t="s">
        <v>207</v>
      </c>
      <c r="G18" s="24" t="s">
        <v>14</v>
      </c>
      <c r="H18" s="24" t="s">
        <v>15</v>
      </c>
      <c r="I18" s="24" t="s">
        <v>29</v>
      </c>
      <c r="J18" s="21"/>
      <c r="K18" s="21" t="str">
        <f>"160,0"</f>
        <v>160,0</v>
      </c>
      <c r="L18" s="21" t="str">
        <f>"150,0205"</f>
        <v>150,0205</v>
      </c>
      <c r="M18" s="15" t="s">
        <v>484</v>
      </c>
    </row>
    <row r="19" spans="1:13">
      <c r="B19" s="5" t="s">
        <v>8</v>
      </c>
    </row>
    <row r="20" spans="1:13" ht="16">
      <c r="A20" s="37" t="s">
        <v>113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3">
      <c r="A21" s="9" t="s">
        <v>55</v>
      </c>
      <c r="B21" s="8" t="s">
        <v>252</v>
      </c>
      <c r="C21" s="8" t="s">
        <v>253</v>
      </c>
      <c r="D21" s="8" t="s">
        <v>254</v>
      </c>
      <c r="E21" s="8" t="s">
        <v>526</v>
      </c>
      <c r="F21" s="8" t="s">
        <v>207</v>
      </c>
      <c r="G21" s="17" t="s">
        <v>255</v>
      </c>
      <c r="H21" s="17" t="s">
        <v>256</v>
      </c>
      <c r="I21" s="18" t="s">
        <v>232</v>
      </c>
      <c r="J21" s="9"/>
      <c r="K21" s="9" t="str">
        <f>"207,5"</f>
        <v>207,5</v>
      </c>
      <c r="L21" s="9" t="str">
        <f>"151,3298"</f>
        <v>151,3298</v>
      </c>
      <c r="M21" s="8"/>
    </row>
    <row r="22" spans="1:13">
      <c r="A22" s="23" t="s">
        <v>216</v>
      </c>
      <c r="B22" s="22" t="s">
        <v>257</v>
      </c>
      <c r="C22" s="22" t="s">
        <v>258</v>
      </c>
      <c r="D22" s="22" t="s">
        <v>259</v>
      </c>
      <c r="E22" s="22" t="s">
        <v>526</v>
      </c>
      <c r="F22" s="22" t="s">
        <v>207</v>
      </c>
      <c r="G22" s="26" t="s">
        <v>255</v>
      </c>
      <c r="H22" s="26" t="s">
        <v>201</v>
      </c>
      <c r="I22" s="26" t="s">
        <v>209</v>
      </c>
      <c r="J22" s="23"/>
      <c r="K22" s="23" t="str">
        <f>"195,0"</f>
        <v>195,0</v>
      </c>
      <c r="L22" s="23" t="str">
        <f>"142,6425"</f>
        <v>142,6425</v>
      </c>
      <c r="M22" s="22"/>
    </row>
    <row r="23" spans="1:13">
      <c r="A23" s="11" t="s">
        <v>55</v>
      </c>
      <c r="B23" s="10" t="s">
        <v>260</v>
      </c>
      <c r="C23" s="10" t="s">
        <v>261</v>
      </c>
      <c r="D23" s="10" t="s">
        <v>262</v>
      </c>
      <c r="E23" s="10" t="s">
        <v>523</v>
      </c>
      <c r="F23" s="10" t="s">
        <v>171</v>
      </c>
      <c r="G23" s="19" t="s">
        <v>30</v>
      </c>
      <c r="H23" s="19" t="s">
        <v>208</v>
      </c>
      <c r="I23" s="19" t="s">
        <v>263</v>
      </c>
      <c r="J23" s="11"/>
      <c r="K23" s="11" t="str">
        <f>"190,0"</f>
        <v>190,0</v>
      </c>
      <c r="L23" s="11" t="str">
        <f>"136,6670"</f>
        <v>136,6670</v>
      </c>
      <c r="M23" s="10"/>
    </row>
    <row r="24" spans="1:13">
      <c r="B24" s="5" t="s">
        <v>8</v>
      </c>
    </row>
    <row r="25" spans="1:13" ht="16">
      <c r="A25" s="37" t="s">
        <v>133</v>
      </c>
      <c r="B25" s="37"/>
      <c r="C25" s="37"/>
      <c r="D25" s="37"/>
      <c r="E25" s="37"/>
      <c r="F25" s="37"/>
      <c r="G25" s="37"/>
      <c r="H25" s="37"/>
      <c r="I25" s="37"/>
      <c r="J25" s="37"/>
    </row>
    <row r="26" spans="1:13">
      <c r="A26" s="21" t="s">
        <v>55</v>
      </c>
      <c r="B26" s="15" t="s">
        <v>264</v>
      </c>
      <c r="C26" s="15" t="s">
        <v>265</v>
      </c>
      <c r="D26" s="15" t="s">
        <v>225</v>
      </c>
      <c r="E26" s="15" t="s">
        <v>523</v>
      </c>
      <c r="F26" s="15" t="s">
        <v>207</v>
      </c>
      <c r="G26" s="24" t="s">
        <v>42</v>
      </c>
      <c r="H26" s="24" t="s">
        <v>233</v>
      </c>
      <c r="I26" s="24" t="s">
        <v>266</v>
      </c>
      <c r="J26" s="21"/>
      <c r="K26" s="21" t="str">
        <f>"235,0"</f>
        <v>235,0</v>
      </c>
      <c r="L26" s="21" t="str">
        <f>"158,2490"</f>
        <v>158,2490</v>
      </c>
      <c r="M26" s="15"/>
    </row>
    <row r="27" spans="1:13">
      <c r="B27" s="5" t="s">
        <v>8</v>
      </c>
    </row>
    <row r="28" spans="1:13" ht="16">
      <c r="A28" s="37" t="s">
        <v>10</v>
      </c>
      <c r="B28" s="37"/>
      <c r="C28" s="37"/>
      <c r="D28" s="37"/>
      <c r="E28" s="37"/>
      <c r="F28" s="37"/>
      <c r="G28" s="37"/>
      <c r="H28" s="37"/>
      <c r="I28" s="37"/>
      <c r="J28" s="37"/>
    </row>
    <row r="29" spans="1:13">
      <c r="A29" s="9" t="s">
        <v>55</v>
      </c>
      <c r="B29" s="8" t="s">
        <v>164</v>
      </c>
      <c r="C29" s="8" t="s">
        <v>165</v>
      </c>
      <c r="D29" s="8" t="s">
        <v>166</v>
      </c>
      <c r="E29" s="8" t="s">
        <v>523</v>
      </c>
      <c r="F29" s="8" t="s">
        <v>207</v>
      </c>
      <c r="G29" s="17" t="s">
        <v>42</v>
      </c>
      <c r="H29" s="17" t="s">
        <v>233</v>
      </c>
      <c r="I29" s="18" t="s">
        <v>234</v>
      </c>
      <c r="J29" s="9"/>
      <c r="K29" s="9" t="str">
        <f>"230,0"</f>
        <v>230,0</v>
      </c>
      <c r="L29" s="9" t="str">
        <f>"146,8320"</f>
        <v>146,8320</v>
      </c>
      <c r="M29" s="8" t="s">
        <v>167</v>
      </c>
    </row>
    <row r="30" spans="1:13">
      <c r="A30" s="23" t="s">
        <v>216</v>
      </c>
      <c r="B30" s="22" t="s">
        <v>267</v>
      </c>
      <c r="C30" s="22" t="s">
        <v>268</v>
      </c>
      <c r="D30" s="22" t="s">
        <v>269</v>
      </c>
      <c r="E30" s="22" t="s">
        <v>523</v>
      </c>
      <c r="F30" s="22" t="s">
        <v>207</v>
      </c>
      <c r="G30" s="26" t="s">
        <v>29</v>
      </c>
      <c r="H30" s="26" t="s">
        <v>270</v>
      </c>
      <c r="I30" s="27" t="s">
        <v>255</v>
      </c>
      <c r="J30" s="23"/>
      <c r="K30" s="23" t="str">
        <f>"170,0"</f>
        <v>170,0</v>
      </c>
      <c r="L30" s="23" t="str">
        <f>"111,4010"</f>
        <v>111,4010</v>
      </c>
      <c r="M30" s="22" t="s">
        <v>485</v>
      </c>
    </row>
    <row r="31" spans="1:13">
      <c r="A31" s="11" t="s">
        <v>55</v>
      </c>
      <c r="B31" s="10" t="s">
        <v>172</v>
      </c>
      <c r="C31" s="10" t="s">
        <v>173</v>
      </c>
      <c r="D31" s="10" t="s">
        <v>174</v>
      </c>
      <c r="E31" s="10" t="s">
        <v>525</v>
      </c>
      <c r="F31" s="10" t="s">
        <v>207</v>
      </c>
      <c r="G31" s="20" t="s">
        <v>118</v>
      </c>
      <c r="H31" s="20" t="s">
        <v>118</v>
      </c>
      <c r="I31" s="19" t="s">
        <v>20</v>
      </c>
      <c r="J31" s="11"/>
      <c r="K31" s="11" t="str">
        <f>"125,0"</f>
        <v>125,0</v>
      </c>
      <c r="L31" s="11" t="str">
        <f>"84,4987"</f>
        <v>84,4987</v>
      </c>
      <c r="M31" s="10" t="s">
        <v>486</v>
      </c>
    </row>
    <row r="32" spans="1:13">
      <c r="B32" s="5" t="s">
        <v>8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8:J28"/>
    <mergeCell ref="B3:B4"/>
    <mergeCell ref="A8:J8"/>
    <mergeCell ref="A11:J11"/>
    <mergeCell ref="A14:J14"/>
    <mergeCell ref="A17:J17"/>
    <mergeCell ref="A20:J20"/>
    <mergeCell ref="A25:J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" style="5" bestFit="1" customWidth="1"/>
    <col min="7" max="9" width="5.5" style="6" customWidth="1"/>
    <col min="10" max="10" width="4.83203125" style="6" customWidth="1"/>
    <col min="11" max="11" width="10.83203125" style="6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38" t="s">
        <v>498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520</v>
      </c>
      <c r="B3" s="35" t="s">
        <v>0</v>
      </c>
      <c r="C3" s="48" t="s">
        <v>521</v>
      </c>
      <c r="D3" s="48" t="s">
        <v>5</v>
      </c>
      <c r="E3" s="50" t="s">
        <v>522</v>
      </c>
      <c r="F3" s="50" t="s">
        <v>4</v>
      </c>
      <c r="G3" s="50" t="s">
        <v>219</v>
      </c>
      <c r="H3" s="50"/>
      <c r="I3" s="50"/>
      <c r="J3" s="50"/>
      <c r="K3" s="50" t="s">
        <v>7</v>
      </c>
      <c r="L3" s="50" t="s">
        <v>2</v>
      </c>
      <c r="M3" s="53" t="s">
        <v>1</v>
      </c>
    </row>
    <row r="4" spans="1:13" s="1" customFormat="1" ht="21" customHeight="1" thickBot="1">
      <c r="A4" s="47"/>
      <c r="B4" s="36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3</v>
      </c>
      <c r="K4" s="49"/>
      <c r="L4" s="49"/>
      <c r="M4" s="54"/>
    </row>
    <row r="5" spans="1:13" ht="16">
      <c r="A5" s="33" t="s">
        <v>113</v>
      </c>
      <c r="B5" s="33"/>
      <c r="C5" s="34"/>
      <c r="D5" s="34"/>
      <c r="E5" s="34"/>
      <c r="F5" s="34"/>
      <c r="G5" s="34"/>
      <c r="H5" s="34"/>
      <c r="I5" s="34"/>
      <c r="J5" s="34"/>
    </row>
    <row r="6" spans="1:13">
      <c r="A6" s="21" t="s">
        <v>55</v>
      </c>
      <c r="B6" s="15" t="s">
        <v>220</v>
      </c>
      <c r="C6" s="15" t="s">
        <v>221</v>
      </c>
      <c r="D6" s="15" t="s">
        <v>222</v>
      </c>
      <c r="E6" s="15" t="s">
        <v>523</v>
      </c>
      <c r="F6" s="15" t="s">
        <v>207</v>
      </c>
      <c r="G6" s="24" t="s">
        <v>110</v>
      </c>
      <c r="H6" s="24" t="s">
        <v>112</v>
      </c>
      <c r="I6" s="24" t="s">
        <v>123</v>
      </c>
      <c r="J6" s="21"/>
      <c r="K6" s="21" t="str">
        <f>"120,0"</f>
        <v>120,0</v>
      </c>
      <c r="L6" s="21" t="str">
        <f>"85,5840"</f>
        <v>85,5840</v>
      </c>
      <c r="M6" s="15"/>
    </row>
    <row r="7" spans="1:13">
      <c r="B7" s="5" t="s">
        <v>8</v>
      </c>
    </row>
    <row r="8" spans="1:13" ht="16">
      <c r="A8" s="37" t="s">
        <v>133</v>
      </c>
      <c r="B8" s="37"/>
      <c r="C8" s="37"/>
      <c r="D8" s="37"/>
      <c r="E8" s="37"/>
      <c r="F8" s="37"/>
      <c r="G8" s="37"/>
      <c r="H8" s="37"/>
      <c r="I8" s="37"/>
      <c r="J8" s="37"/>
    </row>
    <row r="9" spans="1:13">
      <c r="A9" s="21" t="s">
        <v>55</v>
      </c>
      <c r="B9" s="15" t="s">
        <v>223</v>
      </c>
      <c r="C9" s="15" t="s">
        <v>224</v>
      </c>
      <c r="D9" s="15" t="s">
        <v>225</v>
      </c>
      <c r="E9" s="15" t="s">
        <v>523</v>
      </c>
      <c r="F9" s="15" t="s">
        <v>207</v>
      </c>
      <c r="G9" s="24" t="s">
        <v>226</v>
      </c>
      <c r="H9" s="24" t="s">
        <v>227</v>
      </c>
      <c r="I9" s="24" t="s">
        <v>228</v>
      </c>
      <c r="J9" s="21"/>
      <c r="K9" s="21" t="str">
        <f>"272,5"</f>
        <v>272,5</v>
      </c>
      <c r="L9" s="21" t="str">
        <f>"183,5015"</f>
        <v>183,5015</v>
      </c>
      <c r="M9" s="15"/>
    </row>
    <row r="10" spans="1:13">
      <c r="B10" s="5" t="s">
        <v>8</v>
      </c>
    </row>
    <row r="11" spans="1:13" ht="16">
      <c r="A11" s="37" t="s">
        <v>23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3">
      <c r="A12" s="9" t="s">
        <v>55</v>
      </c>
      <c r="B12" s="8" t="s">
        <v>229</v>
      </c>
      <c r="C12" s="8" t="s">
        <v>230</v>
      </c>
      <c r="D12" s="8" t="s">
        <v>231</v>
      </c>
      <c r="E12" s="8" t="s">
        <v>524</v>
      </c>
      <c r="F12" s="8" t="s">
        <v>207</v>
      </c>
      <c r="G12" s="17" t="s">
        <v>232</v>
      </c>
      <c r="H12" s="17" t="s">
        <v>233</v>
      </c>
      <c r="I12" s="18" t="s">
        <v>226</v>
      </c>
      <c r="J12" s="9"/>
      <c r="K12" s="9" t="str">
        <f>"230,0"</f>
        <v>230,0</v>
      </c>
      <c r="L12" s="9" t="str">
        <f>"140,3230"</f>
        <v>140,3230</v>
      </c>
      <c r="M12" s="8" t="s">
        <v>483</v>
      </c>
    </row>
    <row r="13" spans="1:13">
      <c r="A13" s="11" t="s">
        <v>55</v>
      </c>
      <c r="B13" s="10" t="s">
        <v>31</v>
      </c>
      <c r="C13" s="10" t="s">
        <v>32</v>
      </c>
      <c r="D13" s="10" t="s">
        <v>33</v>
      </c>
      <c r="E13" s="10" t="s">
        <v>523</v>
      </c>
      <c r="F13" s="10" t="s">
        <v>34</v>
      </c>
      <c r="G13" s="19" t="s">
        <v>234</v>
      </c>
      <c r="H13" s="19" t="s">
        <v>227</v>
      </c>
      <c r="I13" s="20" t="s">
        <v>235</v>
      </c>
      <c r="J13" s="11"/>
      <c r="K13" s="11" t="str">
        <f>"260,0"</f>
        <v>260,0</v>
      </c>
      <c r="L13" s="11" t="str">
        <f>"159,5360"</f>
        <v>159,5360</v>
      </c>
      <c r="M13" s="10"/>
    </row>
    <row r="14" spans="1:13">
      <c r="B14" s="5" t="s">
        <v>8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6.33203125" style="5" bestFit="1" customWidth="1"/>
    <col min="4" max="4" width="21.5" style="5" bestFit="1" customWidth="1"/>
    <col min="5" max="5" width="11.5" style="5" customWidth="1"/>
    <col min="6" max="6" width="30.5" style="5" bestFit="1" customWidth="1"/>
    <col min="7" max="9" width="5.5" style="6" customWidth="1"/>
    <col min="10" max="10" width="4.83203125" style="6" customWidth="1"/>
    <col min="11" max="11" width="13.1640625" style="6" customWidth="1"/>
    <col min="12" max="12" width="8.5" style="6" bestFit="1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38" t="s">
        <v>512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77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520</v>
      </c>
      <c r="B3" s="35" t="s">
        <v>0</v>
      </c>
      <c r="C3" s="48" t="s">
        <v>521</v>
      </c>
      <c r="D3" s="48" t="s">
        <v>5</v>
      </c>
      <c r="E3" s="50" t="s">
        <v>522</v>
      </c>
      <c r="F3" s="50" t="s">
        <v>4</v>
      </c>
      <c r="G3" s="50" t="s">
        <v>219</v>
      </c>
      <c r="H3" s="50"/>
      <c r="I3" s="50"/>
      <c r="J3" s="50"/>
      <c r="K3" s="50" t="s">
        <v>7</v>
      </c>
      <c r="L3" s="50" t="s">
        <v>2</v>
      </c>
      <c r="M3" s="53" t="s">
        <v>1</v>
      </c>
    </row>
    <row r="4" spans="1:13" s="1" customFormat="1" ht="21" customHeight="1" thickBot="1">
      <c r="A4" s="47"/>
      <c r="B4" s="36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3</v>
      </c>
      <c r="K4" s="49"/>
      <c r="L4" s="49"/>
      <c r="M4" s="54"/>
    </row>
    <row r="5" spans="1:13" ht="16">
      <c r="A5" s="33" t="s">
        <v>69</v>
      </c>
      <c r="B5" s="33"/>
      <c r="C5" s="34"/>
      <c r="D5" s="34"/>
      <c r="E5" s="34"/>
      <c r="F5" s="34"/>
      <c r="G5" s="34"/>
      <c r="H5" s="34"/>
      <c r="I5" s="34"/>
      <c r="J5" s="34"/>
    </row>
    <row r="6" spans="1:13">
      <c r="A6" s="21" t="s">
        <v>55</v>
      </c>
      <c r="B6" s="15" t="s">
        <v>407</v>
      </c>
      <c r="C6" s="15" t="s">
        <v>408</v>
      </c>
      <c r="D6" s="15" t="s">
        <v>409</v>
      </c>
      <c r="E6" s="15" t="s">
        <v>523</v>
      </c>
      <c r="F6" s="15" t="s">
        <v>410</v>
      </c>
      <c r="G6" s="24" t="s">
        <v>411</v>
      </c>
      <c r="H6" s="24" t="s">
        <v>62</v>
      </c>
      <c r="I6" s="25" t="s">
        <v>68</v>
      </c>
      <c r="J6" s="21"/>
      <c r="K6" s="21" t="str">
        <f>"50,0"</f>
        <v>50,0</v>
      </c>
      <c r="L6" s="21" t="str">
        <f>"63,3650"</f>
        <v>63,3650</v>
      </c>
      <c r="M6" s="15"/>
    </row>
    <row r="7" spans="1:13">
      <c r="B7" s="5" t="s">
        <v>8</v>
      </c>
    </row>
    <row r="8" spans="1:13" ht="16">
      <c r="A8" s="37" t="s">
        <v>82</v>
      </c>
      <c r="B8" s="37"/>
      <c r="C8" s="37"/>
      <c r="D8" s="37"/>
      <c r="E8" s="37"/>
      <c r="F8" s="37"/>
      <c r="G8" s="37"/>
      <c r="H8" s="37"/>
      <c r="I8" s="37"/>
      <c r="J8" s="37"/>
    </row>
    <row r="9" spans="1:13">
      <c r="A9" s="21" t="s">
        <v>55</v>
      </c>
      <c r="B9" s="15" t="s">
        <v>353</v>
      </c>
      <c r="C9" s="15" t="s">
        <v>354</v>
      </c>
      <c r="D9" s="15" t="s">
        <v>355</v>
      </c>
      <c r="E9" s="15" t="s">
        <v>523</v>
      </c>
      <c r="F9" s="15" t="s">
        <v>207</v>
      </c>
      <c r="G9" s="24" t="s">
        <v>117</v>
      </c>
      <c r="H9" s="24" t="s">
        <v>112</v>
      </c>
      <c r="I9" s="24" t="s">
        <v>118</v>
      </c>
      <c r="J9" s="21"/>
      <c r="K9" s="21" t="str">
        <f>"115,0"</f>
        <v>115,0</v>
      </c>
      <c r="L9" s="21" t="str">
        <f>"135,5045"</f>
        <v>135,5045</v>
      </c>
      <c r="M9" s="15" t="s">
        <v>356</v>
      </c>
    </row>
    <row r="10" spans="1:13">
      <c r="B10" s="5" t="s">
        <v>8</v>
      </c>
    </row>
    <row r="11" spans="1:13" ht="16">
      <c r="A11" s="37" t="s">
        <v>105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3">
      <c r="A12" s="21" t="s">
        <v>55</v>
      </c>
      <c r="B12" s="15" t="s">
        <v>357</v>
      </c>
      <c r="C12" s="15" t="s">
        <v>358</v>
      </c>
      <c r="D12" s="15" t="s">
        <v>359</v>
      </c>
      <c r="E12" s="15" t="s">
        <v>523</v>
      </c>
      <c r="F12" s="15" t="s">
        <v>207</v>
      </c>
      <c r="G12" s="24" t="s">
        <v>412</v>
      </c>
      <c r="H12" s="24" t="s">
        <v>270</v>
      </c>
      <c r="I12" s="25" t="s">
        <v>159</v>
      </c>
      <c r="J12" s="21"/>
      <c r="K12" s="21" t="str">
        <f>"170,0"</f>
        <v>170,0</v>
      </c>
      <c r="L12" s="21" t="str">
        <f>"173,5020"</f>
        <v>173,5020</v>
      </c>
      <c r="M12" s="15" t="s">
        <v>362</v>
      </c>
    </row>
    <row r="13" spans="1:13">
      <c r="B13" s="5" t="s">
        <v>8</v>
      </c>
    </row>
    <row r="14" spans="1:13" ht="16">
      <c r="A14" s="37" t="s">
        <v>113</v>
      </c>
      <c r="B14" s="37"/>
      <c r="C14" s="37"/>
      <c r="D14" s="37"/>
      <c r="E14" s="37"/>
      <c r="F14" s="37"/>
      <c r="G14" s="37"/>
      <c r="H14" s="37"/>
      <c r="I14" s="37"/>
      <c r="J14" s="37"/>
    </row>
    <row r="15" spans="1:13">
      <c r="A15" s="21" t="s">
        <v>55</v>
      </c>
      <c r="B15" s="15" t="s">
        <v>363</v>
      </c>
      <c r="C15" s="15" t="s">
        <v>364</v>
      </c>
      <c r="D15" s="15" t="s">
        <v>365</v>
      </c>
      <c r="E15" s="15" t="s">
        <v>523</v>
      </c>
      <c r="F15" s="15" t="s">
        <v>207</v>
      </c>
      <c r="G15" s="24" t="s">
        <v>175</v>
      </c>
      <c r="H15" s="24" t="s">
        <v>117</v>
      </c>
      <c r="I15" s="24" t="s">
        <v>112</v>
      </c>
      <c r="J15" s="21"/>
      <c r="K15" s="21" t="str">
        <f>"110,0"</f>
        <v>110,0</v>
      </c>
      <c r="L15" s="21" t="str">
        <f>"106,2050"</f>
        <v>106,2050</v>
      </c>
      <c r="M15" s="15" t="s">
        <v>474</v>
      </c>
    </row>
    <row r="16" spans="1:13">
      <c r="B16" s="5" t="s">
        <v>8</v>
      </c>
    </row>
    <row r="17" spans="1:13" ht="16">
      <c r="A17" s="37" t="s">
        <v>82</v>
      </c>
      <c r="B17" s="37"/>
      <c r="C17" s="37"/>
      <c r="D17" s="37"/>
      <c r="E17" s="37"/>
      <c r="F17" s="37"/>
      <c r="G17" s="37"/>
      <c r="H17" s="37"/>
      <c r="I17" s="37"/>
      <c r="J17" s="37"/>
    </row>
    <row r="18" spans="1:13">
      <c r="A18" s="21" t="s">
        <v>55</v>
      </c>
      <c r="B18" s="15" t="s">
        <v>413</v>
      </c>
      <c r="C18" s="15" t="s">
        <v>414</v>
      </c>
      <c r="D18" s="15" t="s">
        <v>415</v>
      </c>
      <c r="E18" s="15" t="s">
        <v>523</v>
      </c>
      <c r="F18" s="15" t="s">
        <v>207</v>
      </c>
      <c r="G18" s="24" t="s">
        <v>110</v>
      </c>
      <c r="H18" s="24" t="s">
        <v>112</v>
      </c>
      <c r="I18" s="24" t="s">
        <v>129</v>
      </c>
      <c r="J18" s="21"/>
      <c r="K18" s="21" t="str">
        <f>"117,5"</f>
        <v>117,5</v>
      </c>
      <c r="L18" s="21" t="str">
        <f>"108,8872"</f>
        <v>108,8872</v>
      </c>
      <c r="M18" s="15" t="s">
        <v>473</v>
      </c>
    </row>
    <row r="19" spans="1:13">
      <c r="B19" s="5" t="s">
        <v>8</v>
      </c>
    </row>
    <row r="20" spans="1:13" ht="16">
      <c r="A20" s="37" t="s">
        <v>133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3">
      <c r="A21" s="21" t="s">
        <v>55</v>
      </c>
      <c r="B21" s="15" t="s">
        <v>264</v>
      </c>
      <c r="C21" s="15" t="s">
        <v>265</v>
      </c>
      <c r="D21" s="15" t="s">
        <v>225</v>
      </c>
      <c r="E21" s="15" t="s">
        <v>523</v>
      </c>
      <c r="F21" s="15" t="s">
        <v>207</v>
      </c>
      <c r="G21" s="24" t="s">
        <v>42</v>
      </c>
      <c r="H21" s="24" t="s">
        <v>233</v>
      </c>
      <c r="I21" s="24" t="s">
        <v>266</v>
      </c>
      <c r="J21" s="21"/>
      <c r="K21" s="21" t="str">
        <f>"235,0"</f>
        <v>235,0</v>
      </c>
      <c r="L21" s="21" t="str">
        <f>"158,2490"</f>
        <v>158,2490</v>
      </c>
      <c r="M21" s="15"/>
    </row>
    <row r="22" spans="1:13">
      <c r="B22" s="5" t="s">
        <v>8</v>
      </c>
    </row>
    <row r="23" spans="1:13" ht="16">
      <c r="A23" s="37" t="s">
        <v>10</v>
      </c>
      <c r="B23" s="37"/>
      <c r="C23" s="37"/>
      <c r="D23" s="37"/>
      <c r="E23" s="37"/>
      <c r="F23" s="37"/>
      <c r="G23" s="37"/>
      <c r="H23" s="37"/>
      <c r="I23" s="37"/>
      <c r="J23" s="37"/>
    </row>
    <row r="24" spans="1:13">
      <c r="A24" s="9" t="s">
        <v>55</v>
      </c>
      <c r="B24" s="8" t="s">
        <v>416</v>
      </c>
      <c r="C24" s="8" t="s">
        <v>417</v>
      </c>
      <c r="D24" s="8" t="s">
        <v>344</v>
      </c>
      <c r="E24" s="8" t="s">
        <v>523</v>
      </c>
      <c r="F24" s="8" t="s">
        <v>207</v>
      </c>
      <c r="G24" s="17" t="s">
        <v>232</v>
      </c>
      <c r="H24" s="17" t="s">
        <v>418</v>
      </c>
      <c r="I24" s="17" t="s">
        <v>233</v>
      </c>
      <c r="J24" s="9"/>
      <c r="K24" s="9" t="str">
        <f>"230,0"</f>
        <v>230,0</v>
      </c>
      <c r="L24" s="9" t="str">
        <f>"148,2120"</f>
        <v>148,2120</v>
      </c>
      <c r="M24" s="8" t="s">
        <v>519</v>
      </c>
    </row>
    <row r="25" spans="1:13">
      <c r="A25" s="23" t="s">
        <v>216</v>
      </c>
      <c r="B25" s="22" t="s">
        <v>419</v>
      </c>
      <c r="C25" s="22" t="s">
        <v>420</v>
      </c>
      <c r="D25" s="22" t="s">
        <v>421</v>
      </c>
      <c r="E25" s="22" t="s">
        <v>523</v>
      </c>
      <c r="F25" s="22" t="s">
        <v>207</v>
      </c>
      <c r="G25" s="26" t="s">
        <v>233</v>
      </c>
      <c r="H25" s="27" t="s">
        <v>422</v>
      </c>
      <c r="I25" s="27" t="s">
        <v>422</v>
      </c>
      <c r="J25" s="23"/>
      <c r="K25" s="23" t="str">
        <f>"230,0"</f>
        <v>230,0</v>
      </c>
      <c r="L25" s="23" t="str">
        <f>"147,3380"</f>
        <v>147,3380</v>
      </c>
      <c r="M25" s="22"/>
    </row>
    <row r="26" spans="1:13">
      <c r="A26" s="23" t="s">
        <v>217</v>
      </c>
      <c r="B26" s="22" t="s">
        <v>164</v>
      </c>
      <c r="C26" s="22" t="s">
        <v>165</v>
      </c>
      <c r="D26" s="22" t="s">
        <v>166</v>
      </c>
      <c r="E26" s="22" t="s">
        <v>523</v>
      </c>
      <c r="F26" s="22" t="s">
        <v>207</v>
      </c>
      <c r="G26" s="26" t="s">
        <v>42</v>
      </c>
      <c r="H26" s="26" t="s">
        <v>233</v>
      </c>
      <c r="I26" s="27" t="s">
        <v>234</v>
      </c>
      <c r="J26" s="23"/>
      <c r="K26" s="23" t="str">
        <f>"230,0"</f>
        <v>230,0</v>
      </c>
      <c r="L26" s="23" t="str">
        <f>"146,8320"</f>
        <v>146,8320</v>
      </c>
      <c r="M26" s="22" t="s">
        <v>167</v>
      </c>
    </row>
    <row r="27" spans="1:13">
      <c r="A27" s="23" t="s">
        <v>218</v>
      </c>
      <c r="B27" s="22" t="s">
        <v>423</v>
      </c>
      <c r="C27" s="22" t="s">
        <v>424</v>
      </c>
      <c r="D27" s="22" t="s">
        <v>383</v>
      </c>
      <c r="E27" s="22" t="s">
        <v>523</v>
      </c>
      <c r="F27" s="22" t="s">
        <v>207</v>
      </c>
      <c r="G27" s="26" t="s">
        <v>425</v>
      </c>
      <c r="H27" s="26" t="s">
        <v>232</v>
      </c>
      <c r="I27" s="26" t="s">
        <v>42</v>
      </c>
      <c r="J27" s="23"/>
      <c r="K27" s="23" t="str">
        <f>"220,0"</f>
        <v>220,0</v>
      </c>
      <c r="L27" s="23" t="str">
        <f>"141,6800"</f>
        <v>141,6800</v>
      </c>
      <c r="M27" s="22" t="s">
        <v>519</v>
      </c>
    </row>
    <row r="28" spans="1:13">
      <c r="A28" s="11" t="s">
        <v>405</v>
      </c>
      <c r="B28" s="10" t="s">
        <v>374</v>
      </c>
      <c r="C28" s="10" t="s">
        <v>375</v>
      </c>
      <c r="D28" s="10" t="s">
        <v>166</v>
      </c>
      <c r="E28" s="10" t="s">
        <v>523</v>
      </c>
      <c r="F28" s="10" t="s">
        <v>207</v>
      </c>
      <c r="G28" s="20" t="s">
        <v>14</v>
      </c>
      <c r="H28" s="20" t="s">
        <v>29</v>
      </c>
      <c r="I28" s="19" t="s">
        <v>35</v>
      </c>
      <c r="J28" s="11"/>
      <c r="K28" s="11" t="str">
        <f>"165,0"</f>
        <v>165,0</v>
      </c>
      <c r="L28" s="11" t="str">
        <f>"105,3360"</f>
        <v>105,3360</v>
      </c>
      <c r="M28" s="10" t="s">
        <v>469</v>
      </c>
    </row>
    <row r="29" spans="1:13">
      <c r="B29" s="5" t="s">
        <v>8</v>
      </c>
    </row>
    <row r="30" spans="1:13" ht="16">
      <c r="A30" s="37" t="s">
        <v>23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3">
      <c r="A31" s="21" t="s">
        <v>55</v>
      </c>
      <c r="B31" s="15" t="s">
        <v>426</v>
      </c>
      <c r="C31" s="15" t="s">
        <v>427</v>
      </c>
      <c r="D31" s="15" t="s">
        <v>428</v>
      </c>
      <c r="E31" s="15" t="s">
        <v>523</v>
      </c>
      <c r="F31" s="15" t="s">
        <v>207</v>
      </c>
      <c r="G31" s="24" t="s">
        <v>29</v>
      </c>
      <c r="H31" s="24" t="s">
        <v>270</v>
      </c>
      <c r="I31" s="25" t="s">
        <v>255</v>
      </c>
      <c r="J31" s="21"/>
      <c r="K31" s="21" t="str">
        <f>"170,0"</f>
        <v>170,0</v>
      </c>
      <c r="L31" s="21" t="str">
        <f>"104,7710"</f>
        <v>104,7710</v>
      </c>
      <c r="M31" s="15" t="s">
        <v>519</v>
      </c>
    </row>
    <row r="32" spans="1:13">
      <c r="B32" s="5" t="s">
        <v>8</v>
      </c>
    </row>
    <row r="35" spans="2:6" ht="18">
      <c r="B35" s="7" t="s">
        <v>6</v>
      </c>
      <c r="C35" s="7"/>
    </row>
    <row r="36" spans="2:6" ht="16">
      <c r="B36" s="12" t="s">
        <v>46</v>
      </c>
      <c r="C36" s="12"/>
    </row>
    <row r="37" spans="2:6" ht="14">
      <c r="B37" s="13"/>
      <c r="C37" s="14" t="s">
        <v>52</v>
      </c>
    </row>
    <row r="38" spans="2:6" ht="14">
      <c r="B38" s="16" t="s">
        <v>47</v>
      </c>
      <c r="C38" s="16" t="s">
        <v>48</v>
      </c>
      <c r="D38" s="16" t="s">
        <v>513</v>
      </c>
      <c r="E38" s="16" t="s">
        <v>49</v>
      </c>
      <c r="F38" s="16" t="s">
        <v>50</v>
      </c>
    </row>
    <row r="39" spans="2:6">
      <c r="B39" s="5" t="s">
        <v>264</v>
      </c>
      <c r="C39" s="5" t="s">
        <v>52</v>
      </c>
      <c r="D39" s="6" t="s">
        <v>210</v>
      </c>
      <c r="E39" s="6" t="s">
        <v>266</v>
      </c>
      <c r="F39" s="6" t="s">
        <v>271</v>
      </c>
    </row>
    <row r="40" spans="2:6">
      <c r="B40" s="5" t="s">
        <v>416</v>
      </c>
      <c r="C40" s="5" t="s">
        <v>52</v>
      </c>
      <c r="D40" s="6" t="s">
        <v>54</v>
      </c>
      <c r="E40" s="6" t="s">
        <v>233</v>
      </c>
      <c r="F40" s="6" t="s">
        <v>429</v>
      </c>
    </row>
    <row r="41" spans="2:6">
      <c r="B41" s="5" t="s">
        <v>419</v>
      </c>
      <c r="C41" s="5" t="s">
        <v>52</v>
      </c>
      <c r="D41" s="6" t="s">
        <v>54</v>
      </c>
      <c r="E41" s="6" t="s">
        <v>233</v>
      </c>
      <c r="F41" s="6" t="s">
        <v>430</v>
      </c>
    </row>
    <row r="42" spans="2:6">
      <c r="B42" s="5" t="s">
        <v>8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0:J30"/>
    <mergeCell ref="B3:B4"/>
    <mergeCell ref="A8:J8"/>
    <mergeCell ref="A11:J11"/>
    <mergeCell ref="A14:J14"/>
    <mergeCell ref="A17:J17"/>
    <mergeCell ref="A20:J20"/>
    <mergeCell ref="A23:J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7.1640625" style="5" bestFit="1" customWidth="1"/>
    <col min="7" max="9" width="5.5" style="6" customWidth="1"/>
    <col min="10" max="10" width="4.83203125" style="6" customWidth="1"/>
    <col min="11" max="11" width="10.5" style="29" bestFit="1" customWidth="1"/>
    <col min="12" max="12" width="8.5" style="6" bestFit="1" customWidth="1"/>
    <col min="13" max="13" width="19.6640625" style="5" bestFit="1" customWidth="1"/>
    <col min="14" max="16384" width="9.1640625" style="3"/>
  </cols>
  <sheetData>
    <row r="1" spans="1:13" s="2" customFormat="1" ht="29" customHeight="1">
      <c r="A1" s="38" t="s">
        <v>514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77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520</v>
      </c>
      <c r="B3" s="35" t="s">
        <v>0</v>
      </c>
      <c r="C3" s="48" t="s">
        <v>521</v>
      </c>
      <c r="D3" s="48" t="s">
        <v>5</v>
      </c>
      <c r="E3" s="50" t="s">
        <v>522</v>
      </c>
      <c r="F3" s="50" t="s">
        <v>4</v>
      </c>
      <c r="G3" s="50" t="s">
        <v>219</v>
      </c>
      <c r="H3" s="50"/>
      <c r="I3" s="50"/>
      <c r="J3" s="50"/>
      <c r="K3" s="51" t="s">
        <v>7</v>
      </c>
      <c r="L3" s="50" t="s">
        <v>2</v>
      </c>
      <c r="M3" s="53" t="s">
        <v>1</v>
      </c>
    </row>
    <row r="4" spans="1:13" s="1" customFormat="1" ht="21" customHeight="1" thickBot="1">
      <c r="A4" s="47"/>
      <c r="B4" s="36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3</v>
      </c>
      <c r="K4" s="52"/>
      <c r="L4" s="49"/>
      <c r="M4" s="54"/>
    </row>
    <row r="5" spans="1:13" ht="16">
      <c r="A5" s="33" t="s">
        <v>69</v>
      </c>
      <c r="B5" s="33"/>
      <c r="C5" s="34"/>
      <c r="D5" s="34"/>
      <c r="E5" s="34"/>
      <c r="F5" s="34"/>
      <c r="G5" s="34"/>
      <c r="H5" s="34"/>
      <c r="I5" s="34"/>
      <c r="J5" s="34"/>
    </row>
    <row r="6" spans="1:13">
      <c r="A6" s="21" t="s">
        <v>55</v>
      </c>
      <c r="B6" s="15" t="s">
        <v>447</v>
      </c>
      <c r="C6" s="15" t="s">
        <v>448</v>
      </c>
      <c r="D6" s="15" t="s">
        <v>449</v>
      </c>
      <c r="E6" s="15" t="s">
        <v>523</v>
      </c>
      <c r="F6" s="15" t="s">
        <v>450</v>
      </c>
      <c r="G6" s="24" t="s">
        <v>117</v>
      </c>
      <c r="H6" s="24" t="s">
        <v>112</v>
      </c>
      <c r="I6" s="24" t="s">
        <v>123</v>
      </c>
      <c r="J6" s="21"/>
      <c r="K6" s="28" t="str">
        <f>"120,0"</f>
        <v>120,0</v>
      </c>
      <c r="L6" s="21" t="str">
        <f>"149,8200"</f>
        <v>149,8200</v>
      </c>
      <c r="M6" s="15"/>
    </row>
    <row r="7" spans="1:13">
      <c r="B7" s="5" t="s">
        <v>8</v>
      </c>
    </row>
    <row r="8" spans="1:13" ht="16">
      <c r="A8" s="37" t="s">
        <v>82</v>
      </c>
      <c r="B8" s="37"/>
      <c r="C8" s="37"/>
      <c r="D8" s="37"/>
      <c r="E8" s="37"/>
      <c r="F8" s="37"/>
      <c r="G8" s="37"/>
      <c r="H8" s="37"/>
      <c r="I8" s="37"/>
      <c r="J8" s="37"/>
    </row>
    <row r="9" spans="1:13">
      <c r="A9" s="21" t="s">
        <v>55</v>
      </c>
      <c r="B9" s="15" t="s">
        <v>451</v>
      </c>
      <c r="C9" s="15" t="s">
        <v>354</v>
      </c>
      <c r="D9" s="15" t="s">
        <v>452</v>
      </c>
      <c r="E9" s="15" t="s">
        <v>523</v>
      </c>
      <c r="F9" s="15" t="s">
        <v>207</v>
      </c>
      <c r="G9" s="24" t="s">
        <v>112</v>
      </c>
      <c r="H9" s="24" t="s">
        <v>123</v>
      </c>
      <c r="I9" s="24" t="s">
        <v>149</v>
      </c>
      <c r="J9" s="21"/>
      <c r="K9" s="28" t="str">
        <f>"127,5"</f>
        <v>127,5</v>
      </c>
      <c r="L9" s="21" t="str">
        <f>"155,0272"</f>
        <v>155,0272</v>
      </c>
      <c r="M9" s="15" t="s">
        <v>471</v>
      </c>
    </row>
    <row r="10" spans="1:13">
      <c r="B10" s="5" t="s">
        <v>8</v>
      </c>
    </row>
    <row r="11" spans="1:13" ht="16">
      <c r="A11" s="37" t="s">
        <v>113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3">
      <c r="A12" s="21" t="s">
        <v>55</v>
      </c>
      <c r="B12" s="15" t="s">
        <v>453</v>
      </c>
      <c r="C12" s="15" t="s">
        <v>454</v>
      </c>
      <c r="D12" s="15" t="s">
        <v>455</v>
      </c>
      <c r="E12" s="15" t="s">
        <v>523</v>
      </c>
      <c r="F12" s="15" t="s">
        <v>456</v>
      </c>
      <c r="G12" s="25" t="s">
        <v>99</v>
      </c>
      <c r="H12" s="24" t="s">
        <v>236</v>
      </c>
      <c r="I12" s="24" t="s">
        <v>175</v>
      </c>
      <c r="J12" s="21"/>
      <c r="K12" s="28" t="str">
        <f>"95,0"</f>
        <v>95,0</v>
      </c>
      <c r="L12" s="21" t="str">
        <f>"96,4535"</f>
        <v>96,4535</v>
      </c>
      <c r="M12" s="15"/>
    </row>
    <row r="13" spans="1:13">
      <c r="B13" s="5" t="s">
        <v>8</v>
      </c>
    </row>
    <row r="14" spans="1:13" ht="16">
      <c r="A14" s="37" t="s">
        <v>133</v>
      </c>
      <c r="B14" s="37"/>
      <c r="C14" s="37"/>
      <c r="D14" s="37"/>
      <c r="E14" s="37"/>
      <c r="F14" s="37"/>
      <c r="G14" s="37"/>
      <c r="H14" s="37"/>
      <c r="I14" s="37"/>
      <c r="J14" s="37"/>
    </row>
    <row r="15" spans="1:13">
      <c r="A15" s="21" t="s">
        <v>55</v>
      </c>
      <c r="B15" s="15" t="s">
        <v>441</v>
      </c>
      <c r="C15" s="15" t="s">
        <v>442</v>
      </c>
      <c r="D15" s="15" t="s">
        <v>443</v>
      </c>
      <c r="E15" s="15" t="s">
        <v>523</v>
      </c>
      <c r="F15" s="15" t="s">
        <v>207</v>
      </c>
      <c r="G15" s="24" t="s">
        <v>266</v>
      </c>
      <c r="H15" s="24" t="s">
        <v>226</v>
      </c>
      <c r="I15" s="24" t="s">
        <v>457</v>
      </c>
      <c r="J15" s="21"/>
      <c r="K15" s="28" t="str">
        <f>"255,0"</f>
        <v>255,0</v>
      </c>
      <c r="L15" s="21" t="str">
        <f>"170,9520"</f>
        <v>170,9520</v>
      </c>
      <c r="M15" s="15" t="s">
        <v>470</v>
      </c>
    </row>
    <row r="16" spans="1:13">
      <c r="B16" s="5" t="s">
        <v>8</v>
      </c>
    </row>
    <row r="17" spans="1:13" ht="16">
      <c r="A17" s="37" t="s">
        <v>10</v>
      </c>
      <c r="B17" s="37"/>
      <c r="C17" s="37"/>
      <c r="D17" s="37"/>
      <c r="E17" s="37"/>
      <c r="F17" s="37"/>
      <c r="G17" s="37"/>
      <c r="H17" s="37"/>
      <c r="I17" s="37"/>
      <c r="J17" s="37"/>
    </row>
    <row r="18" spans="1:13">
      <c r="A18" s="21" t="s">
        <v>215</v>
      </c>
      <c r="B18" s="15" t="s">
        <v>458</v>
      </c>
      <c r="C18" s="15" t="s">
        <v>459</v>
      </c>
      <c r="D18" s="15" t="s">
        <v>460</v>
      </c>
      <c r="E18" s="15" t="s">
        <v>523</v>
      </c>
      <c r="F18" s="15" t="s">
        <v>207</v>
      </c>
      <c r="G18" s="25" t="s">
        <v>201</v>
      </c>
      <c r="H18" s="25" t="s">
        <v>209</v>
      </c>
      <c r="I18" s="25" t="s">
        <v>425</v>
      </c>
      <c r="J18" s="21"/>
      <c r="K18" s="28">
        <v>0</v>
      </c>
      <c r="L18" s="21" t="str">
        <f>"0,0000"</f>
        <v>0,0000</v>
      </c>
      <c r="M18" s="15"/>
    </row>
    <row r="19" spans="1:13">
      <c r="B19" s="5" t="s">
        <v>8</v>
      </c>
    </row>
    <row r="20" spans="1:13" ht="16">
      <c r="A20" s="37" t="s">
        <v>23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3">
      <c r="A21" s="9" t="s">
        <v>55</v>
      </c>
      <c r="B21" s="8" t="s">
        <v>461</v>
      </c>
      <c r="C21" s="8" t="s">
        <v>462</v>
      </c>
      <c r="D21" s="8" t="s">
        <v>463</v>
      </c>
      <c r="E21" s="8" t="s">
        <v>523</v>
      </c>
      <c r="F21" s="8" t="s">
        <v>207</v>
      </c>
      <c r="G21" s="17" t="s">
        <v>42</v>
      </c>
      <c r="H21" s="17" t="s">
        <v>464</v>
      </c>
      <c r="I21" s="17" t="s">
        <v>465</v>
      </c>
      <c r="J21" s="9"/>
      <c r="K21" s="30" t="str">
        <f>"265,0"</f>
        <v>265,0</v>
      </c>
      <c r="L21" s="9" t="str">
        <f>"162,8160"</f>
        <v>162,8160</v>
      </c>
      <c r="M21" s="8"/>
    </row>
    <row r="22" spans="1:13">
      <c r="A22" s="23" t="s">
        <v>216</v>
      </c>
      <c r="B22" s="22" t="s">
        <v>31</v>
      </c>
      <c r="C22" s="22" t="s">
        <v>32</v>
      </c>
      <c r="D22" s="22" t="s">
        <v>33</v>
      </c>
      <c r="E22" s="22" t="s">
        <v>523</v>
      </c>
      <c r="F22" s="22" t="s">
        <v>34</v>
      </c>
      <c r="G22" s="26" t="s">
        <v>234</v>
      </c>
      <c r="H22" s="26" t="s">
        <v>227</v>
      </c>
      <c r="I22" s="27" t="s">
        <v>235</v>
      </c>
      <c r="J22" s="23"/>
      <c r="K22" s="31" t="str">
        <f>"260,0"</f>
        <v>260,0</v>
      </c>
      <c r="L22" s="23" t="str">
        <f>"159,5360"</f>
        <v>159,5360</v>
      </c>
      <c r="M22" s="22"/>
    </row>
    <row r="23" spans="1:13">
      <c r="A23" s="11" t="s">
        <v>217</v>
      </c>
      <c r="B23" s="10" t="s">
        <v>466</v>
      </c>
      <c r="C23" s="10" t="s">
        <v>467</v>
      </c>
      <c r="D23" s="10" t="s">
        <v>468</v>
      </c>
      <c r="E23" s="10" t="s">
        <v>523</v>
      </c>
      <c r="F23" s="10" t="s">
        <v>352</v>
      </c>
      <c r="G23" s="19" t="s">
        <v>418</v>
      </c>
      <c r="H23" s="19" t="s">
        <v>266</v>
      </c>
      <c r="I23" s="11"/>
      <c r="J23" s="11"/>
      <c r="K23" s="32" t="str">
        <f>"235,0"</f>
        <v>235,0</v>
      </c>
      <c r="L23" s="11" t="str">
        <f>"147,2510"</f>
        <v>147,2510</v>
      </c>
      <c r="M23" s="10"/>
    </row>
    <row r="24" spans="1:13">
      <c r="B24" s="5" t="s">
        <v>8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0:J20"/>
    <mergeCell ref="A5:J5"/>
    <mergeCell ref="A8:J8"/>
    <mergeCell ref="A11:J11"/>
    <mergeCell ref="A14:J14"/>
    <mergeCell ref="A17:J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5"/>
  <sheetViews>
    <sheetView workbookViewId="0">
      <selection activeCell="E37" sqref="E37"/>
    </sheetView>
  </sheetViews>
  <sheetFormatPr baseColWidth="10" defaultColWidth="9.1640625" defaultRowHeight="13"/>
  <cols>
    <col min="1" max="1" width="7.5" style="5" bestFit="1" customWidth="1"/>
    <col min="2" max="2" width="22.1640625" style="5" bestFit="1" customWidth="1"/>
    <col min="3" max="3" width="28.5" style="5" bestFit="1" customWidth="1"/>
    <col min="4" max="4" width="21.5" style="5" bestFit="1" customWidth="1"/>
    <col min="5" max="5" width="12.83203125" style="5" customWidth="1"/>
    <col min="6" max="6" width="29.6640625" style="5" bestFit="1" customWidth="1"/>
    <col min="7" max="9" width="5.5" style="6" customWidth="1"/>
    <col min="10" max="10" width="5.1640625" style="6" customWidth="1"/>
    <col min="11" max="11" width="10.5" style="29" bestFit="1" customWidth="1"/>
    <col min="12" max="12" width="7.5" style="6" bestFit="1" customWidth="1"/>
    <col min="13" max="13" width="23" style="5" customWidth="1"/>
    <col min="14" max="16384" width="9.1640625" style="3"/>
  </cols>
  <sheetData>
    <row r="1" spans="1:13" s="2" customFormat="1" ht="29" customHeight="1">
      <c r="A1" s="38" t="s">
        <v>499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520</v>
      </c>
      <c r="B3" s="35" t="s">
        <v>0</v>
      </c>
      <c r="C3" s="48" t="s">
        <v>521</v>
      </c>
      <c r="D3" s="48" t="s">
        <v>5</v>
      </c>
      <c r="E3" s="50" t="s">
        <v>522</v>
      </c>
      <c r="F3" s="50" t="s">
        <v>4</v>
      </c>
      <c r="G3" s="50" t="s">
        <v>518</v>
      </c>
      <c r="H3" s="50"/>
      <c r="I3" s="50"/>
      <c r="J3" s="50"/>
      <c r="K3" s="51" t="s">
        <v>7</v>
      </c>
      <c r="L3" s="50" t="s">
        <v>2</v>
      </c>
      <c r="M3" s="53" t="s">
        <v>1</v>
      </c>
    </row>
    <row r="4" spans="1:13" s="1" customFormat="1" ht="21" customHeight="1" thickBot="1">
      <c r="A4" s="47"/>
      <c r="B4" s="36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3</v>
      </c>
      <c r="K4" s="52"/>
      <c r="L4" s="49"/>
      <c r="M4" s="54"/>
    </row>
    <row r="5" spans="1:13" ht="16">
      <c r="A5" s="33" t="s">
        <v>69</v>
      </c>
      <c r="B5" s="33"/>
      <c r="C5" s="34"/>
      <c r="D5" s="34"/>
      <c r="E5" s="34"/>
      <c r="F5" s="34"/>
      <c r="G5" s="34"/>
      <c r="H5" s="34"/>
      <c r="I5" s="34"/>
      <c r="J5" s="34"/>
    </row>
    <row r="6" spans="1:13">
      <c r="A6" s="21" t="s">
        <v>55</v>
      </c>
      <c r="B6" s="15" t="s">
        <v>74</v>
      </c>
      <c r="C6" s="15" t="s">
        <v>75</v>
      </c>
      <c r="D6" s="15" t="s">
        <v>76</v>
      </c>
      <c r="E6" s="15" t="s">
        <v>523</v>
      </c>
      <c r="F6" s="15" t="s">
        <v>77</v>
      </c>
      <c r="G6" s="24" t="s">
        <v>302</v>
      </c>
      <c r="H6" s="24" t="s">
        <v>303</v>
      </c>
      <c r="I6" s="24" t="s">
        <v>304</v>
      </c>
      <c r="J6" s="21"/>
      <c r="K6" s="28" t="str">
        <f>"27,5"</f>
        <v>27,5</v>
      </c>
      <c r="L6" s="21" t="str">
        <f>"32,1145"</f>
        <v>32,1145</v>
      </c>
      <c r="M6" s="15" t="s">
        <v>80</v>
      </c>
    </row>
    <row r="7" spans="1:13">
      <c r="B7" s="5" t="s">
        <v>8</v>
      </c>
    </row>
    <row r="8" spans="1:13" ht="16">
      <c r="A8" s="37" t="s">
        <v>94</v>
      </c>
      <c r="B8" s="37"/>
      <c r="C8" s="37"/>
      <c r="D8" s="37"/>
      <c r="E8" s="37"/>
      <c r="F8" s="37"/>
      <c r="G8" s="37"/>
      <c r="H8" s="37"/>
      <c r="I8" s="37"/>
      <c r="J8" s="37"/>
    </row>
    <row r="9" spans="1:13">
      <c r="A9" s="9" t="s">
        <v>55</v>
      </c>
      <c r="B9" s="8" t="s">
        <v>95</v>
      </c>
      <c r="C9" s="8" t="s">
        <v>96</v>
      </c>
      <c r="D9" s="8" t="s">
        <v>97</v>
      </c>
      <c r="E9" s="8" t="s">
        <v>523</v>
      </c>
      <c r="F9" s="8" t="s">
        <v>98</v>
      </c>
      <c r="G9" s="17" t="s">
        <v>305</v>
      </c>
      <c r="H9" s="17" t="s">
        <v>78</v>
      </c>
      <c r="I9" s="17" t="s">
        <v>79</v>
      </c>
      <c r="J9" s="9"/>
      <c r="K9" s="30" t="str">
        <f>"40,0"</f>
        <v>40,0</v>
      </c>
      <c r="L9" s="9" t="str">
        <f>"39,7700"</f>
        <v>39,7700</v>
      </c>
      <c r="M9" s="8"/>
    </row>
    <row r="10" spans="1:13">
      <c r="A10" s="23" t="s">
        <v>216</v>
      </c>
      <c r="B10" s="22" t="s">
        <v>100</v>
      </c>
      <c r="C10" s="22" t="s">
        <v>101</v>
      </c>
      <c r="D10" s="22" t="s">
        <v>102</v>
      </c>
      <c r="E10" s="22" t="s">
        <v>523</v>
      </c>
      <c r="F10" s="22" t="s">
        <v>207</v>
      </c>
      <c r="G10" s="26" t="s">
        <v>305</v>
      </c>
      <c r="H10" s="26" t="s">
        <v>78</v>
      </c>
      <c r="I10" s="26" t="s">
        <v>306</v>
      </c>
      <c r="J10" s="23"/>
      <c r="K10" s="31" t="str">
        <f>"37,5"</f>
        <v>37,5</v>
      </c>
      <c r="L10" s="23" t="str">
        <f>"37,4381"</f>
        <v>37,4381</v>
      </c>
      <c r="M10" s="22" t="s">
        <v>477</v>
      </c>
    </row>
    <row r="11" spans="1:13">
      <c r="A11" s="11" t="s">
        <v>55</v>
      </c>
      <c r="B11" s="10" t="s">
        <v>95</v>
      </c>
      <c r="C11" s="10" t="s">
        <v>104</v>
      </c>
      <c r="D11" s="10" t="s">
        <v>97</v>
      </c>
      <c r="E11" s="10" t="s">
        <v>525</v>
      </c>
      <c r="F11" s="10" t="s">
        <v>98</v>
      </c>
      <c r="G11" s="19" t="s">
        <v>305</v>
      </c>
      <c r="H11" s="19" t="s">
        <v>78</v>
      </c>
      <c r="I11" s="19" t="s">
        <v>79</v>
      </c>
      <c r="J11" s="11"/>
      <c r="K11" s="32" t="str">
        <f>"40,0"</f>
        <v>40,0</v>
      </c>
      <c r="L11" s="11" t="str">
        <f>"39,7700"</f>
        <v>39,7700</v>
      </c>
      <c r="M11" s="10"/>
    </row>
    <row r="12" spans="1:13">
      <c r="B12" s="5" t="s">
        <v>8</v>
      </c>
    </row>
    <row r="13" spans="1:13" ht="16">
      <c r="A13" s="37" t="s">
        <v>113</v>
      </c>
      <c r="B13" s="37"/>
      <c r="C13" s="37"/>
      <c r="D13" s="37"/>
      <c r="E13" s="37"/>
      <c r="F13" s="37"/>
      <c r="G13" s="37"/>
      <c r="H13" s="37"/>
      <c r="I13" s="37"/>
      <c r="J13" s="37"/>
    </row>
    <row r="14" spans="1:13">
      <c r="A14" s="9" t="s">
        <v>55</v>
      </c>
      <c r="B14" s="8" t="s">
        <v>257</v>
      </c>
      <c r="C14" s="8" t="s">
        <v>502</v>
      </c>
      <c r="D14" s="8" t="s">
        <v>259</v>
      </c>
      <c r="E14" s="8" t="s">
        <v>528</v>
      </c>
      <c r="F14" s="8" t="s">
        <v>207</v>
      </c>
      <c r="G14" s="17" t="s">
        <v>62</v>
      </c>
      <c r="H14" s="17" t="s">
        <v>68</v>
      </c>
      <c r="I14" s="17" t="s">
        <v>103</v>
      </c>
      <c r="J14" s="9"/>
      <c r="K14" s="30" t="str">
        <f>"60,0"</f>
        <v>60,0</v>
      </c>
      <c r="L14" s="9" t="str">
        <f>"42,4740"</f>
        <v>42,4740</v>
      </c>
      <c r="M14" s="8"/>
    </row>
    <row r="15" spans="1:13">
      <c r="A15" s="23" t="s">
        <v>55</v>
      </c>
      <c r="B15" s="22" t="s">
        <v>307</v>
      </c>
      <c r="C15" s="22" t="s">
        <v>503</v>
      </c>
      <c r="D15" s="22" t="s">
        <v>308</v>
      </c>
      <c r="E15" s="22" t="s">
        <v>524</v>
      </c>
      <c r="F15" s="22" t="s">
        <v>309</v>
      </c>
      <c r="G15" s="26" t="s">
        <v>62</v>
      </c>
      <c r="H15" s="26" t="s">
        <v>68</v>
      </c>
      <c r="I15" s="26" t="s">
        <v>103</v>
      </c>
      <c r="J15" s="23"/>
      <c r="K15" s="31" t="str">
        <f>"60,0"</f>
        <v>60,0</v>
      </c>
      <c r="L15" s="23" t="str">
        <f>"42,6120"</f>
        <v>42,6120</v>
      </c>
      <c r="M15" s="22"/>
    </row>
    <row r="16" spans="1:13">
      <c r="A16" s="23" t="s">
        <v>216</v>
      </c>
      <c r="B16" s="22" t="s">
        <v>310</v>
      </c>
      <c r="C16" s="22" t="s">
        <v>504</v>
      </c>
      <c r="D16" s="22" t="s">
        <v>254</v>
      </c>
      <c r="E16" s="22" t="s">
        <v>524</v>
      </c>
      <c r="F16" s="22" t="s">
        <v>311</v>
      </c>
      <c r="G16" s="27" t="s">
        <v>61</v>
      </c>
      <c r="H16" s="26" t="s">
        <v>61</v>
      </c>
      <c r="I16" s="26" t="s">
        <v>68</v>
      </c>
      <c r="J16" s="23"/>
      <c r="K16" s="31" t="str">
        <f>"55,0"</f>
        <v>55,0</v>
      </c>
      <c r="L16" s="23" t="str">
        <f>"38,8107"</f>
        <v>38,8107</v>
      </c>
      <c r="M16" s="22"/>
    </row>
    <row r="17" spans="1:13">
      <c r="A17" s="23" t="s">
        <v>55</v>
      </c>
      <c r="B17" s="22" t="s">
        <v>312</v>
      </c>
      <c r="C17" s="22" t="s">
        <v>313</v>
      </c>
      <c r="D17" s="22" t="s">
        <v>314</v>
      </c>
      <c r="E17" s="22" t="s">
        <v>523</v>
      </c>
      <c r="F17" s="22" t="s">
        <v>207</v>
      </c>
      <c r="G17" s="26" t="s">
        <v>103</v>
      </c>
      <c r="H17" s="26" t="s">
        <v>280</v>
      </c>
      <c r="I17" s="27" t="s">
        <v>315</v>
      </c>
      <c r="J17" s="23"/>
      <c r="K17" s="31" t="str">
        <f>"65,0"</f>
        <v>65,0</v>
      </c>
      <c r="L17" s="23" t="str">
        <f>"44,9768"</f>
        <v>44,9768</v>
      </c>
      <c r="M17" s="22"/>
    </row>
    <row r="18" spans="1:13">
      <c r="A18" s="23" t="s">
        <v>216</v>
      </c>
      <c r="B18" s="22" t="s">
        <v>316</v>
      </c>
      <c r="C18" s="22" t="s">
        <v>317</v>
      </c>
      <c r="D18" s="22" t="s">
        <v>318</v>
      </c>
      <c r="E18" s="22" t="s">
        <v>523</v>
      </c>
      <c r="F18" s="22" t="s">
        <v>207</v>
      </c>
      <c r="G18" s="26" t="s">
        <v>61</v>
      </c>
      <c r="H18" s="27" t="s">
        <v>68</v>
      </c>
      <c r="I18" s="26" t="s">
        <v>68</v>
      </c>
      <c r="J18" s="23"/>
      <c r="K18" s="31" t="str">
        <f>"55,0"</f>
        <v>55,0</v>
      </c>
      <c r="L18" s="23" t="str">
        <f>"38,4450"</f>
        <v>38,4450</v>
      </c>
      <c r="M18" s="22" t="s">
        <v>478</v>
      </c>
    </row>
    <row r="19" spans="1:13">
      <c r="A19" s="23" t="s">
        <v>217</v>
      </c>
      <c r="B19" s="22" t="s">
        <v>319</v>
      </c>
      <c r="C19" s="22" t="s">
        <v>320</v>
      </c>
      <c r="D19" s="22" t="s">
        <v>321</v>
      </c>
      <c r="E19" s="22" t="s">
        <v>523</v>
      </c>
      <c r="F19" s="22" t="s">
        <v>207</v>
      </c>
      <c r="G19" s="26" t="s">
        <v>60</v>
      </c>
      <c r="H19" s="26" t="s">
        <v>61</v>
      </c>
      <c r="I19" s="27" t="s">
        <v>62</v>
      </c>
      <c r="J19" s="23"/>
      <c r="K19" s="31" t="str">
        <f>"47,5"</f>
        <v>47,5</v>
      </c>
      <c r="L19" s="23" t="str">
        <f>"33,4804"</f>
        <v>33,4804</v>
      </c>
      <c r="M19" s="22" t="s">
        <v>63</v>
      </c>
    </row>
    <row r="20" spans="1:13">
      <c r="A20" s="11" t="s">
        <v>55</v>
      </c>
      <c r="B20" s="10" t="s">
        <v>312</v>
      </c>
      <c r="C20" s="10" t="s">
        <v>505</v>
      </c>
      <c r="D20" s="10" t="s">
        <v>314</v>
      </c>
      <c r="E20" s="10" t="s">
        <v>525</v>
      </c>
      <c r="F20" s="10" t="s">
        <v>207</v>
      </c>
      <c r="G20" s="19" t="s">
        <v>103</v>
      </c>
      <c r="H20" s="19" t="s">
        <v>280</v>
      </c>
      <c r="I20" s="20" t="s">
        <v>315</v>
      </c>
      <c r="J20" s="11"/>
      <c r="K20" s="32" t="str">
        <f>"65,0"</f>
        <v>65,0</v>
      </c>
      <c r="L20" s="11" t="str">
        <f>"46,9108"</f>
        <v>46,9108</v>
      </c>
      <c r="M20" s="10"/>
    </row>
    <row r="21" spans="1:13">
      <c r="B21" s="5" t="s">
        <v>8</v>
      </c>
    </row>
    <row r="22" spans="1:13" ht="16">
      <c r="A22" s="37" t="s">
        <v>133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3">
      <c r="A23" s="9" t="s">
        <v>55</v>
      </c>
      <c r="B23" s="8" t="s">
        <v>275</v>
      </c>
      <c r="C23" s="8" t="s">
        <v>506</v>
      </c>
      <c r="D23" s="8" t="s">
        <v>276</v>
      </c>
      <c r="E23" s="8" t="s">
        <v>528</v>
      </c>
      <c r="F23" s="8" t="s">
        <v>207</v>
      </c>
      <c r="G23" s="17" t="s">
        <v>303</v>
      </c>
      <c r="H23" s="17" t="s">
        <v>305</v>
      </c>
      <c r="I23" s="18" t="s">
        <v>78</v>
      </c>
      <c r="J23" s="9"/>
      <c r="K23" s="30" t="str">
        <f>"32,5"</f>
        <v>32,5</v>
      </c>
      <c r="L23" s="9" t="str">
        <f>"21,1169"</f>
        <v>21,1169</v>
      </c>
      <c r="M23" s="8" t="s">
        <v>479</v>
      </c>
    </row>
    <row r="24" spans="1:13">
      <c r="A24" s="23" t="s">
        <v>55</v>
      </c>
      <c r="B24" s="22" t="s">
        <v>322</v>
      </c>
      <c r="C24" s="22" t="s">
        <v>507</v>
      </c>
      <c r="D24" s="22" t="s">
        <v>323</v>
      </c>
      <c r="E24" s="22" t="s">
        <v>524</v>
      </c>
      <c r="F24" s="22" t="s">
        <v>324</v>
      </c>
      <c r="G24" s="26" t="s">
        <v>73</v>
      </c>
      <c r="H24" s="27" t="s">
        <v>103</v>
      </c>
      <c r="I24" s="27" t="s">
        <v>103</v>
      </c>
      <c r="J24" s="23"/>
      <c r="K24" s="31" t="str">
        <f>"52,5"</f>
        <v>52,5</v>
      </c>
      <c r="L24" s="23" t="str">
        <f>"33,9491"</f>
        <v>33,9491</v>
      </c>
      <c r="M24" s="22"/>
    </row>
    <row r="25" spans="1:13">
      <c r="A25" s="23" t="s">
        <v>55</v>
      </c>
      <c r="B25" s="22" t="s">
        <v>325</v>
      </c>
      <c r="C25" s="22" t="s">
        <v>326</v>
      </c>
      <c r="D25" s="22" t="s">
        <v>139</v>
      </c>
      <c r="E25" s="22" t="s">
        <v>523</v>
      </c>
      <c r="F25" s="22" t="s">
        <v>207</v>
      </c>
      <c r="G25" s="26" t="s">
        <v>103</v>
      </c>
      <c r="H25" s="27" t="s">
        <v>281</v>
      </c>
      <c r="I25" s="26" t="s">
        <v>99</v>
      </c>
      <c r="J25" s="23"/>
      <c r="K25" s="31" t="str">
        <f>"70,0"</f>
        <v>70,0</v>
      </c>
      <c r="L25" s="23" t="str">
        <f>"45,3355"</f>
        <v>45,3355</v>
      </c>
      <c r="M25" s="22"/>
    </row>
    <row r="26" spans="1:13">
      <c r="A26" s="23" t="s">
        <v>216</v>
      </c>
      <c r="B26" s="22" t="s">
        <v>327</v>
      </c>
      <c r="C26" s="22" t="s">
        <v>328</v>
      </c>
      <c r="D26" s="22" t="s">
        <v>276</v>
      </c>
      <c r="E26" s="22" t="s">
        <v>523</v>
      </c>
      <c r="F26" s="22" t="s">
        <v>329</v>
      </c>
      <c r="G26" s="26" t="s">
        <v>103</v>
      </c>
      <c r="H26" s="26" t="s">
        <v>280</v>
      </c>
      <c r="I26" s="27" t="s">
        <v>281</v>
      </c>
      <c r="J26" s="23"/>
      <c r="K26" s="31" t="str">
        <f>"65,0"</f>
        <v>65,0</v>
      </c>
      <c r="L26" s="23" t="str">
        <f>"42,2337"</f>
        <v>42,2337</v>
      </c>
      <c r="M26" s="22" t="s">
        <v>480</v>
      </c>
    </row>
    <row r="27" spans="1:13">
      <c r="A27" s="23" t="s">
        <v>217</v>
      </c>
      <c r="B27" s="22" t="s">
        <v>330</v>
      </c>
      <c r="C27" s="22" t="s">
        <v>331</v>
      </c>
      <c r="D27" s="22" t="s">
        <v>332</v>
      </c>
      <c r="E27" s="22" t="s">
        <v>523</v>
      </c>
      <c r="F27" s="22" t="s">
        <v>333</v>
      </c>
      <c r="G27" s="26" t="s">
        <v>103</v>
      </c>
      <c r="H27" s="26" t="s">
        <v>280</v>
      </c>
      <c r="I27" s="27" t="s">
        <v>99</v>
      </c>
      <c r="J27" s="23"/>
      <c r="K27" s="31" t="str">
        <f>"65,0"</f>
        <v>65,0</v>
      </c>
      <c r="L27" s="23" t="str">
        <f>"42,0647"</f>
        <v>42,0647</v>
      </c>
      <c r="M27" s="22"/>
    </row>
    <row r="28" spans="1:13">
      <c r="A28" s="11" t="s">
        <v>218</v>
      </c>
      <c r="B28" s="10" t="s">
        <v>334</v>
      </c>
      <c r="C28" s="10" t="s">
        <v>335</v>
      </c>
      <c r="D28" s="10" t="s">
        <v>336</v>
      </c>
      <c r="E28" s="10" t="s">
        <v>523</v>
      </c>
      <c r="F28" s="10" t="s">
        <v>337</v>
      </c>
      <c r="G28" s="19" t="s">
        <v>68</v>
      </c>
      <c r="H28" s="20" t="s">
        <v>103</v>
      </c>
      <c r="I28" s="19" t="s">
        <v>103</v>
      </c>
      <c r="J28" s="11"/>
      <c r="K28" s="32" t="str">
        <f>"60,0"</f>
        <v>60,0</v>
      </c>
      <c r="L28" s="11" t="str">
        <f>"40,9500"</f>
        <v>40,9500</v>
      </c>
      <c r="M28" s="10" t="s">
        <v>480</v>
      </c>
    </row>
    <row r="29" spans="1:13">
      <c r="B29" s="5" t="s">
        <v>8</v>
      </c>
    </row>
    <row r="30" spans="1:13" ht="16">
      <c r="A30" s="37" t="s">
        <v>10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3">
      <c r="A31" s="9" t="s">
        <v>55</v>
      </c>
      <c r="B31" s="8" t="s">
        <v>338</v>
      </c>
      <c r="C31" s="8" t="s">
        <v>339</v>
      </c>
      <c r="D31" s="8" t="s">
        <v>340</v>
      </c>
      <c r="E31" s="8" t="s">
        <v>523</v>
      </c>
      <c r="F31" s="8" t="s">
        <v>341</v>
      </c>
      <c r="G31" s="17" t="s">
        <v>87</v>
      </c>
      <c r="H31" s="17" t="s">
        <v>281</v>
      </c>
      <c r="I31" s="17" t="s">
        <v>99</v>
      </c>
      <c r="J31" s="9"/>
      <c r="K31" s="30" t="str">
        <f>"70,0"</f>
        <v>70,0</v>
      </c>
      <c r="L31" s="9" t="str">
        <f>"42,9345"</f>
        <v>42,9345</v>
      </c>
      <c r="M31" s="8" t="s">
        <v>519</v>
      </c>
    </row>
    <row r="32" spans="1:13">
      <c r="A32" s="23" t="s">
        <v>216</v>
      </c>
      <c r="B32" s="22" t="s">
        <v>342</v>
      </c>
      <c r="C32" s="22" t="s">
        <v>343</v>
      </c>
      <c r="D32" s="22" t="s">
        <v>344</v>
      </c>
      <c r="E32" s="22" t="s">
        <v>523</v>
      </c>
      <c r="F32" s="22" t="s">
        <v>207</v>
      </c>
      <c r="G32" s="26" t="s">
        <v>62</v>
      </c>
      <c r="H32" s="26" t="s">
        <v>345</v>
      </c>
      <c r="I32" s="26" t="s">
        <v>280</v>
      </c>
      <c r="J32" s="23"/>
      <c r="K32" s="31" t="str">
        <f>"65,0"</f>
        <v>65,0</v>
      </c>
      <c r="L32" s="23" t="str">
        <f>"40,1765"</f>
        <v>40,1765</v>
      </c>
      <c r="M32" s="22" t="s">
        <v>478</v>
      </c>
    </row>
    <row r="33" spans="1:13">
      <c r="A33" s="11" t="s">
        <v>217</v>
      </c>
      <c r="B33" s="10" t="s">
        <v>164</v>
      </c>
      <c r="C33" s="10" t="s">
        <v>165</v>
      </c>
      <c r="D33" s="10" t="s">
        <v>166</v>
      </c>
      <c r="E33" s="10" t="s">
        <v>523</v>
      </c>
      <c r="F33" s="10" t="s">
        <v>207</v>
      </c>
      <c r="G33" s="20" t="s">
        <v>345</v>
      </c>
      <c r="H33" s="19" t="s">
        <v>345</v>
      </c>
      <c r="I33" s="20" t="s">
        <v>103</v>
      </c>
      <c r="J33" s="11"/>
      <c r="K33" s="32" t="str">
        <f>"57,5"</f>
        <v>57,5</v>
      </c>
      <c r="L33" s="11" t="str">
        <f>"35,1814"</f>
        <v>35,1814</v>
      </c>
      <c r="M33" s="10" t="s">
        <v>167</v>
      </c>
    </row>
    <row r="34" spans="1:13">
      <c r="B34" s="5" t="s">
        <v>8</v>
      </c>
    </row>
    <row r="35" spans="1:13" ht="16">
      <c r="A35" s="37" t="s">
        <v>36</v>
      </c>
      <c r="B35" s="37"/>
      <c r="C35" s="37"/>
      <c r="D35" s="37"/>
      <c r="E35" s="37"/>
      <c r="F35" s="37"/>
      <c r="G35" s="37"/>
      <c r="H35" s="37"/>
      <c r="I35" s="37"/>
      <c r="J35" s="37"/>
    </row>
    <row r="36" spans="1:13">
      <c r="A36" s="21" t="s">
        <v>215</v>
      </c>
      <c r="B36" s="15" t="s">
        <v>346</v>
      </c>
      <c r="C36" s="15" t="s">
        <v>508</v>
      </c>
      <c r="D36" s="15" t="s">
        <v>347</v>
      </c>
      <c r="E36" s="15" t="s">
        <v>525</v>
      </c>
      <c r="F36" s="15" t="s">
        <v>348</v>
      </c>
      <c r="G36" s="25" t="s">
        <v>281</v>
      </c>
      <c r="H36" s="21"/>
      <c r="I36" s="21"/>
      <c r="J36" s="21"/>
      <c r="K36" s="28">
        <v>0</v>
      </c>
      <c r="L36" s="21" t="str">
        <f>"0,0000"</f>
        <v>0,0000</v>
      </c>
      <c r="M36" s="15"/>
    </row>
    <row r="37" spans="1:13">
      <c r="B37" s="5" t="s">
        <v>8</v>
      </c>
    </row>
    <row r="38" spans="1:13" ht="18">
      <c r="B38" s="7" t="s">
        <v>6</v>
      </c>
      <c r="C38" s="7"/>
    </row>
    <row r="39" spans="1:13" ht="16">
      <c r="B39" s="12" t="s">
        <v>46</v>
      </c>
      <c r="C39" s="12"/>
    </row>
    <row r="40" spans="1:13" ht="14">
      <c r="B40" s="13"/>
      <c r="C40" s="14" t="s">
        <v>52</v>
      </c>
    </row>
    <row r="41" spans="1:13" ht="14">
      <c r="B41" s="16" t="s">
        <v>47</v>
      </c>
      <c r="C41" s="16" t="s">
        <v>48</v>
      </c>
      <c r="D41" s="16" t="s">
        <v>513</v>
      </c>
      <c r="E41" s="16" t="s">
        <v>49</v>
      </c>
      <c r="F41" s="16" t="s">
        <v>301</v>
      </c>
    </row>
    <row r="42" spans="1:13">
      <c r="B42" s="5" t="s">
        <v>325</v>
      </c>
      <c r="C42" s="5" t="s">
        <v>52</v>
      </c>
      <c r="D42" s="6" t="s">
        <v>210</v>
      </c>
      <c r="E42" s="6" t="s">
        <v>99</v>
      </c>
      <c r="F42" s="6" t="s">
        <v>349</v>
      </c>
    </row>
    <row r="43" spans="1:13">
      <c r="B43" s="5" t="s">
        <v>312</v>
      </c>
      <c r="C43" s="5" t="s">
        <v>52</v>
      </c>
      <c r="D43" s="6" t="s">
        <v>211</v>
      </c>
      <c r="E43" s="6" t="s">
        <v>280</v>
      </c>
      <c r="F43" s="6" t="s">
        <v>350</v>
      </c>
    </row>
    <row r="44" spans="1:13">
      <c r="B44" s="5" t="s">
        <v>338</v>
      </c>
      <c r="C44" s="5" t="s">
        <v>52</v>
      </c>
      <c r="D44" s="6" t="s">
        <v>54</v>
      </c>
      <c r="E44" s="6" t="s">
        <v>99</v>
      </c>
      <c r="F44" s="6" t="s">
        <v>351</v>
      </c>
    </row>
    <row r="45" spans="1:13">
      <c r="B45" s="5" t="s">
        <v>8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35:J35"/>
    <mergeCell ref="A5:J5"/>
    <mergeCell ref="A8:J8"/>
    <mergeCell ref="A13:J13"/>
    <mergeCell ref="A22:J22"/>
    <mergeCell ref="A30:J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WRPF Жим лежа без экип ДК</vt:lpstr>
      <vt:lpstr>WRPF Жим лежа без экип</vt:lpstr>
      <vt:lpstr>WRPF Жим лежа без экип клиенты</vt:lpstr>
      <vt:lpstr>WRPF Жим лежа без экип сотрудн.</vt:lpstr>
      <vt:lpstr>WRPF Тяга без экипировки ДК</vt:lpstr>
      <vt:lpstr>WRPF Тяга без экипировки</vt:lpstr>
      <vt:lpstr>WRPF Тяга без экип. клиенты</vt:lpstr>
      <vt:lpstr>WRPF Тяга без экип. сотрудники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2022-02-22T19:23:57Z</dcterms:modified>
</cp:coreProperties>
</file>