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протоколы соревнований\"/>
    </mc:Choice>
  </mc:AlternateContent>
  <bookViews>
    <workbookView xWindow="0" yWindow="0" windowWidth="28800" windowHeight="11505" firstSheet="11" activeTab="16"/>
  </bookViews>
  <sheets>
    <sheet name="Лист52" sheetId="57" r:id="rId1"/>
    <sheet name="WPA st.ply BP" sheetId="56" r:id="rId2"/>
    <sheet name="Arm. «Rus. Axle»" sheetId="54" r:id="rId3"/>
    <sheet name="Al. Rus. Roulette" sheetId="53" r:id="rId4"/>
    <sheet name="Al. «Excalibur»" sheetId="52" r:id="rId5"/>
    <sheet name="Al. HUB" sheetId="51" r:id="rId6"/>
    <sheet name="MR BP 1_2 bw. AWPC" sheetId="50" r:id="rId7"/>
    <sheet name="MR BP 1 bw. AWPC" sheetId="48" r:id="rId8"/>
    <sheet name="MR BP 1 bw. WPC" sheetId="47" r:id="rId9"/>
    <sheet name="AWPC MP soft eq. BP" sheetId="39" r:id="rId10"/>
    <sheet name="WPC soft eq. BP" sheetId="35" r:id="rId11"/>
    <sheet name="WPA SC" sheetId="26" r:id="rId12"/>
    <sheet name="AWPA SC" sheetId="25" r:id="rId13"/>
    <sheet name="WPA OB" sheetId="24" r:id="rId14"/>
    <sheet name="AWPA raw PL" sheetId="20" r:id="rId15"/>
    <sheet name="AWPA raw BP" sheetId="17" r:id="rId16"/>
    <sheet name="AWPA raw DL" sheetId="14" r:id="rId17"/>
    <sheet name="WPA raw PL" sheetId="11" r:id="rId18"/>
    <sheet name="WPA m.ply BP" sheetId="10" r:id="rId19"/>
    <sheet name="WPA raw BP" sheetId="8" r:id="rId20"/>
    <sheet name="WPA raw DL" sheetId="5" r:id="rId21"/>
  </sheets>
  <definedNames>
    <definedName name="_FilterDatabase" localSheetId="20" hidden="1">'WPA raw DL'!$A$1:$K$3</definedName>
  </definedNames>
  <calcPr calcId="162913"/>
</workbook>
</file>

<file path=xl/calcChain.xml><?xml version="1.0" encoding="utf-8"?>
<calcChain xmlns="http://schemas.openxmlformats.org/spreadsheetml/2006/main">
  <c r="L7" i="56" l="1"/>
  <c r="K7" i="56"/>
  <c r="D7" i="56"/>
  <c r="L6" i="56"/>
  <c r="K6" i="56"/>
  <c r="D6" i="56"/>
  <c r="R17" i="54"/>
  <c r="R16" i="54"/>
  <c r="R13" i="54"/>
  <c r="R10" i="54"/>
  <c r="R7" i="54"/>
  <c r="R6" i="54"/>
  <c r="R13" i="53"/>
  <c r="R12" i="53"/>
  <c r="R9" i="53"/>
  <c r="R6" i="53"/>
  <c r="R9" i="52"/>
  <c r="R6" i="52"/>
  <c r="R6" i="51"/>
  <c r="J6" i="50"/>
  <c r="I6" i="50"/>
  <c r="D6" i="50"/>
  <c r="J9" i="48"/>
  <c r="I9" i="48"/>
  <c r="D9" i="48"/>
  <c r="J6" i="48"/>
  <c r="I6" i="48"/>
  <c r="D6" i="48"/>
  <c r="J13" i="47"/>
  <c r="I13" i="47"/>
  <c r="D13" i="47"/>
  <c r="J12" i="47"/>
  <c r="I12" i="47"/>
  <c r="D12" i="47"/>
  <c r="J9" i="47"/>
  <c r="I9" i="47"/>
  <c r="D9" i="47"/>
  <c r="J6" i="47"/>
  <c r="I6" i="47"/>
  <c r="D6" i="47"/>
  <c r="L9" i="39"/>
  <c r="K9" i="39"/>
  <c r="D9" i="39"/>
  <c r="L6" i="39"/>
  <c r="K6" i="39"/>
  <c r="D6" i="39"/>
  <c r="L9" i="35"/>
  <c r="K9" i="35"/>
  <c r="D9" i="35"/>
  <c r="L6" i="35"/>
  <c r="K6" i="35"/>
  <c r="D6" i="35"/>
  <c r="L21" i="26"/>
  <c r="K21" i="26"/>
  <c r="D21" i="26"/>
  <c r="L18" i="26"/>
  <c r="K18" i="26"/>
  <c r="D18" i="26"/>
  <c r="L15" i="26"/>
  <c r="K15" i="26"/>
  <c r="D15" i="26"/>
  <c r="L12" i="26"/>
  <c r="K12" i="26"/>
  <c r="D12" i="26"/>
  <c r="L9" i="26"/>
  <c r="K9" i="26"/>
  <c r="D9" i="26"/>
  <c r="L6" i="26"/>
  <c r="K6" i="26"/>
  <c r="D6" i="26"/>
  <c r="L12" i="25"/>
  <c r="K12" i="25"/>
  <c r="D12" i="25"/>
  <c r="L9" i="25"/>
  <c r="K9" i="25"/>
  <c r="D9" i="25"/>
  <c r="L6" i="25"/>
  <c r="K6" i="25"/>
  <c r="D6" i="25"/>
  <c r="L12" i="24"/>
  <c r="K12" i="24"/>
  <c r="D12" i="24"/>
  <c r="L9" i="24"/>
  <c r="K9" i="24"/>
  <c r="D9" i="24"/>
  <c r="L6" i="24"/>
  <c r="K6" i="24"/>
  <c r="D6" i="24"/>
  <c r="T22" i="20"/>
  <c r="S22" i="20"/>
  <c r="D22" i="20"/>
  <c r="T19" i="20"/>
  <c r="S19" i="20"/>
  <c r="D19" i="20"/>
  <c r="T16" i="20"/>
  <c r="S16" i="20"/>
  <c r="D16" i="20"/>
  <c r="T13" i="20"/>
  <c r="S13" i="20"/>
  <c r="D13" i="20"/>
  <c r="T12" i="20"/>
  <c r="S12" i="20"/>
  <c r="D12" i="20"/>
  <c r="T9" i="20"/>
  <c r="S9" i="20"/>
  <c r="D9" i="20"/>
  <c r="T6" i="20"/>
  <c r="S6" i="20"/>
  <c r="D6" i="20"/>
  <c r="L58" i="17"/>
  <c r="K58" i="17"/>
  <c r="D58" i="17"/>
  <c r="L57" i="17"/>
  <c r="K57" i="17"/>
  <c r="D57" i="17"/>
  <c r="L56" i="17"/>
  <c r="K56" i="17"/>
  <c r="D56" i="17"/>
  <c r="L53" i="17"/>
  <c r="K53" i="17"/>
  <c r="D53" i="17"/>
  <c r="L52" i="17"/>
  <c r="K52" i="17"/>
  <c r="D52" i="17"/>
  <c r="L51" i="17"/>
  <c r="K51" i="17"/>
  <c r="D51" i="17"/>
  <c r="L50" i="17"/>
  <c r="K50" i="17"/>
  <c r="D50" i="17"/>
  <c r="L47" i="17"/>
  <c r="K47" i="17"/>
  <c r="D47" i="17"/>
  <c r="L46" i="17"/>
  <c r="K46" i="17"/>
  <c r="D46" i="17"/>
  <c r="L45" i="17"/>
  <c r="K45" i="17"/>
  <c r="D45" i="17"/>
  <c r="L44" i="17"/>
  <c r="K44" i="17"/>
  <c r="D44" i="17"/>
  <c r="L43" i="17"/>
  <c r="K43" i="17"/>
  <c r="D43" i="17"/>
  <c r="L40" i="17"/>
  <c r="K40" i="17"/>
  <c r="D40" i="17"/>
  <c r="L39" i="17"/>
  <c r="K39" i="17"/>
  <c r="D39" i="17"/>
  <c r="L38" i="17"/>
  <c r="K38" i="17"/>
  <c r="D38" i="17"/>
  <c r="L37" i="17"/>
  <c r="K37" i="17"/>
  <c r="D37" i="17"/>
  <c r="L36" i="17"/>
  <c r="K36" i="17"/>
  <c r="D36" i="17"/>
  <c r="L35" i="17"/>
  <c r="K35" i="17"/>
  <c r="D35" i="17"/>
  <c r="L34" i="17"/>
  <c r="K34" i="17"/>
  <c r="D34" i="17"/>
  <c r="L33" i="17"/>
  <c r="K33" i="17"/>
  <c r="D33" i="17"/>
  <c r="L30" i="17"/>
  <c r="K30" i="17"/>
  <c r="D30" i="17"/>
  <c r="L29" i="17"/>
  <c r="K29" i="17"/>
  <c r="D29" i="17"/>
  <c r="L26" i="17"/>
  <c r="K26" i="17"/>
  <c r="D26" i="17"/>
  <c r="L25" i="17"/>
  <c r="K25" i="17"/>
  <c r="D25" i="17"/>
  <c r="L22" i="17"/>
  <c r="K22" i="17"/>
  <c r="D22" i="17"/>
  <c r="L21" i="17"/>
  <c r="K21" i="17"/>
  <c r="D21" i="17"/>
  <c r="L20" i="17"/>
  <c r="K20" i="17"/>
  <c r="D20" i="17"/>
  <c r="L17" i="17"/>
  <c r="K17" i="17"/>
  <c r="D17" i="17"/>
  <c r="L14" i="17"/>
  <c r="K14" i="17"/>
  <c r="D14" i="17"/>
  <c r="L13" i="17"/>
  <c r="K13" i="17"/>
  <c r="D13" i="17"/>
  <c r="L10" i="17"/>
  <c r="K10" i="17"/>
  <c r="D10" i="17"/>
  <c r="L7" i="17"/>
  <c r="K7" i="17"/>
  <c r="D7" i="17"/>
  <c r="L6" i="17"/>
  <c r="K6" i="17"/>
  <c r="D6" i="17"/>
  <c r="L26" i="14"/>
  <c r="K26" i="14"/>
  <c r="D26" i="14"/>
  <c r="L23" i="14"/>
  <c r="K23" i="14"/>
  <c r="D23" i="14"/>
  <c r="L22" i="14"/>
  <c r="K22" i="14"/>
  <c r="D22" i="14"/>
  <c r="L19" i="14"/>
  <c r="K19" i="14"/>
  <c r="D19" i="14"/>
  <c r="L18" i="14"/>
  <c r="K18" i="14"/>
  <c r="D18" i="14"/>
  <c r="L15" i="14"/>
  <c r="K15" i="14"/>
  <c r="D15" i="14"/>
  <c r="L12" i="14"/>
  <c r="K12" i="14"/>
  <c r="D12" i="14"/>
  <c r="L9" i="14"/>
  <c r="K9" i="14"/>
  <c r="D9" i="14"/>
  <c r="L6" i="14"/>
  <c r="K6" i="14"/>
  <c r="D6" i="14"/>
  <c r="T12" i="11"/>
  <c r="S12" i="11"/>
  <c r="D12" i="11"/>
  <c r="S9" i="11"/>
  <c r="D9" i="11"/>
  <c r="T6" i="11"/>
  <c r="S6" i="11"/>
  <c r="D6" i="11"/>
  <c r="L17" i="8"/>
  <c r="K17" i="8"/>
  <c r="D17" i="8"/>
  <c r="L14" i="8"/>
  <c r="K14" i="8"/>
  <c r="D14" i="8"/>
  <c r="L13" i="8"/>
  <c r="K13" i="8"/>
  <c r="D13" i="8"/>
  <c r="L10" i="8"/>
  <c r="K10" i="8"/>
  <c r="D10" i="8"/>
  <c r="L9" i="8"/>
  <c r="K9" i="8"/>
  <c r="D9" i="8"/>
  <c r="L6" i="8"/>
  <c r="K6" i="8"/>
  <c r="D6" i="8"/>
  <c r="L14" i="5"/>
  <c r="K14" i="5"/>
  <c r="D14" i="5"/>
  <c r="L11" i="5"/>
  <c r="K11" i="5"/>
  <c r="D11" i="5"/>
  <c r="L10" i="5"/>
  <c r="K10" i="5"/>
  <c r="D10" i="5"/>
  <c r="L9" i="5"/>
  <c r="K9" i="5"/>
  <c r="D9" i="5"/>
  <c r="L6" i="5"/>
  <c r="K6" i="5"/>
  <c r="D6" i="5"/>
</calcChain>
</file>

<file path=xl/sharedStrings.xml><?xml version="1.0" encoding="utf-8"?>
<sst xmlns="http://schemas.openxmlformats.org/spreadsheetml/2006/main" count="2141" uniqueCount="677">
  <si>
    <t>Name</t>
  </si>
  <si>
    <t>Team</t>
  </si>
  <si>
    <t>Town</t>
  </si>
  <si>
    <t>Squat</t>
  </si>
  <si>
    <t>Benchpress</t>
  </si>
  <si>
    <t>Deadlift</t>
  </si>
  <si>
    <t>Coach</t>
  </si>
  <si>
    <t>Pts</t>
  </si>
  <si>
    <t>Rec</t>
  </si>
  <si>
    <t>Body
weight</t>
  </si>
  <si>
    <t>Coef</t>
  </si>
  <si>
    <t>Total</t>
  </si>
  <si>
    <t>Age Class
Bith date/Age</t>
  </si>
  <si>
    <t>Shv/Mel</t>
  </si>
  <si>
    <t>Town/Region</t>
  </si>
  <si>
    <t>Body Weight Category  82.5</t>
  </si>
  <si>
    <t>Khudoleev Evgeniy</t>
  </si>
  <si>
    <t>1. Khudoleev Evgeniy</t>
  </si>
  <si>
    <t>Masters 70-74 (10.09.1946)/74</t>
  </si>
  <si>
    <t>80,80</t>
  </si>
  <si>
    <t>lichno</t>
  </si>
  <si>
    <t>Valday/Novgorodskaya oblast</t>
  </si>
  <si>
    <t>170,0</t>
  </si>
  <si>
    <t>180,0</t>
  </si>
  <si>
    <t>185,0</t>
  </si>
  <si>
    <t>Body Weight Category  100</t>
  </si>
  <si>
    <t>Pavlov Sergey</t>
  </si>
  <si>
    <t>1. Pavlov Sergey</t>
  </si>
  <si>
    <t>Open (30.05.1985)/35</t>
  </si>
  <si>
    <t>96,60</t>
  </si>
  <si>
    <t>Moskva</t>
  </si>
  <si>
    <t>270,0</t>
  </si>
  <si>
    <t>285,0</t>
  </si>
  <si>
    <t>292,5</t>
  </si>
  <si>
    <t>Shceulin Roman</t>
  </si>
  <si>
    <t>2. Shceulin Roman</t>
  </si>
  <si>
    <t>Open (12.02.1988)/32</t>
  </si>
  <si>
    <t>95,80</t>
  </si>
  <si>
    <t>Voskresensk/Moskovskaya oblast</t>
  </si>
  <si>
    <t>230,0</t>
  </si>
  <si>
    <t>245,0</t>
  </si>
  <si>
    <t>260,0</t>
  </si>
  <si>
    <t>Esayan Evgeniy</t>
  </si>
  <si>
    <t>3. Esayan Evgeniy</t>
  </si>
  <si>
    <t>Open (28.01.1993)/27</t>
  </si>
  <si>
    <t>97,10</t>
  </si>
  <si>
    <t>Body Weight Category  110</t>
  </si>
  <si>
    <t>Getmanchuk Anton</t>
  </si>
  <si>
    <t>1. Getmanchuk Anton</t>
  </si>
  <si>
    <t>Open (07.07.1981)/39</t>
  </si>
  <si>
    <t>103,00</t>
  </si>
  <si>
    <t>220,0</t>
  </si>
  <si>
    <t>240,0</t>
  </si>
  <si>
    <t>Meet director:</t>
  </si>
  <si>
    <t>Head secretary:</t>
  </si>
  <si>
    <t>Head Referee:</t>
  </si>
  <si>
    <t>Side Referyy Left:</t>
  </si>
  <si>
    <t>Side Referyy Right:</t>
  </si>
  <si>
    <t>Fligth secretary:</t>
  </si>
  <si>
    <t>List absolute winners</t>
  </si>
  <si>
    <t>Man</t>
  </si>
  <si>
    <t>Open</t>
  </si>
  <si>
    <t>Age class</t>
  </si>
  <si>
    <t>WC</t>
  </si>
  <si>
    <t>Totall</t>
  </si>
  <si>
    <t>100</t>
  </si>
  <si>
    <t>160,4550</t>
  </si>
  <si>
    <t>147,0040</t>
  </si>
  <si>
    <t>146,0160</t>
  </si>
  <si>
    <t>110</t>
  </si>
  <si>
    <t>125,9250</t>
  </si>
  <si>
    <t>Masters</t>
  </si>
  <si>
    <t>Masters 70-74</t>
  </si>
  <si>
    <t>82.5</t>
  </si>
  <si>
    <t>239,2468</t>
  </si>
  <si>
    <t>Result</t>
  </si>
  <si>
    <t>5-th Open Europe Champions Cup WPA/AWPA/WAA
WPA raw benchpress
Домодедово/Московская область 19 - 20 сентября 2020 г.</t>
  </si>
  <si>
    <t>Body Weight Category  67.5</t>
  </si>
  <si>
    <t>Lyalyakicheva Tatyana</t>
  </si>
  <si>
    <t>1. Lyalyakicheva Tatyana</t>
  </si>
  <si>
    <t>Open (21.03.1978)/42</t>
  </si>
  <si>
    <t>66,40</t>
  </si>
  <si>
    <t>Serpukhov/Moskovskaya oblast</t>
  </si>
  <si>
    <t>82,5</t>
  </si>
  <si>
    <t>87,5</t>
  </si>
  <si>
    <t>92,5</t>
  </si>
  <si>
    <t>Burtsev Dmitriy</t>
  </si>
  <si>
    <t>1. Burtsev Dmitriy</t>
  </si>
  <si>
    <t>Masters 40-44 (21.02.1977)/43</t>
  </si>
  <si>
    <t>77,80</t>
  </si>
  <si>
    <t>120,0</t>
  </si>
  <si>
    <t>125,0</t>
  </si>
  <si>
    <t>130,0</t>
  </si>
  <si>
    <t>90,0</t>
  </si>
  <si>
    <t>95,0</t>
  </si>
  <si>
    <t>100,0</t>
  </si>
  <si>
    <t>Body Weight Category  90</t>
  </si>
  <si>
    <t>Petrichenko Maksim</t>
  </si>
  <si>
    <t>1. Petrichenko Maksim</t>
  </si>
  <si>
    <t>Open (31.05.1987)/33</t>
  </si>
  <si>
    <t>83,70</t>
  </si>
  <si>
    <t>Ryazan/Ryazanskaya oblast</t>
  </si>
  <si>
    <t>160,0</t>
  </si>
  <si>
    <t>165,0</t>
  </si>
  <si>
    <t>Vetrov Vladimir</t>
  </si>
  <si>
    <t>1. Vetrov Vladimir</t>
  </si>
  <si>
    <t>Masters 55-59 (02.09.1964)/56</t>
  </si>
  <si>
    <t>86,80</t>
  </si>
  <si>
    <t>Domodedovo/Moskovskaya oblast</t>
  </si>
  <si>
    <t>Petrov A.I.</t>
  </si>
  <si>
    <t>Body Weight Category  140</t>
  </si>
  <si>
    <t>Zhiltsov Igor</t>
  </si>
  <si>
    <t>1. Zhiltsov Igor</t>
  </si>
  <si>
    <t>Masters 50-54 (14.08.1970)/50</t>
  </si>
  <si>
    <t>127,40</t>
  </si>
  <si>
    <t>140,0</t>
  </si>
  <si>
    <t>145,0</t>
  </si>
  <si>
    <t>150,0</t>
  </si>
  <si>
    <t>Women</t>
  </si>
  <si>
    <t>67.5</t>
  </si>
  <si>
    <t>73,0565</t>
  </si>
  <si>
    <t>90</t>
  </si>
  <si>
    <t>101,1780</t>
  </si>
  <si>
    <t>93,0750</t>
  </si>
  <si>
    <t>132,9149</t>
  </si>
  <si>
    <t>Masters 55-59</t>
  </si>
  <si>
    <t>111,2797</t>
  </si>
  <si>
    <t>Masters 50-54</t>
  </si>
  <si>
    <t>140</t>
  </si>
  <si>
    <t>91,1597</t>
  </si>
  <si>
    <t>Masters 40-44</t>
  </si>
  <si>
    <t>82,2162</t>
  </si>
  <si>
    <t>5-th Open Europe Champions Cup WPA/AWPA/WAA
WPA multi ply benchpress
Домодедово/Московская область 19 - 20 сентября 2020 г.</t>
  </si>
  <si>
    <t>Body Weight Category  75</t>
  </si>
  <si>
    <t>Gracheva Olga</t>
  </si>
  <si>
    <t>1. Gracheva Olga</t>
  </si>
  <si>
    <t>Masters 40-44 (19.09.1978)/42</t>
  </si>
  <si>
    <t>73,30</t>
  </si>
  <si>
    <t>107,5</t>
  </si>
  <si>
    <t>162,5</t>
  </si>
  <si>
    <t>Tarasova Yuliya</t>
  </si>
  <si>
    <t>1. Tarasova Yuliya</t>
  </si>
  <si>
    <t>Masters 45-49 (21.02.1974)/46</t>
  </si>
  <si>
    <t>81,00</t>
  </si>
  <si>
    <t>80,0</t>
  </si>
  <si>
    <t>85,0</t>
  </si>
  <si>
    <t>167,5</t>
  </si>
  <si>
    <t>Battakhov Petr</t>
  </si>
  <si>
    <t>1. Battakhov Petr</t>
  </si>
  <si>
    <t>Masters 65-69 (21.04.1952)/68</t>
  </si>
  <si>
    <t>99,70</t>
  </si>
  <si>
    <t>Yakutsk/Yakutiya</t>
  </si>
  <si>
    <t>175,0</t>
  </si>
  <si>
    <t>75</t>
  </si>
  <si>
    <t>420,0</t>
  </si>
  <si>
    <t>310,8850</t>
  </si>
  <si>
    <t>Masters 45-49</t>
  </si>
  <si>
    <t>425,0</t>
  </si>
  <si>
    <t>309,9859</t>
  </si>
  <si>
    <t>Masters 65-69</t>
  </si>
  <si>
    <t>405,0</t>
  </si>
  <si>
    <t>456,1288</t>
  </si>
  <si>
    <t>Body Weight Category  52</t>
  </si>
  <si>
    <t>Plakhotnyuk Nataliya</t>
  </si>
  <si>
    <t>1. Plakhotnyuk Nataliya</t>
  </si>
  <si>
    <t>Masters 45-49 (24.07.1973)/47</t>
  </si>
  <si>
    <t>51,10</t>
  </si>
  <si>
    <t>102,5</t>
  </si>
  <si>
    <t>115,0</t>
  </si>
  <si>
    <t>Body Weight Category  56</t>
  </si>
  <si>
    <t>Uganina Olga</t>
  </si>
  <si>
    <t>1. Uganina Olga</t>
  </si>
  <si>
    <t>Masters 40-44 (28.04.1979)/41</t>
  </si>
  <si>
    <t>56,00</t>
  </si>
  <si>
    <t>Chekhov/Moskovskaya oblast</t>
  </si>
  <si>
    <t>122,5</t>
  </si>
  <si>
    <t>127,5</t>
  </si>
  <si>
    <t>Body Weight Category  60</t>
  </si>
  <si>
    <t>Chernikova Elena</t>
  </si>
  <si>
    <t>1. Chernikova Elena</t>
  </si>
  <si>
    <t>Open (10.12.1984)/35</t>
  </si>
  <si>
    <t>59,80</t>
  </si>
  <si>
    <t>Ramenskoye/Moskovskaya oblast</t>
  </si>
  <si>
    <t>110,0</t>
  </si>
  <si>
    <t>117,5</t>
  </si>
  <si>
    <t>Romanova Nina</t>
  </si>
  <si>
    <t>1. Romanova Nina</t>
  </si>
  <si>
    <t>Masters 40-44 (19.05.1978)/42</t>
  </si>
  <si>
    <t>86,90</t>
  </si>
  <si>
    <t>155,0</t>
  </si>
  <si>
    <t>Nikolaenko Vyacheslav</t>
  </si>
  <si>
    <t>1. Nikolaenko Vyacheslav</t>
  </si>
  <si>
    <t>Juniors 20-23 (11.10.1999)/20</t>
  </si>
  <si>
    <t>73,50</t>
  </si>
  <si>
    <t>Balashikha/Moskovskaya oblast</t>
  </si>
  <si>
    <t>215,0</t>
  </si>
  <si>
    <t>232,5</t>
  </si>
  <si>
    <t>Gostyaev Semen</t>
  </si>
  <si>
    <t>1. Gostyaev Semen</t>
  </si>
  <si>
    <t>Open (27.01.1992)/28</t>
  </si>
  <si>
    <t>68,10</t>
  </si>
  <si>
    <t>Khimki/Moskovskaya oblast</t>
  </si>
  <si>
    <t>205,0</t>
  </si>
  <si>
    <t>210,0</t>
  </si>
  <si>
    <t>212,5</t>
  </si>
  <si>
    <t>Misiyuk Vyacheslav</t>
  </si>
  <si>
    <t>1. Misiyuk Vyacheslav</t>
  </si>
  <si>
    <t>Open (11.11.1984)/35</t>
  </si>
  <si>
    <t>88,60</t>
  </si>
  <si>
    <t>Dorogobuzh/Smolenskaya oblast</t>
  </si>
  <si>
    <t>235,0</t>
  </si>
  <si>
    <t>Bogrintsev Vladimir</t>
  </si>
  <si>
    <t>2. Bogrintsev Vladimir</t>
  </si>
  <si>
    <t>Open (12.05.1992)/28</t>
  </si>
  <si>
    <t>89,80</t>
  </si>
  <si>
    <t>207,5</t>
  </si>
  <si>
    <t>222,5</t>
  </si>
  <si>
    <t>Aksenov Roman</t>
  </si>
  <si>
    <t>1. Aksenov Roman</t>
  </si>
  <si>
    <t>Juniors 20-23 (25.11.1996)/23</t>
  </si>
  <si>
    <t>97,00</t>
  </si>
  <si>
    <t>195,0</t>
  </si>
  <si>
    <t>60</t>
  </si>
  <si>
    <t>94,9080</t>
  </si>
  <si>
    <t>56</t>
  </si>
  <si>
    <t>118,9418</t>
  </si>
  <si>
    <t>52</t>
  </si>
  <si>
    <t>115,3357</t>
  </si>
  <si>
    <t>107,8157</t>
  </si>
  <si>
    <t>Juniors</t>
  </si>
  <si>
    <t>Juniors 20-23</t>
  </si>
  <si>
    <t>165,4240</t>
  </si>
  <si>
    <t>120,8085</t>
  </si>
  <si>
    <t>153,0212</t>
  </si>
  <si>
    <t>138,8850</t>
  </si>
  <si>
    <t>130,4072</t>
  </si>
  <si>
    <t>Body Weight Category  48</t>
  </si>
  <si>
    <t>Mochalova Nadezhda</t>
  </si>
  <si>
    <t>1. Mochalova Nadezhda</t>
  </si>
  <si>
    <t>Teen 13-15 (22.02.2007)/13</t>
  </si>
  <si>
    <t>47,90</t>
  </si>
  <si>
    <t>Megalift</t>
  </si>
  <si>
    <t>60,0</t>
  </si>
  <si>
    <t>65,0</t>
  </si>
  <si>
    <t>67,5</t>
  </si>
  <si>
    <t>Kvitchenko Diana</t>
  </si>
  <si>
    <t>1. Kvitchenko Diana</t>
  </si>
  <si>
    <t>Open (22.08.1983)/37</t>
  </si>
  <si>
    <t>47,30</t>
  </si>
  <si>
    <t>Obninsk/Kaluzhskaya oblast</t>
  </si>
  <si>
    <t>52,5</t>
  </si>
  <si>
    <t>Zaytseva Anna</t>
  </si>
  <si>
    <t>1. Zaytseva Anna</t>
  </si>
  <si>
    <t>Open (20.05.1993)/27</t>
  </si>
  <si>
    <t>51,40</t>
  </si>
  <si>
    <t>57,5</t>
  </si>
  <si>
    <t>62,5</t>
  </si>
  <si>
    <t>Verenikina Mariya</t>
  </si>
  <si>
    <t>1. Verenikina Mariya</t>
  </si>
  <si>
    <t>Open (14.10.1985)/34</t>
  </si>
  <si>
    <t>55,50</t>
  </si>
  <si>
    <t>72,5</t>
  </si>
  <si>
    <t>Mikhno Victoriya</t>
  </si>
  <si>
    <t>2. Mikhno Victoriya</t>
  </si>
  <si>
    <t>Open (16.01.1992)/28</t>
  </si>
  <si>
    <t>53,70</t>
  </si>
  <si>
    <t>Krasnodar/Krasnodarskiy kray</t>
  </si>
  <si>
    <t>Rogachev Artur</t>
  </si>
  <si>
    <t>1. Rogachev Artur</t>
  </si>
  <si>
    <t>Open (22.08.1993)/27</t>
  </si>
  <si>
    <t>59,60</t>
  </si>
  <si>
    <t>Krasnoznamensk/Moskovskaya oblast</t>
  </si>
  <si>
    <t>105,0</t>
  </si>
  <si>
    <t>112,5</t>
  </si>
  <si>
    <t>Goncharov Maksim</t>
  </si>
  <si>
    <t>1. Goncharov Maksim</t>
  </si>
  <si>
    <t>Teen 18-19 (01.04.2001)/19</t>
  </si>
  <si>
    <t>66,90</t>
  </si>
  <si>
    <t>132,5</t>
  </si>
  <si>
    <t>Roschin Aleksandr</t>
  </si>
  <si>
    <t>1. Roschin Aleksandr</t>
  </si>
  <si>
    <t>Juniors 20-23 (01.07.1998)/22</t>
  </si>
  <si>
    <t>65,10</t>
  </si>
  <si>
    <t>Open (01.04.2001)/19</t>
  </si>
  <si>
    <t>Isaenkov Dmitriy</t>
  </si>
  <si>
    <t>1. Isaenkov Dmitriy</t>
  </si>
  <si>
    <t>Open (15.12.1986)/33</t>
  </si>
  <si>
    <t>73,80</t>
  </si>
  <si>
    <t>Krasnogorsk/Moskovskaya oblast</t>
  </si>
  <si>
    <t>135,0</t>
  </si>
  <si>
    <t>Karpov Ivan</t>
  </si>
  <si>
    <t>2. Karpov Ivan</t>
  </si>
  <si>
    <t>Open (09.12.1987)/32</t>
  </si>
  <si>
    <t>Gusev Egor</t>
  </si>
  <si>
    <t>1. Gusev Egor</t>
  </si>
  <si>
    <t>Teen 13-15 (17.06.2005)/15</t>
  </si>
  <si>
    <t>80,60</t>
  </si>
  <si>
    <t>Timofeev Konstantin</t>
  </si>
  <si>
    <t>1. Timofeev Konstantin</t>
  </si>
  <si>
    <t>Open (18.08.1984)/36</t>
  </si>
  <si>
    <t>80,20</t>
  </si>
  <si>
    <t>Shchelkovo/Moskovskaya oblast</t>
  </si>
  <si>
    <t>Anzharini Yazan</t>
  </si>
  <si>
    <t>1. Anzharini Yazan</t>
  </si>
  <si>
    <t>Teen 16-17 (06.09.2004)/16</t>
  </si>
  <si>
    <t>87,30</t>
  </si>
  <si>
    <t>50,0</t>
  </si>
  <si>
    <t>-. Prokhorov Arseniy</t>
  </si>
  <si>
    <t>Juniors 20-23 (08.05.1997)/23</t>
  </si>
  <si>
    <t>88,20</t>
  </si>
  <si>
    <t>152,5</t>
  </si>
  <si>
    <t>Seferov Rafat</t>
  </si>
  <si>
    <t>1. Seferov Rafat</t>
  </si>
  <si>
    <t>Open (10.01.1995)/25</t>
  </si>
  <si>
    <t>89,10</t>
  </si>
  <si>
    <t>157,5</t>
  </si>
  <si>
    <t>Moroz Vitaliy</t>
  </si>
  <si>
    <t>2. Moroz Vitaliy</t>
  </si>
  <si>
    <t>Open (21.04.1991)/29</t>
  </si>
  <si>
    <t>87,00</t>
  </si>
  <si>
    <t>Nakhabino/Moskovskaya oblast</t>
  </si>
  <si>
    <t>Nikonov Denis</t>
  </si>
  <si>
    <t>3. Nikonov Denis</t>
  </si>
  <si>
    <t>Open (21.03.1982)/38</t>
  </si>
  <si>
    <t>87,70</t>
  </si>
  <si>
    <t>Kraynov Denis</t>
  </si>
  <si>
    <t>4. Kraynov Denis</t>
  </si>
  <si>
    <t>Open (28.02.1986)/34</t>
  </si>
  <si>
    <t>83,80</t>
  </si>
  <si>
    <t>-. Chub Igor</t>
  </si>
  <si>
    <t>Open (19.06.1996)/24</t>
  </si>
  <si>
    <t>85,80</t>
  </si>
  <si>
    <t>147,5</t>
  </si>
  <si>
    <t>Grigoryants Roman</t>
  </si>
  <si>
    <t>1. Grigoryants Roman</t>
  </si>
  <si>
    <t>Sub Masters 33-39 (17.05.1983)/37</t>
  </si>
  <si>
    <t>88,90</t>
  </si>
  <si>
    <t>Vladivostok/Primorskiy kray</t>
  </si>
  <si>
    <t>Pletnev Matvey</t>
  </si>
  <si>
    <t>1. Pletnev Matvey</t>
  </si>
  <si>
    <t>Teen 18-19 (14.12.2000)/19</t>
  </si>
  <si>
    <t>99,00</t>
  </si>
  <si>
    <t>Ivanov Mikhail</t>
  </si>
  <si>
    <t>1. Ivanov Mikhail</t>
  </si>
  <si>
    <t>Open (02.06.1986)/34</t>
  </si>
  <si>
    <t>Radzhabov Bakhtier</t>
  </si>
  <si>
    <t>2. Radzhabov Bakhtier</t>
  </si>
  <si>
    <t>Open (23.08.1996)/24</t>
  </si>
  <si>
    <t>95,20</t>
  </si>
  <si>
    <t>Volkov Vyacheslav</t>
  </si>
  <si>
    <t>1. Volkov Vyacheslav</t>
  </si>
  <si>
    <t>Masters 45-49 (13.11.1971)/48</t>
  </si>
  <si>
    <t>95,50</t>
  </si>
  <si>
    <t>Zelenograd/Moskovskaya oblast</t>
  </si>
  <si>
    <t>182,5</t>
  </si>
  <si>
    <t>192,5</t>
  </si>
  <si>
    <t>Medvedev Vladimir</t>
  </si>
  <si>
    <t>2. Medvedev Vladimir</t>
  </si>
  <si>
    <t>Masters 45-49 (15.02.1975)/45</t>
  </si>
  <si>
    <t>96,20</t>
  </si>
  <si>
    <t>Mantserov Aleksandr</t>
  </si>
  <si>
    <t>1. Mantserov Aleksandr</t>
  </si>
  <si>
    <t>Open (13.06.1983)/37</t>
  </si>
  <si>
    <t>110,00</t>
  </si>
  <si>
    <t>Omsk/Omskaya oblast</t>
  </si>
  <si>
    <t>190,0</t>
  </si>
  <si>
    <t>200,0</t>
  </si>
  <si>
    <t>Varchev Sergey</t>
  </si>
  <si>
    <t>1. Varchev Sergey</t>
  </si>
  <si>
    <t>Sub Masters 33-39 (31.10.1980)/39</t>
  </si>
  <si>
    <t>108,00</t>
  </si>
  <si>
    <t>Odintsovo/Moskovskaya oblast</t>
  </si>
  <si>
    <t>Kiriyak Oleg</t>
  </si>
  <si>
    <t>1. Kiriyak Oleg</t>
  </si>
  <si>
    <t>Masters 40-44 (17.02.1976)/44</t>
  </si>
  <si>
    <t>108,50</t>
  </si>
  <si>
    <t>142,5</t>
  </si>
  <si>
    <t>Yakovenko Vladimir</t>
  </si>
  <si>
    <t>1. Yakovenko Vladimir</t>
  </si>
  <si>
    <t>Masters 60-64 (27.03.1959)/61</t>
  </si>
  <si>
    <t>109,90</t>
  </si>
  <si>
    <t>Mozhaysk/Moskovskaya oblast</t>
  </si>
  <si>
    <t>Body Weight Category  125</t>
  </si>
  <si>
    <t>Guseynov Ruslan</t>
  </si>
  <si>
    <t>1. Guseynov Ruslan</t>
  </si>
  <si>
    <t>Open (04.09.1992)/28</t>
  </si>
  <si>
    <t>122,50</t>
  </si>
  <si>
    <t>177,5</t>
  </si>
  <si>
    <t>Usoltsev Evgeniy</t>
  </si>
  <si>
    <t>1. Usoltsev Evgeniy</t>
  </si>
  <si>
    <t>Masters 50-54 (01.02.1970)/50</t>
  </si>
  <si>
    <t>122,00</t>
  </si>
  <si>
    <t>216,0</t>
  </si>
  <si>
    <t>Bichkov Igor</t>
  </si>
  <si>
    <t>2. Bichkov Igor</t>
  </si>
  <si>
    <t>Masters 50-54 (18.06.1970)/50</t>
  </si>
  <si>
    <t>119,50</t>
  </si>
  <si>
    <t>172,5</t>
  </si>
  <si>
    <t>Teen</t>
  </si>
  <si>
    <t>Teen 13-15</t>
  </si>
  <si>
    <t>48</t>
  </si>
  <si>
    <t>67,2945</t>
  </si>
  <si>
    <t>61,9650</t>
  </si>
  <si>
    <t>61,3145</t>
  </si>
  <si>
    <t>61,1125</t>
  </si>
  <si>
    <t>55,9597</t>
  </si>
  <si>
    <t>Teen 18-19</t>
  </si>
  <si>
    <t>96,9503</t>
  </si>
  <si>
    <t>69,2450</t>
  </si>
  <si>
    <t>66,7800</t>
  </si>
  <si>
    <t>Teen 16-17</t>
  </si>
  <si>
    <t>29,8250</t>
  </si>
  <si>
    <t>86,2845</t>
  </si>
  <si>
    <t>112,6650</t>
  </si>
  <si>
    <t>125</t>
  </si>
  <si>
    <t>95,6847</t>
  </si>
  <si>
    <t>92,7518</t>
  </si>
  <si>
    <t>92,0812</t>
  </si>
  <si>
    <t>91,3088</t>
  </si>
  <si>
    <t>90,8550</t>
  </si>
  <si>
    <t>87,4900</t>
  </si>
  <si>
    <t>79,2085</t>
  </si>
  <si>
    <t>78,7977</t>
  </si>
  <si>
    <t>75,8160</t>
  </si>
  <si>
    <t>73,7360</t>
  </si>
  <si>
    <t>61,2700</t>
  </si>
  <si>
    <t>Sub</t>
  </si>
  <si>
    <t>Sub Masters 33-39</t>
  </si>
  <si>
    <t>102,4290</t>
  </si>
  <si>
    <t>97,3005</t>
  </si>
  <si>
    <t>Masters 60-64</t>
  </si>
  <si>
    <t>132,2719</t>
  </si>
  <si>
    <t>125,4875</t>
  </si>
  <si>
    <t>121,7672</t>
  </si>
  <si>
    <t>106,7154</t>
  </si>
  <si>
    <t>81,8758</t>
  </si>
  <si>
    <t>76,8666</t>
  </si>
  <si>
    <t>Ivanyuk Eleonora</t>
  </si>
  <si>
    <t>1. Ivanyuk Eleonora</t>
  </si>
  <si>
    <t>Masters 45-49 (08.10.1970)/49</t>
  </si>
  <si>
    <t>48,00</t>
  </si>
  <si>
    <t>75,0</t>
  </si>
  <si>
    <t>40,0</t>
  </si>
  <si>
    <t>45,0</t>
  </si>
  <si>
    <t>Zharikova Viktoria</t>
  </si>
  <si>
    <t>1. Zharikova Viktoria</t>
  </si>
  <si>
    <t>Masters 40-44 (11.10.1977)/42</t>
  </si>
  <si>
    <t>58,60</t>
  </si>
  <si>
    <t>70,0</t>
  </si>
  <si>
    <t>Zmunchile Mikhail</t>
  </si>
  <si>
    <t>1. Zmunchile Mikhail</t>
  </si>
  <si>
    <t>Open (25.05.1983)/37</t>
  </si>
  <si>
    <t>225,0</t>
  </si>
  <si>
    <t>Kutliyarov Renat</t>
  </si>
  <si>
    <t>1. Kutliyarov Renat</t>
  </si>
  <si>
    <t>Masters 40-44 (05.05.1977)/43</t>
  </si>
  <si>
    <t>84,30</t>
  </si>
  <si>
    <t>Pushchino/Moskovskaya oblast</t>
  </si>
  <si>
    <t>Rakhmonov Ubaydullo</t>
  </si>
  <si>
    <t>1. Rakhmonov Ubaydullo</t>
  </si>
  <si>
    <t>Teen 18-19 (12.05.2001)/19</t>
  </si>
  <si>
    <t>94,60</t>
  </si>
  <si>
    <t>Tadzhikistan</t>
  </si>
  <si>
    <t>Kogan Aleksandr</t>
  </si>
  <si>
    <t>1. Kogan Aleksandr</t>
  </si>
  <si>
    <t>Open (19.01.1984)/36</t>
  </si>
  <si>
    <t>102,50</t>
  </si>
  <si>
    <t>Vorobev Vladimir</t>
  </si>
  <si>
    <t>1. Vorobev Vladimir</t>
  </si>
  <si>
    <t>Open (20.08.1985)/35</t>
  </si>
  <si>
    <t>122,60</t>
  </si>
  <si>
    <t>289,6974</t>
  </si>
  <si>
    <t>188,1470</t>
  </si>
  <si>
    <t>495,0</t>
  </si>
  <si>
    <t>281,7045</t>
  </si>
  <si>
    <t>550,0</t>
  </si>
  <si>
    <t>325,0500</t>
  </si>
  <si>
    <t>475,0</t>
  </si>
  <si>
    <t>248,9950</t>
  </si>
  <si>
    <t>427,5</t>
  </si>
  <si>
    <t>234,4838</t>
  </si>
  <si>
    <t>365,0</t>
  </si>
  <si>
    <t>226,7320</t>
  </si>
  <si>
    <t>Overhead press</t>
  </si>
  <si>
    <t>Berezovskiy Stepan</t>
  </si>
  <si>
    <t>1. Berezovskiy Stepan</t>
  </si>
  <si>
    <t>Open (26.08.1988)/32</t>
  </si>
  <si>
    <t>93,30</t>
  </si>
  <si>
    <t>Irkutsk/Irkutskaya oblast</t>
  </si>
  <si>
    <t>77,5</t>
  </si>
  <si>
    <t>Kushnir Vladimir</t>
  </si>
  <si>
    <t>1. Kushnir Vladimir</t>
  </si>
  <si>
    <t>Masters 40-44 (22.03.1977)/43</t>
  </si>
  <si>
    <t>116,10</t>
  </si>
  <si>
    <t>Kolmakov Yuriy</t>
  </si>
  <si>
    <t>1. Kolmakov Yuriy</t>
  </si>
  <si>
    <t>Open (06.05.1983)/37</t>
  </si>
  <si>
    <t>127,90</t>
  </si>
  <si>
    <t>67,2750</t>
  </si>
  <si>
    <t>44,4385</t>
  </si>
  <si>
    <t>48,5952</t>
  </si>
  <si>
    <t>Biceps curl</t>
  </si>
  <si>
    <t>Filyuk Vyacheslav</t>
  </si>
  <si>
    <t>1. Filyuk Vyacheslav</t>
  </si>
  <si>
    <t>Teen 18-19 (13.04.2002)/18</t>
  </si>
  <si>
    <t>85,40</t>
  </si>
  <si>
    <t>55,0</t>
  </si>
  <si>
    <t>1. Medvedev Vladimir</t>
  </si>
  <si>
    <t>30,2500</t>
  </si>
  <si>
    <t>42,9200</t>
  </si>
  <si>
    <t>31,0423</t>
  </si>
  <si>
    <t>Litkina Alla</t>
  </si>
  <si>
    <t>1. Litkina Alla</t>
  </si>
  <si>
    <t>Open (25.07.1983)/37</t>
  </si>
  <si>
    <t>56,80</t>
  </si>
  <si>
    <t>20,0</t>
  </si>
  <si>
    <t>22,5</t>
  </si>
  <si>
    <t>25,0</t>
  </si>
  <si>
    <t>Sergeeva Victoria</t>
  </si>
  <si>
    <t>1. Sergeeva Victoria</t>
  </si>
  <si>
    <t>Open (08.12.1982)/37</t>
  </si>
  <si>
    <t>66,70</t>
  </si>
  <si>
    <t>Nadym/Yamalo-Nenetskiy avt. okr.</t>
  </si>
  <si>
    <t>22,5150</t>
  </si>
  <si>
    <t>17,7008</t>
  </si>
  <si>
    <t>39,8580</t>
  </si>
  <si>
    <t>36,9563</t>
  </si>
  <si>
    <t>34,4040</t>
  </si>
  <si>
    <t>36,4464</t>
  </si>
  <si>
    <t>Gloss</t>
  </si>
  <si>
    <t>Rakov Ivan</t>
  </si>
  <si>
    <t>1. Rakov Ivan</t>
  </si>
  <si>
    <t>Open (31.05.1992)/28</t>
  </si>
  <si>
    <t>94,80</t>
  </si>
  <si>
    <t>250,0</t>
  </si>
  <si>
    <t>148,8750</t>
  </si>
  <si>
    <t>134,9724</t>
  </si>
  <si>
    <t>Mochalov Ivan</t>
  </si>
  <si>
    <t>1. Mochalov Ivan</t>
  </si>
  <si>
    <t>Open (07.01.1986)/34</t>
  </si>
  <si>
    <t>81,50</t>
  </si>
  <si>
    <t>Flitsler Andrey</t>
  </si>
  <si>
    <t>1. Flitsler Andrey</t>
  </si>
  <si>
    <t>Open (11.04.1984)/36</t>
  </si>
  <si>
    <t>108,60</t>
  </si>
  <si>
    <t>Kaliningrad/Kaliningradskaya oblast</t>
  </si>
  <si>
    <t>142,9450</t>
  </si>
  <si>
    <t>112,9100</t>
  </si>
  <si>
    <t>Multi.rpt. benchpress</t>
  </si>
  <si>
    <t>Pchikhachev Aslanbek</t>
  </si>
  <si>
    <t>1. Pchikhachev Aslanbek</t>
  </si>
  <si>
    <t>Open (20.08.1995)/25</t>
  </si>
  <si>
    <t>77,30</t>
  </si>
  <si>
    <t>Maykop/Adygeya</t>
  </si>
  <si>
    <t>59,0</t>
  </si>
  <si>
    <t>Lavrov Vladimir</t>
  </si>
  <si>
    <t>1. Lavrov Vladimir</t>
  </si>
  <si>
    <t>Open (12.11.1976)/43</t>
  </si>
  <si>
    <t>84,70</t>
  </si>
  <si>
    <t>36,0</t>
  </si>
  <si>
    <t>Izhikov Filipp</t>
  </si>
  <si>
    <t>1. Izhikov Filipp</t>
  </si>
  <si>
    <t>Open (30.10.1975)/44</t>
  </si>
  <si>
    <t>97,5</t>
  </si>
  <si>
    <t>27,0</t>
  </si>
  <si>
    <t>Shevchenko Victor</t>
  </si>
  <si>
    <t>2. Shevchenko Victor</t>
  </si>
  <si>
    <t>Open (24.07.1985)/35</t>
  </si>
  <si>
    <t>92,10</t>
  </si>
  <si>
    <t>22,0</t>
  </si>
  <si>
    <t>4572,5</t>
  </si>
  <si>
    <t>3080,2647</t>
  </si>
  <si>
    <t>3060,0</t>
  </si>
  <si>
    <t>1940,0400</t>
  </si>
  <si>
    <t>2632,5</t>
  </si>
  <si>
    <t>1550,1477</t>
  </si>
  <si>
    <t>2035,0</t>
  </si>
  <si>
    <t>1229,7505</t>
  </si>
  <si>
    <t>Weight</t>
  </si>
  <si>
    <t>Rpt</t>
  </si>
  <si>
    <t>5-th Open Europe Champions Cup WPA/AWPA/WAA
Multy-repeat BP 1 bw. AWPC
Домодедово/Московская область 19 - 20 сентября 2020 г.</t>
  </si>
  <si>
    <t>Feldberg Aleksandr</t>
  </si>
  <si>
    <t>1. Feldberg Aleksandr</t>
  </si>
  <si>
    <t>Open (23.07.1988)/32</t>
  </si>
  <si>
    <t>80,30</t>
  </si>
  <si>
    <t>26,0</t>
  </si>
  <si>
    <t>2860,0</t>
  </si>
  <si>
    <t>1608,7500</t>
  </si>
  <si>
    <t>2062,5</t>
  </si>
  <si>
    <t>1353,3093</t>
  </si>
  <si>
    <t>Stupina Nataliya</t>
  </si>
  <si>
    <t>1. Stupina Nataliya</t>
  </si>
  <si>
    <t>Open (12.07.1993)/27</t>
  </si>
  <si>
    <t>53,50</t>
  </si>
  <si>
    <t>27,5</t>
  </si>
  <si>
    <t>16,0</t>
  </si>
  <si>
    <t>440,0</t>
  </si>
  <si>
    <t>476,4320</t>
  </si>
  <si>
    <t>Wilks</t>
  </si>
  <si>
    <t>Armlift</t>
  </si>
  <si>
    <t>Body Weight Category  125+</t>
  </si>
  <si>
    <t>30,0</t>
  </si>
  <si>
    <t>32,5</t>
  </si>
  <si>
    <t>35,0</t>
  </si>
  <si>
    <t>125+</t>
  </si>
  <si>
    <t>18,4373</t>
  </si>
  <si>
    <t>Galkin Sergey</t>
  </si>
  <si>
    <t>1. Galkin Sergey</t>
  </si>
  <si>
    <t>Open (02.06.1989)/31</t>
  </si>
  <si>
    <t>58,1800</t>
  </si>
  <si>
    <t>64,1155</t>
  </si>
  <si>
    <t>30,5</t>
  </si>
  <si>
    <t>33,0</t>
  </si>
  <si>
    <t>35,5</t>
  </si>
  <si>
    <t>38,0</t>
  </si>
  <si>
    <t>45,5</t>
  </si>
  <si>
    <t>50,5</t>
  </si>
  <si>
    <t>55,5</t>
  </si>
  <si>
    <t>60,5</t>
  </si>
  <si>
    <t>Petrov Danil</t>
  </si>
  <si>
    <t>1. Petrov Danil</t>
  </si>
  <si>
    <t>Open (19.12.1980)/39</t>
  </si>
  <si>
    <t>111,40</t>
  </si>
  <si>
    <t>70,5</t>
  </si>
  <si>
    <t>80,5</t>
  </si>
  <si>
    <t>83,0</t>
  </si>
  <si>
    <t>Master 40+ (22.03.1977)/43</t>
  </si>
  <si>
    <t>65,5</t>
  </si>
  <si>
    <t>44,2168</t>
  </si>
  <si>
    <t>47,1972</t>
  </si>
  <si>
    <t>37,9456</t>
  </si>
  <si>
    <t>Master</t>
  </si>
  <si>
    <t>Master 40+</t>
  </si>
  <si>
    <t>46,6578</t>
  </si>
  <si>
    <t>Enina Elena</t>
  </si>
  <si>
    <t>1. Enina Elena</t>
  </si>
  <si>
    <t>Open (10.05.1989)/31</t>
  </si>
  <si>
    <t>50,90</t>
  </si>
  <si>
    <t>Kursk/Kurskaya oblast</t>
  </si>
  <si>
    <t>2. Litkina Alla</t>
  </si>
  <si>
    <t>Body Weight Category  70</t>
  </si>
  <si>
    <t>Ershova Evgeniya</t>
  </si>
  <si>
    <t>1. Ershova Evgeniya</t>
  </si>
  <si>
    <t>Open (28.03.1992)/28</t>
  </si>
  <si>
    <t>61,20</t>
  </si>
  <si>
    <t>110,8888</t>
  </si>
  <si>
    <t>93,0880</t>
  </si>
  <si>
    <t>70</t>
  </si>
  <si>
    <t>76,8600</t>
  </si>
  <si>
    <t>93,8080</t>
  </si>
  <si>
    <t>72,1280</t>
  </si>
  <si>
    <t>92,7360</t>
  </si>
  <si>
    <t>Korikov Yuriy</t>
  </si>
  <si>
    <t>1. Korikov Yuriy</t>
  </si>
  <si>
    <t>Open (24.04.1962)/58</t>
  </si>
  <si>
    <t>82,10</t>
  </si>
  <si>
    <t>Masters 55-59 (24.04.1962)/58</t>
  </si>
  <si>
    <t>111,8520</t>
  </si>
  <si>
    <t>171,6928</t>
  </si>
  <si>
    <t>5-th Open Europe Champions Cup WPA/AWPA/WAA
WPA standart ply benchpress
Domodedovo/Moscow Oblast September 19 - 20, 2020</t>
  </si>
  <si>
    <t>5-th Open Europe Champions Cup WPA/AWPA/WAA
Arm lifting  «Russian Axle»
Domodedovo/Moscow Oblast September 19 - 20, 2020</t>
  </si>
  <si>
    <t>5-th Open Europe Champions Cup WPA/AWPA/WAA
Arm lifting «Russian Roulette»
Domodedovo/Moscow Oblast September 19 - 20, 2020</t>
  </si>
  <si>
    <t>5-th Open Europe Champions Cup WPA/AWPA/WAA
Arm lifting  «Excalibur»
Domodedovo/Moscow Oblast September 19 - 20, 2020</t>
  </si>
  <si>
    <t>5-th Open Europe Champions Cup WPA/AWPA/WAA
Arm lifting «HUB»
Domodedovo/Moscow Oblast September 19 - 20, 2020</t>
  </si>
  <si>
    <t>5-th Open Europe Champions Cup WPA/AWPA/WAA
Multy-repeat BP 1/2 bw. AWPC
Domodedovo/Moscow Oblast September 19 - 20, 2020</t>
  </si>
  <si>
    <t>5-th Open Europe Champions Cup WPA/AWPA/WAA
Multy-repeat BP 1 bw. WPC
Domodedovo/Moscow Oblast September 19 - 20, 2020</t>
  </si>
  <si>
    <t>5-th Open Europe Champions Cup WPA/AWPA/WAA
AWPC st. soft eq. benchpress
Domodedovo/Moscow Oblast September 19 - 20, 2020</t>
  </si>
  <si>
    <t>5-th Open Europe Champions Cup WPA/AWPA/WAA
WPC st. soft eq. benchpress
Domodedovo/Moscow Oblast September 19 - 20, 2020</t>
  </si>
  <si>
    <t>5-th Open Europe Champions Cup WPA/AWPA/WAA
WPA Strict Curl
Domodedovo/Moscow Oblast September 19 - 20, 2020</t>
  </si>
  <si>
    <t>5-th Open Europe Champions Cup WPA/AWPA/WAA
AWPA Strict Curl
Domodedovo/Moscow Oblast September 19 - 20, 2020</t>
  </si>
  <si>
    <t>5-th Open Europe Champions Cup WPA/AWPA/WAA
WPA OVERHEAD BENCH
Domodedovo/Moscow Oblast September 19 - 20, 2020</t>
  </si>
  <si>
    <t>5-th Open Europe Champions Cup WPA/AWPA/WAA
AWPA raw powerlifting
Domodedovo/Moscow Oblast September 19 - 20, 2020</t>
  </si>
  <si>
    <t>5-th Open Europe Champions Cup WPA/AWPA/WAA
AWPA raw benchpress
Domodedovo/Moscow Oblast September 19 - 20, 2020</t>
  </si>
  <si>
    <t>5-th Open Europe Champions Cup WPA/AWPA/WAA
AWPA raw deadlift
Domodedovo/Moscow Oblast September 19 - 20, 2020</t>
  </si>
  <si>
    <t>5-th Open Europe Champions Cup WPA/AWPA/WAA
WPA raw powerlifting
Domodedovo/Moscow Oblast September 19 - 20, 2020</t>
  </si>
  <si>
    <t>5-th Open Europe Champions Cup WPA/AWPA/WAA
WPA raw deadlift
Domodedovo/Moscow Oblast September 19 - 20, 2020</t>
  </si>
  <si>
    <t>="309,9859"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</si>
</sst>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000"/>
  </numFmts>
  <fonts count="9" x14ac:knownFonts="1">
    <font>
      <sz val="10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b/>
      <sz val="24"/>
      <name val="Arial Cyr"/>
      <charset val="204"/>
    </font>
    <font>
      <sz val="12"/>
      <name val="Arial Cyr"/>
      <charset val="204"/>
    </font>
    <font>
      <i/>
      <sz val="12"/>
      <name val="Arial Cyr"/>
      <charset val="204"/>
    </font>
    <font>
      <strike/>
      <sz val="10"/>
      <name val="Arial Cyr"/>
      <charset val="204"/>
    </font>
    <font>
      <sz val="14"/>
      <name val="Arial Cyr"/>
      <charset val="204"/>
    </font>
    <font>
      <i/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49" fontId="2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left"/>
    </xf>
    <xf numFmtId="49" fontId="0" fillId="0" borderId="0" xfId="0" applyNumberFormat="1" applyFont="1" applyFill="1" applyBorder="1" applyAlignment="1">
      <alignment horizontal="center"/>
    </xf>
    <xf numFmtId="0" fontId="0" fillId="0" borderId="0" xfId="0" applyNumberFormat="1" applyFont="1" applyFill="1" applyBorder="1" applyAlignment="1">
      <alignment horizontal="center"/>
    </xf>
    <xf numFmtId="0" fontId="0" fillId="0" borderId="0" xfId="0" applyNumberFormat="1" applyFont="1" applyFill="1" applyBorder="1" applyAlignment="1">
      <alignment horizontal="left"/>
    </xf>
    <xf numFmtId="0" fontId="0" fillId="0" borderId="0" xfId="0" applyFont="1" applyFill="1" applyBorder="1" applyAlignment="1">
      <alignment horizontal="left"/>
    </xf>
    <xf numFmtId="165" fontId="0" fillId="0" borderId="0" xfId="0" applyNumberFormat="1" applyFont="1" applyFill="1" applyBorder="1" applyAlignment="1">
      <alignment horizontal="center"/>
    </xf>
    <xf numFmtId="164" fontId="0" fillId="0" borderId="0" xfId="0" applyNumberFormat="1" applyFont="1" applyFill="1" applyBorder="1" applyAlignment="1">
      <alignment horizontal="left"/>
    </xf>
    <xf numFmtId="164" fontId="0" fillId="0" borderId="0" xfId="0" applyNumberFormat="1" applyFont="1" applyFill="1" applyBorder="1" applyAlignment="1">
      <alignment horizontal="center"/>
    </xf>
    <xf numFmtId="49" fontId="2" fillId="0" borderId="3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0" fillId="0" borderId="15" xfId="0" applyNumberFormat="1" applyFont="1" applyFill="1" applyBorder="1" applyAlignment="1">
      <alignment horizontal="left"/>
    </xf>
    <xf numFmtId="49" fontId="0" fillId="0" borderId="15" xfId="0" applyNumberFormat="1" applyFont="1" applyFill="1" applyBorder="1" applyAlignment="1">
      <alignment horizontal="center"/>
    </xf>
    <xf numFmtId="49" fontId="6" fillId="0" borderId="15" xfId="0" applyNumberFormat="1" applyFont="1" applyFill="1" applyBorder="1" applyAlignment="1">
      <alignment horizontal="center"/>
    </xf>
    <xf numFmtId="49" fontId="0" fillId="0" borderId="12" xfId="0" applyNumberFormat="1" applyFont="1" applyFill="1" applyBorder="1" applyAlignment="1">
      <alignment horizontal="center"/>
    </xf>
    <xf numFmtId="49" fontId="0" fillId="0" borderId="16" xfId="0" applyNumberFormat="1" applyFont="1" applyFill="1" applyBorder="1" applyAlignment="1">
      <alignment horizontal="center"/>
    </xf>
    <xf numFmtId="49" fontId="0" fillId="0" borderId="17" xfId="0" applyNumberFormat="1" applyFont="1" applyFill="1" applyBorder="1" applyAlignment="1">
      <alignment horizontal="center"/>
    </xf>
    <xf numFmtId="49" fontId="0" fillId="0" borderId="12" xfId="0" applyNumberFormat="1" applyFont="1" applyFill="1" applyBorder="1" applyAlignment="1">
      <alignment horizontal="left"/>
    </xf>
    <xf numFmtId="49" fontId="6" fillId="0" borderId="12" xfId="0" applyNumberFormat="1" applyFont="1" applyFill="1" applyBorder="1" applyAlignment="1">
      <alignment horizontal="center"/>
    </xf>
    <xf numFmtId="49" fontId="0" fillId="0" borderId="16" xfId="0" applyNumberFormat="1" applyFont="1" applyFill="1" applyBorder="1" applyAlignment="1">
      <alignment horizontal="left"/>
    </xf>
    <xf numFmtId="49" fontId="6" fillId="0" borderId="16" xfId="0" applyNumberFormat="1" applyFont="1" applyFill="1" applyBorder="1" applyAlignment="1">
      <alignment horizontal="center"/>
    </xf>
    <xf numFmtId="49" fontId="0" fillId="0" borderId="17" xfId="0" applyNumberFormat="1" applyFont="1" applyFill="1" applyBorder="1" applyAlignment="1">
      <alignment horizontal="left"/>
    </xf>
    <xf numFmtId="49" fontId="6" fillId="0" borderId="17" xfId="0" applyNumberFormat="1" applyFont="1" applyFill="1" applyBorder="1" applyAlignment="1">
      <alignment horizontal="center"/>
    </xf>
    <xf numFmtId="49" fontId="4" fillId="0" borderId="0" xfId="0" applyNumberFormat="1" applyFont="1" applyFill="1" applyBorder="1" applyAlignment="1">
      <alignment horizontal="left"/>
    </xf>
    <xf numFmtId="49" fontId="7" fillId="0" borderId="0" xfId="0" applyNumberFormat="1" applyFont="1" applyFill="1" applyBorder="1" applyAlignment="1">
      <alignment horizontal="left"/>
    </xf>
    <xf numFmtId="49" fontId="7" fillId="0" borderId="0" xfId="0" applyNumberFormat="1" applyFont="1" applyFill="1" applyBorder="1" applyAlignment="1">
      <alignment horizontal="center"/>
    </xf>
    <xf numFmtId="49" fontId="5" fillId="0" borderId="0" xfId="0" applyNumberFormat="1" applyFont="1" applyFill="1" applyBorder="1" applyAlignment="1">
      <alignment horizontal="left"/>
    </xf>
    <xf numFmtId="49" fontId="5" fillId="0" borderId="0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left" indent="1"/>
    </xf>
    <xf numFmtId="49" fontId="8" fillId="0" borderId="0" xfId="0" applyNumberFormat="1" applyFont="1" applyFill="1" applyBorder="1" applyAlignment="1">
      <alignment horizontal="left" indent="1"/>
    </xf>
    <xf numFmtId="49" fontId="8" fillId="0" borderId="0" xfId="0" applyNumberFormat="1" applyFont="1" applyFill="1" applyBorder="1" applyAlignment="1">
      <alignment horizontal="center"/>
    </xf>
    <xf numFmtId="49" fontId="2" fillId="0" borderId="15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left"/>
    </xf>
    <xf numFmtId="1" fontId="2" fillId="0" borderId="2" xfId="0" applyNumberFormat="1" applyFont="1" applyFill="1" applyBorder="1" applyAlignment="1">
      <alignment horizontal="center" vertical="center"/>
    </xf>
    <xf numFmtId="1" fontId="6" fillId="0" borderId="15" xfId="0" applyNumberFormat="1" applyFont="1" applyFill="1" applyBorder="1" applyAlignment="1">
      <alignment horizontal="center"/>
    </xf>
    <xf numFmtId="1" fontId="0" fillId="0" borderId="0" xfId="0" applyNumberFormat="1" applyFont="1" applyFill="1" applyBorder="1" applyAlignment="1">
      <alignment horizontal="center"/>
    </xf>
    <xf numFmtId="1" fontId="0" fillId="0" borderId="15" xfId="0" applyNumberFormat="1" applyFont="1" applyFill="1" applyBorder="1" applyAlignment="1">
      <alignment horizontal="center"/>
    </xf>
    <xf numFmtId="1" fontId="0" fillId="0" borderId="12" xfId="0" applyNumberFormat="1" applyFont="1" applyFill="1" applyBorder="1" applyAlignment="1">
      <alignment horizontal="center"/>
    </xf>
    <xf numFmtId="1" fontId="0" fillId="0" borderId="17" xfId="0" applyNumberFormat="1" applyFont="1" applyFill="1" applyBorder="1" applyAlignment="1">
      <alignment horizontal="center"/>
    </xf>
    <xf numFmtId="0" fontId="2" fillId="0" borderId="8" xfId="0" applyNumberFormat="1" applyFont="1" applyFill="1" applyBorder="1" applyAlignment="1">
      <alignment horizontal="center" vertical="center"/>
    </xf>
    <xf numFmtId="0" fontId="2" fillId="0" borderId="9" xfId="0" applyNumberFormat="1" applyFont="1" applyFill="1" applyBorder="1" applyAlignment="1">
      <alignment horizontal="center" vertical="center"/>
    </xf>
    <xf numFmtId="0" fontId="2" fillId="0" borderId="7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49" fontId="2" fillId="0" borderId="10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49" fontId="2" fillId="0" borderId="5" xfId="0" applyNumberFormat="1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/>
    </xf>
    <xf numFmtId="49" fontId="5" fillId="0" borderId="14" xfId="0" applyNumberFormat="1" applyFont="1" applyFill="1" applyBorder="1" applyAlignment="1">
      <alignment horizontal="center"/>
    </xf>
    <xf numFmtId="49" fontId="5" fillId="0" borderId="14" xfId="0" applyNumberFormat="1" applyFont="1" applyBorder="1" applyAlignment="1">
      <alignment horizontal="center"/>
    </xf>
    <xf numFmtId="49" fontId="3" fillId="0" borderId="10" xfId="0" applyNumberFormat="1" applyFont="1" applyFill="1" applyBorder="1" applyAlignment="1">
      <alignment horizontal="center" vertical="center" wrapText="1"/>
    </xf>
    <xf numFmtId="49" fontId="3" fillId="0" borderId="7" xfId="0" applyNumberFormat="1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11" xfId="0" applyNumberFormat="1" applyFont="1" applyFill="1" applyBorder="1" applyAlignment="1">
      <alignment horizontal="center" vertical="center"/>
    </xf>
    <xf numFmtId="49" fontId="3" fillId="0" borderId="12" xfId="0" applyNumberFormat="1" applyFont="1" applyFill="1" applyBorder="1" applyAlignment="1">
      <alignment horizontal="center" vertical="center"/>
    </xf>
    <xf numFmtId="49" fontId="3" fillId="0" borderId="13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/>
    </xf>
    <xf numFmtId="49" fontId="5" fillId="0" borderId="0" xfId="0" applyNumberFormat="1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"/>
  <sheetViews>
    <sheetView workbookViewId="0">
      <selection activeCell="B39" sqref="B39"/>
    </sheetView>
  </sheetViews>
  <sheetFormatPr defaultColWidth="9.140625" defaultRowHeight="12.75" x14ac:dyDescent="0.2"/>
  <cols>
    <col min="1" max="1" width="25" style="8" bestFit="1" customWidth="1"/>
    <col min="2" max="2" width="19.5703125" style="9" customWidth="1"/>
    <col min="3" max="3" width="8.140625" style="5" customWidth="1"/>
    <col min="4" max="4" width="7.28515625" style="6" customWidth="1"/>
    <col min="5" max="6" width="12.140625" style="10" customWidth="1"/>
    <col min="7" max="8" width="7" style="11" customWidth="1"/>
    <col min="9" max="10" width="6.5703125" style="11" customWidth="1"/>
    <col min="11" max="11" width="7.28515625" style="11" customWidth="1"/>
    <col min="12" max="12" width="6.5703125" style="11" customWidth="1"/>
    <col min="13" max="15" width="6.85546875" style="11" customWidth="1"/>
    <col min="16" max="16" width="6.5703125" style="11" customWidth="1"/>
    <col min="17" max="18" width="6.85546875" style="11" customWidth="1"/>
    <col min="19" max="19" width="8.42578125" style="7" bestFit="1" customWidth="1"/>
    <col min="20" max="20" width="5.85546875" style="6" customWidth="1"/>
    <col min="21" max="21" width="14.140625" style="8" customWidth="1"/>
    <col min="22" max="16384" width="9.140625" style="3"/>
  </cols>
  <sheetData>
    <row r="1" spans="1:21" s="2" customFormat="1" ht="15" customHeight="1" x14ac:dyDescent="0.2">
      <c r="A1" s="49"/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1"/>
    </row>
    <row r="2" spans="1:21" s="2" customFormat="1" ht="13.5" thickBot="1" x14ac:dyDescent="0.25">
      <c r="A2" s="52"/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4"/>
    </row>
    <row r="3" spans="1:21" s="1" customFormat="1" ht="12.75" customHeight="1" x14ac:dyDescent="0.2">
      <c r="A3" s="55" t="s">
        <v>0</v>
      </c>
      <c r="B3" s="57" t="s">
        <v>12</v>
      </c>
      <c r="C3" s="57" t="s">
        <v>9</v>
      </c>
      <c r="D3" s="45" t="s">
        <v>10</v>
      </c>
      <c r="E3" s="59" t="s">
        <v>1</v>
      </c>
      <c r="F3" s="60" t="s">
        <v>2</v>
      </c>
      <c r="G3" s="55" t="s">
        <v>3</v>
      </c>
      <c r="H3" s="59"/>
      <c r="I3" s="59"/>
      <c r="J3" s="47"/>
      <c r="K3" s="55" t="s">
        <v>4</v>
      </c>
      <c r="L3" s="59"/>
      <c r="M3" s="59"/>
      <c r="N3" s="47"/>
      <c r="O3" s="55" t="s">
        <v>5</v>
      </c>
      <c r="P3" s="59"/>
      <c r="Q3" s="59"/>
      <c r="R3" s="47"/>
      <c r="S3" s="43" t="s">
        <v>11</v>
      </c>
      <c r="T3" s="45" t="s">
        <v>7</v>
      </c>
      <c r="U3" s="47" t="s">
        <v>6</v>
      </c>
    </row>
    <row r="4" spans="1:21" s="1" customFormat="1" ht="23.25" customHeight="1" thickBot="1" x14ac:dyDescent="0.25">
      <c r="A4" s="56"/>
      <c r="B4" s="58"/>
      <c r="C4" s="58"/>
      <c r="D4" s="46"/>
      <c r="E4" s="58"/>
      <c r="F4" s="61"/>
      <c r="G4" s="12">
        <v>1</v>
      </c>
      <c r="H4" s="13">
        <v>2</v>
      </c>
      <c r="I4" s="13">
        <v>3</v>
      </c>
      <c r="J4" s="14" t="s">
        <v>8</v>
      </c>
      <c r="K4" s="12">
        <v>1</v>
      </c>
      <c r="L4" s="13">
        <v>2</v>
      </c>
      <c r="M4" s="13">
        <v>3</v>
      </c>
      <c r="N4" s="14" t="s">
        <v>8</v>
      </c>
      <c r="O4" s="12">
        <v>1</v>
      </c>
      <c r="P4" s="13">
        <v>2</v>
      </c>
      <c r="Q4" s="13">
        <v>3</v>
      </c>
      <c r="R4" s="14" t="s">
        <v>8</v>
      </c>
      <c r="S4" s="44"/>
      <c r="T4" s="46"/>
      <c r="U4" s="48"/>
    </row>
    <row r="5" spans="1:21" s="5" customFormat="1" x14ac:dyDescent="0.2">
      <c r="A5" s="4"/>
      <c r="D5" s="6"/>
      <c r="E5" s="4"/>
      <c r="F5" s="4"/>
      <c r="S5" s="7"/>
      <c r="T5" s="6"/>
      <c r="U5" s="4"/>
    </row>
    <row r="6" spans="1:21" s="5" customFormat="1" x14ac:dyDescent="0.2">
      <c r="A6" s="4"/>
      <c r="D6" s="6"/>
      <c r="E6" s="4"/>
      <c r="F6" s="4"/>
      <c r="S6" s="7"/>
      <c r="T6" s="6"/>
      <c r="U6" s="4"/>
    </row>
    <row r="7" spans="1:21" s="5" customFormat="1" x14ac:dyDescent="0.2">
      <c r="A7" s="4"/>
      <c r="D7" s="6"/>
      <c r="E7" s="4"/>
      <c r="F7" s="4"/>
      <c r="S7" s="7"/>
      <c r="T7" s="6"/>
      <c r="U7" s="4"/>
    </row>
  </sheetData>
  <mergeCells count="13">
    <mergeCell ref="S3:S4"/>
    <mergeCell ref="T3:T4"/>
    <mergeCell ref="U3:U4"/>
    <mergeCell ref="A1:U2"/>
    <mergeCell ref="A3:A4"/>
    <mergeCell ref="B3:B4"/>
    <mergeCell ref="C3:C4"/>
    <mergeCell ref="D3:D4"/>
    <mergeCell ref="E3:E4"/>
    <mergeCell ref="F3:F4"/>
    <mergeCell ref="G3:J3"/>
    <mergeCell ref="K3:N3"/>
    <mergeCell ref="O3:R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workbookViewId="0">
      <selection activeCell="F17" sqref="F17"/>
    </sheetView>
  </sheetViews>
  <sheetFormatPr defaultColWidth="9.140625" defaultRowHeight="12.75" x14ac:dyDescent="0.2"/>
  <cols>
    <col min="1" max="1" width="24.85546875" style="4" bestFit="1" customWidth="1"/>
    <col min="2" max="2" width="19.140625" style="5" bestFit="1" customWidth="1"/>
    <col min="3" max="3" width="7.5703125" style="5" bestFit="1" customWidth="1"/>
    <col min="4" max="4" width="6.5703125" style="5" bestFit="1" customWidth="1"/>
    <col min="5" max="5" width="17" style="4" bestFit="1" customWidth="1"/>
    <col min="6" max="6" width="30.28515625" style="4" bestFit="1" customWidth="1"/>
    <col min="7" max="9" width="5.5703125" style="5" bestFit="1" customWidth="1"/>
    <col min="10" max="10" width="4.7109375" style="5" bestFit="1" customWidth="1"/>
    <col min="11" max="11" width="5.7109375" style="4" bestFit="1" customWidth="1"/>
    <col min="12" max="12" width="8.5703125" style="5" bestFit="1" customWidth="1"/>
    <col min="13" max="13" width="7.140625" style="4" bestFit="1" customWidth="1"/>
    <col min="14" max="16384" width="9.140625" style="3"/>
  </cols>
  <sheetData>
    <row r="1" spans="1:13" s="2" customFormat="1" ht="28.9" customHeight="1" x14ac:dyDescent="0.2">
      <c r="A1" s="66" t="s">
        <v>666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8"/>
    </row>
    <row r="2" spans="1:13" s="2" customFormat="1" ht="61.9" customHeight="1" thickBot="1" x14ac:dyDescent="0.25">
      <c r="A2" s="69"/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1"/>
    </row>
    <row r="3" spans="1:13" s="1" customFormat="1" ht="12.75" customHeight="1" x14ac:dyDescent="0.2">
      <c r="A3" s="55" t="s">
        <v>0</v>
      </c>
      <c r="B3" s="57" t="s">
        <v>12</v>
      </c>
      <c r="C3" s="57" t="s">
        <v>9</v>
      </c>
      <c r="D3" s="59" t="s">
        <v>529</v>
      </c>
      <c r="E3" s="59" t="s">
        <v>1</v>
      </c>
      <c r="F3" s="60" t="s">
        <v>14</v>
      </c>
      <c r="G3" s="55" t="s">
        <v>4</v>
      </c>
      <c r="H3" s="59"/>
      <c r="I3" s="59"/>
      <c r="J3" s="47"/>
      <c r="K3" s="62" t="s">
        <v>75</v>
      </c>
      <c r="L3" s="59" t="s">
        <v>7</v>
      </c>
      <c r="M3" s="47" t="s">
        <v>6</v>
      </c>
    </row>
    <row r="4" spans="1:13" s="1" customFormat="1" ht="23.25" customHeight="1" thickBot="1" x14ac:dyDescent="0.25">
      <c r="A4" s="56"/>
      <c r="B4" s="58"/>
      <c r="C4" s="58"/>
      <c r="D4" s="58"/>
      <c r="E4" s="58"/>
      <c r="F4" s="61"/>
      <c r="G4" s="12">
        <v>1</v>
      </c>
      <c r="H4" s="13">
        <v>2</v>
      </c>
      <c r="I4" s="13">
        <v>3</v>
      </c>
      <c r="J4" s="14" t="s">
        <v>8</v>
      </c>
      <c r="K4" s="63"/>
      <c r="L4" s="58"/>
      <c r="M4" s="48"/>
    </row>
    <row r="5" spans="1:13" s="5" customFormat="1" ht="15" x14ac:dyDescent="0.2">
      <c r="A5" s="64" t="s">
        <v>15</v>
      </c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4"/>
    </row>
    <row r="6" spans="1:13" s="5" customFormat="1" x14ac:dyDescent="0.2">
      <c r="A6" s="15" t="s">
        <v>538</v>
      </c>
      <c r="B6" s="16" t="s">
        <v>539</v>
      </c>
      <c r="C6" s="16" t="s">
        <v>540</v>
      </c>
      <c r="D6" s="16" t="str">
        <f>"0,6497"</f>
        <v>0,6497</v>
      </c>
      <c r="E6" s="15" t="s">
        <v>241</v>
      </c>
      <c r="F6" s="15" t="s">
        <v>30</v>
      </c>
      <c r="G6" s="16" t="s">
        <v>51</v>
      </c>
      <c r="H6" s="17" t="s">
        <v>52</v>
      </c>
      <c r="I6" s="17" t="s">
        <v>52</v>
      </c>
      <c r="J6" s="17"/>
      <c r="K6" s="15" t="str">
        <f>"220,0"</f>
        <v>220,0</v>
      </c>
      <c r="L6" s="16" t="str">
        <f>"142,9450"</f>
        <v>142,9450</v>
      </c>
      <c r="M6" s="15"/>
    </row>
    <row r="7" spans="1:13" s="5" customFormat="1" x14ac:dyDescent="0.2">
      <c r="A7" s="4"/>
      <c r="E7" s="4"/>
      <c r="F7" s="4"/>
      <c r="K7" s="4"/>
      <c r="M7" s="4"/>
    </row>
    <row r="8" spans="1:13" ht="15" x14ac:dyDescent="0.2">
      <c r="A8" s="72" t="s">
        <v>46</v>
      </c>
      <c r="B8" s="73"/>
      <c r="C8" s="73"/>
      <c r="D8" s="73"/>
      <c r="E8" s="73"/>
      <c r="F8" s="73"/>
      <c r="G8" s="73"/>
      <c r="H8" s="73"/>
      <c r="I8" s="73"/>
      <c r="J8" s="73"/>
      <c r="K8" s="73"/>
      <c r="L8" s="73"/>
    </row>
    <row r="9" spans="1:13" x14ac:dyDescent="0.2">
      <c r="A9" s="15" t="s">
        <v>542</v>
      </c>
      <c r="B9" s="16" t="s">
        <v>543</v>
      </c>
      <c r="C9" s="16" t="s">
        <v>544</v>
      </c>
      <c r="D9" s="16" t="str">
        <f>"0,5645"</f>
        <v>0,5645</v>
      </c>
      <c r="E9" s="15" t="s">
        <v>20</v>
      </c>
      <c r="F9" s="15" t="s">
        <v>545</v>
      </c>
      <c r="G9" s="16" t="s">
        <v>366</v>
      </c>
      <c r="H9" s="17" t="s">
        <v>51</v>
      </c>
      <c r="I9" s="17" t="s">
        <v>51</v>
      </c>
      <c r="J9" s="17"/>
      <c r="K9" s="15" t="str">
        <f>"200,0"</f>
        <v>200,0</v>
      </c>
      <c r="L9" s="16" t="str">
        <f>"112,9100"</f>
        <v>112,9100</v>
      </c>
      <c r="M9" s="15"/>
    </row>
    <row r="11" spans="1:13" ht="15" x14ac:dyDescent="0.2">
      <c r="E11" s="27" t="s">
        <v>53</v>
      </c>
    </row>
    <row r="12" spans="1:13" ht="15" x14ac:dyDescent="0.2">
      <c r="E12" s="27" t="s">
        <v>54</v>
      </c>
    </row>
    <row r="13" spans="1:13" ht="15" x14ac:dyDescent="0.2">
      <c r="E13" s="27" t="s">
        <v>55</v>
      </c>
    </row>
    <row r="14" spans="1:13" x14ac:dyDescent="0.2">
      <c r="E14" s="4" t="s">
        <v>56</v>
      </c>
    </row>
    <row r="15" spans="1:13" x14ac:dyDescent="0.2">
      <c r="E15" s="4" t="s">
        <v>57</v>
      </c>
    </row>
    <row r="16" spans="1:13" x14ac:dyDescent="0.2">
      <c r="E16" s="4" t="s">
        <v>58</v>
      </c>
    </row>
    <row r="19" spans="1:5" ht="18" x14ac:dyDescent="0.25">
      <c r="A19" s="28" t="s">
        <v>59</v>
      </c>
      <c r="B19" s="29"/>
    </row>
    <row r="20" spans="1:5" ht="15" x14ac:dyDescent="0.2">
      <c r="A20" s="30" t="s">
        <v>60</v>
      </c>
      <c r="B20" s="31"/>
    </row>
    <row r="21" spans="1:5" ht="14.25" x14ac:dyDescent="0.2">
      <c r="A21" s="33"/>
      <c r="B21" s="34" t="s">
        <v>61</v>
      </c>
    </row>
    <row r="22" spans="1:5" ht="15" x14ac:dyDescent="0.2">
      <c r="A22" s="35" t="s">
        <v>0</v>
      </c>
      <c r="B22" s="35" t="s">
        <v>62</v>
      </c>
      <c r="C22" s="35" t="s">
        <v>63</v>
      </c>
      <c r="D22" s="35" t="s">
        <v>64</v>
      </c>
      <c r="E22" s="35" t="s">
        <v>529</v>
      </c>
    </row>
    <row r="23" spans="1:5" x14ac:dyDescent="0.2">
      <c r="A23" s="32" t="s">
        <v>537</v>
      </c>
      <c r="B23" s="5" t="s">
        <v>61</v>
      </c>
      <c r="C23" s="5" t="s">
        <v>73</v>
      </c>
      <c r="D23" s="5" t="s">
        <v>51</v>
      </c>
      <c r="E23" s="36" t="s">
        <v>546</v>
      </c>
    </row>
    <row r="24" spans="1:5" x14ac:dyDescent="0.2">
      <c r="A24" s="32" t="s">
        <v>541</v>
      </c>
      <c r="B24" s="5" t="s">
        <v>61</v>
      </c>
      <c r="C24" s="5" t="s">
        <v>69</v>
      </c>
      <c r="D24" s="5" t="s">
        <v>366</v>
      </c>
      <c r="E24" s="36" t="s">
        <v>547</v>
      </c>
    </row>
  </sheetData>
  <mergeCells count="13">
    <mergeCell ref="A5:L5"/>
    <mergeCell ref="A8:L8"/>
    <mergeCell ref="A1:M2"/>
    <mergeCell ref="A3:A4"/>
    <mergeCell ref="B3:B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workbookViewId="0">
      <selection activeCell="H20" sqref="H20"/>
    </sheetView>
  </sheetViews>
  <sheetFormatPr defaultColWidth="9.140625" defaultRowHeight="12.75" x14ac:dyDescent="0.2"/>
  <cols>
    <col min="1" max="1" width="24.85546875" style="4" bestFit="1" customWidth="1"/>
    <col min="2" max="2" width="26.5703125" style="5" bestFit="1" customWidth="1"/>
    <col min="3" max="3" width="7.5703125" style="5" bestFit="1" customWidth="1"/>
    <col min="4" max="4" width="6.5703125" style="5" bestFit="1" customWidth="1"/>
    <col min="5" max="5" width="17" style="4" bestFit="1" customWidth="1"/>
    <col min="6" max="6" width="28.5703125" style="4" bestFit="1" customWidth="1"/>
    <col min="7" max="9" width="5.5703125" style="5" bestFit="1" customWidth="1"/>
    <col min="10" max="10" width="4.7109375" style="5" bestFit="1" customWidth="1"/>
    <col min="11" max="11" width="5.7109375" style="4" bestFit="1" customWidth="1"/>
    <col min="12" max="12" width="8.5703125" style="5" bestFit="1" customWidth="1"/>
    <col min="13" max="13" width="7.140625" style="4" bestFit="1" customWidth="1"/>
    <col min="14" max="16384" width="9.140625" style="3"/>
  </cols>
  <sheetData>
    <row r="1" spans="1:13" s="2" customFormat="1" ht="28.9" customHeight="1" x14ac:dyDescent="0.2">
      <c r="A1" s="66" t="s">
        <v>667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8"/>
    </row>
    <row r="2" spans="1:13" s="2" customFormat="1" ht="61.9" customHeight="1" thickBot="1" x14ac:dyDescent="0.25">
      <c r="A2" s="69"/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1"/>
    </row>
    <row r="3" spans="1:13" s="1" customFormat="1" ht="12.75" customHeight="1" x14ac:dyDescent="0.2">
      <c r="A3" s="55" t="s">
        <v>0</v>
      </c>
      <c r="B3" s="57" t="s">
        <v>12</v>
      </c>
      <c r="C3" s="57" t="s">
        <v>9</v>
      </c>
      <c r="D3" s="59" t="s">
        <v>529</v>
      </c>
      <c r="E3" s="59" t="s">
        <v>1</v>
      </c>
      <c r="F3" s="60" t="s">
        <v>14</v>
      </c>
      <c r="G3" s="55" t="s">
        <v>4</v>
      </c>
      <c r="H3" s="59"/>
      <c r="I3" s="59"/>
      <c r="J3" s="47"/>
      <c r="K3" s="62" t="s">
        <v>75</v>
      </c>
      <c r="L3" s="59" t="s">
        <v>7</v>
      </c>
      <c r="M3" s="47" t="s">
        <v>6</v>
      </c>
    </row>
    <row r="4" spans="1:13" s="1" customFormat="1" ht="23.25" customHeight="1" thickBot="1" x14ac:dyDescent="0.25">
      <c r="A4" s="56"/>
      <c r="B4" s="58"/>
      <c r="C4" s="58"/>
      <c r="D4" s="58"/>
      <c r="E4" s="58"/>
      <c r="F4" s="61"/>
      <c r="G4" s="12">
        <v>1</v>
      </c>
      <c r="H4" s="13">
        <v>2</v>
      </c>
      <c r="I4" s="13">
        <v>3</v>
      </c>
      <c r="J4" s="14" t="s">
        <v>8</v>
      </c>
      <c r="K4" s="63"/>
      <c r="L4" s="58"/>
      <c r="M4" s="48"/>
    </row>
    <row r="5" spans="1:13" s="5" customFormat="1" ht="15" x14ac:dyDescent="0.2">
      <c r="A5" s="64" t="s">
        <v>25</v>
      </c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4"/>
    </row>
    <row r="6" spans="1:13" s="5" customFormat="1" x14ac:dyDescent="0.2">
      <c r="A6" s="15" t="s">
        <v>531</v>
      </c>
      <c r="B6" s="16" t="s">
        <v>532</v>
      </c>
      <c r="C6" s="16" t="s">
        <v>533</v>
      </c>
      <c r="D6" s="16" t="str">
        <f>"0,5955"</f>
        <v>0,5955</v>
      </c>
      <c r="E6" s="15" t="s">
        <v>20</v>
      </c>
      <c r="F6" s="15" t="s">
        <v>30</v>
      </c>
      <c r="G6" s="17" t="s">
        <v>39</v>
      </c>
      <c r="H6" s="16" t="s">
        <v>534</v>
      </c>
      <c r="I6" s="17" t="s">
        <v>31</v>
      </c>
      <c r="J6" s="17"/>
      <c r="K6" s="15" t="str">
        <f>"250,0"</f>
        <v>250,0</v>
      </c>
      <c r="L6" s="16" t="str">
        <f>"148,8750"</f>
        <v>148,8750</v>
      </c>
      <c r="M6" s="15"/>
    </row>
    <row r="7" spans="1:13" s="5" customFormat="1" x14ac:dyDescent="0.2">
      <c r="A7" s="4"/>
      <c r="E7" s="4"/>
      <c r="F7" s="4"/>
      <c r="K7" s="4"/>
      <c r="M7" s="4"/>
    </row>
    <row r="8" spans="1:13" ht="15" x14ac:dyDescent="0.2">
      <c r="A8" s="72" t="s">
        <v>110</v>
      </c>
      <c r="B8" s="73"/>
      <c r="C8" s="73"/>
      <c r="D8" s="73"/>
      <c r="E8" s="73"/>
      <c r="F8" s="73"/>
      <c r="G8" s="73"/>
      <c r="H8" s="73"/>
      <c r="I8" s="73"/>
      <c r="J8" s="73"/>
      <c r="K8" s="73"/>
      <c r="L8" s="73"/>
    </row>
    <row r="9" spans="1:13" x14ac:dyDescent="0.2">
      <c r="A9" s="15" t="s">
        <v>112</v>
      </c>
      <c r="B9" s="16" t="s">
        <v>113</v>
      </c>
      <c r="C9" s="16" t="s">
        <v>114</v>
      </c>
      <c r="D9" s="16" t="str">
        <f>"0,5429"</f>
        <v>0,5429</v>
      </c>
      <c r="E9" s="15" t="s">
        <v>20</v>
      </c>
      <c r="F9" s="15" t="s">
        <v>108</v>
      </c>
      <c r="G9" s="16" t="s">
        <v>366</v>
      </c>
      <c r="H9" s="16" t="s">
        <v>51</v>
      </c>
      <c r="I9" s="17" t="s">
        <v>39</v>
      </c>
      <c r="J9" s="17"/>
      <c r="K9" s="15" t="str">
        <f>"220,0"</f>
        <v>220,0</v>
      </c>
      <c r="L9" s="16" t="str">
        <f>"134,9724"</f>
        <v>134,9724</v>
      </c>
      <c r="M9" s="15"/>
    </row>
    <row r="11" spans="1:13" ht="15" x14ac:dyDescent="0.2">
      <c r="E11" s="27" t="s">
        <v>53</v>
      </c>
    </row>
    <row r="12" spans="1:13" ht="15" x14ac:dyDescent="0.2">
      <c r="E12" s="27" t="s">
        <v>54</v>
      </c>
    </row>
    <row r="13" spans="1:13" ht="15" x14ac:dyDescent="0.2">
      <c r="E13" s="27" t="s">
        <v>55</v>
      </c>
    </row>
    <row r="14" spans="1:13" x14ac:dyDescent="0.2">
      <c r="E14" s="4" t="s">
        <v>56</v>
      </c>
    </row>
    <row r="15" spans="1:13" x14ac:dyDescent="0.2">
      <c r="E15" s="4" t="s">
        <v>57</v>
      </c>
    </row>
    <row r="16" spans="1:13" x14ac:dyDescent="0.2">
      <c r="E16" s="4" t="s">
        <v>58</v>
      </c>
    </row>
    <row r="19" spans="1:5" ht="18" x14ac:dyDescent="0.25">
      <c r="A19" s="28" t="s">
        <v>59</v>
      </c>
      <c r="B19" s="29"/>
    </row>
    <row r="20" spans="1:5" ht="15" x14ac:dyDescent="0.2">
      <c r="A20" s="30" t="s">
        <v>60</v>
      </c>
      <c r="B20" s="31"/>
    </row>
    <row r="21" spans="1:5" ht="14.25" x14ac:dyDescent="0.2">
      <c r="A21" s="33"/>
      <c r="B21" s="34" t="s">
        <v>61</v>
      </c>
    </row>
    <row r="22" spans="1:5" ht="15" x14ac:dyDescent="0.2">
      <c r="A22" s="35" t="s">
        <v>0</v>
      </c>
      <c r="B22" s="35" t="s">
        <v>62</v>
      </c>
      <c r="C22" s="35" t="s">
        <v>63</v>
      </c>
      <c r="D22" s="35" t="s">
        <v>64</v>
      </c>
      <c r="E22" s="35" t="s">
        <v>529</v>
      </c>
    </row>
    <row r="23" spans="1:5" x14ac:dyDescent="0.2">
      <c r="A23" s="32" t="s">
        <v>530</v>
      </c>
      <c r="B23" s="5" t="s">
        <v>61</v>
      </c>
      <c r="C23" s="5" t="s">
        <v>65</v>
      </c>
      <c r="D23" s="5" t="s">
        <v>534</v>
      </c>
      <c r="E23" s="36" t="s">
        <v>535</v>
      </c>
    </row>
    <row r="25" spans="1:5" ht="14.25" x14ac:dyDescent="0.2">
      <c r="A25" s="33"/>
      <c r="B25" s="34" t="s">
        <v>71</v>
      </c>
    </row>
    <row r="26" spans="1:5" ht="15" x14ac:dyDescent="0.2">
      <c r="A26" s="35" t="s">
        <v>0</v>
      </c>
      <c r="B26" s="35" t="s">
        <v>62</v>
      </c>
      <c r="C26" s="35" t="s">
        <v>63</v>
      </c>
      <c r="D26" s="35" t="s">
        <v>64</v>
      </c>
      <c r="E26" s="35" t="s">
        <v>529</v>
      </c>
    </row>
    <row r="27" spans="1:5" x14ac:dyDescent="0.2">
      <c r="A27" s="32" t="s">
        <v>111</v>
      </c>
      <c r="B27" s="5" t="s">
        <v>127</v>
      </c>
      <c r="C27" s="5" t="s">
        <v>128</v>
      </c>
      <c r="D27" s="5" t="s">
        <v>51</v>
      </c>
      <c r="E27" s="36" t="s">
        <v>536</v>
      </c>
    </row>
  </sheetData>
  <mergeCells count="13">
    <mergeCell ref="A5:L5"/>
    <mergeCell ref="A8:L8"/>
    <mergeCell ref="A1:M2"/>
    <mergeCell ref="A3:A4"/>
    <mergeCell ref="B3:B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8"/>
  <sheetViews>
    <sheetView workbookViewId="0">
      <selection activeCell="J26" sqref="J26"/>
    </sheetView>
  </sheetViews>
  <sheetFormatPr defaultColWidth="9.140625" defaultRowHeight="12.75" x14ac:dyDescent="0.2"/>
  <cols>
    <col min="1" max="1" width="24.85546875" style="4" bestFit="1" customWidth="1"/>
    <col min="2" max="2" width="26.5703125" style="5" bestFit="1" customWidth="1"/>
    <col min="3" max="3" width="7.5703125" style="5" bestFit="1" customWidth="1"/>
    <col min="4" max="4" width="8.7109375" style="5" bestFit="1" customWidth="1"/>
    <col min="5" max="5" width="17" style="4" bestFit="1" customWidth="1"/>
    <col min="6" max="6" width="29.28515625" style="4" bestFit="1" customWidth="1"/>
    <col min="7" max="9" width="4.5703125" style="5" bestFit="1" customWidth="1"/>
    <col min="10" max="10" width="4.7109375" style="5" bestFit="1" customWidth="1"/>
    <col min="11" max="11" width="5.7109375" style="4" bestFit="1" customWidth="1"/>
    <col min="12" max="12" width="7.5703125" style="5" bestFit="1" customWidth="1"/>
    <col min="13" max="13" width="7.140625" style="4" bestFit="1" customWidth="1"/>
    <col min="14" max="16384" width="9.140625" style="3"/>
  </cols>
  <sheetData>
    <row r="1" spans="1:13" s="2" customFormat="1" ht="28.9" customHeight="1" x14ac:dyDescent="0.2">
      <c r="A1" s="66" t="s">
        <v>668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8"/>
    </row>
    <row r="2" spans="1:13" s="2" customFormat="1" ht="61.9" customHeight="1" thickBot="1" x14ac:dyDescent="0.25">
      <c r="A2" s="69"/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1"/>
    </row>
    <row r="3" spans="1:13" s="1" customFormat="1" ht="12.75" customHeight="1" x14ac:dyDescent="0.2">
      <c r="A3" s="55" t="s">
        <v>0</v>
      </c>
      <c r="B3" s="57" t="s">
        <v>12</v>
      </c>
      <c r="C3" s="57" t="s">
        <v>9</v>
      </c>
      <c r="D3" s="59" t="s">
        <v>13</v>
      </c>
      <c r="E3" s="59" t="s">
        <v>1</v>
      </c>
      <c r="F3" s="60" t="s">
        <v>14</v>
      </c>
      <c r="G3" s="55" t="s">
        <v>501</v>
      </c>
      <c r="H3" s="59"/>
      <c r="I3" s="59"/>
      <c r="J3" s="47"/>
      <c r="K3" s="62" t="s">
        <v>75</v>
      </c>
      <c r="L3" s="59" t="s">
        <v>7</v>
      </c>
      <c r="M3" s="47" t="s">
        <v>6</v>
      </c>
    </row>
    <row r="4" spans="1:13" s="1" customFormat="1" ht="23.25" customHeight="1" thickBot="1" x14ac:dyDescent="0.25">
      <c r="A4" s="56"/>
      <c r="B4" s="58"/>
      <c r="C4" s="58"/>
      <c r="D4" s="58"/>
      <c r="E4" s="58"/>
      <c r="F4" s="61"/>
      <c r="G4" s="12">
        <v>1</v>
      </c>
      <c r="H4" s="13">
        <v>2</v>
      </c>
      <c r="I4" s="13">
        <v>3</v>
      </c>
      <c r="J4" s="14" t="s">
        <v>8</v>
      </c>
      <c r="K4" s="63"/>
      <c r="L4" s="58"/>
      <c r="M4" s="48"/>
    </row>
    <row r="5" spans="1:13" s="5" customFormat="1" ht="15" x14ac:dyDescent="0.2">
      <c r="A5" s="64" t="s">
        <v>177</v>
      </c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4"/>
    </row>
    <row r="6" spans="1:13" s="5" customFormat="1" x14ac:dyDescent="0.2">
      <c r="A6" s="15" t="s">
        <v>512</v>
      </c>
      <c r="B6" s="16" t="s">
        <v>513</v>
      </c>
      <c r="C6" s="16" t="s">
        <v>514</v>
      </c>
      <c r="D6" s="16" t="str">
        <f>"0,9006"</f>
        <v>0,9006</v>
      </c>
      <c r="E6" s="15" t="s">
        <v>20</v>
      </c>
      <c r="F6" s="15" t="s">
        <v>488</v>
      </c>
      <c r="G6" s="16" t="s">
        <v>515</v>
      </c>
      <c r="H6" s="16" t="s">
        <v>516</v>
      </c>
      <c r="I6" s="16" t="s">
        <v>517</v>
      </c>
      <c r="J6" s="17"/>
      <c r="K6" s="15" t="str">
        <f>"25,0"</f>
        <v>25,0</v>
      </c>
      <c r="L6" s="16" t="str">
        <f>"22,5150"</f>
        <v>22,5150</v>
      </c>
      <c r="M6" s="15"/>
    </row>
    <row r="7" spans="1:13" s="5" customFormat="1" x14ac:dyDescent="0.2">
      <c r="A7" s="4"/>
      <c r="E7" s="4"/>
      <c r="F7" s="4"/>
      <c r="K7" s="4"/>
      <c r="M7" s="4"/>
    </row>
    <row r="8" spans="1:13" ht="15" x14ac:dyDescent="0.2">
      <c r="A8" s="72" t="s">
        <v>77</v>
      </c>
      <c r="B8" s="73"/>
      <c r="C8" s="73"/>
      <c r="D8" s="73"/>
      <c r="E8" s="73"/>
      <c r="F8" s="73"/>
      <c r="G8" s="73"/>
      <c r="H8" s="73"/>
      <c r="I8" s="73"/>
      <c r="J8" s="73"/>
      <c r="K8" s="73"/>
      <c r="L8" s="73"/>
    </row>
    <row r="9" spans="1:13" x14ac:dyDescent="0.2">
      <c r="A9" s="15" t="s">
        <v>519</v>
      </c>
      <c r="B9" s="16" t="s">
        <v>520</v>
      </c>
      <c r="C9" s="16" t="s">
        <v>521</v>
      </c>
      <c r="D9" s="16" t="str">
        <f>"0,7867"</f>
        <v>0,7867</v>
      </c>
      <c r="E9" s="15" t="s">
        <v>20</v>
      </c>
      <c r="F9" s="15" t="s">
        <v>522</v>
      </c>
      <c r="G9" s="16" t="s">
        <v>515</v>
      </c>
      <c r="H9" s="17" t="s">
        <v>516</v>
      </c>
      <c r="I9" s="16" t="s">
        <v>516</v>
      </c>
      <c r="J9" s="17"/>
      <c r="K9" s="15" t="str">
        <f>"22,5"</f>
        <v>22,5</v>
      </c>
      <c r="L9" s="16" t="str">
        <f>"17,7008"</f>
        <v>17,7008</v>
      </c>
      <c r="M9" s="15"/>
    </row>
    <row r="11" spans="1:13" ht="15" x14ac:dyDescent="0.2">
      <c r="A11" s="72" t="s">
        <v>96</v>
      </c>
      <c r="B11" s="73"/>
      <c r="C11" s="73"/>
      <c r="D11" s="73"/>
      <c r="E11" s="73"/>
      <c r="F11" s="73"/>
      <c r="G11" s="73"/>
      <c r="H11" s="73"/>
      <c r="I11" s="73"/>
      <c r="J11" s="73"/>
      <c r="K11" s="73"/>
      <c r="L11" s="73"/>
    </row>
    <row r="12" spans="1:13" x14ac:dyDescent="0.2">
      <c r="A12" s="15" t="s">
        <v>98</v>
      </c>
      <c r="B12" s="16" t="s">
        <v>99</v>
      </c>
      <c r="C12" s="16" t="s">
        <v>100</v>
      </c>
      <c r="D12" s="16" t="str">
        <f>"0,6132"</f>
        <v>0,6132</v>
      </c>
      <c r="E12" s="15" t="s">
        <v>20</v>
      </c>
      <c r="F12" s="15" t="s">
        <v>101</v>
      </c>
      <c r="G12" s="16" t="s">
        <v>242</v>
      </c>
      <c r="H12" s="16" t="s">
        <v>243</v>
      </c>
      <c r="I12" s="17" t="s">
        <v>244</v>
      </c>
      <c r="J12" s="17"/>
      <c r="K12" s="15" t="str">
        <f>"65,0"</f>
        <v>65,0</v>
      </c>
      <c r="L12" s="16" t="str">
        <f>"39,8580"</f>
        <v>39,8580</v>
      </c>
      <c r="M12" s="15"/>
    </row>
    <row r="14" spans="1:13" ht="15" x14ac:dyDescent="0.2">
      <c r="A14" s="72" t="s">
        <v>25</v>
      </c>
      <c r="B14" s="73"/>
      <c r="C14" s="73"/>
      <c r="D14" s="73"/>
      <c r="E14" s="73"/>
      <c r="F14" s="73"/>
      <c r="G14" s="73"/>
      <c r="H14" s="73"/>
      <c r="I14" s="73"/>
      <c r="J14" s="73"/>
      <c r="K14" s="73"/>
      <c r="L14" s="73"/>
    </row>
    <row r="15" spans="1:13" x14ac:dyDescent="0.2">
      <c r="A15" s="15" t="s">
        <v>485</v>
      </c>
      <c r="B15" s="16" t="s">
        <v>486</v>
      </c>
      <c r="C15" s="16" t="s">
        <v>487</v>
      </c>
      <c r="D15" s="16" t="str">
        <f>"0,5734"</f>
        <v>0,5734</v>
      </c>
      <c r="E15" s="15" t="s">
        <v>20</v>
      </c>
      <c r="F15" s="15" t="s">
        <v>488</v>
      </c>
      <c r="G15" s="16" t="s">
        <v>443</v>
      </c>
      <c r="H15" s="16" t="s">
        <v>306</v>
      </c>
      <c r="I15" s="16" t="s">
        <v>242</v>
      </c>
      <c r="J15" s="17"/>
      <c r="K15" s="15" t="str">
        <f>"60,0"</f>
        <v>60,0</v>
      </c>
      <c r="L15" s="16" t="str">
        <f>"34,4040"</f>
        <v>34,4040</v>
      </c>
      <c r="M15" s="15"/>
    </row>
    <row r="17" spans="1:13" ht="15" x14ac:dyDescent="0.2">
      <c r="A17" s="72" t="s">
        <v>46</v>
      </c>
      <c r="B17" s="73"/>
      <c r="C17" s="73"/>
      <c r="D17" s="73"/>
      <c r="E17" s="73"/>
      <c r="F17" s="73"/>
      <c r="G17" s="73"/>
      <c r="H17" s="73"/>
      <c r="I17" s="73"/>
      <c r="J17" s="73"/>
      <c r="K17" s="73"/>
      <c r="L17" s="73"/>
    </row>
    <row r="18" spans="1:13" x14ac:dyDescent="0.2">
      <c r="A18" s="15" t="s">
        <v>48</v>
      </c>
      <c r="B18" s="16" t="s">
        <v>49</v>
      </c>
      <c r="C18" s="16" t="s">
        <v>50</v>
      </c>
      <c r="D18" s="16" t="str">
        <f>"0,5475"</f>
        <v>0,5475</v>
      </c>
      <c r="E18" s="15" t="s">
        <v>20</v>
      </c>
      <c r="F18" s="15" t="s">
        <v>30</v>
      </c>
      <c r="G18" s="16" t="s">
        <v>506</v>
      </c>
      <c r="H18" s="16" t="s">
        <v>243</v>
      </c>
      <c r="I18" s="16" t="s">
        <v>244</v>
      </c>
      <c r="J18" s="17"/>
      <c r="K18" s="15" t="str">
        <f>"67,5"</f>
        <v>67,5</v>
      </c>
      <c r="L18" s="16" t="str">
        <f>"36,9563"</f>
        <v>36,9563</v>
      </c>
      <c r="M18" s="15"/>
    </row>
    <row r="20" spans="1:13" ht="15" x14ac:dyDescent="0.2">
      <c r="A20" s="72" t="s">
        <v>382</v>
      </c>
      <c r="B20" s="73"/>
      <c r="C20" s="73"/>
      <c r="D20" s="73"/>
      <c r="E20" s="73"/>
      <c r="F20" s="73"/>
      <c r="G20" s="73"/>
      <c r="H20" s="73"/>
      <c r="I20" s="73"/>
      <c r="J20" s="73"/>
      <c r="K20" s="73"/>
      <c r="L20" s="73"/>
    </row>
    <row r="21" spans="1:13" x14ac:dyDescent="0.2">
      <c r="A21" s="15" t="s">
        <v>491</v>
      </c>
      <c r="B21" s="16" t="s">
        <v>492</v>
      </c>
      <c r="C21" s="16" t="s">
        <v>493</v>
      </c>
      <c r="D21" s="16" t="str">
        <f>"0,5304"</f>
        <v>0,5304</v>
      </c>
      <c r="E21" s="15" t="s">
        <v>20</v>
      </c>
      <c r="F21" s="15" t="s">
        <v>488</v>
      </c>
      <c r="G21" s="16" t="s">
        <v>306</v>
      </c>
      <c r="H21" s="16" t="s">
        <v>242</v>
      </c>
      <c r="I21" s="16" t="s">
        <v>244</v>
      </c>
      <c r="J21" s="17"/>
      <c r="K21" s="15" t="str">
        <f>"67,5"</f>
        <v>67,5</v>
      </c>
      <c r="L21" s="16" t="str">
        <f>"36,4464"</f>
        <v>36,4464</v>
      </c>
      <c r="M21" s="15"/>
    </row>
    <row r="23" spans="1:13" ht="15" x14ac:dyDescent="0.2">
      <c r="E23" s="27" t="s">
        <v>53</v>
      </c>
    </row>
    <row r="24" spans="1:13" ht="15" x14ac:dyDescent="0.2">
      <c r="E24" s="27" t="s">
        <v>54</v>
      </c>
    </row>
    <row r="25" spans="1:13" ht="15" x14ac:dyDescent="0.2">
      <c r="E25" s="27" t="s">
        <v>55</v>
      </c>
    </row>
    <row r="26" spans="1:13" x14ac:dyDescent="0.2">
      <c r="E26" s="4" t="s">
        <v>56</v>
      </c>
    </row>
    <row r="27" spans="1:13" x14ac:dyDescent="0.2">
      <c r="E27" s="4" t="s">
        <v>57</v>
      </c>
    </row>
    <row r="28" spans="1:13" x14ac:dyDescent="0.2">
      <c r="E28" s="4" t="s">
        <v>58</v>
      </c>
    </row>
    <row r="31" spans="1:13" ht="18" x14ac:dyDescent="0.25">
      <c r="A31" s="28" t="s">
        <v>59</v>
      </c>
      <c r="B31" s="29"/>
    </row>
    <row r="32" spans="1:13" ht="15" x14ac:dyDescent="0.2">
      <c r="A32" s="30" t="s">
        <v>118</v>
      </c>
      <c r="B32" s="31"/>
    </row>
    <row r="33" spans="1:5" ht="14.25" x14ac:dyDescent="0.2">
      <c r="A33" s="33"/>
      <c r="B33" s="34" t="s">
        <v>61</v>
      </c>
    </row>
    <row r="34" spans="1:5" ht="15" x14ac:dyDescent="0.2">
      <c r="A34" s="35" t="s">
        <v>0</v>
      </c>
      <c r="B34" s="35" t="s">
        <v>62</v>
      </c>
      <c r="C34" s="35" t="s">
        <v>63</v>
      </c>
      <c r="D34" s="35" t="s">
        <v>64</v>
      </c>
      <c r="E34" s="35" t="s">
        <v>13</v>
      </c>
    </row>
    <row r="35" spans="1:5" x14ac:dyDescent="0.2">
      <c r="A35" s="32" t="s">
        <v>511</v>
      </c>
      <c r="B35" s="5" t="s">
        <v>61</v>
      </c>
      <c r="C35" s="5" t="s">
        <v>222</v>
      </c>
      <c r="D35" s="5" t="s">
        <v>517</v>
      </c>
      <c r="E35" s="36" t="s">
        <v>523</v>
      </c>
    </row>
    <row r="36" spans="1:5" x14ac:dyDescent="0.2">
      <c r="A36" s="32" t="s">
        <v>518</v>
      </c>
      <c r="B36" s="5" t="s">
        <v>61</v>
      </c>
      <c r="C36" s="5" t="s">
        <v>119</v>
      </c>
      <c r="D36" s="5" t="s">
        <v>516</v>
      </c>
      <c r="E36" s="36" t="s">
        <v>524</v>
      </c>
    </row>
    <row r="39" spans="1:5" ht="15" x14ac:dyDescent="0.2">
      <c r="A39" s="30" t="s">
        <v>60</v>
      </c>
      <c r="B39" s="31"/>
    </row>
    <row r="40" spans="1:5" ht="14.25" x14ac:dyDescent="0.2">
      <c r="A40" s="33"/>
      <c r="B40" s="34" t="s">
        <v>61</v>
      </c>
    </row>
    <row r="41" spans="1:5" ht="15" x14ac:dyDescent="0.2">
      <c r="A41" s="35" t="s">
        <v>0</v>
      </c>
      <c r="B41" s="35" t="s">
        <v>62</v>
      </c>
      <c r="C41" s="35" t="s">
        <v>63</v>
      </c>
      <c r="D41" s="35" t="s">
        <v>64</v>
      </c>
      <c r="E41" s="35" t="s">
        <v>13</v>
      </c>
    </row>
    <row r="42" spans="1:5" x14ac:dyDescent="0.2">
      <c r="A42" s="32" t="s">
        <v>97</v>
      </c>
      <c r="B42" s="5" t="s">
        <v>61</v>
      </c>
      <c r="C42" s="5" t="s">
        <v>121</v>
      </c>
      <c r="D42" s="5" t="s">
        <v>243</v>
      </c>
      <c r="E42" s="36" t="s">
        <v>525</v>
      </c>
    </row>
    <row r="43" spans="1:5" x14ac:dyDescent="0.2">
      <c r="A43" s="32" t="s">
        <v>47</v>
      </c>
      <c r="B43" s="5" t="s">
        <v>61</v>
      </c>
      <c r="C43" s="5" t="s">
        <v>69</v>
      </c>
      <c r="D43" s="5" t="s">
        <v>244</v>
      </c>
      <c r="E43" s="36" t="s">
        <v>526</v>
      </c>
    </row>
    <row r="44" spans="1:5" x14ac:dyDescent="0.2">
      <c r="A44" s="32" t="s">
        <v>484</v>
      </c>
      <c r="B44" s="5" t="s">
        <v>61</v>
      </c>
      <c r="C44" s="5" t="s">
        <v>65</v>
      </c>
      <c r="D44" s="5" t="s">
        <v>242</v>
      </c>
      <c r="E44" s="36" t="s">
        <v>527</v>
      </c>
    </row>
    <row r="46" spans="1:5" ht="14.25" x14ac:dyDescent="0.2">
      <c r="A46" s="33"/>
      <c r="B46" s="34" t="s">
        <v>71</v>
      </c>
    </row>
    <row r="47" spans="1:5" ht="15" x14ac:dyDescent="0.2">
      <c r="A47" s="35" t="s">
        <v>0</v>
      </c>
      <c r="B47" s="35" t="s">
        <v>62</v>
      </c>
      <c r="C47" s="35" t="s">
        <v>63</v>
      </c>
      <c r="D47" s="35" t="s">
        <v>64</v>
      </c>
      <c r="E47" s="35" t="s">
        <v>13</v>
      </c>
    </row>
    <row r="48" spans="1:5" x14ac:dyDescent="0.2">
      <c r="A48" s="32" t="s">
        <v>490</v>
      </c>
      <c r="B48" s="5" t="s">
        <v>130</v>
      </c>
      <c r="C48" s="5" t="s">
        <v>414</v>
      </c>
      <c r="D48" s="5" t="s">
        <v>244</v>
      </c>
      <c r="E48" s="36" t="s">
        <v>528</v>
      </c>
    </row>
  </sheetData>
  <mergeCells count="17">
    <mergeCell ref="M3:M4"/>
    <mergeCell ref="A5:L5"/>
    <mergeCell ref="A8:L8"/>
    <mergeCell ref="A11:L11"/>
    <mergeCell ref="A1:M2"/>
    <mergeCell ref="A3:A4"/>
    <mergeCell ref="B3:B4"/>
    <mergeCell ref="C3:C4"/>
    <mergeCell ref="D3:D4"/>
    <mergeCell ref="E3:E4"/>
    <mergeCell ref="F3:F4"/>
    <mergeCell ref="G3:J3"/>
    <mergeCell ref="A14:L14"/>
    <mergeCell ref="A17:L17"/>
    <mergeCell ref="A20:L20"/>
    <mergeCell ref="K3:K4"/>
    <mergeCell ref="L3:L4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"/>
  <sheetViews>
    <sheetView workbookViewId="0">
      <selection activeCell="H20" sqref="H20"/>
    </sheetView>
  </sheetViews>
  <sheetFormatPr defaultColWidth="9.140625" defaultRowHeight="12.75" x14ac:dyDescent="0.2"/>
  <cols>
    <col min="1" max="1" width="24.85546875" style="4" bestFit="1" customWidth="1"/>
    <col min="2" max="2" width="26.5703125" style="5" bestFit="1" customWidth="1"/>
    <col min="3" max="3" width="7.5703125" style="5" bestFit="1" customWidth="1"/>
    <col min="4" max="4" width="8.7109375" style="5" bestFit="1" customWidth="1"/>
    <col min="5" max="5" width="17" style="4" bestFit="1" customWidth="1"/>
    <col min="6" max="6" width="26.7109375" style="4" bestFit="1" customWidth="1"/>
    <col min="7" max="9" width="4.5703125" style="5" bestFit="1" customWidth="1"/>
    <col min="10" max="10" width="4.7109375" style="5" bestFit="1" customWidth="1"/>
    <col min="11" max="11" width="5.7109375" style="4" bestFit="1" customWidth="1"/>
    <col min="12" max="12" width="7.5703125" style="5" bestFit="1" customWidth="1"/>
    <col min="13" max="13" width="7.140625" style="4" bestFit="1" customWidth="1"/>
    <col min="14" max="16384" width="9.140625" style="3"/>
  </cols>
  <sheetData>
    <row r="1" spans="1:13" s="2" customFormat="1" ht="28.9" customHeight="1" x14ac:dyDescent="0.2">
      <c r="A1" s="66" t="s">
        <v>669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8"/>
    </row>
    <row r="2" spans="1:13" s="2" customFormat="1" ht="61.9" customHeight="1" thickBot="1" x14ac:dyDescent="0.25">
      <c r="A2" s="69"/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1"/>
    </row>
    <row r="3" spans="1:13" s="1" customFormat="1" ht="12.75" customHeight="1" x14ac:dyDescent="0.2">
      <c r="A3" s="55" t="s">
        <v>0</v>
      </c>
      <c r="B3" s="57" t="s">
        <v>12</v>
      </c>
      <c r="C3" s="57" t="s">
        <v>9</v>
      </c>
      <c r="D3" s="59" t="s">
        <v>13</v>
      </c>
      <c r="E3" s="59" t="s">
        <v>1</v>
      </c>
      <c r="F3" s="60" t="s">
        <v>14</v>
      </c>
      <c r="G3" s="55" t="s">
        <v>501</v>
      </c>
      <c r="H3" s="59"/>
      <c r="I3" s="59"/>
      <c r="J3" s="47"/>
      <c r="K3" s="62" t="s">
        <v>75</v>
      </c>
      <c r="L3" s="59" t="s">
        <v>7</v>
      </c>
      <c r="M3" s="47" t="s">
        <v>6</v>
      </c>
    </row>
    <row r="4" spans="1:13" s="1" customFormat="1" ht="23.25" customHeight="1" thickBot="1" x14ac:dyDescent="0.25">
      <c r="A4" s="56"/>
      <c r="B4" s="58"/>
      <c r="C4" s="58"/>
      <c r="D4" s="58"/>
      <c r="E4" s="58"/>
      <c r="F4" s="61"/>
      <c r="G4" s="12">
        <v>1</v>
      </c>
      <c r="H4" s="13">
        <v>2</v>
      </c>
      <c r="I4" s="13">
        <v>3</v>
      </c>
      <c r="J4" s="14" t="s">
        <v>8</v>
      </c>
      <c r="K4" s="63"/>
      <c r="L4" s="58"/>
      <c r="M4" s="48"/>
    </row>
    <row r="5" spans="1:13" s="5" customFormat="1" ht="15" x14ac:dyDescent="0.2">
      <c r="A5" s="64" t="s">
        <v>96</v>
      </c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4"/>
    </row>
    <row r="6" spans="1:13" s="5" customFormat="1" x14ac:dyDescent="0.2">
      <c r="A6" s="15" t="s">
        <v>503</v>
      </c>
      <c r="B6" s="16" t="s">
        <v>504</v>
      </c>
      <c r="C6" s="16" t="s">
        <v>505</v>
      </c>
      <c r="D6" s="16" t="str">
        <f>"0,6050"</f>
        <v>0,6050</v>
      </c>
      <c r="E6" s="15" t="s">
        <v>20</v>
      </c>
      <c r="F6" s="15" t="s">
        <v>194</v>
      </c>
      <c r="G6" s="16" t="s">
        <v>443</v>
      </c>
      <c r="H6" s="16" t="s">
        <v>306</v>
      </c>
      <c r="I6" s="17" t="s">
        <v>506</v>
      </c>
      <c r="J6" s="17"/>
      <c r="K6" s="15" t="str">
        <f>"50,0"</f>
        <v>50,0</v>
      </c>
      <c r="L6" s="16" t="str">
        <f>"30,2500"</f>
        <v>30,2500</v>
      </c>
      <c r="M6" s="15"/>
    </row>
    <row r="7" spans="1:13" s="5" customFormat="1" x14ac:dyDescent="0.2">
      <c r="A7" s="4"/>
      <c r="E7" s="4"/>
      <c r="F7" s="4"/>
      <c r="K7" s="4"/>
      <c r="M7" s="4"/>
    </row>
    <row r="8" spans="1:13" ht="15" x14ac:dyDescent="0.2">
      <c r="A8" s="72" t="s">
        <v>25</v>
      </c>
      <c r="B8" s="73"/>
      <c r="C8" s="73"/>
      <c r="D8" s="73"/>
      <c r="E8" s="73"/>
      <c r="F8" s="73"/>
      <c r="G8" s="73"/>
      <c r="H8" s="73"/>
      <c r="I8" s="73"/>
      <c r="J8" s="73"/>
      <c r="K8" s="73"/>
      <c r="L8" s="73"/>
    </row>
    <row r="9" spans="1:13" x14ac:dyDescent="0.2">
      <c r="A9" s="15" t="s">
        <v>507</v>
      </c>
      <c r="B9" s="16" t="s">
        <v>358</v>
      </c>
      <c r="C9" s="16" t="s">
        <v>359</v>
      </c>
      <c r="D9" s="16" t="str">
        <f>"0,5642"</f>
        <v>0,5642</v>
      </c>
      <c r="E9" s="15" t="s">
        <v>20</v>
      </c>
      <c r="F9" s="15" t="s">
        <v>320</v>
      </c>
      <c r="G9" s="16" t="s">
        <v>443</v>
      </c>
      <c r="H9" s="16" t="s">
        <v>250</v>
      </c>
      <c r="I9" s="17" t="s">
        <v>242</v>
      </c>
      <c r="J9" s="17"/>
      <c r="K9" s="15" t="str">
        <f>"52,5"</f>
        <v>52,5</v>
      </c>
      <c r="L9" s="16" t="str">
        <f>"31,0423"</f>
        <v>31,0423</v>
      </c>
      <c r="M9" s="15"/>
    </row>
    <row r="11" spans="1:13" ht="15" x14ac:dyDescent="0.2">
      <c r="A11" s="72" t="s">
        <v>46</v>
      </c>
      <c r="B11" s="73"/>
      <c r="C11" s="73"/>
      <c r="D11" s="73"/>
      <c r="E11" s="73"/>
      <c r="F11" s="73"/>
      <c r="G11" s="73"/>
      <c r="H11" s="73"/>
      <c r="I11" s="73"/>
      <c r="J11" s="73"/>
      <c r="K11" s="73"/>
      <c r="L11" s="73"/>
    </row>
    <row r="12" spans="1:13" x14ac:dyDescent="0.2">
      <c r="A12" s="15" t="s">
        <v>361</v>
      </c>
      <c r="B12" s="16" t="s">
        <v>362</v>
      </c>
      <c r="C12" s="16" t="s">
        <v>363</v>
      </c>
      <c r="D12" s="16" t="str">
        <f>"0,5365"</f>
        <v>0,5365</v>
      </c>
      <c r="E12" s="15" t="s">
        <v>20</v>
      </c>
      <c r="F12" s="15" t="s">
        <v>364</v>
      </c>
      <c r="G12" s="16" t="s">
        <v>243</v>
      </c>
      <c r="H12" s="16" t="s">
        <v>261</v>
      </c>
      <c r="I12" s="16" t="s">
        <v>144</v>
      </c>
      <c r="J12" s="17"/>
      <c r="K12" s="15" t="str">
        <f>"80,0"</f>
        <v>80,0</v>
      </c>
      <c r="L12" s="16" t="str">
        <f>"42,9200"</f>
        <v>42,9200</v>
      </c>
      <c r="M12" s="15"/>
    </row>
    <row r="14" spans="1:13" ht="15" x14ac:dyDescent="0.2">
      <c r="E14" s="27" t="s">
        <v>53</v>
      </c>
    </row>
    <row r="15" spans="1:13" ht="15" x14ac:dyDescent="0.2">
      <c r="E15" s="27" t="s">
        <v>54</v>
      </c>
    </row>
    <row r="16" spans="1:13" ht="15" x14ac:dyDescent="0.2">
      <c r="E16" s="27" t="s">
        <v>55</v>
      </c>
    </row>
    <row r="17" spans="1:5" x14ac:dyDescent="0.2">
      <c r="E17" s="4" t="s">
        <v>56</v>
      </c>
    </row>
    <row r="18" spans="1:5" x14ac:dyDescent="0.2">
      <c r="E18" s="4" t="s">
        <v>57</v>
      </c>
    </row>
    <row r="19" spans="1:5" x14ac:dyDescent="0.2">
      <c r="E19" s="4" t="s">
        <v>58</v>
      </c>
    </row>
    <row r="22" spans="1:5" ht="18" x14ac:dyDescent="0.25">
      <c r="A22" s="28" t="s">
        <v>59</v>
      </c>
      <c r="B22" s="29"/>
    </row>
    <row r="23" spans="1:5" ht="15" x14ac:dyDescent="0.2">
      <c r="A23" s="30" t="s">
        <v>60</v>
      </c>
      <c r="B23" s="31"/>
    </row>
    <row r="24" spans="1:5" ht="14.25" x14ac:dyDescent="0.2">
      <c r="A24" s="33"/>
      <c r="B24" s="34" t="s">
        <v>398</v>
      </c>
    </row>
    <row r="25" spans="1:5" ht="15" x14ac:dyDescent="0.2">
      <c r="A25" s="35" t="s">
        <v>0</v>
      </c>
      <c r="B25" s="35" t="s">
        <v>62</v>
      </c>
      <c r="C25" s="35" t="s">
        <v>63</v>
      </c>
      <c r="D25" s="35" t="s">
        <v>64</v>
      </c>
      <c r="E25" s="35" t="s">
        <v>13</v>
      </c>
    </row>
    <row r="26" spans="1:5" x14ac:dyDescent="0.2">
      <c r="A26" s="32" t="s">
        <v>502</v>
      </c>
      <c r="B26" s="5" t="s">
        <v>406</v>
      </c>
      <c r="C26" s="5" t="s">
        <v>121</v>
      </c>
      <c r="D26" s="5" t="s">
        <v>306</v>
      </c>
      <c r="E26" s="36" t="s">
        <v>508</v>
      </c>
    </row>
    <row r="28" spans="1:5" ht="14.25" x14ac:dyDescent="0.2">
      <c r="A28" s="33"/>
      <c r="B28" s="34" t="s">
        <v>61</v>
      </c>
    </row>
    <row r="29" spans="1:5" ht="15" x14ac:dyDescent="0.2">
      <c r="A29" s="35" t="s">
        <v>0</v>
      </c>
      <c r="B29" s="35" t="s">
        <v>62</v>
      </c>
      <c r="C29" s="35" t="s">
        <v>63</v>
      </c>
      <c r="D29" s="35" t="s">
        <v>64</v>
      </c>
      <c r="E29" s="35" t="s">
        <v>13</v>
      </c>
    </row>
    <row r="30" spans="1:5" x14ac:dyDescent="0.2">
      <c r="A30" s="32" t="s">
        <v>360</v>
      </c>
      <c r="B30" s="5" t="s">
        <v>61</v>
      </c>
      <c r="C30" s="5" t="s">
        <v>69</v>
      </c>
      <c r="D30" s="5" t="s">
        <v>144</v>
      </c>
      <c r="E30" s="36" t="s">
        <v>509</v>
      </c>
    </row>
    <row r="32" spans="1:5" ht="14.25" x14ac:dyDescent="0.2">
      <c r="A32" s="33"/>
      <c r="B32" s="34" t="s">
        <v>71</v>
      </c>
    </row>
    <row r="33" spans="1:5" ht="15" x14ac:dyDescent="0.2">
      <c r="A33" s="35" t="s">
        <v>0</v>
      </c>
      <c r="B33" s="35" t="s">
        <v>62</v>
      </c>
      <c r="C33" s="35" t="s">
        <v>63</v>
      </c>
      <c r="D33" s="35" t="s">
        <v>64</v>
      </c>
      <c r="E33" s="35" t="s">
        <v>13</v>
      </c>
    </row>
    <row r="34" spans="1:5" x14ac:dyDescent="0.2">
      <c r="A34" s="32" t="s">
        <v>356</v>
      </c>
      <c r="B34" s="5" t="s">
        <v>156</v>
      </c>
      <c r="C34" s="5" t="s">
        <v>65</v>
      </c>
      <c r="D34" s="5" t="s">
        <v>250</v>
      </c>
      <c r="E34" s="36" t="s">
        <v>510</v>
      </c>
    </row>
  </sheetData>
  <mergeCells count="14">
    <mergeCell ref="A11:L11"/>
    <mergeCell ref="A1:M2"/>
    <mergeCell ref="A3:A4"/>
    <mergeCell ref="B3:B4"/>
    <mergeCell ref="C3:C4"/>
    <mergeCell ref="D3:D4"/>
    <mergeCell ref="E3:E4"/>
    <mergeCell ref="F3:F4"/>
    <mergeCell ref="G3:J3"/>
    <mergeCell ref="K3:K4"/>
    <mergeCell ref="L3:L4"/>
    <mergeCell ref="M3:M4"/>
    <mergeCell ref="A5:L5"/>
    <mergeCell ref="A8:L8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workbookViewId="0">
      <selection sqref="A1:M2"/>
    </sheetView>
  </sheetViews>
  <sheetFormatPr defaultColWidth="9.140625" defaultRowHeight="12.75" x14ac:dyDescent="0.2"/>
  <cols>
    <col min="1" max="1" width="24.85546875" style="4" bestFit="1" customWidth="1"/>
    <col min="2" max="2" width="26.5703125" style="5" bestFit="1" customWidth="1"/>
    <col min="3" max="3" width="7.5703125" style="5" bestFit="1" customWidth="1"/>
    <col min="4" max="4" width="8.7109375" style="5" bestFit="1" customWidth="1"/>
    <col min="5" max="5" width="17" style="4" bestFit="1" customWidth="1"/>
    <col min="6" max="6" width="20.7109375" style="4" bestFit="1" customWidth="1"/>
    <col min="7" max="9" width="5.5703125" style="5" bestFit="1" customWidth="1"/>
    <col min="10" max="10" width="4.7109375" style="5" bestFit="1" customWidth="1"/>
    <col min="11" max="11" width="5.7109375" style="4" bestFit="1" customWidth="1"/>
    <col min="12" max="12" width="7.5703125" style="5" bestFit="1" customWidth="1"/>
    <col min="13" max="13" width="7.140625" style="4" bestFit="1" customWidth="1"/>
    <col min="14" max="16384" width="9.140625" style="3"/>
  </cols>
  <sheetData>
    <row r="1" spans="1:13" s="2" customFormat="1" ht="28.9" customHeight="1" x14ac:dyDescent="0.2">
      <c r="A1" s="66" t="s">
        <v>670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8"/>
    </row>
    <row r="2" spans="1:13" s="2" customFormat="1" ht="61.9" customHeight="1" thickBot="1" x14ac:dyDescent="0.25">
      <c r="A2" s="69"/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1"/>
    </row>
    <row r="3" spans="1:13" s="1" customFormat="1" ht="12.75" customHeight="1" x14ac:dyDescent="0.2">
      <c r="A3" s="55" t="s">
        <v>0</v>
      </c>
      <c r="B3" s="57" t="s">
        <v>12</v>
      </c>
      <c r="C3" s="57" t="s">
        <v>9</v>
      </c>
      <c r="D3" s="59" t="s">
        <v>13</v>
      </c>
      <c r="E3" s="59" t="s">
        <v>1</v>
      </c>
      <c r="F3" s="60" t="s">
        <v>14</v>
      </c>
      <c r="G3" s="55" t="s">
        <v>483</v>
      </c>
      <c r="H3" s="59"/>
      <c r="I3" s="59"/>
      <c r="J3" s="47"/>
      <c r="K3" s="62" t="s">
        <v>75</v>
      </c>
      <c r="L3" s="59" t="s">
        <v>7</v>
      </c>
      <c r="M3" s="47" t="s">
        <v>6</v>
      </c>
    </row>
    <row r="4" spans="1:13" s="1" customFormat="1" ht="23.25" customHeight="1" thickBot="1" x14ac:dyDescent="0.25">
      <c r="A4" s="56"/>
      <c r="B4" s="58"/>
      <c r="C4" s="58"/>
      <c r="D4" s="58"/>
      <c r="E4" s="58"/>
      <c r="F4" s="61"/>
      <c r="G4" s="12">
        <v>1</v>
      </c>
      <c r="H4" s="13">
        <v>2</v>
      </c>
      <c r="I4" s="13">
        <v>3</v>
      </c>
      <c r="J4" s="14" t="s">
        <v>8</v>
      </c>
      <c r="K4" s="63"/>
      <c r="L4" s="58"/>
      <c r="M4" s="48"/>
    </row>
    <row r="5" spans="1:13" s="5" customFormat="1" ht="15" x14ac:dyDescent="0.2">
      <c r="A5" s="64" t="s">
        <v>25</v>
      </c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4"/>
    </row>
    <row r="6" spans="1:13" s="5" customFormat="1" x14ac:dyDescent="0.2">
      <c r="A6" s="15" t="s">
        <v>485</v>
      </c>
      <c r="B6" s="16" t="s">
        <v>486</v>
      </c>
      <c r="C6" s="16" t="s">
        <v>487</v>
      </c>
      <c r="D6" s="16" t="str">
        <f>"0,5734"</f>
        <v>0,5734</v>
      </c>
      <c r="E6" s="15" t="s">
        <v>20</v>
      </c>
      <c r="F6" s="15" t="s">
        <v>488</v>
      </c>
      <c r="G6" s="16" t="s">
        <v>448</v>
      </c>
      <c r="H6" s="16" t="s">
        <v>261</v>
      </c>
      <c r="I6" s="16" t="s">
        <v>489</v>
      </c>
      <c r="J6" s="17"/>
      <c r="K6" s="15" t="str">
        <f>"77,5"</f>
        <v>77,5</v>
      </c>
      <c r="L6" s="16" t="str">
        <f>"44,4385"</f>
        <v>44,4385</v>
      </c>
      <c r="M6" s="15"/>
    </row>
    <row r="7" spans="1:13" s="5" customFormat="1" x14ac:dyDescent="0.2">
      <c r="A7" s="4"/>
      <c r="E7" s="4"/>
      <c r="F7" s="4"/>
      <c r="K7" s="4"/>
      <c r="M7" s="4"/>
    </row>
    <row r="8" spans="1:13" ht="15" x14ac:dyDescent="0.2">
      <c r="A8" s="72" t="s">
        <v>382</v>
      </c>
      <c r="B8" s="73"/>
      <c r="C8" s="73"/>
      <c r="D8" s="73"/>
      <c r="E8" s="73"/>
      <c r="F8" s="73"/>
      <c r="G8" s="73"/>
      <c r="H8" s="73"/>
      <c r="I8" s="73"/>
      <c r="J8" s="73"/>
      <c r="K8" s="73"/>
      <c r="L8" s="73"/>
    </row>
    <row r="9" spans="1:13" x14ac:dyDescent="0.2">
      <c r="A9" s="15" t="s">
        <v>491</v>
      </c>
      <c r="B9" s="16" t="s">
        <v>492</v>
      </c>
      <c r="C9" s="16" t="s">
        <v>493</v>
      </c>
      <c r="D9" s="16" t="str">
        <f>"0,5304"</f>
        <v>0,5304</v>
      </c>
      <c r="E9" s="15" t="s">
        <v>20</v>
      </c>
      <c r="F9" s="15" t="s">
        <v>488</v>
      </c>
      <c r="G9" s="16" t="s">
        <v>441</v>
      </c>
      <c r="H9" s="16" t="s">
        <v>145</v>
      </c>
      <c r="I9" s="16" t="s">
        <v>93</v>
      </c>
      <c r="J9" s="17"/>
      <c r="K9" s="15" t="str">
        <f>"90,0"</f>
        <v>90,0</v>
      </c>
      <c r="L9" s="16" t="str">
        <f>"48,5952"</f>
        <v>48,5952</v>
      </c>
      <c r="M9" s="15"/>
    </row>
    <row r="11" spans="1:13" ht="15" x14ac:dyDescent="0.2">
      <c r="A11" s="72" t="s">
        <v>110</v>
      </c>
      <c r="B11" s="73"/>
      <c r="C11" s="73"/>
      <c r="D11" s="73"/>
      <c r="E11" s="73"/>
      <c r="F11" s="73"/>
      <c r="G11" s="73"/>
      <c r="H11" s="73"/>
      <c r="I11" s="73"/>
      <c r="J11" s="73"/>
      <c r="K11" s="73"/>
      <c r="L11" s="73"/>
    </row>
    <row r="12" spans="1:13" x14ac:dyDescent="0.2">
      <c r="A12" s="15" t="s">
        <v>495</v>
      </c>
      <c r="B12" s="16" t="s">
        <v>496</v>
      </c>
      <c r="C12" s="16" t="s">
        <v>497</v>
      </c>
      <c r="D12" s="16" t="str">
        <f>"0,5175"</f>
        <v>0,5175</v>
      </c>
      <c r="E12" s="15" t="s">
        <v>20</v>
      </c>
      <c r="F12" s="15" t="s">
        <v>364</v>
      </c>
      <c r="G12" s="16" t="s">
        <v>90</v>
      </c>
      <c r="H12" s="16" t="s">
        <v>92</v>
      </c>
      <c r="I12" s="17" t="s">
        <v>115</v>
      </c>
      <c r="J12" s="17"/>
      <c r="K12" s="15" t="str">
        <f>"130,0"</f>
        <v>130,0</v>
      </c>
      <c r="L12" s="16" t="str">
        <f>"67,2750"</f>
        <v>67,2750</v>
      </c>
      <c r="M12" s="15"/>
    </row>
    <row r="14" spans="1:13" ht="15" x14ac:dyDescent="0.2">
      <c r="E14" s="27" t="s">
        <v>53</v>
      </c>
    </row>
    <row r="15" spans="1:13" ht="15" x14ac:dyDescent="0.2">
      <c r="E15" s="27" t="s">
        <v>54</v>
      </c>
    </row>
    <row r="16" spans="1:13" ht="15" x14ac:dyDescent="0.2">
      <c r="E16" s="27" t="s">
        <v>55</v>
      </c>
    </row>
    <row r="17" spans="1:5" x14ac:dyDescent="0.2">
      <c r="E17" s="4" t="s">
        <v>56</v>
      </c>
    </row>
    <row r="18" spans="1:5" x14ac:dyDescent="0.2">
      <c r="E18" s="4" t="s">
        <v>57</v>
      </c>
    </row>
    <row r="19" spans="1:5" x14ac:dyDescent="0.2">
      <c r="E19" s="4" t="s">
        <v>58</v>
      </c>
    </row>
    <row r="22" spans="1:5" ht="18" x14ac:dyDescent="0.25">
      <c r="A22" s="28" t="s">
        <v>59</v>
      </c>
      <c r="B22" s="29"/>
    </row>
    <row r="23" spans="1:5" ht="15" x14ac:dyDescent="0.2">
      <c r="A23" s="30" t="s">
        <v>60</v>
      </c>
      <c r="B23" s="31"/>
    </row>
    <row r="24" spans="1:5" ht="14.25" x14ac:dyDescent="0.2">
      <c r="A24" s="33"/>
      <c r="B24" s="34" t="s">
        <v>61</v>
      </c>
    </row>
    <row r="25" spans="1:5" ht="15" x14ac:dyDescent="0.2">
      <c r="A25" s="35" t="s">
        <v>0</v>
      </c>
      <c r="B25" s="35" t="s">
        <v>62</v>
      </c>
      <c r="C25" s="35" t="s">
        <v>63</v>
      </c>
      <c r="D25" s="35" t="s">
        <v>64</v>
      </c>
      <c r="E25" s="35" t="s">
        <v>13</v>
      </c>
    </row>
    <row r="26" spans="1:5" x14ac:dyDescent="0.2">
      <c r="A26" s="32" t="s">
        <v>494</v>
      </c>
      <c r="B26" s="5" t="s">
        <v>61</v>
      </c>
      <c r="C26" s="5" t="s">
        <v>128</v>
      </c>
      <c r="D26" s="5" t="s">
        <v>92</v>
      </c>
      <c r="E26" s="36" t="s">
        <v>498</v>
      </c>
    </row>
    <row r="27" spans="1:5" x14ac:dyDescent="0.2">
      <c r="A27" s="32" t="s">
        <v>484</v>
      </c>
      <c r="B27" s="5" t="s">
        <v>61</v>
      </c>
      <c r="C27" s="5" t="s">
        <v>65</v>
      </c>
      <c r="D27" s="5" t="s">
        <v>489</v>
      </c>
      <c r="E27" s="36" t="s">
        <v>499</v>
      </c>
    </row>
    <row r="29" spans="1:5" ht="14.25" x14ac:dyDescent="0.2">
      <c r="A29" s="33"/>
      <c r="B29" s="34" t="s">
        <v>71</v>
      </c>
    </row>
    <row r="30" spans="1:5" ht="15" x14ac:dyDescent="0.2">
      <c r="A30" s="35" t="s">
        <v>0</v>
      </c>
      <c r="B30" s="35" t="s">
        <v>62</v>
      </c>
      <c r="C30" s="35" t="s">
        <v>63</v>
      </c>
      <c r="D30" s="35" t="s">
        <v>64</v>
      </c>
      <c r="E30" s="35" t="s">
        <v>13</v>
      </c>
    </row>
    <row r="31" spans="1:5" x14ac:dyDescent="0.2">
      <c r="A31" s="32" t="s">
        <v>490</v>
      </c>
      <c r="B31" s="5" t="s">
        <v>130</v>
      </c>
      <c r="C31" s="5" t="s">
        <v>414</v>
      </c>
      <c r="D31" s="5" t="s">
        <v>93</v>
      </c>
      <c r="E31" s="36" t="s">
        <v>500</v>
      </c>
    </row>
  </sheetData>
  <mergeCells count="14">
    <mergeCell ref="A11:L11"/>
    <mergeCell ref="A1:M2"/>
    <mergeCell ref="A3:A4"/>
    <mergeCell ref="B3:B4"/>
    <mergeCell ref="C3:C4"/>
    <mergeCell ref="D3:D4"/>
    <mergeCell ref="E3:E4"/>
    <mergeCell ref="F3:F4"/>
    <mergeCell ref="G3:J3"/>
    <mergeCell ref="K3:K4"/>
    <mergeCell ref="L3:L4"/>
    <mergeCell ref="M3:M4"/>
    <mergeCell ref="A5:L5"/>
    <mergeCell ref="A8:L8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3"/>
  <sheetViews>
    <sheetView workbookViewId="0">
      <selection activeCell="T6" sqref="T6"/>
    </sheetView>
  </sheetViews>
  <sheetFormatPr defaultColWidth="9.140625" defaultRowHeight="12.75" x14ac:dyDescent="0.2"/>
  <cols>
    <col min="1" max="1" width="24.85546875" style="4" bestFit="1" customWidth="1"/>
    <col min="2" max="2" width="26.5703125" style="5" bestFit="1" customWidth="1"/>
    <col min="3" max="3" width="7.5703125" style="5" bestFit="1" customWidth="1"/>
    <col min="4" max="4" width="8.7109375" style="5" bestFit="1" customWidth="1"/>
    <col min="5" max="5" width="17" style="4" bestFit="1" customWidth="1"/>
    <col min="6" max="6" width="26.5703125" style="4" bestFit="1" customWidth="1"/>
    <col min="7" max="9" width="5.5703125" style="5" bestFit="1" customWidth="1"/>
    <col min="10" max="10" width="4.7109375" style="5" bestFit="1" customWidth="1"/>
    <col min="11" max="13" width="5.5703125" style="5" bestFit="1" customWidth="1"/>
    <col min="14" max="14" width="4.7109375" style="5" bestFit="1" customWidth="1"/>
    <col min="15" max="17" width="5.5703125" style="5" bestFit="1" customWidth="1"/>
    <col min="18" max="18" width="4.7109375" style="5" bestFit="1" customWidth="1"/>
    <col min="19" max="19" width="5.7109375" style="4" bestFit="1" customWidth="1"/>
    <col min="20" max="20" width="8.5703125" style="5" bestFit="1" customWidth="1"/>
    <col min="21" max="21" width="7.140625" style="4" bestFit="1" customWidth="1"/>
    <col min="22" max="16384" width="9.140625" style="3"/>
  </cols>
  <sheetData>
    <row r="1" spans="1:21" s="2" customFormat="1" ht="28.9" customHeight="1" x14ac:dyDescent="0.2">
      <c r="A1" s="66" t="s">
        <v>671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8"/>
    </row>
    <row r="2" spans="1:21" s="2" customFormat="1" ht="61.9" customHeight="1" thickBot="1" x14ac:dyDescent="0.25">
      <c r="A2" s="69"/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1"/>
    </row>
    <row r="3" spans="1:21" s="1" customFormat="1" ht="12.75" customHeight="1" x14ac:dyDescent="0.2">
      <c r="A3" s="55" t="s">
        <v>0</v>
      </c>
      <c r="B3" s="57" t="s">
        <v>12</v>
      </c>
      <c r="C3" s="57" t="s">
        <v>9</v>
      </c>
      <c r="D3" s="59" t="s">
        <v>13</v>
      </c>
      <c r="E3" s="59" t="s">
        <v>1</v>
      </c>
      <c r="F3" s="60" t="s">
        <v>14</v>
      </c>
      <c r="G3" s="55" t="s">
        <v>3</v>
      </c>
      <c r="H3" s="59"/>
      <c r="I3" s="59"/>
      <c r="J3" s="47"/>
      <c r="K3" s="55" t="s">
        <v>4</v>
      </c>
      <c r="L3" s="59"/>
      <c r="M3" s="59"/>
      <c r="N3" s="47"/>
      <c r="O3" s="55" t="s">
        <v>5</v>
      </c>
      <c r="P3" s="59"/>
      <c r="Q3" s="59"/>
      <c r="R3" s="47"/>
      <c r="S3" s="62" t="s">
        <v>11</v>
      </c>
      <c r="T3" s="59" t="s">
        <v>7</v>
      </c>
      <c r="U3" s="47" t="s">
        <v>6</v>
      </c>
    </row>
    <row r="4" spans="1:21" s="1" customFormat="1" ht="23.25" customHeight="1" thickBot="1" x14ac:dyDescent="0.25">
      <c r="A4" s="56"/>
      <c r="B4" s="58"/>
      <c r="C4" s="58"/>
      <c r="D4" s="58"/>
      <c r="E4" s="58"/>
      <c r="F4" s="61"/>
      <c r="G4" s="12">
        <v>1</v>
      </c>
      <c r="H4" s="13">
        <v>2</v>
      </c>
      <c r="I4" s="13">
        <v>3</v>
      </c>
      <c r="J4" s="14" t="s">
        <v>8</v>
      </c>
      <c r="K4" s="12">
        <v>1</v>
      </c>
      <c r="L4" s="13">
        <v>2</v>
      </c>
      <c r="M4" s="13">
        <v>3</v>
      </c>
      <c r="N4" s="14" t="s">
        <v>8</v>
      </c>
      <c r="O4" s="12">
        <v>1</v>
      </c>
      <c r="P4" s="13">
        <v>2</v>
      </c>
      <c r="Q4" s="13">
        <v>3</v>
      </c>
      <c r="R4" s="14" t="s">
        <v>8</v>
      </c>
      <c r="S4" s="63"/>
      <c r="T4" s="58"/>
      <c r="U4" s="48"/>
    </row>
    <row r="5" spans="1:21" s="5" customFormat="1" ht="15" x14ac:dyDescent="0.2">
      <c r="A5" s="64" t="s">
        <v>236</v>
      </c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4"/>
    </row>
    <row r="6" spans="1:21" s="5" customFormat="1" x14ac:dyDescent="0.2">
      <c r="A6" s="15" t="s">
        <v>438</v>
      </c>
      <c r="B6" s="16" t="s">
        <v>439</v>
      </c>
      <c r="C6" s="16" t="s">
        <v>440</v>
      </c>
      <c r="D6" s="16" t="str">
        <f>"1,0336"</f>
        <v>1,0336</v>
      </c>
      <c r="E6" s="15" t="s">
        <v>241</v>
      </c>
      <c r="F6" s="15" t="s">
        <v>30</v>
      </c>
      <c r="G6" s="16" t="s">
        <v>244</v>
      </c>
      <c r="H6" s="16" t="s">
        <v>441</v>
      </c>
      <c r="I6" s="16" t="s">
        <v>144</v>
      </c>
      <c r="J6" s="17"/>
      <c r="K6" s="16" t="s">
        <v>442</v>
      </c>
      <c r="L6" s="17" t="s">
        <v>443</v>
      </c>
      <c r="M6" s="16" t="s">
        <v>306</v>
      </c>
      <c r="N6" s="17"/>
      <c r="O6" s="16" t="s">
        <v>95</v>
      </c>
      <c r="P6" s="16" t="s">
        <v>183</v>
      </c>
      <c r="Q6" s="16" t="s">
        <v>168</v>
      </c>
      <c r="R6" s="17"/>
      <c r="S6" s="15" t="str">
        <f>"245,0"</f>
        <v>245,0</v>
      </c>
      <c r="T6" s="16" t="str">
        <f>"289,6974"</f>
        <v>289,6974</v>
      </c>
      <c r="U6" s="15"/>
    </row>
    <row r="7" spans="1:21" s="5" customFormat="1" x14ac:dyDescent="0.2">
      <c r="A7" s="4"/>
      <c r="E7" s="4"/>
      <c r="F7" s="4"/>
      <c r="S7" s="4"/>
      <c r="U7" s="4"/>
    </row>
    <row r="8" spans="1:21" ht="15" x14ac:dyDescent="0.2">
      <c r="A8" s="72" t="s">
        <v>177</v>
      </c>
      <c r="B8" s="73"/>
      <c r="C8" s="73"/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  <c r="R8" s="73"/>
      <c r="S8" s="73"/>
      <c r="T8" s="73"/>
    </row>
    <row r="9" spans="1:21" x14ac:dyDescent="0.2">
      <c r="A9" s="15" t="s">
        <v>445</v>
      </c>
      <c r="B9" s="16" t="s">
        <v>446</v>
      </c>
      <c r="C9" s="16" t="s">
        <v>447</v>
      </c>
      <c r="D9" s="16" t="str">
        <f>"0,8775"</f>
        <v>0,8775</v>
      </c>
      <c r="E9" s="15" t="s">
        <v>20</v>
      </c>
      <c r="F9" s="15" t="s">
        <v>30</v>
      </c>
      <c r="G9" s="16" t="s">
        <v>243</v>
      </c>
      <c r="H9" s="16" t="s">
        <v>448</v>
      </c>
      <c r="I9" s="16" t="s">
        <v>441</v>
      </c>
      <c r="J9" s="17"/>
      <c r="K9" s="16" t="s">
        <v>442</v>
      </c>
      <c r="L9" s="17" t="s">
        <v>443</v>
      </c>
      <c r="M9" s="16" t="s">
        <v>306</v>
      </c>
      <c r="N9" s="17"/>
      <c r="O9" s="16" t="s">
        <v>448</v>
      </c>
      <c r="P9" s="16" t="s">
        <v>441</v>
      </c>
      <c r="Q9" s="16" t="s">
        <v>84</v>
      </c>
      <c r="R9" s="17"/>
      <c r="S9" s="15" t="str">
        <f>"212,5"</f>
        <v>212,5</v>
      </c>
      <c r="T9" s="16" t="str">
        <f>"188,1470"</f>
        <v>188,1470</v>
      </c>
      <c r="U9" s="15"/>
    </row>
    <row r="11" spans="1:21" ht="15" x14ac:dyDescent="0.2">
      <c r="A11" s="72" t="s">
        <v>96</v>
      </c>
      <c r="B11" s="73"/>
      <c r="C11" s="73"/>
      <c r="D11" s="73"/>
      <c r="E11" s="73"/>
      <c r="F11" s="73"/>
      <c r="G11" s="73"/>
      <c r="H11" s="73"/>
      <c r="I11" s="73"/>
      <c r="J11" s="73"/>
      <c r="K11" s="73"/>
      <c r="L11" s="73"/>
      <c r="M11" s="73"/>
      <c r="N11" s="73"/>
      <c r="O11" s="73"/>
      <c r="P11" s="73"/>
      <c r="Q11" s="73"/>
      <c r="R11" s="73"/>
      <c r="S11" s="73"/>
      <c r="T11" s="73"/>
    </row>
    <row r="12" spans="1:21" x14ac:dyDescent="0.2">
      <c r="A12" s="21" t="s">
        <v>450</v>
      </c>
      <c r="B12" s="18" t="s">
        <v>451</v>
      </c>
      <c r="C12" s="18" t="s">
        <v>208</v>
      </c>
      <c r="D12" s="18" t="str">
        <f>"0,5910"</f>
        <v>0,5910</v>
      </c>
      <c r="E12" s="21" t="s">
        <v>20</v>
      </c>
      <c r="F12" s="21" t="s">
        <v>30</v>
      </c>
      <c r="G12" s="18" t="s">
        <v>117</v>
      </c>
      <c r="H12" s="18" t="s">
        <v>22</v>
      </c>
      <c r="I12" s="18" t="s">
        <v>365</v>
      </c>
      <c r="J12" s="22"/>
      <c r="K12" s="18" t="s">
        <v>91</v>
      </c>
      <c r="L12" s="18" t="s">
        <v>289</v>
      </c>
      <c r="M12" s="22" t="s">
        <v>115</v>
      </c>
      <c r="N12" s="22"/>
      <c r="O12" s="18" t="s">
        <v>452</v>
      </c>
      <c r="P12" s="22" t="s">
        <v>40</v>
      </c>
      <c r="Q12" s="22" t="s">
        <v>40</v>
      </c>
      <c r="R12" s="22"/>
      <c r="S12" s="21" t="str">
        <f>"550,0"</f>
        <v>550,0</v>
      </c>
      <c r="T12" s="18" t="str">
        <f>"325,0500"</f>
        <v>325,0500</v>
      </c>
      <c r="U12" s="21"/>
    </row>
    <row r="13" spans="1:21" x14ac:dyDescent="0.2">
      <c r="A13" s="25" t="s">
        <v>454</v>
      </c>
      <c r="B13" s="20" t="s">
        <v>455</v>
      </c>
      <c r="C13" s="20" t="s">
        <v>456</v>
      </c>
      <c r="D13" s="20" t="str">
        <f>"0,6102"</f>
        <v>0,6102</v>
      </c>
      <c r="E13" s="25" t="s">
        <v>20</v>
      </c>
      <c r="F13" s="25" t="s">
        <v>457</v>
      </c>
      <c r="G13" s="20" t="s">
        <v>144</v>
      </c>
      <c r="H13" s="20" t="s">
        <v>94</v>
      </c>
      <c r="I13" s="20" t="s">
        <v>272</v>
      </c>
      <c r="J13" s="26"/>
      <c r="K13" s="20" t="s">
        <v>144</v>
      </c>
      <c r="L13" s="20" t="s">
        <v>145</v>
      </c>
      <c r="M13" s="20" t="s">
        <v>93</v>
      </c>
      <c r="N13" s="26"/>
      <c r="O13" s="20" t="s">
        <v>115</v>
      </c>
      <c r="P13" s="20" t="s">
        <v>189</v>
      </c>
      <c r="Q13" s="20" t="s">
        <v>22</v>
      </c>
      <c r="R13" s="26"/>
      <c r="S13" s="25" t="str">
        <f>"365,0"</f>
        <v>365,0</v>
      </c>
      <c r="T13" s="20" t="str">
        <f>"226,7320"</f>
        <v>226,7320</v>
      </c>
      <c r="U13" s="25"/>
    </row>
    <row r="15" spans="1:21" ht="15" x14ac:dyDescent="0.2">
      <c r="A15" s="72" t="s">
        <v>25</v>
      </c>
      <c r="B15" s="73"/>
      <c r="C15" s="73"/>
      <c r="D15" s="73"/>
      <c r="E15" s="73"/>
      <c r="F15" s="73"/>
      <c r="G15" s="73"/>
      <c r="H15" s="73"/>
      <c r="I15" s="73"/>
      <c r="J15" s="73"/>
      <c r="K15" s="73"/>
      <c r="L15" s="73"/>
      <c r="M15" s="73"/>
      <c r="N15" s="73"/>
      <c r="O15" s="73"/>
      <c r="P15" s="73"/>
      <c r="Q15" s="73"/>
      <c r="R15" s="73"/>
      <c r="S15" s="73"/>
      <c r="T15" s="73"/>
    </row>
    <row r="16" spans="1:21" x14ac:dyDescent="0.2">
      <c r="A16" s="15" t="s">
        <v>459</v>
      </c>
      <c r="B16" s="16" t="s">
        <v>460</v>
      </c>
      <c r="C16" s="16" t="s">
        <v>461</v>
      </c>
      <c r="D16" s="16" t="str">
        <f>"0,5691"</f>
        <v>0,5691</v>
      </c>
      <c r="E16" s="15" t="s">
        <v>20</v>
      </c>
      <c r="F16" s="15" t="s">
        <v>462</v>
      </c>
      <c r="G16" s="16" t="s">
        <v>117</v>
      </c>
      <c r="H16" s="16" t="s">
        <v>102</v>
      </c>
      <c r="I16" s="16" t="s">
        <v>22</v>
      </c>
      <c r="J16" s="17"/>
      <c r="K16" s="16" t="s">
        <v>272</v>
      </c>
      <c r="L16" s="16" t="s">
        <v>168</v>
      </c>
      <c r="M16" s="17" t="s">
        <v>90</v>
      </c>
      <c r="N16" s="17"/>
      <c r="O16" s="16" t="s">
        <v>23</v>
      </c>
      <c r="P16" s="16" t="s">
        <v>366</v>
      </c>
      <c r="Q16" s="16" t="s">
        <v>203</v>
      </c>
      <c r="R16" s="17"/>
      <c r="S16" s="15" t="str">
        <f>"495,0"</f>
        <v>495,0</v>
      </c>
      <c r="T16" s="16" t="str">
        <f>"281,7045"</f>
        <v>281,7045</v>
      </c>
      <c r="U16" s="15"/>
    </row>
    <row r="18" spans="1:21" ht="15" x14ac:dyDescent="0.2">
      <c r="A18" s="72" t="s">
        <v>46</v>
      </c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3"/>
      <c r="N18" s="73"/>
      <c r="O18" s="73"/>
      <c r="P18" s="73"/>
      <c r="Q18" s="73"/>
      <c r="R18" s="73"/>
      <c r="S18" s="73"/>
      <c r="T18" s="73"/>
    </row>
    <row r="19" spans="1:21" x14ac:dyDescent="0.2">
      <c r="A19" s="15" t="s">
        <v>464</v>
      </c>
      <c r="B19" s="16" t="s">
        <v>465</v>
      </c>
      <c r="C19" s="16" t="s">
        <v>466</v>
      </c>
      <c r="D19" s="16" t="str">
        <f>"0,5485"</f>
        <v>0,5485</v>
      </c>
      <c r="E19" s="15" t="s">
        <v>20</v>
      </c>
      <c r="F19" s="15" t="s">
        <v>30</v>
      </c>
      <c r="G19" s="17" t="s">
        <v>116</v>
      </c>
      <c r="H19" s="17" t="s">
        <v>332</v>
      </c>
      <c r="I19" s="16" t="s">
        <v>332</v>
      </c>
      <c r="J19" s="17"/>
      <c r="K19" s="16" t="s">
        <v>93</v>
      </c>
      <c r="L19" s="16" t="s">
        <v>95</v>
      </c>
      <c r="M19" s="17" t="s">
        <v>272</v>
      </c>
      <c r="N19" s="17"/>
      <c r="O19" s="16" t="s">
        <v>103</v>
      </c>
      <c r="P19" s="16" t="s">
        <v>152</v>
      </c>
      <c r="Q19" s="16" t="s">
        <v>23</v>
      </c>
      <c r="R19" s="17"/>
      <c r="S19" s="15" t="str">
        <f>"427,5"</f>
        <v>427,5</v>
      </c>
      <c r="T19" s="16" t="str">
        <f>"234,4838"</f>
        <v>234,4838</v>
      </c>
      <c r="U19" s="15"/>
    </row>
    <row r="21" spans="1:21" ht="15" x14ac:dyDescent="0.2">
      <c r="A21" s="72" t="s">
        <v>382</v>
      </c>
      <c r="B21" s="73"/>
      <c r="C21" s="73"/>
      <c r="D21" s="73"/>
      <c r="E21" s="73"/>
      <c r="F21" s="73"/>
      <c r="G21" s="73"/>
      <c r="H21" s="73"/>
      <c r="I21" s="73"/>
      <c r="J21" s="73"/>
      <c r="K21" s="73"/>
      <c r="L21" s="73"/>
      <c r="M21" s="73"/>
      <c r="N21" s="73"/>
      <c r="O21" s="73"/>
      <c r="P21" s="73"/>
      <c r="Q21" s="73"/>
      <c r="R21" s="73"/>
      <c r="S21" s="73"/>
      <c r="T21" s="73"/>
    </row>
    <row r="22" spans="1:21" x14ac:dyDescent="0.2">
      <c r="A22" s="15" t="s">
        <v>468</v>
      </c>
      <c r="B22" s="16" t="s">
        <v>469</v>
      </c>
      <c r="C22" s="16" t="s">
        <v>470</v>
      </c>
      <c r="D22" s="16" t="str">
        <f>"0,5242"</f>
        <v>0,5242</v>
      </c>
      <c r="E22" s="15" t="s">
        <v>20</v>
      </c>
      <c r="F22" s="15" t="s">
        <v>30</v>
      </c>
      <c r="G22" s="16" t="s">
        <v>90</v>
      </c>
      <c r="H22" s="16" t="s">
        <v>116</v>
      </c>
      <c r="I22" s="16" t="s">
        <v>102</v>
      </c>
      <c r="J22" s="17"/>
      <c r="K22" s="16" t="s">
        <v>168</v>
      </c>
      <c r="L22" s="16" t="s">
        <v>91</v>
      </c>
      <c r="M22" s="17" t="s">
        <v>92</v>
      </c>
      <c r="N22" s="17"/>
      <c r="O22" s="16" t="s">
        <v>92</v>
      </c>
      <c r="P22" s="16" t="s">
        <v>102</v>
      </c>
      <c r="Q22" s="16" t="s">
        <v>365</v>
      </c>
      <c r="R22" s="17"/>
      <c r="S22" s="15" t="str">
        <f>"475,0"</f>
        <v>475,0</v>
      </c>
      <c r="T22" s="16" t="str">
        <f>"248,9950"</f>
        <v>248,9950</v>
      </c>
      <c r="U22" s="15"/>
    </row>
    <row r="24" spans="1:21" ht="15" x14ac:dyDescent="0.2">
      <c r="E24" s="27" t="s">
        <v>53</v>
      </c>
    </row>
    <row r="25" spans="1:21" ht="15" x14ac:dyDescent="0.2">
      <c r="E25" s="27" t="s">
        <v>54</v>
      </c>
    </row>
    <row r="26" spans="1:21" ht="15" x14ac:dyDescent="0.2">
      <c r="E26" s="27" t="s">
        <v>55</v>
      </c>
    </row>
    <row r="27" spans="1:21" x14ac:dyDescent="0.2">
      <c r="E27" s="4" t="s">
        <v>56</v>
      </c>
    </row>
    <row r="28" spans="1:21" x14ac:dyDescent="0.2">
      <c r="E28" s="4" t="s">
        <v>57</v>
      </c>
    </row>
    <row r="29" spans="1:21" x14ac:dyDescent="0.2">
      <c r="E29" s="4" t="s">
        <v>58</v>
      </c>
    </row>
    <row r="32" spans="1:21" ht="18" x14ac:dyDescent="0.25">
      <c r="A32" s="28" t="s">
        <v>59</v>
      </c>
      <c r="B32" s="29"/>
    </row>
    <row r="33" spans="1:5" ht="15" x14ac:dyDescent="0.2">
      <c r="A33" s="30" t="s">
        <v>118</v>
      </c>
      <c r="B33" s="31"/>
    </row>
    <row r="34" spans="1:5" ht="14.25" x14ac:dyDescent="0.2">
      <c r="A34" s="33"/>
      <c r="B34" s="34" t="s">
        <v>71</v>
      </c>
    </row>
    <row r="35" spans="1:5" ht="15" x14ac:dyDescent="0.2">
      <c r="A35" s="35" t="s">
        <v>0</v>
      </c>
      <c r="B35" s="35" t="s">
        <v>62</v>
      </c>
      <c r="C35" s="35" t="s">
        <v>63</v>
      </c>
      <c r="D35" s="35" t="s">
        <v>64</v>
      </c>
      <c r="E35" s="35" t="s">
        <v>13</v>
      </c>
    </row>
    <row r="36" spans="1:5" x14ac:dyDescent="0.2">
      <c r="A36" s="32" t="s">
        <v>437</v>
      </c>
      <c r="B36" s="5" t="s">
        <v>156</v>
      </c>
      <c r="C36" s="5" t="s">
        <v>400</v>
      </c>
      <c r="D36" s="5" t="s">
        <v>40</v>
      </c>
      <c r="E36" s="36" t="s">
        <v>471</v>
      </c>
    </row>
    <row r="37" spans="1:5" x14ac:dyDescent="0.2">
      <c r="A37" s="32" t="s">
        <v>444</v>
      </c>
      <c r="B37" s="5" t="s">
        <v>130</v>
      </c>
      <c r="C37" s="5" t="s">
        <v>222</v>
      </c>
      <c r="D37" s="5" t="s">
        <v>204</v>
      </c>
      <c r="E37" s="36" t="s">
        <v>472</v>
      </c>
    </row>
    <row r="40" spans="1:5" ht="15" x14ac:dyDescent="0.2">
      <c r="A40" s="30" t="s">
        <v>60</v>
      </c>
      <c r="B40" s="31"/>
    </row>
    <row r="41" spans="1:5" ht="14.25" x14ac:dyDescent="0.2">
      <c r="A41" s="33"/>
      <c r="B41" s="34" t="s">
        <v>398</v>
      </c>
    </row>
    <row r="42" spans="1:5" ht="15" x14ac:dyDescent="0.2">
      <c r="A42" s="35" t="s">
        <v>0</v>
      </c>
      <c r="B42" s="35" t="s">
        <v>62</v>
      </c>
      <c r="C42" s="35" t="s">
        <v>63</v>
      </c>
      <c r="D42" s="35" t="s">
        <v>64</v>
      </c>
      <c r="E42" s="35" t="s">
        <v>13</v>
      </c>
    </row>
    <row r="43" spans="1:5" x14ac:dyDescent="0.2">
      <c r="A43" s="32" t="s">
        <v>458</v>
      </c>
      <c r="B43" s="5" t="s">
        <v>406</v>
      </c>
      <c r="C43" s="5" t="s">
        <v>65</v>
      </c>
      <c r="D43" s="5" t="s">
        <v>473</v>
      </c>
      <c r="E43" s="36" t="s">
        <v>474</v>
      </c>
    </row>
    <row r="45" spans="1:5" ht="14.25" x14ac:dyDescent="0.2">
      <c r="A45" s="33"/>
      <c r="B45" s="34" t="s">
        <v>61</v>
      </c>
    </row>
    <row r="46" spans="1:5" ht="15" x14ac:dyDescent="0.2">
      <c r="A46" s="35" t="s">
        <v>0</v>
      </c>
      <c r="B46" s="35" t="s">
        <v>62</v>
      </c>
      <c r="C46" s="35" t="s">
        <v>63</v>
      </c>
      <c r="D46" s="35" t="s">
        <v>64</v>
      </c>
      <c r="E46" s="35" t="s">
        <v>13</v>
      </c>
    </row>
    <row r="47" spans="1:5" x14ac:dyDescent="0.2">
      <c r="A47" s="32" t="s">
        <v>449</v>
      </c>
      <c r="B47" s="5" t="s">
        <v>61</v>
      </c>
      <c r="C47" s="5" t="s">
        <v>121</v>
      </c>
      <c r="D47" s="5" t="s">
        <v>475</v>
      </c>
      <c r="E47" s="36" t="s">
        <v>476</v>
      </c>
    </row>
    <row r="48" spans="1:5" x14ac:dyDescent="0.2">
      <c r="A48" s="32" t="s">
        <v>467</v>
      </c>
      <c r="B48" s="5" t="s">
        <v>61</v>
      </c>
      <c r="C48" s="5" t="s">
        <v>414</v>
      </c>
      <c r="D48" s="5" t="s">
        <v>477</v>
      </c>
      <c r="E48" s="36" t="s">
        <v>478</v>
      </c>
    </row>
    <row r="49" spans="1:5" x14ac:dyDescent="0.2">
      <c r="A49" s="32" t="s">
        <v>463</v>
      </c>
      <c r="B49" s="5" t="s">
        <v>61</v>
      </c>
      <c r="C49" s="5" t="s">
        <v>69</v>
      </c>
      <c r="D49" s="5" t="s">
        <v>479</v>
      </c>
      <c r="E49" s="36" t="s">
        <v>480</v>
      </c>
    </row>
    <row r="51" spans="1:5" ht="14.25" x14ac:dyDescent="0.2">
      <c r="A51" s="33"/>
      <c r="B51" s="34" t="s">
        <v>71</v>
      </c>
    </row>
    <row r="52" spans="1:5" ht="15" x14ac:dyDescent="0.2">
      <c r="A52" s="35" t="s">
        <v>0</v>
      </c>
      <c r="B52" s="35" t="s">
        <v>62</v>
      </c>
      <c r="C52" s="35" t="s">
        <v>63</v>
      </c>
      <c r="D52" s="35" t="s">
        <v>64</v>
      </c>
      <c r="E52" s="35" t="s">
        <v>13</v>
      </c>
    </row>
    <row r="53" spans="1:5" x14ac:dyDescent="0.2">
      <c r="A53" s="32" t="s">
        <v>453</v>
      </c>
      <c r="B53" s="5" t="s">
        <v>130</v>
      </c>
      <c r="C53" s="5" t="s">
        <v>121</v>
      </c>
      <c r="D53" s="5" t="s">
        <v>481</v>
      </c>
      <c r="E53" s="36" t="s">
        <v>482</v>
      </c>
    </row>
  </sheetData>
  <mergeCells count="19">
    <mergeCell ref="U3:U4"/>
    <mergeCell ref="A5:T5"/>
    <mergeCell ref="A8:T8"/>
    <mergeCell ref="A11:T11"/>
    <mergeCell ref="A1:U2"/>
    <mergeCell ref="A3:A4"/>
    <mergeCell ref="B3:B4"/>
    <mergeCell ref="C3:C4"/>
    <mergeCell ref="D3:D4"/>
    <mergeCell ref="E3:E4"/>
    <mergeCell ref="F3:F4"/>
    <mergeCell ref="G3:J3"/>
    <mergeCell ref="K3:N3"/>
    <mergeCell ref="O3:R3"/>
    <mergeCell ref="A15:T15"/>
    <mergeCell ref="A18:T18"/>
    <mergeCell ref="A21:T21"/>
    <mergeCell ref="S3:S4"/>
    <mergeCell ref="T3:T4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2"/>
  <sheetViews>
    <sheetView workbookViewId="0">
      <selection sqref="A1:M2"/>
    </sheetView>
  </sheetViews>
  <sheetFormatPr defaultColWidth="9.140625" defaultRowHeight="12.75" x14ac:dyDescent="0.2"/>
  <cols>
    <col min="1" max="1" width="24.85546875" style="4" bestFit="1" customWidth="1"/>
    <col min="2" max="2" width="30.42578125" style="5" bestFit="1" customWidth="1"/>
    <col min="3" max="3" width="7.5703125" style="5" bestFit="1" customWidth="1"/>
    <col min="4" max="4" width="8.7109375" style="5" bestFit="1" customWidth="1"/>
    <col min="5" max="5" width="17" style="4" bestFit="1" customWidth="1"/>
    <col min="6" max="6" width="32" style="4" bestFit="1" customWidth="1"/>
    <col min="7" max="10" width="5.5703125" style="5" bestFit="1" customWidth="1"/>
    <col min="11" max="11" width="5.7109375" style="4" bestFit="1" customWidth="1"/>
    <col min="12" max="12" width="8.5703125" style="5" bestFit="1" customWidth="1"/>
    <col min="13" max="13" width="7.140625" style="4" bestFit="1" customWidth="1"/>
    <col min="14" max="16384" width="9.140625" style="3"/>
  </cols>
  <sheetData>
    <row r="1" spans="1:13" s="2" customFormat="1" ht="28.9" customHeight="1" x14ac:dyDescent="0.2">
      <c r="A1" s="66" t="s">
        <v>672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8"/>
    </row>
    <row r="2" spans="1:13" s="2" customFormat="1" ht="61.9" customHeight="1" thickBot="1" x14ac:dyDescent="0.25">
      <c r="A2" s="69"/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1"/>
    </row>
    <row r="3" spans="1:13" s="1" customFormat="1" ht="12.75" customHeight="1" x14ac:dyDescent="0.2">
      <c r="A3" s="55" t="s">
        <v>0</v>
      </c>
      <c r="B3" s="57" t="s">
        <v>12</v>
      </c>
      <c r="C3" s="57" t="s">
        <v>9</v>
      </c>
      <c r="D3" s="59" t="s">
        <v>13</v>
      </c>
      <c r="E3" s="59" t="s">
        <v>1</v>
      </c>
      <c r="F3" s="60" t="s">
        <v>14</v>
      </c>
      <c r="G3" s="55" t="s">
        <v>4</v>
      </c>
      <c r="H3" s="59"/>
      <c r="I3" s="59"/>
      <c r="J3" s="47"/>
      <c r="K3" s="62" t="s">
        <v>75</v>
      </c>
      <c r="L3" s="59" t="s">
        <v>7</v>
      </c>
      <c r="M3" s="47" t="s">
        <v>6</v>
      </c>
    </row>
    <row r="4" spans="1:13" s="1" customFormat="1" ht="23.25" customHeight="1" thickBot="1" x14ac:dyDescent="0.25">
      <c r="A4" s="56"/>
      <c r="B4" s="58"/>
      <c r="C4" s="58"/>
      <c r="D4" s="58"/>
      <c r="E4" s="58"/>
      <c r="F4" s="61"/>
      <c r="G4" s="12">
        <v>1</v>
      </c>
      <c r="H4" s="13">
        <v>2</v>
      </c>
      <c r="I4" s="13">
        <v>3</v>
      </c>
      <c r="J4" s="14" t="s">
        <v>8</v>
      </c>
      <c r="K4" s="63"/>
      <c r="L4" s="58"/>
      <c r="M4" s="48"/>
    </row>
    <row r="5" spans="1:13" s="5" customFormat="1" ht="15" x14ac:dyDescent="0.2">
      <c r="A5" s="64" t="s">
        <v>236</v>
      </c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4"/>
    </row>
    <row r="6" spans="1:13" s="5" customFormat="1" x14ac:dyDescent="0.2">
      <c r="A6" s="21" t="s">
        <v>238</v>
      </c>
      <c r="B6" s="18" t="s">
        <v>239</v>
      </c>
      <c r="C6" s="18" t="s">
        <v>240</v>
      </c>
      <c r="D6" s="18" t="str">
        <f>"1,0353"</f>
        <v>1,0353</v>
      </c>
      <c r="E6" s="21" t="s">
        <v>241</v>
      </c>
      <c r="F6" s="21" t="s">
        <v>30</v>
      </c>
      <c r="G6" s="18" t="s">
        <v>242</v>
      </c>
      <c r="H6" s="22" t="s">
        <v>243</v>
      </c>
      <c r="I6" s="18" t="s">
        <v>243</v>
      </c>
      <c r="J6" s="18" t="s">
        <v>244</v>
      </c>
      <c r="K6" s="21" t="str">
        <f>"65,0"</f>
        <v>65,0</v>
      </c>
      <c r="L6" s="18" t="str">
        <f>"67,2945"</f>
        <v>67,2945</v>
      </c>
      <c r="M6" s="21"/>
    </row>
    <row r="7" spans="1:13" s="5" customFormat="1" x14ac:dyDescent="0.2">
      <c r="A7" s="25" t="s">
        <v>246</v>
      </c>
      <c r="B7" s="20" t="s">
        <v>247</v>
      </c>
      <c r="C7" s="20" t="s">
        <v>248</v>
      </c>
      <c r="D7" s="20" t="str">
        <f>"1,0659"</f>
        <v>1,0659</v>
      </c>
      <c r="E7" s="25" t="s">
        <v>20</v>
      </c>
      <c r="F7" s="25" t="s">
        <v>249</v>
      </c>
      <c r="G7" s="26" t="s">
        <v>250</v>
      </c>
      <c r="H7" s="26" t="s">
        <v>250</v>
      </c>
      <c r="I7" s="20" t="s">
        <v>250</v>
      </c>
      <c r="J7" s="26"/>
      <c r="K7" s="25" t="str">
        <f>"52,5"</f>
        <v>52,5</v>
      </c>
      <c r="L7" s="20" t="str">
        <f>"55,9597"</f>
        <v>55,9597</v>
      </c>
      <c r="M7" s="25"/>
    </row>
    <row r="9" spans="1:13" ht="15" x14ac:dyDescent="0.2">
      <c r="A9" s="72" t="s">
        <v>162</v>
      </c>
      <c r="B9" s="73"/>
      <c r="C9" s="73"/>
      <c r="D9" s="73"/>
      <c r="E9" s="73"/>
      <c r="F9" s="73"/>
      <c r="G9" s="73"/>
      <c r="H9" s="73"/>
      <c r="I9" s="73"/>
      <c r="J9" s="73"/>
      <c r="K9" s="73"/>
      <c r="L9" s="73"/>
    </row>
    <row r="10" spans="1:13" x14ac:dyDescent="0.2">
      <c r="A10" s="15" t="s">
        <v>252</v>
      </c>
      <c r="B10" s="16" t="s">
        <v>253</v>
      </c>
      <c r="C10" s="16" t="s">
        <v>254</v>
      </c>
      <c r="D10" s="16" t="str">
        <f>"0,9778"</f>
        <v>0,9778</v>
      </c>
      <c r="E10" s="15" t="s">
        <v>20</v>
      </c>
      <c r="F10" s="15" t="s">
        <v>30</v>
      </c>
      <c r="G10" s="16" t="s">
        <v>255</v>
      </c>
      <c r="H10" s="16" t="s">
        <v>256</v>
      </c>
      <c r="I10" s="17" t="s">
        <v>244</v>
      </c>
      <c r="J10" s="17"/>
      <c r="K10" s="15" t="str">
        <f>"62,5"</f>
        <v>62,5</v>
      </c>
      <c r="L10" s="16" t="str">
        <f>"61,1125"</f>
        <v>61,1125</v>
      </c>
      <c r="M10" s="15"/>
    </row>
    <row r="12" spans="1:13" ht="15" x14ac:dyDescent="0.2">
      <c r="A12" s="72" t="s">
        <v>169</v>
      </c>
      <c r="B12" s="73"/>
      <c r="C12" s="73"/>
      <c r="D12" s="73"/>
      <c r="E12" s="73"/>
      <c r="F12" s="73"/>
      <c r="G12" s="73"/>
      <c r="H12" s="73"/>
      <c r="I12" s="73"/>
      <c r="J12" s="73"/>
      <c r="K12" s="73"/>
      <c r="L12" s="73"/>
    </row>
    <row r="13" spans="1:13" x14ac:dyDescent="0.2">
      <c r="A13" s="21" t="s">
        <v>258</v>
      </c>
      <c r="B13" s="18" t="s">
        <v>259</v>
      </c>
      <c r="C13" s="18" t="s">
        <v>260</v>
      </c>
      <c r="D13" s="18" t="str">
        <f>"0,9180"</f>
        <v>0,9180</v>
      </c>
      <c r="E13" s="21" t="s">
        <v>20</v>
      </c>
      <c r="F13" s="21" t="s">
        <v>30</v>
      </c>
      <c r="G13" s="18" t="s">
        <v>243</v>
      </c>
      <c r="H13" s="18" t="s">
        <v>244</v>
      </c>
      <c r="I13" s="22" t="s">
        <v>261</v>
      </c>
      <c r="J13" s="22"/>
      <c r="K13" s="21" t="str">
        <f>"67,5"</f>
        <v>67,5</v>
      </c>
      <c r="L13" s="18" t="str">
        <f>"61,9650"</f>
        <v>61,9650</v>
      </c>
      <c r="M13" s="21"/>
    </row>
    <row r="14" spans="1:13" x14ac:dyDescent="0.2">
      <c r="A14" s="25" t="s">
        <v>263</v>
      </c>
      <c r="B14" s="20" t="s">
        <v>264</v>
      </c>
      <c r="C14" s="20" t="s">
        <v>265</v>
      </c>
      <c r="D14" s="20" t="str">
        <f>"0,9433"</f>
        <v>0,9433</v>
      </c>
      <c r="E14" s="25" t="s">
        <v>20</v>
      </c>
      <c r="F14" s="25" t="s">
        <v>266</v>
      </c>
      <c r="G14" s="26" t="s">
        <v>256</v>
      </c>
      <c r="H14" s="20" t="s">
        <v>256</v>
      </c>
      <c r="I14" s="20" t="s">
        <v>243</v>
      </c>
      <c r="J14" s="26"/>
      <c r="K14" s="25" t="str">
        <f>"65,0"</f>
        <v>65,0</v>
      </c>
      <c r="L14" s="20" t="str">
        <f>"61,3145"</f>
        <v>61,3145</v>
      </c>
      <c r="M14" s="25"/>
    </row>
    <row r="16" spans="1:13" ht="15" x14ac:dyDescent="0.2">
      <c r="A16" s="72" t="s">
        <v>177</v>
      </c>
      <c r="B16" s="73"/>
      <c r="C16" s="73"/>
      <c r="D16" s="73"/>
      <c r="E16" s="73"/>
      <c r="F16" s="73"/>
      <c r="G16" s="73"/>
      <c r="H16" s="73"/>
      <c r="I16" s="73"/>
      <c r="J16" s="73"/>
      <c r="K16" s="73"/>
      <c r="L16" s="73"/>
    </row>
    <row r="17" spans="1:13" x14ac:dyDescent="0.2">
      <c r="A17" s="15" t="s">
        <v>268</v>
      </c>
      <c r="B17" s="16" t="s">
        <v>269</v>
      </c>
      <c r="C17" s="16" t="s">
        <v>270</v>
      </c>
      <c r="D17" s="16" t="str">
        <f>"0,8185"</f>
        <v>0,8185</v>
      </c>
      <c r="E17" s="15" t="s">
        <v>20</v>
      </c>
      <c r="F17" s="15" t="s">
        <v>271</v>
      </c>
      <c r="G17" s="16" t="s">
        <v>272</v>
      </c>
      <c r="H17" s="16" t="s">
        <v>273</v>
      </c>
      <c r="I17" s="17" t="s">
        <v>168</v>
      </c>
      <c r="J17" s="17"/>
      <c r="K17" s="15" t="str">
        <f>"112,5"</f>
        <v>112,5</v>
      </c>
      <c r="L17" s="16" t="str">
        <f>"92,0812"</f>
        <v>92,0812</v>
      </c>
      <c r="M17" s="15"/>
    </row>
    <row r="19" spans="1:13" ht="15" x14ac:dyDescent="0.2">
      <c r="A19" s="72" t="s">
        <v>77</v>
      </c>
      <c r="B19" s="73"/>
      <c r="C19" s="73"/>
      <c r="D19" s="73"/>
      <c r="E19" s="73"/>
      <c r="F19" s="73"/>
      <c r="G19" s="73"/>
      <c r="H19" s="73"/>
      <c r="I19" s="73"/>
      <c r="J19" s="73"/>
      <c r="K19" s="73"/>
      <c r="L19" s="73"/>
    </row>
    <row r="20" spans="1:13" x14ac:dyDescent="0.2">
      <c r="A20" s="21" t="s">
        <v>275</v>
      </c>
      <c r="B20" s="18" t="s">
        <v>276</v>
      </c>
      <c r="C20" s="18" t="s">
        <v>277</v>
      </c>
      <c r="D20" s="18" t="str">
        <f>"0,7317"</f>
        <v>0,7317</v>
      </c>
      <c r="E20" s="21" t="s">
        <v>20</v>
      </c>
      <c r="F20" s="21" t="s">
        <v>30</v>
      </c>
      <c r="G20" s="22" t="s">
        <v>278</v>
      </c>
      <c r="H20" s="22" t="s">
        <v>278</v>
      </c>
      <c r="I20" s="18" t="s">
        <v>278</v>
      </c>
      <c r="J20" s="22"/>
      <c r="K20" s="21" t="str">
        <f>"132,5"</f>
        <v>132,5</v>
      </c>
      <c r="L20" s="18" t="str">
        <f>"96,9503"</f>
        <v>96,9503</v>
      </c>
      <c r="M20" s="21"/>
    </row>
    <row r="21" spans="1:13" x14ac:dyDescent="0.2">
      <c r="A21" s="23" t="s">
        <v>280</v>
      </c>
      <c r="B21" s="19" t="s">
        <v>281</v>
      </c>
      <c r="C21" s="19" t="s">
        <v>282</v>
      </c>
      <c r="D21" s="19" t="str">
        <f>"0,7503"</f>
        <v>0,7503</v>
      </c>
      <c r="E21" s="23" t="s">
        <v>20</v>
      </c>
      <c r="F21" s="23" t="s">
        <v>174</v>
      </c>
      <c r="G21" s="19" t="s">
        <v>183</v>
      </c>
      <c r="H21" s="19" t="s">
        <v>168</v>
      </c>
      <c r="I21" s="24" t="s">
        <v>184</v>
      </c>
      <c r="J21" s="24"/>
      <c r="K21" s="23" t="str">
        <f>"115,0"</f>
        <v>115,0</v>
      </c>
      <c r="L21" s="19" t="str">
        <f>"86,2845"</f>
        <v>86,2845</v>
      </c>
      <c r="M21" s="23"/>
    </row>
    <row r="22" spans="1:13" x14ac:dyDescent="0.2">
      <c r="A22" s="25" t="s">
        <v>275</v>
      </c>
      <c r="B22" s="20" t="s">
        <v>283</v>
      </c>
      <c r="C22" s="20" t="s">
        <v>277</v>
      </c>
      <c r="D22" s="20" t="str">
        <f>"0,7317"</f>
        <v>0,7317</v>
      </c>
      <c r="E22" s="25" t="s">
        <v>20</v>
      </c>
      <c r="F22" s="25" t="s">
        <v>30</v>
      </c>
      <c r="G22" s="26" t="s">
        <v>278</v>
      </c>
      <c r="H22" s="26" t="s">
        <v>278</v>
      </c>
      <c r="I22" s="20" t="s">
        <v>278</v>
      </c>
      <c r="J22" s="26"/>
      <c r="K22" s="25" t="str">
        <f>"132,5"</f>
        <v>132,5</v>
      </c>
      <c r="L22" s="20" t="str">
        <f>"96,9503"</f>
        <v>96,9503</v>
      </c>
      <c r="M22" s="25"/>
    </row>
    <row r="24" spans="1:13" ht="15" x14ac:dyDescent="0.2">
      <c r="A24" s="72" t="s">
        <v>133</v>
      </c>
      <c r="B24" s="73"/>
      <c r="C24" s="73"/>
      <c r="D24" s="73"/>
      <c r="E24" s="73"/>
      <c r="F24" s="73"/>
      <c r="G24" s="73"/>
      <c r="H24" s="73"/>
      <c r="I24" s="73"/>
      <c r="J24" s="73"/>
      <c r="K24" s="73"/>
      <c r="L24" s="73"/>
    </row>
    <row r="25" spans="1:13" x14ac:dyDescent="0.2">
      <c r="A25" s="21" t="s">
        <v>285</v>
      </c>
      <c r="B25" s="18" t="s">
        <v>286</v>
      </c>
      <c r="C25" s="18" t="s">
        <v>287</v>
      </c>
      <c r="D25" s="18" t="str">
        <f>"0,6730"</f>
        <v>0,6730</v>
      </c>
      <c r="E25" s="21" t="s">
        <v>20</v>
      </c>
      <c r="F25" s="21" t="s">
        <v>288</v>
      </c>
      <c r="G25" s="22" t="s">
        <v>92</v>
      </c>
      <c r="H25" s="18" t="s">
        <v>289</v>
      </c>
      <c r="I25" s="22" t="s">
        <v>115</v>
      </c>
      <c r="J25" s="22"/>
      <c r="K25" s="21" t="str">
        <f>"135,0"</f>
        <v>135,0</v>
      </c>
      <c r="L25" s="18" t="str">
        <f>"90,8550"</f>
        <v>90,8550</v>
      </c>
      <c r="M25" s="21"/>
    </row>
    <row r="26" spans="1:13" x14ac:dyDescent="0.2">
      <c r="A26" s="25" t="s">
        <v>291</v>
      </c>
      <c r="B26" s="20" t="s">
        <v>292</v>
      </c>
      <c r="C26" s="20" t="s">
        <v>287</v>
      </c>
      <c r="D26" s="20" t="str">
        <f>"0,6730"</f>
        <v>0,6730</v>
      </c>
      <c r="E26" s="25" t="s">
        <v>20</v>
      </c>
      <c r="F26" s="25" t="s">
        <v>30</v>
      </c>
      <c r="G26" s="20" t="s">
        <v>91</v>
      </c>
      <c r="H26" s="20" t="s">
        <v>92</v>
      </c>
      <c r="I26" s="26" t="s">
        <v>289</v>
      </c>
      <c r="J26" s="26" t="s">
        <v>115</v>
      </c>
      <c r="K26" s="25" t="str">
        <f>"130,0"</f>
        <v>130,0</v>
      </c>
      <c r="L26" s="20" t="str">
        <f>"87,4900"</f>
        <v>87,4900</v>
      </c>
      <c r="M26" s="25"/>
    </row>
    <row r="28" spans="1:13" ht="15" x14ac:dyDescent="0.2">
      <c r="A28" s="72" t="s">
        <v>15</v>
      </c>
      <c r="B28" s="73"/>
      <c r="C28" s="73"/>
      <c r="D28" s="73"/>
      <c r="E28" s="73"/>
      <c r="F28" s="73"/>
      <c r="G28" s="73"/>
      <c r="H28" s="73"/>
      <c r="I28" s="73"/>
      <c r="J28" s="73"/>
      <c r="K28" s="73"/>
      <c r="L28" s="73"/>
    </row>
    <row r="29" spans="1:13" x14ac:dyDescent="0.2">
      <c r="A29" s="21" t="s">
        <v>294</v>
      </c>
      <c r="B29" s="18" t="s">
        <v>295</v>
      </c>
      <c r="C29" s="18" t="s">
        <v>296</v>
      </c>
      <c r="D29" s="18" t="str">
        <f>"0,6295"</f>
        <v>0,6295</v>
      </c>
      <c r="E29" s="21" t="s">
        <v>20</v>
      </c>
      <c r="F29" s="21" t="s">
        <v>174</v>
      </c>
      <c r="G29" s="22" t="s">
        <v>272</v>
      </c>
      <c r="H29" s="18" t="s">
        <v>183</v>
      </c>
      <c r="I29" s="22" t="s">
        <v>273</v>
      </c>
      <c r="J29" s="22"/>
      <c r="K29" s="21" t="str">
        <f>"110,0"</f>
        <v>110,0</v>
      </c>
      <c r="L29" s="18" t="str">
        <f>"69,2450"</f>
        <v>69,2450</v>
      </c>
      <c r="M29" s="21"/>
    </row>
    <row r="30" spans="1:13" x14ac:dyDescent="0.2">
      <c r="A30" s="25" t="s">
        <v>298</v>
      </c>
      <c r="B30" s="20" t="s">
        <v>299</v>
      </c>
      <c r="C30" s="20" t="s">
        <v>300</v>
      </c>
      <c r="D30" s="20" t="str">
        <f>"0,6318"</f>
        <v>0,6318</v>
      </c>
      <c r="E30" s="25" t="s">
        <v>20</v>
      </c>
      <c r="F30" s="25" t="s">
        <v>301</v>
      </c>
      <c r="G30" s="20" t="s">
        <v>90</v>
      </c>
      <c r="H30" s="26" t="s">
        <v>176</v>
      </c>
      <c r="I30" s="26" t="s">
        <v>176</v>
      </c>
      <c r="J30" s="26"/>
      <c r="K30" s="25" t="str">
        <f>"120,0"</f>
        <v>120,0</v>
      </c>
      <c r="L30" s="20" t="str">
        <f>"75,8160"</f>
        <v>75,8160</v>
      </c>
      <c r="M30" s="25"/>
    </row>
    <row r="32" spans="1:13" ht="15" x14ac:dyDescent="0.2">
      <c r="A32" s="72" t="s">
        <v>96</v>
      </c>
      <c r="B32" s="73"/>
      <c r="C32" s="73"/>
      <c r="D32" s="73"/>
      <c r="E32" s="73"/>
      <c r="F32" s="73"/>
      <c r="G32" s="73"/>
      <c r="H32" s="73"/>
      <c r="I32" s="73"/>
      <c r="J32" s="73"/>
      <c r="K32" s="73"/>
      <c r="L32" s="73"/>
    </row>
    <row r="33" spans="1:13" x14ac:dyDescent="0.2">
      <c r="A33" s="21" t="s">
        <v>303</v>
      </c>
      <c r="B33" s="18" t="s">
        <v>304</v>
      </c>
      <c r="C33" s="18" t="s">
        <v>305</v>
      </c>
      <c r="D33" s="18" t="str">
        <f>"0,5965"</f>
        <v>0,5965</v>
      </c>
      <c r="E33" s="21" t="s">
        <v>20</v>
      </c>
      <c r="F33" s="21" t="s">
        <v>30</v>
      </c>
      <c r="G33" s="18" t="s">
        <v>306</v>
      </c>
      <c r="H33" s="22" t="s">
        <v>242</v>
      </c>
      <c r="I33" s="22" t="s">
        <v>242</v>
      </c>
      <c r="J33" s="22"/>
      <c r="K33" s="21" t="str">
        <f>"50,0"</f>
        <v>50,0</v>
      </c>
      <c r="L33" s="18" t="str">
        <f>"29,8250"</f>
        <v>29,8250</v>
      </c>
      <c r="M33" s="21"/>
    </row>
    <row r="34" spans="1:13" x14ac:dyDescent="0.2">
      <c r="A34" s="23" t="s">
        <v>307</v>
      </c>
      <c r="B34" s="19" t="s">
        <v>308</v>
      </c>
      <c r="C34" s="19" t="s">
        <v>309</v>
      </c>
      <c r="D34" s="19" t="str">
        <f>"0,5926"</f>
        <v>0,5926</v>
      </c>
      <c r="E34" s="23" t="s">
        <v>20</v>
      </c>
      <c r="F34" s="23" t="s">
        <v>30</v>
      </c>
      <c r="G34" s="24" t="s">
        <v>310</v>
      </c>
      <c r="H34" s="24" t="s">
        <v>310</v>
      </c>
      <c r="I34" s="24" t="s">
        <v>310</v>
      </c>
      <c r="J34" s="24"/>
      <c r="K34" s="23" t="str">
        <f>"0.00"</f>
        <v>0.00</v>
      </c>
      <c r="L34" s="19" t="str">
        <f>"0,0000"</f>
        <v>0,0000</v>
      </c>
      <c r="M34" s="23"/>
    </row>
    <row r="35" spans="1:13" x14ac:dyDescent="0.2">
      <c r="A35" s="23" t="s">
        <v>312</v>
      </c>
      <c r="B35" s="19" t="s">
        <v>313</v>
      </c>
      <c r="C35" s="19" t="s">
        <v>314</v>
      </c>
      <c r="D35" s="19" t="str">
        <f>"0,5889"</f>
        <v>0,5889</v>
      </c>
      <c r="E35" s="23" t="s">
        <v>20</v>
      </c>
      <c r="F35" s="23" t="s">
        <v>30</v>
      </c>
      <c r="G35" s="24" t="s">
        <v>315</v>
      </c>
      <c r="H35" s="24" t="s">
        <v>315</v>
      </c>
      <c r="I35" s="19" t="s">
        <v>315</v>
      </c>
      <c r="J35" s="24"/>
      <c r="K35" s="23" t="str">
        <f>"157,5"</f>
        <v>157,5</v>
      </c>
      <c r="L35" s="19" t="str">
        <f>"92,7518"</f>
        <v>92,7518</v>
      </c>
      <c r="M35" s="23"/>
    </row>
    <row r="36" spans="1:13" x14ac:dyDescent="0.2">
      <c r="A36" s="23" t="s">
        <v>317</v>
      </c>
      <c r="B36" s="19" t="s">
        <v>318</v>
      </c>
      <c r="C36" s="19" t="s">
        <v>319</v>
      </c>
      <c r="D36" s="19" t="str">
        <f>"0,5978"</f>
        <v>0,5978</v>
      </c>
      <c r="E36" s="23" t="s">
        <v>20</v>
      </c>
      <c r="F36" s="23" t="s">
        <v>320</v>
      </c>
      <c r="G36" s="24" t="s">
        <v>91</v>
      </c>
      <c r="H36" s="19" t="s">
        <v>91</v>
      </c>
      <c r="I36" s="19" t="s">
        <v>278</v>
      </c>
      <c r="J36" s="24"/>
      <c r="K36" s="23" t="str">
        <f>"132,5"</f>
        <v>132,5</v>
      </c>
      <c r="L36" s="19" t="str">
        <f>"79,2085"</f>
        <v>79,2085</v>
      </c>
      <c r="M36" s="23"/>
    </row>
    <row r="37" spans="1:13" x14ac:dyDescent="0.2">
      <c r="A37" s="23" t="s">
        <v>322</v>
      </c>
      <c r="B37" s="19" t="s">
        <v>323</v>
      </c>
      <c r="C37" s="19" t="s">
        <v>324</v>
      </c>
      <c r="D37" s="19" t="str">
        <f>"0,5947"</f>
        <v>0,5947</v>
      </c>
      <c r="E37" s="23" t="s">
        <v>20</v>
      </c>
      <c r="F37" s="23" t="s">
        <v>288</v>
      </c>
      <c r="G37" s="19" t="s">
        <v>90</v>
      </c>
      <c r="H37" s="19" t="s">
        <v>92</v>
      </c>
      <c r="I37" s="19" t="s">
        <v>278</v>
      </c>
      <c r="J37" s="24"/>
      <c r="K37" s="23" t="str">
        <f>"132,5"</f>
        <v>132,5</v>
      </c>
      <c r="L37" s="19" t="str">
        <f>"78,7977"</f>
        <v>78,7977</v>
      </c>
      <c r="M37" s="23"/>
    </row>
    <row r="38" spans="1:13" x14ac:dyDescent="0.2">
      <c r="A38" s="23" t="s">
        <v>326</v>
      </c>
      <c r="B38" s="19" t="s">
        <v>327</v>
      </c>
      <c r="C38" s="19" t="s">
        <v>328</v>
      </c>
      <c r="D38" s="19" t="str">
        <f>"0,6127"</f>
        <v>0,6127</v>
      </c>
      <c r="E38" s="23" t="s">
        <v>20</v>
      </c>
      <c r="F38" s="23" t="s">
        <v>30</v>
      </c>
      <c r="G38" s="19" t="s">
        <v>95</v>
      </c>
      <c r="H38" s="24" t="s">
        <v>90</v>
      </c>
      <c r="I38" s="24" t="s">
        <v>90</v>
      </c>
      <c r="J38" s="24"/>
      <c r="K38" s="23" t="str">
        <f>"100,0"</f>
        <v>100,0</v>
      </c>
      <c r="L38" s="19" t="str">
        <f>"61,2700"</f>
        <v>61,2700</v>
      </c>
      <c r="M38" s="23"/>
    </row>
    <row r="39" spans="1:13" x14ac:dyDescent="0.2">
      <c r="A39" s="23" t="s">
        <v>329</v>
      </c>
      <c r="B39" s="19" t="s">
        <v>330</v>
      </c>
      <c r="C39" s="19" t="s">
        <v>331</v>
      </c>
      <c r="D39" s="19" t="str">
        <f>"0,6031"</f>
        <v>0,6031</v>
      </c>
      <c r="E39" s="23" t="s">
        <v>20</v>
      </c>
      <c r="F39" s="23" t="s">
        <v>174</v>
      </c>
      <c r="G39" s="24" t="s">
        <v>332</v>
      </c>
      <c r="H39" s="24" t="s">
        <v>332</v>
      </c>
      <c r="I39" s="24" t="s">
        <v>332</v>
      </c>
      <c r="J39" s="24"/>
      <c r="K39" s="23" t="str">
        <f>"0.00"</f>
        <v>0.00</v>
      </c>
      <c r="L39" s="19" t="str">
        <f>"0,0000"</f>
        <v>0,0000</v>
      </c>
      <c r="M39" s="23"/>
    </row>
    <row r="40" spans="1:13" x14ac:dyDescent="0.2">
      <c r="A40" s="25" t="s">
        <v>334</v>
      </c>
      <c r="B40" s="20" t="s">
        <v>335</v>
      </c>
      <c r="C40" s="20" t="s">
        <v>336</v>
      </c>
      <c r="D40" s="20" t="str">
        <f>"0,5897"</f>
        <v>0,5897</v>
      </c>
      <c r="E40" s="25" t="s">
        <v>20</v>
      </c>
      <c r="F40" s="25" t="s">
        <v>337</v>
      </c>
      <c r="G40" s="20" t="s">
        <v>103</v>
      </c>
      <c r="H40" s="26" t="s">
        <v>152</v>
      </c>
      <c r="I40" s="26" t="s">
        <v>152</v>
      </c>
      <c r="J40" s="26"/>
      <c r="K40" s="25" t="str">
        <f>"165,0"</f>
        <v>165,0</v>
      </c>
      <c r="L40" s="20" t="str">
        <f>"97,3005"</f>
        <v>97,3005</v>
      </c>
      <c r="M40" s="25"/>
    </row>
    <row r="42" spans="1:13" ht="15" x14ac:dyDescent="0.2">
      <c r="A42" s="72" t="s">
        <v>25</v>
      </c>
      <c r="B42" s="73"/>
      <c r="C42" s="73"/>
      <c r="D42" s="73"/>
      <c r="E42" s="73"/>
      <c r="F42" s="73"/>
      <c r="G42" s="73"/>
      <c r="H42" s="73"/>
      <c r="I42" s="73"/>
      <c r="J42" s="73"/>
      <c r="K42" s="73"/>
      <c r="L42" s="73"/>
    </row>
    <row r="43" spans="1:13" x14ac:dyDescent="0.2">
      <c r="A43" s="21" t="s">
        <v>339</v>
      </c>
      <c r="B43" s="18" t="s">
        <v>340</v>
      </c>
      <c r="C43" s="18" t="s">
        <v>341</v>
      </c>
      <c r="D43" s="18" t="str">
        <f>"0,5565"</f>
        <v>0,5565</v>
      </c>
      <c r="E43" s="21" t="s">
        <v>20</v>
      </c>
      <c r="F43" s="21" t="s">
        <v>30</v>
      </c>
      <c r="G43" s="18" t="s">
        <v>273</v>
      </c>
      <c r="H43" s="18" t="s">
        <v>184</v>
      </c>
      <c r="I43" s="18" t="s">
        <v>90</v>
      </c>
      <c r="J43" s="22"/>
      <c r="K43" s="21" t="str">
        <f>"120,0"</f>
        <v>120,0</v>
      </c>
      <c r="L43" s="18" t="str">
        <f>"66,7800"</f>
        <v>66,7800</v>
      </c>
      <c r="M43" s="21"/>
    </row>
    <row r="44" spans="1:13" x14ac:dyDescent="0.2">
      <c r="A44" s="23" t="s">
        <v>343</v>
      </c>
      <c r="B44" s="19" t="s">
        <v>344</v>
      </c>
      <c r="C44" s="19" t="s">
        <v>220</v>
      </c>
      <c r="D44" s="19" t="str">
        <f>"0,5619"</f>
        <v>0,5619</v>
      </c>
      <c r="E44" s="23" t="s">
        <v>20</v>
      </c>
      <c r="F44" s="23" t="s">
        <v>30</v>
      </c>
      <c r="G44" s="19" t="s">
        <v>117</v>
      </c>
      <c r="H44" s="19" t="s">
        <v>139</v>
      </c>
      <c r="I44" s="24" t="s">
        <v>22</v>
      </c>
      <c r="J44" s="24"/>
      <c r="K44" s="23" t="str">
        <f>"162,5"</f>
        <v>162,5</v>
      </c>
      <c r="L44" s="19" t="str">
        <f>"91,3088"</f>
        <v>91,3088</v>
      </c>
      <c r="M44" s="23"/>
    </row>
    <row r="45" spans="1:13" x14ac:dyDescent="0.2">
      <c r="A45" s="23" t="s">
        <v>346</v>
      </c>
      <c r="B45" s="19" t="s">
        <v>347</v>
      </c>
      <c r="C45" s="19" t="s">
        <v>348</v>
      </c>
      <c r="D45" s="19" t="str">
        <f>"0,5672"</f>
        <v>0,5672</v>
      </c>
      <c r="E45" s="23" t="s">
        <v>20</v>
      </c>
      <c r="F45" s="23" t="s">
        <v>30</v>
      </c>
      <c r="G45" s="19" t="s">
        <v>92</v>
      </c>
      <c r="H45" s="24" t="s">
        <v>115</v>
      </c>
      <c r="I45" s="24" t="s">
        <v>115</v>
      </c>
      <c r="J45" s="24"/>
      <c r="K45" s="23" t="str">
        <f>"130,0"</f>
        <v>130,0</v>
      </c>
      <c r="L45" s="19" t="str">
        <f>"73,7360"</f>
        <v>73,7360</v>
      </c>
      <c r="M45" s="23"/>
    </row>
    <row r="46" spans="1:13" x14ac:dyDescent="0.2">
      <c r="A46" s="23" t="s">
        <v>350</v>
      </c>
      <c r="B46" s="19" t="s">
        <v>351</v>
      </c>
      <c r="C46" s="19" t="s">
        <v>352</v>
      </c>
      <c r="D46" s="19" t="str">
        <f>"0,5663"</f>
        <v>0,5663</v>
      </c>
      <c r="E46" s="23" t="s">
        <v>20</v>
      </c>
      <c r="F46" s="23" t="s">
        <v>353</v>
      </c>
      <c r="G46" s="19" t="s">
        <v>22</v>
      </c>
      <c r="H46" s="19" t="s">
        <v>354</v>
      </c>
      <c r="I46" s="19" t="s">
        <v>355</v>
      </c>
      <c r="J46" s="24"/>
      <c r="K46" s="23" t="str">
        <f>"192,5"</f>
        <v>192,5</v>
      </c>
      <c r="L46" s="19" t="str">
        <f>"121,7672"</f>
        <v>121,7672</v>
      </c>
      <c r="M46" s="23"/>
    </row>
    <row r="47" spans="1:13" x14ac:dyDescent="0.2">
      <c r="A47" s="25" t="s">
        <v>357</v>
      </c>
      <c r="B47" s="20" t="s">
        <v>358</v>
      </c>
      <c r="C47" s="20" t="s">
        <v>359</v>
      </c>
      <c r="D47" s="20" t="str">
        <f>"0,5642"</f>
        <v>0,5642</v>
      </c>
      <c r="E47" s="25" t="s">
        <v>20</v>
      </c>
      <c r="F47" s="25" t="s">
        <v>320</v>
      </c>
      <c r="G47" s="26" t="s">
        <v>91</v>
      </c>
      <c r="H47" s="20" t="s">
        <v>92</v>
      </c>
      <c r="I47" s="26" t="s">
        <v>115</v>
      </c>
      <c r="J47" s="26"/>
      <c r="K47" s="25" t="str">
        <f>"130,0"</f>
        <v>130,0</v>
      </c>
      <c r="L47" s="20" t="str">
        <f>"76,8666"</f>
        <v>76,8666</v>
      </c>
      <c r="M47" s="25"/>
    </row>
    <row r="49" spans="1:13" ht="15" x14ac:dyDescent="0.2">
      <c r="A49" s="72" t="s">
        <v>46</v>
      </c>
      <c r="B49" s="73"/>
      <c r="C49" s="73"/>
      <c r="D49" s="73"/>
      <c r="E49" s="73"/>
      <c r="F49" s="73"/>
      <c r="G49" s="73"/>
      <c r="H49" s="73"/>
      <c r="I49" s="73"/>
      <c r="J49" s="73"/>
      <c r="K49" s="73"/>
      <c r="L49" s="73"/>
    </row>
    <row r="50" spans="1:13" x14ac:dyDescent="0.2">
      <c r="A50" s="21" t="s">
        <v>361</v>
      </c>
      <c r="B50" s="18" t="s">
        <v>362</v>
      </c>
      <c r="C50" s="18" t="s">
        <v>363</v>
      </c>
      <c r="D50" s="18" t="str">
        <f>"0,5365"</f>
        <v>0,5365</v>
      </c>
      <c r="E50" s="21" t="s">
        <v>20</v>
      </c>
      <c r="F50" s="21" t="s">
        <v>364</v>
      </c>
      <c r="G50" s="18" t="s">
        <v>365</v>
      </c>
      <c r="H50" s="18" t="s">
        <v>366</v>
      </c>
      <c r="I50" s="18" t="s">
        <v>203</v>
      </c>
      <c r="J50" s="22"/>
      <c r="K50" s="21" t="str">
        <f>"210,0"</f>
        <v>210,0</v>
      </c>
      <c r="L50" s="18" t="str">
        <f>"112,6650"</f>
        <v>112,6650</v>
      </c>
      <c r="M50" s="21"/>
    </row>
    <row r="51" spans="1:13" x14ac:dyDescent="0.2">
      <c r="A51" s="23" t="s">
        <v>368</v>
      </c>
      <c r="B51" s="19" t="s">
        <v>369</v>
      </c>
      <c r="C51" s="19" t="s">
        <v>370</v>
      </c>
      <c r="D51" s="19" t="str">
        <f>"0,5391"</f>
        <v>0,5391</v>
      </c>
      <c r="E51" s="23" t="s">
        <v>20</v>
      </c>
      <c r="F51" s="23" t="s">
        <v>371</v>
      </c>
      <c r="G51" s="19" t="s">
        <v>23</v>
      </c>
      <c r="H51" s="19" t="s">
        <v>365</v>
      </c>
      <c r="I51" s="24" t="s">
        <v>221</v>
      </c>
      <c r="J51" s="24"/>
      <c r="K51" s="23" t="str">
        <f>"190,0"</f>
        <v>190,0</v>
      </c>
      <c r="L51" s="19" t="str">
        <f>"102,4290"</f>
        <v>102,4290</v>
      </c>
      <c r="M51" s="23"/>
    </row>
    <row r="52" spans="1:13" x14ac:dyDescent="0.2">
      <c r="A52" s="23" t="s">
        <v>373</v>
      </c>
      <c r="B52" s="19" t="s">
        <v>374</v>
      </c>
      <c r="C52" s="19" t="s">
        <v>375</v>
      </c>
      <c r="D52" s="19" t="str">
        <f>"0,5384"</f>
        <v>0,5384</v>
      </c>
      <c r="E52" s="23" t="s">
        <v>20</v>
      </c>
      <c r="F52" s="23" t="s">
        <v>30</v>
      </c>
      <c r="G52" s="19" t="s">
        <v>376</v>
      </c>
      <c r="H52" s="19" t="s">
        <v>332</v>
      </c>
      <c r="I52" s="24"/>
      <c r="J52" s="24"/>
      <c r="K52" s="23" t="str">
        <f>"147,5"</f>
        <v>147,5</v>
      </c>
      <c r="L52" s="19" t="str">
        <f>"81,8758"</f>
        <v>81,8758</v>
      </c>
      <c r="M52" s="23"/>
    </row>
    <row r="53" spans="1:13" x14ac:dyDescent="0.2">
      <c r="A53" s="25" t="s">
        <v>378</v>
      </c>
      <c r="B53" s="20" t="s">
        <v>379</v>
      </c>
      <c r="C53" s="20" t="s">
        <v>380</v>
      </c>
      <c r="D53" s="20" t="str">
        <f>"0,5366"</f>
        <v>0,5366</v>
      </c>
      <c r="E53" s="25" t="s">
        <v>20</v>
      </c>
      <c r="F53" s="25" t="s">
        <v>381</v>
      </c>
      <c r="G53" s="20" t="s">
        <v>115</v>
      </c>
      <c r="H53" s="20" t="s">
        <v>116</v>
      </c>
      <c r="I53" s="26" t="s">
        <v>332</v>
      </c>
      <c r="J53" s="26"/>
      <c r="K53" s="25" t="str">
        <f>"145,0"</f>
        <v>145,0</v>
      </c>
      <c r="L53" s="20" t="str">
        <f>"132,2719"</f>
        <v>132,2719</v>
      </c>
      <c r="M53" s="25"/>
    </row>
    <row r="55" spans="1:13" ht="15" x14ac:dyDescent="0.2">
      <c r="A55" s="72" t="s">
        <v>382</v>
      </c>
      <c r="B55" s="73"/>
      <c r="C55" s="73"/>
      <c r="D55" s="73"/>
      <c r="E55" s="73"/>
      <c r="F55" s="73"/>
      <c r="G55" s="73"/>
      <c r="H55" s="73"/>
      <c r="I55" s="73"/>
      <c r="J55" s="73"/>
      <c r="K55" s="73"/>
      <c r="L55" s="73"/>
    </row>
    <row r="56" spans="1:13" x14ac:dyDescent="0.2">
      <c r="A56" s="21" t="s">
        <v>384</v>
      </c>
      <c r="B56" s="18" t="s">
        <v>385</v>
      </c>
      <c r="C56" s="18" t="s">
        <v>386</v>
      </c>
      <c r="D56" s="18" t="str">
        <f>"0,5243"</f>
        <v>0,5243</v>
      </c>
      <c r="E56" s="21" t="s">
        <v>20</v>
      </c>
      <c r="F56" s="21" t="s">
        <v>249</v>
      </c>
      <c r="G56" s="18" t="s">
        <v>22</v>
      </c>
      <c r="H56" s="18" t="s">
        <v>387</v>
      </c>
      <c r="I56" s="18" t="s">
        <v>354</v>
      </c>
      <c r="J56" s="22"/>
      <c r="K56" s="21" t="str">
        <f>"182,5"</f>
        <v>182,5</v>
      </c>
      <c r="L56" s="18" t="str">
        <f>"95,6847"</f>
        <v>95,6847</v>
      </c>
      <c r="M56" s="21"/>
    </row>
    <row r="57" spans="1:13" x14ac:dyDescent="0.2">
      <c r="A57" s="23" t="s">
        <v>389</v>
      </c>
      <c r="B57" s="19" t="s">
        <v>390</v>
      </c>
      <c r="C57" s="19" t="s">
        <v>391</v>
      </c>
      <c r="D57" s="19" t="str">
        <f>"0,5349"</f>
        <v>0,5349</v>
      </c>
      <c r="E57" s="23" t="s">
        <v>20</v>
      </c>
      <c r="F57" s="23" t="s">
        <v>30</v>
      </c>
      <c r="G57" s="19" t="s">
        <v>366</v>
      </c>
      <c r="H57" s="24" t="s">
        <v>392</v>
      </c>
      <c r="I57" s="24" t="s">
        <v>392</v>
      </c>
      <c r="J57" s="24"/>
      <c r="K57" s="23" t="str">
        <f>"200,0"</f>
        <v>200,0</v>
      </c>
      <c r="L57" s="19" t="str">
        <f>"125,4875"</f>
        <v>125,4875</v>
      </c>
      <c r="M57" s="23"/>
    </row>
    <row r="58" spans="1:13" x14ac:dyDescent="0.2">
      <c r="A58" s="25" t="s">
        <v>394</v>
      </c>
      <c r="B58" s="20" t="s">
        <v>395</v>
      </c>
      <c r="C58" s="20" t="s">
        <v>396</v>
      </c>
      <c r="D58" s="20" t="str">
        <f>"0,5274"</f>
        <v>0,5274</v>
      </c>
      <c r="E58" s="25" t="s">
        <v>20</v>
      </c>
      <c r="F58" s="25" t="s">
        <v>30</v>
      </c>
      <c r="G58" s="20" t="s">
        <v>22</v>
      </c>
      <c r="H58" s="20" t="s">
        <v>397</v>
      </c>
      <c r="I58" s="26" t="s">
        <v>152</v>
      </c>
      <c r="J58" s="26"/>
      <c r="K58" s="25" t="str">
        <f>"172,5"</f>
        <v>172,5</v>
      </c>
      <c r="L58" s="20" t="str">
        <f>"106,7154"</f>
        <v>106,7154</v>
      </c>
      <c r="M58" s="25"/>
    </row>
    <row r="60" spans="1:13" ht="15" x14ac:dyDescent="0.2">
      <c r="E60" s="27" t="s">
        <v>53</v>
      </c>
    </row>
    <row r="61" spans="1:13" ht="15" x14ac:dyDescent="0.2">
      <c r="E61" s="27" t="s">
        <v>54</v>
      </c>
    </row>
    <row r="62" spans="1:13" ht="15" x14ac:dyDescent="0.2">
      <c r="E62" s="27" t="s">
        <v>55</v>
      </c>
    </row>
    <row r="63" spans="1:13" x14ac:dyDescent="0.2">
      <c r="E63" s="4" t="s">
        <v>56</v>
      </c>
    </row>
    <row r="64" spans="1:13" x14ac:dyDescent="0.2">
      <c r="E64" s="4" t="s">
        <v>57</v>
      </c>
    </row>
    <row r="65" spans="1:5" x14ac:dyDescent="0.2">
      <c r="E65" s="4" t="s">
        <v>58</v>
      </c>
    </row>
    <row r="68" spans="1:5" ht="18" x14ac:dyDescent="0.25">
      <c r="A68" s="28" t="s">
        <v>59</v>
      </c>
      <c r="B68" s="29"/>
    </row>
    <row r="69" spans="1:5" ht="15" x14ac:dyDescent="0.2">
      <c r="A69" s="30" t="s">
        <v>118</v>
      </c>
      <c r="B69" s="31"/>
    </row>
    <row r="70" spans="1:5" ht="14.25" x14ac:dyDescent="0.2">
      <c r="A70" s="33"/>
      <c r="B70" s="34" t="s">
        <v>398</v>
      </c>
    </row>
    <row r="71" spans="1:5" ht="15" x14ac:dyDescent="0.2">
      <c r="A71" s="35" t="s">
        <v>0</v>
      </c>
      <c r="B71" s="35" t="s">
        <v>62</v>
      </c>
      <c r="C71" s="35" t="s">
        <v>63</v>
      </c>
      <c r="D71" s="35" t="s">
        <v>64</v>
      </c>
      <c r="E71" s="35" t="s">
        <v>13</v>
      </c>
    </row>
    <row r="72" spans="1:5" x14ac:dyDescent="0.2">
      <c r="A72" s="32" t="s">
        <v>237</v>
      </c>
      <c r="B72" s="5" t="s">
        <v>399</v>
      </c>
      <c r="C72" s="5" t="s">
        <v>400</v>
      </c>
      <c r="D72" s="5" t="s">
        <v>243</v>
      </c>
      <c r="E72" s="36" t="s">
        <v>401</v>
      </c>
    </row>
    <row r="74" spans="1:5" ht="14.25" x14ac:dyDescent="0.2">
      <c r="A74" s="33"/>
      <c r="B74" s="34" t="s">
        <v>61</v>
      </c>
    </row>
    <row r="75" spans="1:5" ht="15" x14ac:dyDescent="0.2">
      <c r="A75" s="35" t="s">
        <v>0</v>
      </c>
      <c r="B75" s="35" t="s">
        <v>62</v>
      </c>
      <c r="C75" s="35" t="s">
        <v>63</v>
      </c>
      <c r="D75" s="35" t="s">
        <v>64</v>
      </c>
      <c r="E75" s="35" t="s">
        <v>13</v>
      </c>
    </row>
    <row r="76" spans="1:5" x14ac:dyDescent="0.2">
      <c r="A76" s="32" t="s">
        <v>257</v>
      </c>
      <c r="B76" s="5" t="s">
        <v>61</v>
      </c>
      <c r="C76" s="5" t="s">
        <v>224</v>
      </c>
      <c r="D76" s="5" t="s">
        <v>244</v>
      </c>
      <c r="E76" s="36" t="s">
        <v>402</v>
      </c>
    </row>
    <row r="77" spans="1:5" x14ac:dyDescent="0.2">
      <c r="A77" s="32" t="s">
        <v>262</v>
      </c>
      <c r="B77" s="5" t="s">
        <v>61</v>
      </c>
      <c r="C77" s="5" t="s">
        <v>224</v>
      </c>
      <c r="D77" s="5" t="s">
        <v>243</v>
      </c>
      <c r="E77" s="36" t="s">
        <v>403</v>
      </c>
    </row>
    <row r="78" spans="1:5" x14ac:dyDescent="0.2">
      <c r="A78" s="32" t="s">
        <v>251</v>
      </c>
      <c r="B78" s="5" t="s">
        <v>61</v>
      </c>
      <c r="C78" s="5" t="s">
        <v>226</v>
      </c>
      <c r="D78" s="5" t="s">
        <v>256</v>
      </c>
      <c r="E78" s="36" t="s">
        <v>404</v>
      </c>
    </row>
    <row r="79" spans="1:5" x14ac:dyDescent="0.2">
      <c r="A79" s="32" t="s">
        <v>245</v>
      </c>
      <c r="B79" s="5" t="s">
        <v>61</v>
      </c>
      <c r="C79" s="5" t="s">
        <v>400</v>
      </c>
      <c r="D79" s="5" t="s">
        <v>250</v>
      </c>
      <c r="E79" s="36" t="s">
        <v>405</v>
      </c>
    </row>
    <row r="82" spans="1:5" ht="15" x14ac:dyDescent="0.2">
      <c r="A82" s="30" t="s">
        <v>60</v>
      </c>
      <c r="B82" s="31"/>
    </row>
    <row r="83" spans="1:5" ht="14.25" x14ac:dyDescent="0.2">
      <c r="A83" s="33"/>
      <c r="B83" s="34" t="s">
        <v>398</v>
      </c>
    </row>
    <row r="84" spans="1:5" ht="15" x14ac:dyDescent="0.2">
      <c r="A84" s="35" t="s">
        <v>0</v>
      </c>
      <c r="B84" s="35" t="s">
        <v>62</v>
      </c>
      <c r="C84" s="35" t="s">
        <v>63</v>
      </c>
      <c r="D84" s="35" t="s">
        <v>64</v>
      </c>
      <c r="E84" s="35" t="s">
        <v>13</v>
      </c>
    </row>
    <row r="85" spans="1:5" x14ac:dyDescent="0.2">
      <c r="A85" s="32" t="s">
        <v>274</v>
      </c>
      <c r="B85" s="5" t="s">
        <v>406</v>
      </c>
      <c r="C85" s="5" t="s">
        <v>119</v>
      </c>
      <c r="D85" s="5" t="s">
        <v>278</v>
      </c>
      <c r="E85" s="36" t="s">
        <v>407</v>
      </c>
    </row>
    <row r="86" spans="1:5" x14ac:dyDescent="0.2">
      <c r="A86" s="32" t="s">
        <v>293</v>
      </c>
      <c r="B86" s="5" t="s">
        <v>399</v>
      </c>
      <c r="C86" s="5" t="s">
        <v>73</v>
      </c>
      <c r="D86" s="5" t="s">
        <v>183</v>
      </c>
      <c r="E86" s="36" t="s">
        <v>408</v>
      </c>
    </row>
    <row r="87" spans="1:5" x14ac:dyDescent="0.2">
      <c r="A87" s="32" t="s">
        <v>338</v>
      </c>
      <c r="B87" s="5" t="s">
        <v>406</v>
      </c>
      <c r="C87" s="5" t="s">
        <v>65</v>
      </c>
      <c r="D87" s="5" t="s">
        <v>90</v>
      </c>
      <c r="E87" s="36" t="s">
        <v>409</v>
      </c>
    </row>
    <row r="88" spans="1:5" x14ac:dyDescent="0.2">
      <c r="A88" s="32" t="s">
        <v>302</v>
      </c>
      <c r="B88" s="5" t="s">
        <v>410</v>
      </c>
      <c r="C88" s="5" t="s">
        <v>121</v>
      </c>
      <c r="D88" s="5" t="s">
        <v>306</v>
      </c>
      <c r="E88" s="36" t="s">
        <v>411</v>
      </c>
    </row>
    <row r="90" spans="1:5" ht="14.25" x14ac:dyDescent="0.2">
      <c r="A90" s="33"/>
      <c r="B90" s="34" t="s">
        <v>229</v>
      </c>
    </row>
    <row r="91" spans="1:5" ht="15" x14ac:dyDescent="0.2">
      <c r="A91" s="35" t="s">
        <v>0</v>
      </c>
      <c r="B91" s="35" t="s">
        <v>62</v>
      </c>
      <c r="C91" s="35" t="s">
        <v>63</v>
      </c>
      <c r="D91" s="35" t="s">
        <v>64</v>
      </c>
      <c r="E91" s="35" t="s">
        <v>13</v>
      </c>
    </row>
    <row r="92" spans="1:5" x14ac:dyDescent="0.2">
      <c r="A92" s="32" t="s">
        <v>279</v>
      </c>
      <c r="B92" s="5" t="s">
        <v>230</v>
      </c>
      <c r="C92" s="5" t="s">
        <v>119</v>
      </c>
      <c r="D92" s="5" t="s">
        <v>168</v>
      </c>
      <c r="E92" s="36" t="s">
        <v>412</v>
      </c>
    </row>
    <row r="94" spans="1:5" ht="14.25" x14ac:dyDescent="0.2">
      <c r="A94" s="33"/>
      <c r="B94" s="34" t="s">
        <v>61</v>
      </c>
    </row>
    <row r="95" spans="1:5" ht="15" x14ac:dyDescent="0.2">
      <c r="A95" s="35" t="s">
        <v>0</v>
      </c>
      <c r="B95" s="35" t="s">
        <v>62</v>
      </c>
      <c r="C95" s="35" t="s">
        <v>63</v>
      </c>
      <c r="D95" s="35" t="s">
        <v>64</v>
      </c>
      <c r="E95" s="35" t="s">
        <v>13</v>
      </c>
    </row>
    <row r="96" spans="1:5" x14ac:dyDescent="0.2">
      <c r="A96" s="32" t="s">
        <v>360</v>
      </c>
      <c r="B96" s="5" t="s">
        <v>61</v>
      </c>
      <c r="C96" s="5" t="s">
        <v>69</v>
      </c>
      <c r="D96" s="5" t="s">
        <v>203</v>
      </c>
      <c r="E96" s="36" t="s">
        <v>413</v>
      </c>
    </row>
    <row r="97" spans="1:5" x14ac:dyDescent="0.2">
      <c r="A97" s="32" t="s">
        <v>274</v>
      </c>
      <c r="B97" s="5" t="s">
        <v>61</v>
      </c>
      <c r="C97" s="5" t="s">
        <v>119</v>
      </c>
      <c r="D97" s="5" t="s">
        <v>278</v>
      </c>
      <c r="E97" s="36" t="s">
        <v>407</v>
      </c>
    </row>
    <row r="98" spans="1:5" x14ac:dyDescent="0.2">
      <c r="A98" s="32" t="s">
        <v>383</v>
      </c>
      <c r="B98" s="5" t="s">
        <v>61</v>
      </c>
      <c r="C98" s="5" t="s">
        <v>414</v>
      </c>
      <c r="D98" s="5" t="s">
        <v>354</v>
      </c>
      <c r="E98" s="36" t="s">
        <v>415</v>
      </c>
    </row>
    <row r="99" spans="1:5" x14ac:dyDescent="0.2">
      <c r="A99" s="32" t="s">
        <v>311</v>
      </c>
      <c r="B99" s="5" t="s">
        <v>61</v>
      </c>
      <c r="C99" s="5" t="s">
        <v>121</v>
      </c>
      <c r="D99" s="5" t="s">
        <v>315</v>
      </c>
      <c r="E99" s="36" t="s">
        <v>416</v>
      </c>
    </row>
    <row r="100" spans="1:5" x14ac:dyDescent="0.2">
      <c r="A100" s="32" t="s">
        <v>267</v>
      </c>
      <c r="B100" s="5" t="s">
        <v>61</v>
      </c>
      <c r="C100" s="5" t="s">
        <v>222</v>
      </c>
      <c r="D100" s="5" t="s">
        <v>273</v>
      </c>
      <c r="E100" s="36" t="s">
        <v>417</v>
      </c>
    </row>
    <row r="101" spans="1:5" x14ac:dyDescent="0.2">
      <c r="A101" s="32" t="s">
        <v>342</v>
      </c>
      <c r="B101" s="5" t="s">
        <v>61</v>
      </c>
      <c r="C101" s="5" t="s">
        <v>65</v>
      </c>
      <c r="D101" s="5" t="s">
        <v>139</v>
      </c>
      <c r="E101" s="36" t="s">
        <v>418</v>
      </c>
    </row>
    <row r="102" spans="1:5" x14ac:dyDescent="0.2">
      <c r="A102" s="32" t="s">
        <v>284</v>
      </c>
      <c r="B102" s="5" t="s">
        <v>61</v>
      </c>
      <c r="C102" s="5" t="s">
        <v>153</v>
      </c>
      <c r="D102" s="5" t="s">
        <v>289</v>
      </c>
      <c r="E102" s="36" t="s">
        <v>419</v>
      </c>
    </row>
    <row r="103" spans="1:5" x14ac:dyDescent="0.2">
      <c r="A103" s="32" t="s">
        <v>290</v>
      </c>
      <c r="B103" s="5" t="s">
        <v>61</v>
      </c>
      <c r="C103" s="5" t="s">
        <v>153</v>
      </c>
      <c r="D103" s="5" t="s">
        <v>92</v>
      </c>
      <c r="E103" s="36" t="s">
        <v>420</v>
      </c>
    </row>
    <row r="104" spans="1:5" x14ac:dyDescent="0.2">
      <c r="A104" s="32" t="s">
        <v>316</v>
      </c>
      <c r="B104" s="5" t="s">
        <v>61</v>
      </c>
      <c r="C104" s="5" t="s">
        <v>121</v>
      </c>
      <c r="D104" s="5" t="s">
        <v>278</v>
      </c>
      <c r="E104" s="36" t="s">
        <v>421</v>
      </c>
    </row>
    <row r="105" spans="1:5" x14ac:dyDescent="0.2">
      <c r="A105" s="32" t="s">
        <v>321</v>
      </c>
      <c r="B105" s="5" t="s">
        <v>61</v>
      </c>
      <c r="C105" s="5" t="s">
        <v>121</v>
      </c>
      <c r="D105" s="5" t="s">
        <v>278</v>
      </c>
      <c r="E105" s="36" t="s">
        <v>422</v>
      </c>
    </row>
    <row r="106" spans="1:5" x14ac:dyDescent="0.2">
      <c r="A106" s="32" t="s">
        <v>297</v>
      </c>
      <c r="B106" s="5" t="s">
        <v>61</v>
      </c>
      <c r="C106" s="5" t="s">
        <v>73</v>
      </c>
      <c r="D106" s="5" t="s">
        <v>90</v>
      </c>
      <c r="E106" s="36" t="s">
        <v>423</v>
      </c>
    </row>
    <row r="107" spans="1:5" x14ac:dyDescent="0.2">
      <c r="A107" s="32" t="s">
        <v>345</v>
      </c>
      <c r="B107" s="5" t="s">
        <v>61</v>
      </c>
      <c r="C107" s="5" t="s">
        <v>65</v>
      </c>
      <c r="D107" s="5" t="s">
        <v>92</v>
      </c>
      <c r="E107" s="36" t="s">
        <v>424</v>
      </c>
    </row>
    <row r="108" spans="1:5" x14ac:dyDescent="0.2">
      <c r="A108" s="32" t="s">
        <v>325</v>
      </c>
      <c r="B108" s="5" t="s">
        <v>61</v>
      </c>
      <c r="C108" s="5" t="s">
        <v>121</v>
      </c>
      <c r="D108" s="5" t="s">
        <v>95</v>
      </c>
      <c r="E108" s="36" t="s">
        <v>425</v>
      </c>
    </row>
    <row r="110" spans="1:5" ht="14.25" x14ac:dyDescent="0.2">
      <c r="A110" s="33"/>
      <c r="B110" s="34" t="s">
        <v>426</v>
      </c>
    </row>
    <row r="111" spans="1:5" ht="15" x14ac:dyDescent="0.2">
      <c r="A111" s="35" t="s">
        <v>0</v>
      </c>
      <c r="B111" s="35" t="s">
        <v>62</v>
      </c>
      <c r="C111" s="35" t="s">
        <v>63</v>
      </c>
      <c r="D111" s="35" t="s">
        <v>64</v>
      </c>
      <c r="E111" s="35" t="s">
        <v>13</v>
      </c>
    </row>
    <row r="112" spans="1:5" x14ac:dyDescent="0.2">
      <c r="A112" s="32" t="s">
        <v>367</v>
      </c>
      <c r="B112" s="5" t="s">
        <v>427</v>
      </c>
      <c r="C112" s="5" t="s">
        <v>69</v>
      </c>
      <c r="D112" s="5" t="s">
        <v>365</v>
      </c>
      <c r="E112" s="36" t="s">
        <v>428</v>
      </c>
    </row>
    <row r="113" spans="1:5" x14ac:dyDescent="0.2">
      <c r="A113" s="32" t="s">
        <v>333</v>
      </c>
      <c r="B113" s="5" t="s">
        <v>427</v>
      </c>
      <c r="C113" s="5" t="s">
        <v>121</v>
      </c>
      <c r="D113" s="5" t="s">
        <v>103</v>
      </c>
      <c r="E113" s="36" t="s">
        <v>429</v>
      </c>
    </row>
    <row r="115" spans="1:5" ht="14.25" x14ac:dyDescent="0.2">
      <c r="A115" s="33"/>
      <c r="B115" s="34" t="s">
        <v>71</v>
      </c>
    </row>
    <row r="116" spans="1:5" ht="15" x14ac:dyDescent="0.2">
      <c r="A116" s="35" t="s">
        <v>0</v>
      </c>
      <c r="B116" s="35" t="s">
        <v>62</v>
      </c>
      <c r="C116" s="35" t="s">
        <v>63</v>
      </c>
      <c r="D116" s="35" t="s">
        <v>64</v>
      </c>
      <c r="E116" s="35" t="s">
        <v>13</v>
      </c>
    </row>
    <row r="117" spans="1:5" x14ac:dyDescent="0.2">
      <c r="A117" s="32" t="s">
        <v>377</v>
      </c>
      <c r="B117" s="5" t="s">
        <v>430</v>
      </c>
      <c r="C117" s="5" t="s">
        <v>69</v>
      </c>
      <c r="D117" s="5" t="s">
        <v>116</v>
      </c>
      <c r="E117" s="36" t="s">
        <v>431</v>
      </c>
    </row>
    <row r="118" spans="1:5" x14ac:dyDescent="0.2">
      <c r="A118" s="32" t="s">
        <v>388</v>
      </c>
      <c r="B118" s="5" t="s">
        <v>127</v>
      </c>
      <c r="C118" s="5" t="s">
        <v>414</v>
      </c>
      <c r="D118" s="5" t="s">
        <v>366</v>
      </c>
      <c r="E118" s="36" t="s">
        <v>432</v>
      </c>
    </row>
    <row r="119" spans="1:5" x14ac:dyDescent="0.2">
      <c r="A119" s="32" t="s">
        <v>349</v>
      </c>
      <c r="B119" s="5" t="s">
        <v>156</v>
      </c>
      <c r="C119" s="5" t="s">
        <v>65</v>
      </c>
      <c r="D119" s="5" t="s">
        <v>355</v>
      </c>
      <c r="E119" s="36" t="s">
        <v>433</v>
      </c>
    </row>
    <row r="120" spans="1:5" x14ac:dyDescent="0.2">
      <c r="A120" s="32" t="s">
        <v>393</v>
      </c>
      <c r="B120" s="5" t="s">
        <v>127</v>
      </c>
      <c r="C120" s="5" t="s">
        <v>414</v>
      </c>
      <c r="D120" s="5" t="s">
        <v>397</v>
      </c>
      <c r="E120" s="36" t="s">
        <v>434</v>
      </c>
    </row>
    <row r="121" spans="1:5" x14ac:dyDescent="0.2">
      <c r="A121" s="32" t="s">
        <v>372</v>
      </c>
      <c r="B121" s="5" t="s">
        <v>130</v>
      </c>
      <c r="C121" s="5" t="s">
        <v>69</v>
      </c>
      <c r="D121" s="5" t="s">
        <v>332</v>
      </c>
      <c r="E121" s="36" t="s">
        <v>435</v>
      </c>
    </row>
    <row r="122" spans="1:5" x14ac:dyDescent="0.2">
      <c r="A122" s="32" t="s">
        <v>356</v>
      </c>
      <c r="B122" s="5" t="s">
        <v>156</v>
      </c>
      <c r="C122" s="5" t="s">
        <v>65</v>
      </c>
      <c r="D122" s="5" t="s">
        <v>92</v>
      </c>
      <c r="E122" s="36" t="s">
        <v>436</v>
      </c>
    </row>
  </sheetData>
  <mergeCells count="22">
    <mergeCell ref="A12:L12"/>
    <mergeCell ref="A1:M2"/>
    <mergeCell ref="A3:A4"/>
    <mergeCell ref="B3:B4"/>
    <mergeCell ref="C3:C4"/>
    <mergeCell ref="D3:D4"/>
    <mergeCell ref="E3:E4"/>
    <mergeCell ref="F3:F4"/>
    <mergeCell ref="G3:J3"/>
    <mergeCell ref="K3:K4"/>
    <mergeCell ref="L3:L4"/>
    <mergeCell ref="M3:M4"/>
    <mergeCell ref="A5:L5"/>
    <mergeCell ref="A9:L9"/>
    <mergeCell ref="A49:L49"/>
    <mergeCell ref="A55:L55"/>
    <mergeCell ref="A16:L16"/>
    <mergeCell ref="A19:L19"/>
    <mergeCell ref="A24:L24"/>
    <mergeCell ref="A28:L28"/>
    <mergeCell ref="A32:L32"/>
    <mergeCell ref="A42:L42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9"/>
  <sheetViews>
    <sheetView tabSelected="1" workbookViewId="0">
      <selection activeCell="B45" sqref="B45"/>
    </sheetView>
  </sheetViews>
  <sheetFormatPr defaultColWidth="9.140625" defaultRowHeight="12.75" x14ac:dyDescent="0.2"/>
  <cols>
    <col min="1" max="1" width="24.85546875" style="4" bestFit="1" customWidth="1"/>
    <col min="2" max="2" width="26.5703125" style="5" bestFit="1" customWidth="1"/>
    <col min="3" max="3" width="7.5703125" style="5" bestFit="1" customWidth="1"/>
    <col min="4" max="4" width="8.7109375" style="5" bestFit="1" customWidth="1"/>
    <col min="5" max="5" width="17" style="4" bestFit="1" customWidth="1"/>
    <col min="6" max="6" width="28.42578125" style="4" bestFit="1" customWidth="1"/>
    <col min="7" max="9" width="5.5703125" style="5" bestFit="1" customWidth="1"/>
    <col min="10" max="10" width="4.7109375" style="5" bestFit="1" customWidth="1"/>
    <col min="11" max="11" width="5.7109375" style="4" bestFit="1" customWidth="1"/>
    <col min="12" max="12" width="8.5703125" style="5" bestFit="1" customWidth="1"/>
    <col min="13" max="13" width="7.140625" style="4" bestFit="1" customWidth="1"/>
    <col min="14" max="16384" width="9.140625" style="3"/>
  </cols>
  <sheetData>
    <row r="1" spans="1:13" s="2" customFormat="1" ht="28.9" customHeight="1" x14ac:dyDescent="0.2">
      <c r="A1" s="66" t="s">
        <v>673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8"/>
    </row>
    <row r="2" spans="1:13" s="2" customFormat="1" ht="61.9" customHeight="1" thickBot="1" x14ac:dyDescent="0.25">
      <c r="A2" s="69"/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1"/>
    </row>
    <row r="3" spans="1:13" s="1" customFormat="1" ht="12.75" customHeight="1" x14ac:dyDescent="0.2">
      <c r="A3" s="55" t="s">
        <v>0</v>
      </c>
      <c r="B3" s="57" t="s">
        <v>12</v>
      </c>
      <c r="C3" s="57" t="s">
        <v>9</v>
      </c>
      <c r="D3" s="59" t="s">
        <v>13</v>
      </c>
      <c r="E3" s="59" t="s">
        <v>1</v>
      </c>
      <c r="F3" s="60" t="s">
        <v>14</v>
      </c>
      <c r="G3" s="55" t="s">
        <v>5</v>
      </c>
      <c r="H3" s="59"/>
      <c r="I3" s="59"/>
      <c r="J3" s="47"/>
      <c r="K3" s="62" t="s">
        <v>75</v>
      </c>
      <c r="L3" s="59" t="s">
        <v>7</v>
      </c>
      <c r="M3" s="47" t="s">
        <v>6</v>
      </c>
    </row>
    <row r="4" spans="1:13" s="1" customFormat="1" ht="23.25" customHeight="1" thickBot="1" x14ac:dyDescent="0.25">
      <c r="A4" s="56"/>
      <c r="B4" s="58"/>
      <c r="C4" s="58"/>
      <c r="D4" s="58"/>
      <c r="E4" s="58"/>
      <c r="F4" s="61"/>
      <c r="G4" s="12">
        <v>1</v>
      </c>
      <c r="H4" s="13">
        <v>2</v>
      </c>
      <c r="I4" s="13">
        <v>3</v>
      </c>
      <c r="J4" s="14" t="s">
        <v>8</v>
      </c>
      <c r="K4" s="63"/>
      <c r="L4" s="58"/>
      <c r="M4" s="48"/>
    </row>
    <row r="5" spans="1:13" s="5" customFormat="1" ht="15" x14ac:dyDescent="0.2">
      <c r="A5" s="64" t="s">
        <v>162</v>
      </c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4"/>
    </row>
    <row r="6" spans="1:13" s="5" customFormat="1" x14ac:dyDescent="0.2">
      <c r="A6" s="15" t="s">
        <v>164</v>
      </c>
      <c r="B6" s="16" t="s">
        <v>165</v>
      </c>
      <c r="C6" s="16" t="s">
        <v>166</v>
      </c>
      <c r="D6" s="16" t="str">
        <f>"0,9825"</f>
        <v>0,9825</v>
      </c>
      <c r="E6" s="15" t="s">
        <v>20</v>
      </c>
      <c r="F6" s="15" t="s">
        <v>30</v>
      </c>
      <c r="G6" s="16" t="s">
        <v>167</v>
      </c>
      <c r="H6" s="16" t="s">
        <v>138</v>
      </c>
      <c r="I6" s="17" t="s">
        <v>168</v>
      </c>
      <c r="J6" s="17"/>
      <c r="K6" s="15" t="str">
        <f>"107,5"</f>
        <v>107,5</v>
      </c>
      <c r="L6" s="16" t="str">
        <f>"115,3357"</f>
        <v>115,3357</v>
      </c>
      <c r="M6" s="15"/>
    </row>
    <row r="7" spans="1:13" s="5" customFormat="1" x14ac:dyDescent="0.2">
      <c r="A7" s="4"/>
      <c r="E7" s="4"/>
      <c r="F7" s="4"/>
      <c r="K7" s="4"/>
      <c r="M7" s="4"/>
    </row>
    <row r="8" spans="1:13" ht="15" x14ac:dyDescent="0.2">
      <c r="A8" s="72" t="s">
        <v>169</v>
      </c>
      <c r="B8" s="73"/>
      <c r="C8" s="73"/>
      <c r="D8" s="73"/>
      <c r="E8" s="73"/>
      <c r="F8" s="73"/>
      <c r="G8" s="73"/>
      <c r="H8" s="73"/>
      <c r="I8" s="73"/>
      <c r="J8" s="73"/>
      <c r="K8" s="73"/>
      <c r="L8" s="73"/>
    </row>
    <row r="9" spans="1:13" x14ac:dyDescent="0.2">
      <c r="A9" s="15" t="s">
        <v>171</v>
      </c>
      <c r="B9" s="16" t="s">
        <v>172</v>
      </c>
      <c r="C9" s="16" t="s">
        <v>173</v>
      </c>
      <c r="D9" s="16" t="str">
        <f>"0,9122"</f>
        <v>0,9122</v>
      </c>
      <c r="E9" s="15" t="s">
        <v>20</v>
      </c>
      <c r="F9" s="15" t="s">
        <v>174</v>
      </c>
      <c r="G9" s="16" t="s">
        <v>175</v>
      </c>
      <c r="H9" s="16" t="s">
        <v>176</v>
      </c>
      <c r="I9" s="16" t="s">
        <v>92</v>
      </c>
      <c r="J9" s="17"/>
      <c r="K9" s="15" t="str">
        <f>"130,0"</f>
        <v>130,0</v>
      </c>
      <c r="L9" s="16" t="str">
        <f>"118,9418"</f>
        <v>118,9418</v>
      </c>
      <c r="M9" s="15"/>
    </row>
    <row r="11" spans="1:13" ht="15" x14ac:dyDescent="0.2">
      <c r="A11" s="72" t="s">
        <v>177</v>
      </c>
      <c r="B11" s="73"/>
      <c r="C11" s="73"/>
      <c r="D11" s="73"/>
      <c r="E11" s="73"/>
      <c r="F11" s="73"/>
      <c r="G11" s="73"/>
      <c r="H11" s="73"/>
      <c r="I11" s="73"/>
      <c r="J11" s="73"/>
      <c r="K11" s="73"/>
      <c r="L11" s="73"/>
    </row>
    <row r="12" spans="1:13" x14ac:dyDescent="0.2">
      <c r="A12" s="15" t="s">
        <v>179</v>
      </c>
      <c r="B12" s="16" t="s">
        <v>180</v>
      </c>
      <c r="C12" s="16" t="s">
        <v>181</v>
      </c>
      <c r="D12" s="16" t="str">
        <f>"0,8628"</f>
        <v>0,8628</v>
      </c>
      <c r="E12" s="15" t="s">
        <v>20</v>
      </c>
      <c r="F12" s="15" t="s">
        <v>182</v>
      </c>
      <c r="G12" s="16" t="s">
        <v>138</v>
      </c>
      <c r="H12" s="16" t="s">
        <v>183</v>
      </c>
      <c r="I12" s="17" t="s">
        <v>184</v>
      </c>
      <c r="J12" s="17"/>
      <c r="K12" s="15" t="str">
        <f>"110,0"</f>
        <v>110,0</v>
      </c>
      <c r="L12" s="16" t="str">
        <f>"94,9080"</f>
        <v>94,9080</v>
      </c>
      <c r="M12" s="15"/>
    </row>
    <row r="14" spans="1:13" ht="15" x14ac:dyDescent="0.2">
      <c r="A14" s="72" t="s">
        <v>96</v>
      </c>
      <c r="B14" s="73"/>
      <c r="C14" s="73"/>
      <c r="D14" s="73"/>
      <c r="E14" s="73"/>
      <c r="F14" s="73"/>
      <c r="G14" s="73"/>
      <c r="H14" s="73"/>
      <c r="I14" s="73"/>
      <c r="J14" s="73"/>
      <c r="K14" s="73"/>
      <c r="L14" s="73"/>
    </row>
    <row r="15" spans="1:13" x14ac:dyDescent="0.2">
      <c r="A15" s="15" t="s">
        <v>186</v>
      </c>
      <c r="B15" s="16" t="s">
        <v>187</v>
      </c>
      <c r="C15" s="16" t="s">
        <v>188</v>
      </c>
      <c r="D15" s="16" t="str">
        <f>"0,6476"</f>
        <v>0,6476</v>
      </c>
      <c r="E15" s="15" t="s">
        <v>20</v>
      </c>
      <c r="F15" s="15" t="s">
        <v>182</v>
      </c>
      <c r="G15" s="16" t="s">
        <v>115</v>
      </c>
      <c r="H15" s="16" t="s">
        <v>189</v>
      </c>
      <c r="I15" s="16" t="s">
        <v>103</v>
      </c>
      <c r="J15" s="17"/>
      <c r="K15" s="15" t="str">
        <f>"165,0"</f>
        <v>165,0</v>
      </c>
      <c r="L15" s="16" t="str">
        <f>"107,8157"</f>
        <v>107,8157</v>
      </c>
      <c r="M15" s="15"/>
    </row>
    <row r="17" spans="1:13" ht="15" x14ac:dyDescent="0.2">
      <c r="A17" s="72" t="s">
        <v>133</v>
      </c>
      <c r="B17" s="73"/>
      <c r="C17" s="73"/>
      <c r="D17" s="73"/>
      <c r="E17" s="73"/>
      <c r="F17" s="73"/>
      <c r="G17" s="73"/>
      <c r="H17" s="73"/>
      <c r="I17" s="73"/>
      <c r="J17" s="73"/>
      <c r="K17" s="73"/>
      <c r="L17" s="73"/>
    </row>
    <row r="18" spans="1:13" x14ac:dyDescent="0.2">
      <c r="A18" s="21" t="s">
        <v>191</v>
      </c>
      <c r="B18" s="18" t="s">
        <v>192</v>
      </c>
      <c r="C18" s="18" t="s">
        <v>193</v>
      </c>
      <c r="D18" s="18" t="str">
        <f>"0,6752"</f>
        <v>0,6752</v>
      </c>
      <c r="E18" s="21" t="s">
        <v>20</v>
      </c>
      <c r="F18" s="21" t="s">
        <v>194</v>
      </c>
      <c r="G18" s="18" t="s">
        <v>195</v>
      </c>
      <c r="H18" s="18" t="s">
        <v>196</v>
      </c>
      <c r="I18" s="18" t="s">
        <v>40</v>
      </c>
      <c r="J18" s="22"/>
      <c r="K18" s="21" t="str">
        <f>"245,0"</f>
        <v>245,0</v>
      </c>
      <c r="L18" s="18" t="str">
        <f>"165,4240"</f>
        <v>165,4240</v>
      </c>
      <c r="M18" s="21"/>
    </row>
    <row r="19" spans="1:13" x14ac:dyDescent="0.2">
      <c r="A19" s="25" t="s">
        <v>198</v>
      </c>
      <c r="B19" s="20" t="s">
        <v>199</v>
      </c>
      <c r="C19" s="20" t="s">
        <v>200</v>
      </c>
      <c r="D19" s="20" t="str">
        <f>"0,7201"</f>
        <v>0,7201</v>
      </c>
      <c r="E19" s="25" t="s">
        <v>20</v>
      </c>
      <c r="F19" s="25" t="s">
        <v>201</v>
      </c>
      <c r="G19" s="20" t="s">
        <v>202</v>
      </c>
      <c r="H19" s="20" t="s">
        <v>203</v>
      </c>
      <c r="I19" s="20" t="s">
        <v>204</v>
      </c>
      <c r="J19" s="26"/>
      <c r="K19" s="25" t="str">
        <f>"212,5"</f>
        <v>212,5</v>
      </c>
      <c r="L19" s="20" t="str">
        <f>"153,0212"</f>
        <v>153,0212</v>
      </c>
      <c r="M19" s="25"/>
    </row>
    <row r="21" spans="1:13" ht="15" x14ac:dyDescent="0.2">
      <c r="A21" s="72" t="s">
        <v>96</v>
      </c>
      <c r="B21" s="73"/>
      <c r="C21" s="73"/>
      <c r="D21" s="73"/>
      <c r="E21" s="73"/>
      <c r="F21" s="73"/>
      <c r="G21" s="73"/>
      <c r="H21" s="73"/>
      <c r="I21" s="73"/>
      <c r="J21" s="73"/>
      <c r="K21" s="73"/>
      <c r="L21" s="73"/>
    </row>
    <row r="22" spans="1:13" x14ac:dyDescent="0.2">
      <c r="A22" s="21" t="s">
        <v>206</v>
      </c>
      <c r="B22" s="18" t="s">
        <v>207</v>
      </c>
      <c r="C22" s="18" t="s">
        <v>208</v>
      </c>
      <c r="D22" s="18" t="str">
        <f>"0,5910"</f>
        <v>0,5910</v>
      </c>
      <c r="E22" s="21" t="s">
        <v>20</v>
      </c>
      <c r="F22" s="21" t="s">
        <v>209</v>
      </c>
      <c r="G22" s="18" t="s">
        <v>51</v>
      </c>
      <c r="H22" s="18" t="s">
        <v>210</v>
      </c>
      <c r="I22" s="22" t="s">
        <v>52</v>
      </c>
      <c r="J22" s="22"/>
      <c r="K22" s="21" t="str">
        <f>"235,0"</f>
        <v>235,0</v>
      </c>
      <c r="L22" s="18" t="str">
        <f>"138,8850"</f>
        <v>138,8850</v>
      </c>
      <c r="M22" s="21"/>
    </row>
    <row r="23" spans="1:13" x14ac:dyDescent="0.2">
      <c r="A23" s="25" t="s">
        <v>212</v>
      </c>
      <c r="B23" s="20" t="s">
        <v>213</v>
      </c>
      <c r="C23" s="20" t="s">
        <v>214</v>
      </c>
      <c r="D23" s="20" t="str">
        <f>"0,5861"</f>
        <v>0,5861</v>
      </c>
      <c r="E23" s="25" t="s">
        <v>20</v>
      </c>
      <c r="F23" s="25" t="s">
        <v>30</v>
      </c>
      <c r="G23" s="20" t="s">
        <v>215</v>
      </c>
      <c r="H23" s="20" t="s">
        <v>195</v>
      </c>
      <c r="I23" s="20" t="s">
        <v>216</v>
      </c>
      <c r="J23" s="26"/>
      <c r="K23" s="25" t="str">
        <f>"222,5"</f>
        <v>222,5</v>
      </c>
      <c r="L23" s="20" t="str">
        <f>"130,4072"</f>
        <v>130,4072</v>
      </c>
      <c r="M23" s="25"/>
    </row>
    <row r="25" spans="1:13" ht="15" x14ac:dyDescent="0.2">
      <c r="A25" s="72" t="s">
        <v>25</v>
      </c>
      <c r="B25" s="73"/>
      <c r="C25" s="73"/>
      <c r="D25" s="73"/>
      <c r="E25" s="73"/>
      <c r="F25" s="73"/>
      <c r="G25" s="73"/>
      <c r="H25" s="73"/>
      <c r="I25" s="73"/>
      <c r="J25" s="73"/>
      <c r="K25" s="73"/>
      <c r="L25" s="73"/>
    </row>
    <row r="26" spans="1:13" x14ac:dyDescent="0.2">
      <c r="A26" s="15" t="s">
        <v>218</v>
      </c>
      <c r="B26" s="16" t="s">
        <v>219</v>
      </c>
      <c r="C26" s="16" t="s">
        <v>220</v>
      </c>
      <c r="D26" s="16" t="str">
        <f>"0,5619"</f>
        <v>0,5619</v>
      </c>
      <c r="E26" s="15" t="s">
        <v>20</v>
      </c>
      <c r="F26" s="15" t="s">
        <v>30</v>
      </c>
      <c r="G26" s="16" t="s">
        <v>221</v>
      </c>
      <c r="H26" s="16" t="s">
        <v>203</v>
      </c>
      <c r="I26" s="16" t="s">
        <v>195</v>
      </c>
      <c r="J26" s="17"/>
      <c r="K26" s="15" t="str">
        <f>"215,0"</f>
        <v>215,0</v>
      </c>
      <c r="L26" s="16" t="str">
        <f>"120,8085"</f>
        <v>120,8085</v>
      </c>
      <c r="M26" s="15"/>
    </row>
    <row r="28" spans="1:13" ht="15" x14ac:dyDescent="0.2">
      <c r="E28" s="27" t="s">
        <v>53</v>
      </c>
    </row>
    <row r="29" spans="1:13" ht="15" x14ac:dyDescent="0.2">
      <c r="E29" s="27" t="s">
        <v>54</v>
      </c>
    </row>
    <row r="30" spans="1:13" ht="15" x14ac:dyDescent="0.2">
      <c r="E30" s="27" t="s">
        <v>55</v>
      </c>
    </row>
    <row r="31" spans="1:13" x14ac:dyDescent="0.2">
      <c r="E31" s="4" t="s">
        <v>56</v>
      </c>
    </row>
    <row r="32" spans="1:13" x14ac:dyDescent="0.2">
      <c r="E32" s="4" t="s">
        <v>57</v>
      </c>
    </row>
    <row r="33" spans="1:5" x14ac:dyDescent="0.2">
      <c r="E33" s="4" t="s">
        <v>58</v>
      </c>
    </row>
    <row r="36" spans="1:5" ht="18" x14ac:dyDescent="0.25">
      <c r="A36" s="28" t="s">
        <v>59</v>
      </c>
      <c r="B36" s="29"/>
    </row>
    <row r="37" spans="1:5" ht="15" x14ac:dyDescent="0.2">
      <c r="A37" s="30" t="s">
        <v>118</v>
      </c>
      <c r="B37" s="31"/>
    </row>
    <row r="38" spans="1:5" ht="14.25" x14ac:dyDescent="0.2">
      <c r="A38" s="33"/>
      <c r="B38" s="34" t="s">
        <v>61</v>
      </c>
    </row>
    <row r="39" spans="1:5" ht="15" x14ac:dyDescent="0.2">
      <c r="A39" s="35" t="s">
        <v>0</v>
      </c>
      <c r="B39" s="35" t="s">
        <v>62</v>
      </c>
      <c r="C39" s="35" t="s">
        <v>63</v>
      </c>
      <c r="D39" s="35" t="s">
        <v>64</v>
      </c>
      <c r="E39" s="35" t="s">
        <v>13</v>
      </c>
    </row>
    <row r="40" spans="1:5" x14ac:dyDescent="0.2">
      <c r="A40" s="32" t="s">
        <v>178</v>
      </c>
      <c r="B40" s="5" t="s">
        <v>61</v>
      </c>
      <c r="C40" s="5" t="s">
        <v>222</v>
      </c>
      <c r="D40" s="5" t="s">
        <v>183</v>
      </c>
      <c r="E40" s="36" t="s">
        <v>223</v>
      </c>
    </row>
    <row r="42" spans="1:5" ht="14.25" x14ac:dyDescent="0.2">
      <c r="A42" s="33"/>
      <c r="B42" s="34" t="s">
        <v>71</v>
      </c>
    </row>
    <row r="43" spans="1:5" ht="15" x14ac:dyDescent="0.2">
      <c r="A43" s="35" t="s">
        <v>0</v>
      </c>
      <c r="B43" s="35" t="s">
        <v>62</v>
      </c>
      <c r="C43" s="35" t="s">
        <v>63</v>
      </c>
      <c r="D43" s="35" t="s">
        <v>64</v>
      </c>
      <c r="E43" s="35" t="s">
        <v>13</v>
      </c>
    </row>
    <row r="44" spans="1:5" x14ac:dyDescent="0.2">
      <c r="A44" s="32" t="s">
        <v>170</v>
      </c>
      <c r="B44" s="5" t="s">
        <v>130</v>
      </c>
      <c r="C44" s="5" t="s">
        <v>224</v>
      </c>
      <c r="D44" s="5" t="s">
        <v>92</v>
      </c>
      <c r="E44" s="36" t="s">
        <v>225</v>
      </c>
    </row>
    <row r="45" spans="1:5" x14ac:dyDescent="0.2">
      <c r="A45" s="32" t="s">
        <v>163</v>
      </c>
      <c r="B45" s="5" t="s">
        <v>156</v>
      </c>
      <c r="C45" s="5" t="s">
        <v>226</v>
      </c>
      <c r="D45" s="5" t="s">
        <v>138</v>
      </c>
      <c r="E45" s="36" t="s">
        <v>227</v>
      </c>
    </row>
    <row r="46" spans="1:5" x14ac:dyDescent="0.2">
      <c r="A46" s="32" t="s">
        <v>185</v>
      </c>
      <c r="B46" s="5" t="s">
        <v>130</v>
      </c>
      <c r="C46" s="5" t="s">
        <v>121</v>
      </c>
      <c r="D46" s="5" t="s">
        <v>103</v>
      </c>
      <c r="E46" s="36" t="s">
        <v>228</v>
      </c>
    </row>
    <row r="49" spans="1:5" ht="15" x14ac:dyDescent="0.2">
      <c r="A49" s="30" t="s">
        <v>60</v>
      </c>
      <c r="B49" s="31"/>
    </row>
    <row r="50" spans="1:5" ht="14.25" x14ac:dyDescent="0.2">
      <c r="A50" s="33"/>
      <c r="B50" s="34" t="s">
        <v>229</v>
      </c>
    </row>
    <row r="51" spans="1:5" ht="15" x14ac:dyDescent="0.2">
      <c r="A51" s="35" t="s">
        <v>0</v>
      </c>
      <c r="B51" s="35" t="s">
        <v>62</v>
      </c>
      <c r="C51" s="35" t="s">
        <v>63</v>
      </c>
      <c r="D51" s="35" t="s">
        <v>64</v>
      </c>
      <c r="E51" s="35" t="s">
        <v>13</v>
      </c>
    </row>
    <row r="52" spans="1:5" x14ac:dyDescent="0.2">
      <c r="A52" s="32" t="s">
        <v>190</v>
      </c>
      <c r="B52" s="5" t="s">
        <v>230</v>
      </c>
      <c r="C52" s="5" t="s">
        <v>153</v>
      </c>
      <c r="D52" s="5" t="s">
        <v>40</v>
      </c>
      <c r="E52" s="36" t="s">
        <v>231</v>
      </c>
    </row>
    <row r="53" spans="1:5" x14ac:dyDescent="0.2">
      <c r="A53" s="32" t="s">
        <v>217</v>
      </c>
      <c r="B53" s="5" t="s">
        <v>230</v>
      </c>
      <c r="C53" s="5" t="s">
        <v>65</v>
      </c>
      <c r="D53" s="5" t="s">
        <v>195</v>
      </c>
      <c r="E53" s="36" t="s">
        <v>232</v>
      </c>
    </row>
    <row r="55" spans="1:5" ht="14.25" x14ac:dyDescent="0.2">
      <c r="A55" s="33"/>
      <c r="B55" s="34" t="s">
        <v>61</v>
      </c>
    </row>
    <row r="56" spans="1:5" ht="15" x14ac:dyDescent="0.2">
      <c r="A56" s="35" t="s">
        <v>0</v>
      </c>
      <c r="B56" s="35" t="s">
        <v>62</v>
      </c>
      <c r="C56" s="35" t="s">
        <v>63</v>
      </c>
      <c r="D56" s="35" t="s">
        <v>64</v>
      </c>
      <c r="E56" s="35" t="s">
        <v>13</v>
      </c>
    </row>
    <row r="57" spans="1:5" x14ac:dyDescent="0.2">
      <c r="A57" s="32" t="s">
        <v>197</v>
      </c>
      <c r="B57" s="5" t="s">
        <v>61</v>
      </c>
      <c r="C57" s="5" t="s">
        <v>153</v>
      </c>
      <c r="D57" s="5" t="s">
        <v>204</v>
      </c>
      <c r="E57" s="36" t="s">
        <v>233</v>
      </c>
    </row>
    <row r="58" spans="1:5" x14ac:dyDescent="0.2">
      <c r="A58" s="32" t="s">
        <v>205</v>
      </c>
      <c r="B58" s="5" t="s">
        <v>61</v>
      </c>
      <c r="C58" s="5" t="s">
        <v>121</v>
      </c>
      <c r="D58" s="5" t="s">
        <v>210</v>
      </c>
      <c r="E58" s="36" t="s">
        <v>234</v>
      </c>
    </row>
    <row r="59" spans="1:5" x14ac:dyDescent="0.2">
      <c r="A59" s="32" t="s">
        <v>211</v>
      </c>
      <c r="B59" s="5" t="s">
        <v>61</v>
      </c>
      <c r="C59" s="5" t="s">
        <v>121</v>
      </c>
      <c r="D59" s="5" t="s">
        <v>216</v>
      </c>
      <c r="E59" s="36" t="s">
        <v>235</v>
      </c>
    </row>
  </sheetData>
  <mergeCells count="18">
    <mergeCell ref="M3:M4"/>
    <mergeCell ref="A5:L5"/>
    <mergeCell ref="A8:L8"/>
    <mergeCell ref="A11:L11"/>
    <mergeCell ref="A1:M2"/>
    <mergeCell ref="A3:A4"/>
    <mergeCell ref="B3:B4"/>
    <mergeCell ref="C3:C4"/>
    <mergeCell ref="D3:D4"/>
    <mergeCell ref="E3:E4"/>
    <mergeCell ref="F3:F4"/>
    <mergeCell ref="G3:J3"/>
    <mergeCell ref="A14:L14"/>
    <mergeCell ref="A17:L17"/>
    <mergeCell ref="A21:L21"/>
    <mergeCell ref="A25:L25"/>
    <mergeCell ref="K3:K4"/>
    <mergeCell ref="L3:L4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3"/>
  <sheetViews>
    <sheetView workbookViewId="0">
      <selection activeCell="T24" sqref="T24"/>
    </sheetView>
  </sheetViews>
  <sheetFormatPr defaultColWidth="9.140625" defaultRowHeight="12.75" x14ac:dyDescent="0.2"/>
  <cols>
    <col min="1" max="1" width="24.85546875" style="4" bestFit="1" customWidth="1"/>
    <col min="2" max="2" width="26.5703125" style="5" bestFit="1" customWidth="1"/>
    <col min="3" max="3" width="7.5703125" style="5" bestFit="1" customWidth="1"/>
    <col min="4" max="4" width="8.7109375" style="5" bestFit="1" customWidth="1"/>
    <col min="5" max="5" width="17" style="4" bestFit="1" customWidth="1"/>
    <col min="6" max="6" width="15" style="4" bestFit="1" customWidth="1"/>
    <col min="7" max="9" width="5.5703125" style="5" bestFit="1" customWidth="1"/>
    <col min="10" max="10" width="4.7109375" style="5" bestFit="1" customWidth="1"/>
    <col min="11" max="11" width="4.5703125" style="5" bestFit="1" customWidth="1"/>
    <col min="12" max="13" width="5.5703125" style="5" bestFit="1" customWidth="1"/>
    <col min="14" max="14" width="4.7109375" style="5" bestFit="1" customWidth="1"/>
    <col min="15" max="17" width="5.5703125" style="5" bestFit="1" customWidth="1"/>
    <col min="18" max="18" width="4.7109375" style="5" bestFit="1" customWidth="1"/>
    <col min="19" max="19" width="5.7109375" style="4" bestFit="1" customWidth="1"/>
    <col min="20" max="20" width="8.5703125" style="5" bestFit="1" customWidth="1"/>
    <col min="21" max="21" width="7.140625" style="4" bestFit="1" customWidth="1"/>
    <col min="22" max="16384" width="9.140625" style="3"/>
  </cols>
  <sheetData>
    <row r="1" spans="1:21" s="2" customFormat="1" ht="28.9" customHeight="1" x14ac:dyDescent="0.2">
      <c r="A1" s="66" t="s">
        <v>674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8"/>
    </row>
    <row r="2" spans="1:21" s="2" customFormat="1" ht="61.9" customHeight="1" thickBot="1" x14ac:dyDescent="0.25">
      <c r="A2" s="69"/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1"/>
    </row>
    <row r="3" spans="1:21" s="1" customFormat="1" ht="12.75" customHeight="1" x14ac:dyDescent="0.2">
      <c r="A3" s="55" t="s">
        <v>0</v>
      </c>
      <c r="B3" s="57" t="s">
        <v>12</v>
      </c>
      <c r="C3" s="57" t="s">
        <v>9</v>
      </c>
      <c r="D3" s="59" t="s">
        <v>13</v>
      </c>
      <c r="E3" s="59" t="s">
        <v>1</v>
      </c>
      <c r="F3" s="60" t="s">
        <v>14</v>
      </c>
      <c r="G3" s="55" t="s">
        <v>3</v>
      </c>
      <c r="H3" s="59"/>
      <c r="I3" s="59"/>
      <c r="J3" s="47"/>
      <c r="K3" s="55" t="s">
        <v>4</v>
      </c>
      <c r="L3" s="59"/>
      <c r="M3" s="59"/>
      <c r="N3" s="47"/>
      <c r="O3" s="55" t="s">
        <v>5</v>
      </c>
      <c r="P3" s="59"/>
      <c r="Q3" s="59"/>
      <c r="R3" s="47"/>
      <c r="S3" s="62" t="s">
        <v>11</v>
      </c>
      <c r="T3" s="59" t="s">
        <v>7</v>
      </c>
      <c r="U3" s="47" t="s">
        <v>6</v>
      </c>
    </row>
    <row r="4" spans="1:21" s="1" customFormat="1" ht="23.25" customHeight="1" thickBot="1" x14ac:dyDescent="0.25">
      <c r="A4" s="56"/>
      <c r="B4" s="58"/>
      <c r="C4" s="58"/>
      <c r="D4" s="58"/>
      <c r="E4" s="58"/>
      <c r="F4" s="61"/>
      <c r="G4" s="12">
        <v>1</v>
      </c>
      <c r="H4" s="13">
        <v>2</v>
      </c>
      <c r="I4" s="13">
        <v>3</v>
      </c>
      <c r="J4" s="14" t="s">
        <v>8</v>
      </c>
      <c r="K4" s="12">
        <v>1</v>
      </c>
      <c r="L4" s="13">
        <v>2</v>
      </c>
      <c r="M4" s="13">
        <v>3</v>
      </c>
      <c r="N4" s="14" t="s">
        <v>8</v>
      </c>
      <c r="O4" s="12">
        <v>1</v>
      </c>
      <c r="P4" s="13">
        <v>2</v>
      </c>
      <c r="Q4" s="13">
        <v>3</v>
      </c>
      <c r="R4" s="14" t="s">
        <v>8</v>
      </c>
      <c r="S4" s="63"/>
      <c r="T4" s="58"/>
      <c r="U4" s="48"/>
    </row>
    <row r="5" spans="1:21" s="5" customFormat="1" ht="15" x14ac:dyDescent="0.2">
      <c r="A5" s="64" t="s">
        <v>133</v>
      </c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4"/>
    </row>
    <row r="6" spans="1:21" s="5" customFormat="1" x14ac:dyDescent="0.2">
      <c r="A6" s="15" t="s">
        <v>135</v>
      </c>
      <c r="B6" s="16" t="s">
        <v>136</v>
      </c>
      <c r="C6" s="16" t="s">
        <v>137</v>
      </c>
      <c r="D6" s="16" t="str">
        <f>"0,7336"</f>
        <v>0,7336</v>
      </c>
      <c r="E6" s="15" t="s">
        <v>20</v>
      </c>
      <c r="F6" s="15" t="s">
        <v>30</v>
      </c>
      <c r="G6" s="16" t="s">
        <v>92</v>
      </c>
      <c r="H6" s="16" t="s">
        <v>115</v>
      </c>
      <c r="I6" s="16" t="s">
        <v>117</v>
      </c>
      <c r="J6" s="17"/>
      <c r="K6" s="16" t="s">
        <v>93</v>
      </c>
      <c r="L6" s="16" t="s">
        <v>95</v>
      </c>
      <c r="M6" s="17" t="s">
        <v>138</v>
      </c>
      <c r="N6" s="17"/>
      <c r="O6" s="16" t="s">
        <v>117</v>
      </c>
      <c r="P6" s="16" t="s">
        <v>139</v>
      </c>
      <c r="Q6" s="16" t="s">
        <v>22</v>
      </c>
      <c r="R6" s="17"/>
      <c r="S6" s="15" t="str">
        <f>"420,0"</f>
        <v>420,0</v>
      </c>
      <c r="T6" s="16" t="str">
        <f>"310,8850"</f>
        <v>310,8850</v>
      </c>
      <c r="U6" s="15"/>
    </row>
    <row r="7" spans="1:21" s="5" customFormat="1" x14ac:dyDescent="0.2">
      <c r="A7" s="4"/>
      <c r="E7" s="4"/>
      <c r="F7" s="4"/>
      <c r="S7" s="4"/>
      <c r="U7" s="4"/>
    </row>
    <row r="8" spans="1:21" ht="15" x14ac:dyDescent="0.2">
      <c r="A8" s="72" t="s">
        <v>15</v>
      </c>
      <c r="B8" s="73"/>
      <c r="C8" s="73"/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  <c r="R8" s="73"/>
      <c r="S8" s="73"/>
      <c r="T8" s="73"/>
    </row>
    <row r="9" spans="1:21" x14ac:dyDescent="0.2">
      <c r="A9" s="15" t="s">
        <v>141</v>
      </c>
      <c r="B9" s="16" t="s">
        <v>142</v>
      </c>
      <c r="C9" s="16" t="s">
        <v>143</v>
      </c>
      <c r="D9" s="16" t="str">
        <f>"0,6823"</f>
        <v>0,6823</v>
      </c>
      <c r="E9" s="15" t="s">
        <v>20</v>
      </c>
      <c r="F9" s="15" t="s">
        <v>30</v>
      </c>
      <c r="G9" s="16" t="s">
        <v>102</v>
      </c>
      <c r="H9" s="16" t="s">
        <v>103</v>
      </c>
      <c r="I9" s="16" t="s">
        <v>22</v>
      </c>
      <c r="J9" s="17"/>
      <c r="K9" s="16" t="s">
        <v>144</v>
      </c>
      <c r="L9" s="16" t="s">
        <v>83</v>
      </c>
      <c r="M9" s="16" t="s">
        <v>145</v>
      </c>
      <c r="N9" s="17"/>
      <c r="O9" s="16" t="s">
        <v>102</v>
      </c>
      <c r="P9" s="16" t="s">
        <v>146</v>
      </c>
      <c r="Q9" s="16" t="s">
        <v>22</v>
      </c>
      <c r="R9" s="17"/>
      <c r="S9" s="15" t="str">
        <f>"425,0"</f>
        <v>425,0</v>
      </c>
      <c r="T9" s="16" t="s">
        <v>676</v>
      </c>
      <c r="U9" s="15"/>
    </row>
    <row r="11" spans="1:21" ht="15" x14ac:dyDescent="0.2">
      <c r="A11" s="72" t="s">
        <v>25</v>
      </c>
      <c r="B11" s="73"/>
      <c r="C11" s="73"/>
      <c r="D11" s="73"/>
      <c r="E11" s="73"/>
      <c r="F11" s="73"/>
      <c r="G11" s="73"/>
      <c r="H11" s="73"/>
      <c r="I11" s="73"/>
      <c r="J11" s="73"/>
      <c r="K11" s="73"/>
      <c r="L11" s="73"/>
      <c r="M11" s="73"/>
      <c r="N11" s="73"/>
      <c r="O11" s="73"/>
      <c r="P11" s="73"/>
      <c r="Q11" s="73"/>
      <c r="R11" s="73"/>
      <c r="S11" s="73"/>
      <c r="T11" s="73"/>
    </row>
    <row r="12" spans="1:21" x14ac:dyDescent="0.2">
      <c r="A12" s="15" t="s">
        <v>148</v>
      </c>
      <c r="B12" s="16" t="s">
        <v>149</v>
      </c>
      <c r="C12" s="16" t="s">
        <v>150</v>
      </c>
      <c r="D12" s="16" t="str">
        <f>"0,5548"</f>
        <v>0,5548</v>
      </c>
      <c r="E12" s="15" t="s">
        <v>20</v>
      </c>
      <c r="F12" s="15" t="s">
        <v>151</v>
      </c>
      <c r="G12" s="17" t="s">
        <v>115</v>
      </c>
      <c r="H12" s="17" t="s">
        <v>115</v>
      </c>
      <c r="I12" s="16" t="s">
        <v>115</v>
      </c>
      <c r="J12" s="17"/>
      <c r="K12" s="17" t="s">
        <v>144</v>
      </c>
      <c r="L12" s="16" t="s">
        <v>144</v>
      </c>
      <c r="M12" s="16" t="s">
        <v>93</v>
      </c>
      <c r="N12" s="17"/>
      <c r="O12" s="16" t="s">
        <v>152</v>
      </c>
      <c r="P12" s="17"/>
      <c r="Q12" s="17"/>
      <c r="R12" s="17"/>
      <c r="S12" s="15" t="str">
        <f>"405,0"</f>
        <v>405,0</v>
      </c>
      <c r="T12" s="16" t="str">
        <f>"456,1288"</f>
        <v>456,1288</v>
      </c>
      <c r="U12" s="15"/>
    </row>
    <row r="14" spans="1:21" ht="15" x14ac:dyDescent="0.2">
      <c r="E14" s="27" t="s">
        <v>53</v>
      </c>
    </row>
    <row r="15" spans="1:21" ht="15" x14ac:dyDescent="0.2">
      <c r="E15" s="27" t="s">
        <v>54</v>
      </c>
    </row>
    <row r="16" spans="1:21" ht="15" x14ac:dyDescent="0.2">
      <c r="E16" s="27" t="s">
        <v>55</v>
      </c>
    </row>
    <row r="17" spans="1:5" x14ac:dyDescent="0.2">
      <c r="E17" s="4" t="s">
        <v>56</v>
      </c>
    </row>
    <row r="18" spans="1:5" x14ac:dyDescent="0.2">
      <c r="E18" s="4" t="s">
        <v>57</v>
      </c>
    </row>
    <row r="19" spans="1:5" x14ac:dyDescent="0.2">
      <c r="E19" s="4" t="s">
        <v>58</v>
      </c>
    </row>
    <row r="22" spans="1:5" ht="18" x14ac:dyDescent="0.25">
      <c r="A22" s="28" t="s">
        <v>59</v>
      </c>
      <c r="B22" s="29"/>
    </row>
    <row r="23" spans="1:5" ht="15" x14ac:dyDescent="0.2">
      <c r="A23" s="30" t="s">
        <v>118</v>
      </c>
      <c r="B23" s="31"/>
    </row>
    <row r="24" spans="1:5" ht="14.25" x14ac:dyDescent="0.2">
      <c r="A24" s="33"/>
      <c r="B24" s="34" t="s">
        <v>71</v>
      </c>
    </row>
    <row r="25" spans="1:5" ht="15" x14ac:dyDescent="0.2">
      <c r="A25" s="35" t="s">
        <v>0</v>
      </c>
      <c r="B25" s="35" t="s">
        <v>62</v>
      </c>
      <c r="C25" s="35" t="s">
        <v>63</v>
      </c>
      <c r="D25" s="35" t="s">
        <v>64</v>
      </c>
      <c r="E25" s="35" t="s">
        <v>13</v>
      </c>
    </row>
    <row r="26" spans="1:5" x14ac:dyDescent="0.2">
      <c r="A26" s="32" t="s">
        <v>134</v>
      </c>
      <c r="B26" s="5" t="s">
        <v>130</v>
      </c>
      <c r="C26" s="5" t="s">
        <v>153</v>
      </c>
      <c r="D26" s="5" t="s">
        <v>154</v>
      </c>
      <c r="E26" s="36" t="s">
        <v>155</v>
      </c>
    </row>
    <row r="27" spans="1:5" x14ac:dyDescent="0.2">
      <c r="A27" s="32" t="s">
        <v>140</v>
      </c>
      <c r="B27" s="5" t="s">
        <v>156</v>
      </c>
      <c r="C27" s="5" t="s">
        <v>73</v>
      </c>
      <c r="D27" s="5" t="s">
        <v>157</v>
      </c>
      <c r="E27" s="36" t="s">
        <v>158</v>
      </c>
    </row>
    <row r="30" spans="1:5" ht="15" x14ac:dyDescent="0.2">
      <c r="A30" s="30" t="s">
        <v>60</v>
      </c>
      <c r="B30" s="31"/>
    </row>
    <row r="31" spans="1:5" ht="14.25" x14ac:dyDescent="0.2">
      <c r="A31" s="33"/>
      <c r="B31" s="34" t="s">
        <v>71</v>
      </c>
    </row>
    <row r="32" spans="1:5" ht="15" x14ac:dyDescent="0.2">
      <c r="A32" s="35" t="s">
        <v>0</v>
      </c>
      <c r="B32" s="35" t="s">
        <v>62</v>
      </c>
      <c r="C32" s="35" t="s">
        <v>63</v>
      </c>
      <c r="D32" s="35" t="s">
        <v>64</v>
      </c>
      <c r="E32" s="35" t="s">
        <v>13</v>
      </c>
    </row>
    <row r="33" spans="1:5" x14ac:dyDescent="0.2">
      <c r="A33" s="32" t="s">
        <v>147</v>
      </c>
      <c r="B33" s="5" t="s">
        <v>159</v>
      </c>
      <c r="C33" s="5" t="s">
        <v>65</v>
      </c>
      <c r="D33" s="5" t="s">
        <v>160</v>
      </c>
      <c r="E33" s="36" t="s">
        <v>161</v>
      </c>
    </row>
  </sheetData>
  <mergeCells count="16">
    <mergeCell ref="A11:T11"/>
    <mergeCell ref="A1:U2"/>
    <mergeCell ref="A3:A4"/>
    <mergeCell ref="B3:B4"/>
    <mergeCell ref="C3:C4"/>
    <mergeCell ref="D3:D4"/>
    <mergeCell ref="E3:E4"/>
    <mergeCell ref="F3:F4"/>
    <mergeCell ref="G3:J3"/>
    <mergeCell ref="K3:N3"/>
    <mergeCell ref="O3:R3"/>
    <mergeCell ref="S3:S4"/>
    <mergeCell ref="T3:T4"/>
    <mergeCell ref="U3:U4"/>
    <mergeCell ref="A5:T5"/>
    <mergeCell ref="A8:T8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workbookViewId="0">
      <selection activeCell="K26" sqref="K26"/>
    </sheetView>
  </sheetViews>
  <sheetFormatPr defaultColWidth="9.140625" defaultRowHeight="12.75" x14ac:dyDescent="0.2"/>
  <cols>
    <col min="1" max="1" width="24.85546875" style="4" bestFit="1" customWidth="1"/>
    <col min="2" max="2" width="14.28515625" style="5" bestFit="1" customWidth="1"/>
    <col min="3" max="3" width="7.5703125" style="5" bestFit="1" customWidth="1"/>
    <col min="4" max="4" width="7.28515625" style="5" customWidth="1"/>
    <col min="5" max="5" width="17" style="4" bestFit="1" customWidth="1"/>
    <col min="6" max="6" width="13.85546875" style="4" bestFit="1" customWidth="1"/>
    <col min="7" max="9" width="2.140625" style="5" bestFit="1" customWidth="1"/>
    <col min="10" max="10" width="4.7109375" style="5" bestFit="1" customWidth="1"/>
    <col min="11" max="11" width="5.7109375" style="4" bestFit="1" customWidth="1"/>
    <col min="12" max="12" width="4.140625" style="5" bestFit="1" customWidth="1"/>
    <col min="13" max="13" width="7.140625" style="4" bestFit="1" customWidth="1"/>
    <col min="14" max="16384" width="9.140625" style="3"/>
  </cols>
  <sheetData>
    <row r="1" spans="1:13" s="2" customFormat="1" ht="28.9" customHeight="1" x14ac:dyDescent="0.2">
      <c r="A1" s="66" t="s">
        <v>132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8"/>
    </row>
    <row r="2" spans="1:13" s="2" customFormat="1" ht="61.9" customHeight="1" thickBot="1" x14ac:dyDescent="0.25">
      <c r="A2" s="69"/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1"/>
    </row>
    <row r="3" spans="1:13" s="1" customFormat="1" ht="12.75" customHeight="1" x14ac:dyDescent="0.2">
      <c r="A3" s="55" t="s">
        <v>0</v>
      </c>
      <c r="B3" s="57" t="s">
        <v>12</v>
      </c>
      <c r="C3" s="57" t="s">
        <v>9</v>
      </c>
      <c r="D3" s="59"/>
      <c r="E3" s="59" t="s">
        <v>1</v>
      </c>
      <c r="F3" s="60" t="s">
        <v>14</v>
      </c>
      <c r="G3" s="55" t="s">
        <v>4</v>
      </c>
      <c r="H3" s="59"/>
      <c r="I3" s="59"/>
      <c r="J3" s="47"/>
      <c r="K3" s="62" t="s">
        <v>75</v>
      </c>
      <c r="L3" s="59" t="s">
        <v>7</v>
      </c>
      <c r="M3" s="47" t="s">
        <v>6</v>
      </c>
    </row>
    <row r="4" spans="1:13" s="1" customFormat="1" ht="23.25" customHeight="1" thickBot="1" x14ac:dyDescent="0.25">
      <c r="A4" s="56"/>
      <c r="B4" s="58"/>
      <c r="C4" s="58"/>
      <c r="D4" s="58"/>
      <c r="E4" s="58"/>
      <c r="F4" s="61"/>
      <c r="G4" s="12">
        <v>1</v>
      </c>
      <c r="H4" s="13">
        <v>2</v>
      </c>
      <c r="I4" s="13">
        <v>3</v>
      </c>
      <c r="J4" s="14" t="s">
        <v>8</v>
      </c>
      <c r="K4" s="63"/>
      <c r="L4" s="58"/>
      <c r="M4" s="48"/>
    </row>
    <row r="5" spans="1:13" s="5" customFormat="1" x14ac:dyDescent="0.2">
      <c r="A5" s="4"/>
      <c r="E5" s="4"/>
      <c r="F5" s="4"/>
      <c r="K5" s="4"/>
      <c r="M5" s="4"/>
    </row>
    <row r="6" spans="1:13" s="5" customFormat="1" ht="15" x14ac:dyDescent="0.2">
      <c r="A6" s="4"/>
      <c r="E6" s="27" t="s">
        <v>53</v>
      </c>
      <c r="F6" s="4"/>
      <c r="K6" s="4"/>
      <c r="M6" s="4"/>
    </row>
    <row r="7" spans="1:13" s="5" customFormat="1" ht="15" x14ac:dyDescent="0.2">
      <c r="A7" s="4"/>
      <c r="E7" s="27" t="s">
        <v>54</v>
      </c>
      <c r="F7" s="4"/>
      <c r="K7" s="4"/>
      <c r="M7" s="4"/>
    </row>
    <row r="8" spans="1:13" ht="15" x14ac:dyDescent="0.2">
      <c r="E8" s="27" t="s">
        <v>55</v>
      </c>
    </row>
    <row r="9" spans="1:13" x14ac:dyDescent="0.2">
      <c r="E9" s="4" t="s">
        <v>56</v>
      </c>
    </row>
    <row r="10" spans="1:13" x14ac:dyDescent="0.2">
      <c r="E10" s="4" t="s">
        <v>57</v>
      </c>
    </row>
    <row r="11" spans="1:13" x14ac:dyDescent="0.2">
      <c r="E11" s="4" t="s">
        <v>58</v>
      </c>
    </row>
    <row r="14" spans="1:13" ht="18" x14ac:dyDescent="0.25">
      <c r="A14" s="28" t="s">
        <v>59</v>
      </c>
      <c r="B14" s="29"/>
    </row>
  </sheetData>
  <mergeCells count="11">
    <mergeCell ref="K3:K4"/>
    <mergeCell ref="L3:L4"/>
    <mergeCell ref="M3:M4"/>
    <mergeCell ref="A1:M2"/>
    <mergeCell ref="A3:A4"/>
    <mergeCell ref="B3:B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workbookViewId="0">
      <selection activeCell="G3" sqref="G3:J3"/>
    </sheetView>
  </sheetViews>
  <sheetFormatPr defaultColWidth="9.140625" defaultRowHeight="12.75" x14ac:dyDescent="0.2"/>
  <cols>
    <col min="1" max="1" width="24.85546875" style="4" bestFit="1" customWidth="1"/>
    <col min="2" max="2" width="26.5703125" style="5" bestFit="1" customWidth="1"/>
    <col min="3" max="3" width="7.5703125" style="5" bestFit="1" customWidth="1"/>
    <col min="4" max="4" width="8.7109375" style="5" bestFit="1" customWidth="1"/>
    <col min="5" max="5" width="17" style="4" bestFit="1" customWidth="1"/>
    <col min="6" max="6" width="19.140625" style="4" bestFit="1" customWidth="1"/>
    <col min="7" max="10" width="5.5703125" style="5" bestFit="1" customWidth="1"/>
    <col min="11" max="11" width="5.7109375" style="4" bestFit="1" customWidth="1"/>
    <col min="12" max="12" width="8.5703125" style="5" bestFit="1" customWidth="1"/>
    <col min="13" max="13" width="7.140625" style="4" bestFit="1" customWidth="1"/>
    <col min="14" max="16384" width="9.140625" style="3"/>
  </cols>
  <sheetData>
    <row r="1" spans="1:13" s="2" customFormat="1" ht="28.9" customHeight="1" x14ac:dyDescent="0.2">
      <c r="A1" s="66" t="s">
        <v>659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8"/>
    </row>
    <row r="2" spans="1:13" s="2" customFormat="1" ht="61.9" customHeight="1" thickBot="1" x14ac:dyDescent="0.25">
      <c r="A2" s="69"/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1"/>
    </row>
    <row r="3" spans="1:13" s="1" customFormat="1" ht="12.75" customHeight="1" x14ac:dyDescent="0.2">
      <c r="A3" s="55" t="s">
        <v>0</v>
      </c>
      <c r="B3" s="57" t="s">
        <v>12</v>
      </c>
      <c r="C3" s="57" t="s">
        <v>9</v>
      </c>
      <c r="D3" s="59" t="s">
        <v>13</v>
      </c>
      <c r="E3" s="59" t="s">
        <v>1</v>
      </c>
      <c r="F3" s="60" t="s">
        <v>14</v>
      </c>
      <c r="G3" s="55" t="s">
        <v>4</v>
      </c>
      <c r="H3" s="59"/>
      <c r="I3" s="59"/>
      <c r="J3" s="47"/>
      <c r="K3" s="62" t="s">
        <v>75</v>
      </c>
      <c r="L3" s="59" t="s">
        <v>7</v>
      </c>
      <c r="M3" s="47" t="s">
        <v>6</v>
      </c>
    </row>
    <row r="4" spans="1:13" s="1" customFormat="1" ht="23.25" customHeight="1" thickBot="1" x14ac:dyDescent="0.25">
      <c r="A4" s="56"/>
      <c r="B4" s="58"/>
      <c r="C4" s="58"/>
      <c r="D4" s="58"/>
      <c r="E4" s="58"/>
      <c r="F4" s="61"/>
      <c r="G4" s="12">
        <v>1</v>
      </c>
      <c r="H4" s="13">
        <v>2</v>
      </c>
      <c r="I4" s="13">
        <v>3</v>
      </c>
      <c r="J4" s="14" t="s">
        <v>8</v>
      </c>
      <c r="K4" s="63"/>
      <c r="L4" s="58"/>
      <c r="M4" s="48"/>
    </row>
    <row r="5" spans="1:13" s="5" customFormat="1" ht="15" x14ac:dyDescent="0.2">
      <c r="A5" s="64" t="s">
        <v>15</v>
      </c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4"/>
    </row>
    <row r="6" spans="1:13" s="5" customFormat="1" x14ac:dyDescent="0.2">
      <c r="A6" s="21" t="s">
        <v>653</v>
      </c>
      <c r="B6" s="18" t="s">
        <v>654</v>
      </c>
      <c r="C6" s="18" t="s">
        <v>655</v>
      </c>
      <c r="D6" s="18" t="str">
        <f>"0,6214"</f>
        <v>0,6214</v>
      </c>
      <c r="E6" s="21" t="s">
        <v>20</v>
      </c>
      <c r="F6" s="21" t="s">
        <v>364</v>
      </c>
      <c r="G6" s="22" t="s">
        <v>22</v>
      </c>
      <c r="H6" s="22" t="s">
        <v>23</v>
      </c>
      <c r="I6" s="18" t="s">
        <v>23</v>
      </c>
      <c r="J6" s="22" t="s">
        <v>365</v>
      </c>
      <c r="K6" s="21" t="str">
        <f>"180,0"</f>
        <v>180,0</v>
      </c>
      <c r="L6" s="18" t="str">
        <f>"111,8520"</f>
        <v>111,8520</v>
      </c>
      <c r="M6" s="21"/>
    </row>
    <row r="7" spans="1:13" s="5" customFormat="1" x14ac:dyDescent="0.2">
      <c r="A7" s="25" t="s">
        <v>653</v>
      </c>
      <c r="B7" s="20" t="s">
        <v>656</v>
      </c>
      <c r="C7" s="20" t="s">
        <v>655</v>
      </c>
      <c r="D7" s="20" t="str">
        <f>"0,6214"</f>
        <v>0,6214</v>
      </c>
      <c r="E7" s="25" t="s">
        <v>20</v>
      </c>
      <c r="F7" s="25" t="s">
        <v>364</v>
      </c>
      <c r="G7" s="26" t="s">
        <v>22</v>
      </c>
      <c r="H7" s="26" t="s">
        <v>23</v>
      </c>
      <c r="I7" s="20" t="s">
        <v>23</v>
      </c>
      <c r="J7" s="26" t="s">
        <v>365</v>
      </c>
      <c r="K7" s="25" t="str">
        <f>"180,0"</f>
        <v>180,0</v>
      </c>
      <c r="L7" s="20" t="str">
        <f>"171,6928"</f>
        <v>171,6928</v>
      </c>
      <c r="M7" s="25"/>
    </row>
    <row r="9" spans="1:13" ht="15" x14ac:dyDescent="0.2">
      <c r="E9" s="27" t="s">
        <v>53</v>
      </c>
    </row>
    <row r="10" spans="1:13" ht="15" x14ac:dyDescent="0.2">
      <c r="E10" s="27" t="s">
        <v>54</v>
      </c>
    </row>
    <row r="11" spans="1:13" ht="15" x14ac:dyDescent="0.2">
      <c r="E11" s="27" t="s">
        <v>55</v>
      </c>
    </row>
    <row r="12" spans="1:13" x14ac:dyDescent="0.2">
      <c r="E12" s="4" t="s">
        <v>56</v>
      </c>
    </row>
    <row r="13" spans="1:13" x14ac:dyDescent="0.2">
      <c r="E13" s="4" t="s">
        <v>57</v>
      </c>
    </row>
    <row r="14" spans="1:13" x14ac:dyDescent="0.2">
      <c r="E14" s="4" t="s">
        <v>58</v>
      </c>
    </row>
    <row r="17" spans="1:5" ht="18" x14ac:dyDescent="0.25">
      <c r="A17" s="28" t="s">
        <v>59</v>
      </c>
      <c r="B17" s="29"/>
    </row>
    <row r="18" spans="1:5" ht="15" x14ac:dyDescent="0.2">
      <c r="A18" s="30" t="s">
        <v>60</v>
      </c>
      <c r="B18" s="31"/>
    </row>
    <row r="19" spans="1:5" ht="14.25" x14ac:dyDescent="0.2">
      <c r="A19" s="33"/>
      <c r="B19" s="34" t="s">
        <v>61</v>
      </c>
    </row>
    <row r="20" spans="1:5" ht="15" x14ac:dyDescent="0.2">
      <c r="A20" s="35" t="s">
        <v>0</v>
      </c>
      <c r="B20" s="35" t="s">
        <v>62</v>
      </c>
      <c r="C20" s="35" t="s">
        <v>63</v>
      </c>
      <c r="D20" s="35" t="s">
        <v>64</v>
      </c>
      <c r="E20" s="35" t="s">
        <v>13</v>
      </c>
    </row>
    <row r="21" spans="1:5" x14ac:dyDescent="0.2">
      <c r="A21" s="32" t="s">
        <v>652</v>
      </c>
      <c r="B21" s="5" t="s">
        <v>61</v>
      </c>
      <c r="C21" s="5" t="s">
        <v>73</v>
      </c>
      <c r="D21" s="5" t="s">
        <v>23</v>
      </c>
      <c r="E21" s="36" t="s">
        <v>657</v>
      </c>
    </row>
    <row r="23" spans="1:5" ht="14.25" x14ac:dyDescent="0.2">
      <c r="A23" s="33"/>
      <c r="B23" s="34" t="s">
        <v>71</v>
      </c>
    </row>
    <row r="24" spans="1:5" ht="15" x14ac:dyDescent="0.2">
      <c r="A24" s="35" t="s">
        <v>0</v>
      </c>
      <c r="B24" s="35" t="s">
        <v>62</v>
      </c>
      <c r="C24" s="35" t="s">
        <v>63</v>
      </c>
      <c r="D24" s="35" t="s">
        <v>64</v>
      </c>
      <c r="E24" s="35" t="s">
        <v>13</v>
      </c>
    </row>
    <row r="25" spans="1:5" x14ac:dyDescent="0.2">
      <c r="A25" s="32" t="s">
        <v>652</v>
      </c>
      <c r="B25" s="5" t="s">
        <v>125</v>
      </c>
      <c r="C25" s="5" t="s">
        <v>73</v>
      </c>
      <c r="D25" s="5" t="s">
        <v>23</v>
      </c>
      <c r="E25" s="36" t="s">
        <v>658</v>
      </c>
    </row>
  </sheetData>
  <mergeCells count="12">
    <mergeCell ref="K3:K4"/>
    <mergeCell ref="L3:L4"/>
    <mergeCell ref="M3:M4"/>
    <mergeCell ref="A5:L5"/>
    <mergeCell ref="A1:M2"/>
    <mergeCell ref="A3:A4"/>
    <mergeCell ref="B3:B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5"/>
  <sheetViews>
    <sheetView workbookViewId="0">
      <selection activeCell="I6" sqref="I6"/>
    </sheetView>
  </sheetViews>
  <sheetFormatPr defaultColWidth="9.140625" defaultRowHeight="12.75" x14ac:dyDescent="0.2"/>
  <cols>
    <col min="1" max="1" width="24.85546875" style="4" bestFit="1" customWidth="1"/>
    <col min="2" max="2" width="26.5703125" style="5" bestFit="1" customWidth="1"/>
    <col min="3" max="3" width="7.5703125" style="5" bestFit="1" customWidth="1"/>
    <col min="4" max="4" width="8.7109375" style="5" bestFit="1" customWidth="1"/>
    <col min="5" max="5" width="17" style="4" bestFit="1" customWidth="1"/>
    <col min="6" max="6" width="28.5703125" style="4" bestFit="1" customWidth="1"/>
    <col min="7" max="9" width="5.5703125" style="5" bestFit="1" customWidth="1"/>
    <col min="10" max="10" width="4.7109375" style="5" bestFit="1" customWidth="1"/>
    <col min="11" max="11" width="5.7109375" style="4" bestFit="1" customWidth="1"/>
    <col min="12" max="12" width="8.5703125" style="5" bestFit="1" customWidth="1"/>
    <col min="13" max="13" width="9.5703125" style="4" bestFit="1" customWidth="1"/>
    <col min="14" max="16384" width="9.140625" style="3"/>
  </cols>
  <sheetData>
    <row r="1" spans="1:13" s="2" customFormat="1" ht="28.9" customHeight="1" x14ac:dyDescent="0.2">
      <c r="A1" s="66" t="s">
        <v>76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8"/>
    </row>
    <row r="2" spans="1:13" s="2" customFormat="1" ht="61.9" customHeight="1" thickBot="1" x14ac:dyDescent="0.25">
      <c r="A2" s="69"/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1"/>
    </row>
    <row r="3" spans="1:13" s="1" customFormat="1" ht="12.75" customHeight="1" x14ac:dyDescent="0.2">
      <c r="A3" s="55" t="s">
        <v>0</v>
      </c>
      <c r="B3" s="57" t="s">
        <v>12</v>
      </c>
      <c r="C3" s="57" t="s">
        <v>9</v>
      </c>
      <c r="D3" s="59" t="s">
        <v>13</v>
      </c>
      <c r="E3" s="59" t="s">
        <v>1</v>
      </c>
      <c r="F3" s="60" t="s">
        <v>14</v>
      </c>
      <c r="G3" s="55" t="s">
        <v>4</v>
      </c>
      <c r="H3" s="59"/>
      <c r="I3" s="59"/>
      <c r="J3" s="47"/>
      <c r="K3" s="62" t="s">
        <v>75</v>
      </c>
      <c r="L3" s="59" t="s">
        <v>7</v>
      </c>
      <c r="M3" s="47" t="s">
        <v>6</v>
      </c>
    </row>
    <row r="4" spans="1:13" s="1" customFormat="1" ht="23.25" customHeight="1" thickBot="1" x14ac:dyDescent="0.25">
      <c r="A4" s="56"/>
      <c r="B4" s="58"/>
      <c r="C4" s="58"/>
      <c r="D4" s="58"/>
      <c r="E4" s="58"/>
      <c r="F4" s="61"/>
      <c r="G4" s="12">
        <v>1</v>
      </c>
      <c r="H4" s="13">
        <v>2</v>
      </c>
      <c r="I4" s="13">
        <v>3</v>
      </c>
      <c r="J4" s="14" t="s">
        <v>8</v>
      </c>
      <c r="K4" s="63"/>
      <c r="L4" s="58"/>
      <c r="M4" s="48"/>
    </row>
    <row r="5" spans="1:13" s="5" customFormat="1" ht="15" x14ac:dyDescent="0.2">
      <c r="A5" s="64" t="s">
        <v>77</v>
      </c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4"/>
    </row>
    <row r="6" spans="1:13" s="5" customFormat="1" x14ac:dyDescent="0.2">
      <c r="A6" s="15" t="s">
        <v>79</v>
      </c>
      <c r="B6" s="16" t="s">
        <v>80</v>
      </c>
      <c r="C6" s="16" t="s">
        <v>81</v>
      </c>
      <c r="D6" s="16" t="str">
        <f>"0,7898"</f>
        <v>0,7898</v>
      </c>
      <c r="E6" s="15" t="s">
        <v>20</v>
      </c>
      <c r="F6" s="15" t="s">
        <v>82</v>
      </c>
      <c r="G6" s="16" t="s">
        <v>83</v>
      </c>
      <c r="H6" s="16" t="s">
        <v>84</v>
      </c>
      <c r="I6" s="16" t="s">
        <v>85</v>
      </c>
      <c r="J6" s="17"/>
      <c r="K6" s="15" t="str">
        <f>"92,5"</f>
        <v>92,5</v>
      </c>
      <c r="L6" s="16" t="str">
        <f>"73,0565"</f>
        <v>73,0565</v>
      </c>
      <c r="M6" s="15"/>
    </row>
    <row r="7" spans="1:13" s="5" customFormat="1" x14ac:dyDescent="0.2">
      <c r="A7" s="4"/>
      <c r="E7" s="4"/>
      <c r="F7" s="4"/>
      <c r="K7" s="4"/>
      <c r="M7" s="4"/>
    </row>
    <row r="8" spans="1:13" ht="15" x14ac:dyDescent="0.2">
      <c r="A8" s="72" t="s">
        <v>15</v>
      </c>
      <c r="B8" s="73"/>
      <c r="C8" s="73"/>
      <c r="D8" s="73"/>
      <c r="E8" s="73"/>
      <c r="F8" s="73"/>
      <c r="G8" s="73"/>
      <c r="H8" s="73"/>
      <c r="I8" s="73"/>
      <c r="J8" s="73"/>
      <c r="K8" s="73"/>
      <c r="L8" s="73"/>
    </row>
    <row r="9" spans="1:13" x14ac:dyDescent="0.2">
      <c r="A9" s="21" t="s">
        <v>87</v>
      </c>
      <c r="B9" s="18" t="s">
        <v>88</v>
      </c>
      <c r="C9" s="18" t="s">
        <v>89</v>
      </c>
      <c r="D9" s="18" t="str">
        <f>"0,6461"</f>
        <v>0,6461</v>
      </c>
      <c r="E9" s="21" t="s">
        <v>20</v>
      </c>
      <c r="F9" s="21" t="s">
        <v>30</v>
      </c>
      <c r="G9" s="18" t="s">
        <v>90</v>
      </c>
      <c r="H9" s="18" t="s">
        <v>91</v>
      </c>
      <c r="I9" s="22" t="s">
        <v>92</v>
      </c>
      <c r="J9" s="22"/>
      <c r="K9" s="21" t="str">
        <f>"125,0"</f>
        <v>125,0</v>
      </c>
      <c r="L9" s="18" t="str">
        <f>"82,2162"</f>
        <v>82,2162</v>
      </c>
      <c r="M9" s="21"/>
    </row>
    <row r="10" spans="1:13" x14ac:dyDescent="0.2">
      <c r="A10" s="25" t="s">
        <v>17</v>
      </c>
      <c r="B10" s="20" t="s">
        <v>18</v>
      </c>
      <c r="C10" s="20" t="s">
        <v>19</v>
      </c>
      <c r="D10" s="20" t="str">
        <f>"0,6384"</f>
        <v>0,6384</v>
      </c>
      <c r="E10" s="25" t="s">
        <v>20</v>
      </c>
      <c r="F10" s="25" t="s">
        <v>21</v>
      </c>
      <c r="G10" s="20" t="s">
        <v>93</v>
      </c>
      <c r="H10" s="20" t="s">
        <v>94</v>
      </c>
      <c r="I10" s="20" t="s">
        <v>95</v>
      </c>
      <c r="J10" s="26"/>
      <c r="K10" s="25" t="str">
        <f>"100,0"</f>
        <v>100,0</v>
      </c>
      <c r="L10" s="20" t="str">
        <f>"132,9149"</f>
        <v>132,9149</v>
      </c>
      <c r="M10" s="25"/>
    </row>
    <row r="12" spans="1:13" ht="15" x14ac:dyDescent="0.2">
      <c r="A12" s="72" t="s">
        <v>96</v>
      </c>
      <c r="B12" s="73"/>
      <c r="C12" s="73"/>
      <c r="D12" s="73"/>
      <c r="E12" s="73"/>
      <c r="F12" s="73"/>
      <c r="G12" s="73"/>
      <c r="H12" s="73"/>
      <c r="I12" s="73"/>
      <c r="J12" s="73"/>
      <c r="K12" s="73"/>
      <c r="L12" s="73"/>
    </row>
    <row r="13" spans="1:13" x14ac:dyDescent="0.2">
      <c r="A13" s="21" t="s">
        <v>98</v>
      </c>
      <c r="B13" s="18" t="s">
        <v>99</v>
      </c>
      <c r="C13" s="18" t="s">
        <v>100</v>
      </c>
      <c r="D13" s="18" t="str">
        <f>"0,6132"</f>
        <v>0,6132</v>
      </c>
      <c r="E13" s="21" t="s">
        <v>20</v>
      </c>
      <c r="F13" s="21" t="s">
        <v>101</v>
      </c>
      <c r="G13" s="18" t="s">
        <v>102</v>
      </c>
      <c r="H13" s="18" t="s">
        <v>103</v>
      </c>
      <c r="I13" s="22" t="s">
        <v>22</v>
      </c>
      <c r="J13" s="22"/>
      <c r="K13" s="21" t="str">
        <f>"165,0"</f>
        <v>165,0</v>
      </c>
      <c r="L13" s="18" t="str">
        <f>"101,1780"</f>
        <v>101,1780</v>
      </c>
      <c r="M13" s="21"/>
    </row>
    <row r="14" spans="1:13" x14ac:dyDescent="0.2">
      <c r="A14" s="25" t="s">
        <v>105</v>
      </c>
      <c r="B14" s="20" t="s">
        <v>106</v>
      </c>
      <c r="C14" s="20" t="s">
        <v>107</v>
      </c>
      <c r="D14" s="20" t="str">
        <f>"0,5986"</f>
        <v>0,5986</v>
      </c>
      <c r="E14" s="25" t="s">
        <v>20</v>
      </c>
      <c r="F14" s="25" t="s">
        <v>108</v>
      </c>
      <c r="G14" s="20" t="s">
        <v>90</v>
      </c>
      <c r="H14" s="20" t="s">
        <v>91</v>
      </c>
      <c r="I14" s="20" t="s">
        <v>92</v>
      </c>
      <c r="J14" s="26"/>
      <c r="K14" s="25" t="str">
        <f>"130,0"</f>
        <v>130,0</v>
      </c>
      <c r="L14" s="20" t="str">
        <f>"111,2797"</f>
        <v>111,2797</v>
      </c>
      <c r="M14" s="25" t="s">
        <v>109</v>
      </c>
    </row>
    <row r="16" spans="1:13" ht="15" x14ac:dyDescent="0.2">
      <c r="A16" s="72" t="s">
        <v>110</v>
      </c>
      <c r="B16" s="73"/>
      <c r="C16" s="73"/>
      <c r="D16" s="73"/>
      <c r="E16" s="73"/>
      <c r="F16" s="73"/>
      <c r="G16" s="73"/>
      <c r="H16" s="73"/>
      <c r="I16" s="73"/>
      <c r="J16" s="73"/>
      <c r="K16" s="73"/>
      <c r="L16" s="73"/>
    </row>
    <row r="17" spans="1:13" x14ac:dyDescent="0.2">
      <c r="A17" s="15" t="s">
        <v>112</v>
      </c>
      <c r="B17" s="16" t="s">
        <v>113</v>
      </c>
      <c r="C17" s="16" t="s">
        <v>114</v>
      </c>
      <c r="D17" s="16" t="str">
        <f>"0,5181"</f>
        <v>0,5181</v>
      </c>
      <c r="E17" s="15" t="s">
        <v>20</v>
      </c>
      <c r="F17" s="15" t="s">
        <v>108</v>
      </c>
      <c r="G17" s="16" t="s">
        <v>115</v>
      </c>
      <c r="H17" s="16" t="s">
        <v>116</v>
      </c>
      <c r="I17" s="16" t="s">
        <v>117</v>
      </c>
      <c r="J17" s="17"/>
      <c r="K17" s="15" t="str">
        <f>"150,0"</f>
        <v>150,0</v>
      </c>
      <c r="L17" s="16" t="str">
        <f>"91,1597"</f>
        <v>91,1597</v>
      </c>
      <c r="M17" s="15"/>
    </row>
    <row r="19" spans="1:13" ht="15" x14ac:dyDescent="0.2">
      <c r="E19" s="27" t="s">
        <v>53</v>
      </c>
    </row>
    <row r="20" spans="1:13" ht="15" x14ac:dyDescent="0.2">
      <c r="E20" s="27" t="s">
        <v>54</v>
      </c>
    </row>
    <row r="21" spans="1:13" ht="15" x14ac:dyDescent="0.2">
      <c r="E21" s="27" t="s">
        <v>55</v>
      </c>
    </row>
    <row r="22" spans="1:13" x14ac:dyDescent="0.2">
      <c r="E22" s="4" t="s">
        <v>56</v>
      </c>
    </row>
    <row r="23" spans="1:13" x14ac:dyDescent="0.2">
      <c r="E23" s="4" t="s">
        <v>57</v>
      </c>
    </row>
    <row r="24" spans="1:13" x14ac:dyDescent="0.2">
      <c r="E24" s="4" t="s">
        <v>58</v>
      </c>
    </row>
    <row r="27" spans="1:13" ht="18" x14ac:dyDescent="0.25">
      <c r="A27" s="28" t="s">
        <v>59</v>
      </c>
      <c r="B27" s="29"/>
    </row>
    <row r="28" spans="1:13" ht="15" x14ac:dyDescent="0.2">
      <c r="A28" s="30" t="s">
        <v>118</v>
      </c>
      <c r="B28" s="31"/>
    </row>
    <row r="29" spans="1:13" ht="14.25" x14ac:dyDescent="0.2">
      <c r="A29" s="33"/>
      <c r="B29" s="34" t="s">
        <v>61</v>
      </c>
    </row>
    <row r="30" spans="1:13" ht="15" x14ac:dyDescent="0.2">
      <c r="A30" s="35" t="s">
        <v>0</v>
      </c>
      <c r="B30" s="35" t="s">
        <v>62</v>
      </c>
      <c r="C30" s="35" t="s">
        <v>63</v>
      </c>
      <c r="D30" s="35" t="s">
        <v>64</v>
      </c>
      <c r="E30" s="35" t="s">
        <v>13</v>
      </c>
    </row>
    <row r="31" spans="1:13" x14ac:dyDescent="0.2">
      <c r="A31" s="32" t="s">
        <v>78</v>
      </c>
      <c r="B31" s="5" t="s">
        <v>61</v>
      </c>
      <c r="C31" s="5" t="s">
        <v>119</v>
      </c>
      <c r="D31" s="5" t="s">
        <v>85</v>
      </c>
      <c r="E31" s="36" t="s">
        <v>120</v>
      </c>
    </row>
    <row r="34" spans="1:5" ht="15" x14ac:dyDescent="0.2">
      <c r="A34" s="30" t="s">
        <v>60</v>
      </c>
      <c r="B34" s="31"/>
    </row>
    <row r="35" spans="1:5" ht="14.25" x14ac:dyDescent="0.2">
      <c r="A35" s="33"/>
      <c r="B35" s="34" t="s">
        <v>61</v>
      </c>
    </row>
    <row r="36" spans="1:5" ht="15" x14ac:dyDescent="0.2">
      <c r="A36" s="35" t="s">
        <v>0</v>
      </c>
      <c r="B36" s="35" t="s">
        <v>62</v>
      </c>
      <c r="C36" s="35" t="s">
        <v>63</v>
      </c>
      <c r="D36" s="35" t="s">
        <v>64</v>
      </c>
      <c r="E36" s="35" t="s">
        <v>13</v>
      </c>
    </row>
    <row r="37" spans="1:5" x14ac:dyDescent="0.2">
      <c r="A37" s="32" t="s">
        <v>97</v>
      </c>
      <c r="B37" s="5" t="s">
        <v>61</v>
      </c>
      <c r="C37" s="5" t="s">
        <v>121</v>
      </c>
      <c r="D37" s="5" t="s">
        <v>103</v>
      </c>
      <c r="E37" s="36" t="s">
        <v>122</v>
      </c>
    </row>
    <row r="38" spans="1:5" x14ac:dyDescent="0.2">
      <c r="A38" s="32" t="s">
        <v>47</v>
      </c>
      <c r="B38" s="5" t="s">
        <v>61</v>
      </c>
      <c r="C38" s="5" t="s">
        <v>69</v>
      </c>
      <c r="D38" s="5" t="s">
        <v>22</v>
      </c>
      <c r="E38" s="36" t="s">
        <v>123</v>
      </c>
    </row>
    <row r="40" spans="1:5" ht="14.25" x14ac:dyDescent="0.2">
      <c r="A40" s="33"/>
      <c r="B40" s="34" t="s">
        <v>71</v>
      </c>
    </row>
    <row r="41" spans="1:5" ht="15" x14ac:dyDescent="0.2">
      <c r="A41" s="35" t="s">
        <v>0</v>
      </c>
      <c r="B41" s="35" t="s">
        <v>62</v>
      </c>
      <c r="C41" s="35" t="s">
        <v>63</v>
      </c>
      <c r="D41" s="35" t="s">
        <v>64</v>
      </c>
      <c r="E41" s="35" t="s">
        <v>13</v>
      </c>
    </row>
    <row r="42" spans="1:5" x14ac:dyDescent="0.2">
      <c r="A42" s="32" t="s">
        <v>16</v>
      </c>
      <c r="B42" s="5" t="s">
        <v>72</v>
      </c>
      <c r="C42" s="5" t="s">
        <v>73</v>
      </c>
      <c r="D42" s="5" t="s">
        <v>95</v>
      </c>
      <c r="E42" s="36" t="s">
        <v>124</v>
      </c>
    </row>
    <row r="43" spans="1:5" x14ac:dyDescent="0.2">
      <c r="A43" s="32" t="s">
        <v>104</v>
      </c>
      <c r="B43" s="5" t="s">
        <v>125</v>
      </c>
      <c r="C43" s="5" t="s">
        <v>121</v>
      </c>
      <c r="D43" s="5" t="s">
        <v>92</v>
      </c>
      <c r="E43" s="36" t="s">
        <v>126</v>
      </c>
    </row>
    <row r="44" spans="1:5" x14ac:dyDescent="0.2">
      <c r="A44" s="32" t="s">
        <v>111</v>
      </c>
      <c r="B44" s="5" t="s">
        <v>127</v>
      </c>
      <c r="C44" s="5" t="s">
        <v>128</v>
      </c>
      <c r="D44" s="5" t="s">
        <v>117</v>
      </c>
      <c r="E44" s="36" t="s">
        <v>129</v>
      </c>
    </row>
    <row r="45" spans="1:5" x14ac:dyDescent="0.2">
      <c r="A45" s="32" t="s">
        <v>86</v>
      </c>
      <c r="B45" s="5" t="s">
        <v>130</v>
      </c>
      <c r="C45" s="5" t="s">
        <v>73</v>
      </c>
      <c r="D45" s="5" t="s">
        <v>91</v>
      </c>
      <c r="E45" s="36" t="s">
        <v>131</v>
      </c>
    </row>
  </sheetData>
  <mergeCells count="15">
    <mergeCell ref="A1:M2"/>
    <mergeCell ref="A3:A4"/>
    <mergeCell ref="B3:B4"/>
    <mergeCell ref="C3:C4"/>
    <mergeCell ref="D3:D4"/>
    <mergeCell ref="E3:E4"/>
    <mergeCell ref="F3:F4"/>
    <mergeCell ref="G3:J3"/>
    <mergeCell ref="A16:L16"/>
    <mergeCell ref="K3:K4"/>
    <mergeCell ref="L3:L4"/>
    <mergeCell ref="M3:M4"/>
    <mergeCell ref="A5:L5"/>
    <mergeCell ref="A8:L8"/>
    <mergeCell ref="A12:L12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M35"/>
  <sheetViews>
    <sheetView zoomScaleNormal="100" workbookViewId="0">
      <selection activeCell="L22" sqref="L22"/>
    </sheetView>
  </sheetViews>
  <sheetFormatPr defaultColWidth="9.140625" defaultRowHeight="12.75" x14ac:dyDescent="0.2"/>
  <cols>
    <col min="1" max="1" width="24.85546875" style="4" bestFit="1" customWidth="1"/>
    <col min="2" max="2" width="26.5703125" style="5" bestFit="1" customWidth="1"/>
    <col min="3" max="3" width="7.5703125" style="5" bestFit="1" customWidth="1"/>
    <col min="4" max="4" width="8.7109375" style="5" bestFit="1" customWidth="1"/>
    <col min="5" max="5" width="17" style="4" bestFit="1" customWidth="1"/>
    <col min="6" max="6" width="28.28515625" style="4" bestFit="1" customWidth="1"/>
    <col min="7" max="9" width="5.5703125" style="5" bestFit="1" customWidth="1"/>
    <col min="10" max="10" width="4.7109375" style="5" bestFit="1" customWidth="1"/>
    <col min="11" max="11" width="5.7109375" style="4" bestFit="1" customWidth="1"/>
    <col min="12" max="12" width="8.5703125" style="5" bestFit="1" customWidth="1"/>
    <col min="13" max="13" width="7.140625" style="4" bestFit="1" customWidth="1"/>
    <col min="14" max="16384" width="9.140625" style="3"/>
  </cols>
  <sheetData>
    <row r="1" spans="1:13" s="2" customFormat="1" ht="28.9" customHeight="1" x14ac:dyDescent="0.2">
      <c r="A1" s="66" t="s">
        <v>675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8"/>
    </row>
    <row r="2" spans="1:13" s="2" customFormat="1" ht="61.9" customHeight="1" thickBot="1" x14ac:dyDescent="0.25">
      <c r="A2" s="69"/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1"/>
    </row>
    <row r="3" spans="1:13" s="1" customFormat="1" ht="12.75" customHeight="1" x14ac:dyDescent="0.2">
      <c r="A3" s="55" t="s">
        <v>0</v>
      </c>
      <c r="B3" s="57" t="s">
        <v>12</v>
      </c>
      <c r="C3" s="57" t="s">
        <v>9</v>
      </c>
      <c r="D3" s="59" t="s">
        <v>13</v>
      </c>
      <c r="E3" s="59" t="s">
        <v>1</v>
      </c>
      <c r="F3" s="60" t="s">
        <v>14</v>
      </c>
      <c r="G3" s="55" t="s">
        <v>5</v>
      </c>
      <c r="H3" s="59"/>
      <c r="I3" s="59"/>
      <c r="J3" s="47"/>
      <c r="K3" s="62" t="s">
        <v>75</v>
      </c>
      <c r="L3" s="59" t="s">
        <v>7</v>
      </c>
      <c r="M3" s="47" t="s">
        <v>6</v>
      </c>
    </row>
    <row r="4" spans="1:13" s="1" customFormat="1" ht="23.25" customHeight="1" thickBot="1" x14ac:dyDescent="0.25">
      <c r="A4" s="56"/>
      <c r="B4" s="58"/>
      <c r="C4" s="58"/>
      <c r="D4" s="58"/>
      <c r="E4" s="58"/>
      <c r="F4" s="61"/>
      <c r="G4" s="12">
        <v>1</v>
      </c>
      <c r="H4" s="13">
        <v>2</v>
      </c>
      <c r="I4" s="13">
        <v>3</v>
      </c>
      <c r="J4" s="14" t="s">
        <v>8</v>
      </c>
      <c r="K4" s="63"/>
      <c r="L4" s="58"/>
      <c r="M4" s="48"/>
    </row>
    <row r="5" spans="1:13" s="5" customFormat="1" ht="15" x14ac:dyDescent="0.2">
      <c r="A5" s="64" t="s">
        <v>15</v>
      </c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4"/>
    </row>
    <row r="6" spans="1:13" s="5" customFormat="1" x14ac:dyDescent="0.2">
      <c r="A6" s="15" t="s">
        <v>17</v>
      </c>
      <c r="B6" s="16" t="s">
        <v>18</v>
      </c>
      <c r="C6" s="16" t="s">
        <v>19</v>
      </c>
      <c r="D6" s="16" t="str">
        <f>"0,6384"</f>
        <v>0,6384</v>
      </c>
      <c r="E6" s="15" t="s">
        <v>20</v>
      </c>
      <c r="F6" s="15" t="s">
        <v>21</v>
      </c>
      <c r="G6" s="16" t="s">
        <v>22</v>
      </c>
      <c r="H6" s="16" t="s">
        <v>23</v>
      </c>
      <c r="I6" s="17" t="s">
        <v>24</v>
      </c>
      <c r="J6" s="17"/>
      <c r="K6" s="15" t="str">
        <f>"180,0"</f>
        <v>180,0</v>
      </c>
      <c r="L6" s="16" t="str">
        <f>"239,2468"</f>
        <v>239,2468</v>
      </c>
      <c r="M6" s="15"/>
    </row>
    <row r="7" spans="1:13" s="5" customFormat="1" x14ac:dyDescent="0.2">
      <c r="A7" s="4"/>
      <c r="E7" s="4"/>
      <c r="F7" s="4"/>
      <c r="K7" s="4"/>
      <c r="M7" s="4"/>
    </row>
    <row r="8" spans="1:13" ht="15" x14ac:dyDescent="0.2">
      <c r="A8" s="72" t="s">
        <v>25</v>
      </c>
      <c r="B8" s="73"/>
      <c r="C8" s="73"/>
      <c r="D8" s="73"/>
      <c r="E8" s="73"/>
      <c r="F8" s="73"/>
      <c r="G8" s="73"/>
      <c r="H8" s="73"/>
      <c r="I8" s="73"/>
      <c r="J8" s="73"/>
      <c r="K8" s="73"/>
      <c r="L8" s="73"/>
    </row>
    <row r="9" spans="1:13" x14ac:dyDescent="0.2">
      <c r="A9" s="21" t="s">
        <v>27</v>
      </c>
      <c r="B9" s="18" t="s">
        <v>28</v>
      </c>
      <c r="C9" s="18" t="s">
        <v>29</v>
      </c>
      <c r="D9" s="18" t="str">
        <f>"0,5630"</f>
        <v>0,5630</v>
      </c>
      <c r="E9" s="21" t="s">
        <v>20</v>
      </c>
      <c r="F9" s="21" t="s">
        <v>30</v>
      </c>
      <c r="G9" s="18" t="s">
        <v>31</v>
      </c>
      <c r="H9" s="18" t="s">
        <v>32</v>
      </c>
      <c r="I9" s="22" t="s">
        <v>33</v>
      </c>
      <c r="J9" s="22"/>
      <c r="K9" s="21" t="str">
        <f>"285,0"</f>
        <v>285,0</v>
      </c>
      <c r="L9" s="18" t="str">
        <f>"160,4550"</f>
        <v>160,4550</v>
      </c>
      <c r="M9" s="21"/>
    </row>
    <row r="10" spans="1:13" x14ac:dyDescent="0.2">
      <c r="A10" s="23" t="s">
        <v>35</v>
      </c>
      <c r="B10" s="19" t="s">
        <v>36</v>
      </c>
      <c r="C10" s="19" t="s">
        <v>37</v>
      </c>
      <c r="D10" s="19" t="str">
        <f>"0,5654"</f>
        <v>0,5654</v>
      </c>
      <c r="E10" s="23" t="s">
        <v>20</v>
      </c>
      <c r="F10" s="23" t="s">
        <v>38</v>
      </c>
      <c r="G10" s="19" t="s">
        <v>39</v>
      </c>
      <c r="H10" s="19" t="s">
        <v>40</v>
      </c>
      <c r="I10" s="19" t="s">
        <v>41</v>
      </c>
      <c r="J10" s="24"/>
      <c r="K10" s="23" t="str">
        <f>"260,0"</f>
        <v>260,0</v>
      </c>
      <c r="L10" s="19" t="str">
        <f>"147,0040"</f>
        <v>147,0040</v>
      </c>
      <c r="M10" s="23"/>
    </row>
    <row r="11" spans="1:13" x14ac:dyDescent="0.2">
      <c r="A11" s="25" t="s">
        <v>43</v>
      </c>
      <c r="B11" s="20" t="s">
        <v>44</v>
      </c>
      <c r="C11" s="20" t="s">
        <v>45</v>
      </c>
      <c r="D11" s="20" t="str">
        <f>"0,5616"</f>
        <v>0,5616</v>
      </c>
      <c r="E11" s="25" t="s">
        <v>20</v>
      </c>
      <c r="F11" s="25" t="s">
        <v>30</v>
      </c>
      <c r="G11" s="20" t="s">
        <v>41</v>
      </c>
      <c r="H11" s="26" t="s">
        <v>31</v>
      </c>
      <c r="I11" s="26" t="s">
        <v>31</v>
      </c>
      <c r="J11" s="26"/>
      <c r="K11" s="25" t="str">
        <f>"260,0"</f>
        <v>260,0</v>
      </c>
      <c r="L11" s="20" t="str">
        <f>"146,0160"</f>
        <v>146,0160</v>
      </c>
      <c r="M11" s="25"/>
    </row>
    <row r="13" spans="1:13" ht="15" x14ac:dyDescent="0.2">
      <c r="A13" s="72" t="s">
        <v>46</v>
      </c>
      <c r="B13" s="73"/>
      <c r="C13" s="73"/>
      <c r="D13" s="73"/>
      <c r="E13" s="73"/>
      <c r="F13" s="73"/>
      <c r="G13" s="73"/>
      <c r="H13" s="73"/>
      <c r="I13" s="73"/>
      <c r="J13" s="73"/>
      <c r="K13" s="73"/>
      <c r="L13" s="73"/>
    </row>
    <row r="14" spans="1:13" x14ac:dyDescent="0.2">
      <c r="A14" s="15" t="s">
        <v>48</v>
      </c>
      <c r="B14" s="16" t="s">
        <v>49</v>
      </c>
      <c r="C14" s="16" t="s">
        <v>50</v>
      </c>
      <c r="D14" s="16" t="str">
        <f>"0,5475"</f>
        <v>0,5475</v>
      </c>
      <c r="E14" s="15" t="s">
        <v>20</v>
      </c>
      <c r="F14" s="15" t="s">
        <v>30</v>
      </c>
      <c r="G14" s="16" t="s">
        <v>51</v>
      </c>
      <c r="H14" s="16" t="s">
        <v>39</v>
      </c>
      <c r="I14" s="17" t="s">
        <v>52</v>
      </c>
      <c r="J14" s="17"/>
      <c r="K14" s="15" t="str">
        <f>"230,0"</f>
        <v>230,0</v>
      </c>
      <c r="L14" s="16" t="str">
        <f>"125,9250"</f>
        <v>125,9250</v>
      </c>
      <c r="M14" s="15"/>
    </row>
    <row r="16" spans="1:13" ht="15" x14ac:dyDescent="0.2">
      <c r="E16" s="27" t="s">
        <v>53</v>
      </c>
    </row>
    <row r="17" spans="1:5" ht="15" x14ac:dyDescent="0.2">
      <c r="E17" s="27" t="s">
        <v>54</v>
      </c>
    </row>
    <row r="18" spans="1:5" ht="15" x14ac:dyDescent="0.2">
      <c r="E18" s="27" t="s">
        <v>55</v>
      </c>
    </row>
    <row r="19" spans="1:5" x14ac:dyDescent="0.2">
      <c r="E19" s="4" t="s">
        <v>56</v>
      </c>
    </row>
    <row r="20" spans="1:5" x14ac:dyDescent="0.2">
      <c r="E20" s="4" t="s">
        <v>57</v>
      </c>
    </row>
    <row r="21" spans="1:5" x14ac:dyDescent="0.2">
      <c r="E21" s="4" t="s">
        <v>58</v>
      </c>
    </row>
    <row r="24" spans="1:5" ht="18" x14ac:dyDescent="0.25">
      <c r="A24" s="28" t="s">
        <v>59</v>
      </c>
      <c r="B24" s="29"/>
    </row>
    <row r="25" spans="1:5" ht="15" x14ac:dyDescent="0.2">
      <c r="A25" s="30" t="s">
        <v>60</v>
      </c>
      <c r="B25" s="31"/>
    </row>
    <row r="26" spans="1:5" ht="14.25" x14ac:dyDescent="0.2">
      <c r="A26" s="33"/>
      <c r="B26" s="34" t="s">
        <v>61</v>
      </c>
    </row>
    <row r="27" spans="1:5" ht="15" x14ac:dyDescent="0.2">
      <c r="A27" s="35" t="s">
        <v>0</v>
      </c>
      <c r="B27" s="35" t="s">
        <v>62</v>
      </c>
      <c r="C27" s="35" t="s">
        <v>63</v>
      </c>
      <c r="D27" s="35" t="s">
        <v>64</v>
      </c>
      <c r="E27" s="35" t="s">
        <v>13</v>
      </c>
    </row>
    <row r="28" spans="1:5" x14ac:dyDescent="0.2">
      <c r="A28" s="32" t="s">
        <v>26</v>
      </c>
      <c r="B28" s="5" t="s">
        <v>61</v>
      </c>
      <c r="C28" s="5" t="s">
        <v>65</v>
      </c>
      <c r="D28" s="5" t="s">
        <v>32</v>
      </c>
      <c r="E28" s="36" t="s">
        <v>66</v>
      </c>
    </row>
    <row r="29" spans="1:5" x14ac:dyDescent="0.2">
      <c r="A29" s="32" t="s">
        <v>34</v>
      </c>
      <c r="B29" s="5" t="s">
        <v>61</v>
      </c>
      <c r="C29" s="5" t="s">
        <v>65</v>
      </c>
      <c r="D29" s="5" t="s">
        <v>41</v>
      </c>
      <c r="E29" s="36" t="s">
        <v>67</v>
      </c>
    </row>
    <row r="30" spans="1:5" x14ac:dyDescent="0.2">
      <c r="A30" s="32" t="s">
        <v>42</v>
      </c>
      <c r="B30" s="5" t="s">
        <v>61</v>
      </c>
      <c r="C30" s="5" t="s">
        <v>65</v>
      </c>
      <c r="D30" s="5" t="s">
        <v>41</v>
      </c>
      <c r="E30" s="36" t="s">
        <v>68</v>
      </c>
    </row>
    <row r="31" spans="1:5" x14ac:dyDescent="0.2">
      <c r="A31" s="32" t="s">
        <v>47</v>
      </c>
      <c r="B31" s="5" t="s">
        <v>61</v>
      </c>
      <c r="C31" s="5" t="s">
        <v>69</v>
      </c>
      <c r="D31" s="5" t="s">
        <v>39</v>
      </c>
      <c r="E31" s="36" t="s">
        <v>70</v>
      </c>
    </row>
    <row r="33" spans="1:5" ht="14.25" x14ac:dyDescent="0.2">
      <c r="A33" s="33"/>
      <c r="B33" s="34" t="s">
        <v>71</v>
      </c>
    </row>
    <row r="34" spans="1:5" ht="15" x14ac:dyDescent="0.2">
      <c r="A34" s="35" t="s">
        <v>0</v>
      </c>
      <c r="B34" s="35" t="s">
        <v>62</v>
      </c>
      <c r="C34" s="35" t="s">
        <v>63</v>
      </c>
      <c r="D34" s="35" t="s">
        <v>64</v>
      </c>
      <c r="E34" s="35" t="s">
        <v>13</v>
      </c>
    </row>
    <row r="35" spans="1:5" x14ac:dyDescent="0.2">
      <c r="A35" s="32" t="s">
        <v>16</v>
      </c>
      <c r="B35" s="5" t="s">
        <v>72</v>
      </c>
      <c r="C35" s="5" t="s">
        <v>73</v>
      </c>
      <c r="D35" s="5" t="s">
        <v>23</v>
      </c>
      <c r="E35" s="36" t="s">
        <v>74</v>
      </c>
    </row>
  </sheetData>
  <mergeCells count="14">
    <mergeCell ref="A1:M2"/>
    <mergeCell ref="G3:J3"/>
    <mergeCell ref="A3:A4"/>
    <mergeCell ref="B3:B4"/>
    <mergeCell ref="C3:C4"/>
    <mergeCell ref="M3:M4"/>
    <mergeCell ref="F3:F4"/>
    <mergeCell ref="E3:E4"/>
    <mergeCell ref="A5:L5"/>
    <mergeCell ref="A8:L8"/>
    <mergeCell ref="A13:L13"/>
    <mergeCell ref="D3:D4"/>
    <mergeCell ref="K3:K4"/>
    <mergeCell ref="L3:L4"/>
  </mergeCells>
  <phoneticPr fontId="0" type="noConversion"/>
  <pageMargins left="0.19685039370078741" right="0.47244094488188981" top="0.43307086614173229" bottom="0.47244094488188981" header="0.51181102362204722" footer="0.51181102362204722"/>
  <pageSetup scale="65" fitToHeight="100" orientation="landscape" horizontalDpi="300" verticalDpi="300" r:id="rId1"/>
  <headerFooter alignWithMargins="0">
    <oddFooter>&amp;L&amp;G&amp;R&amp;D&amp;T&amp;P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4"/>
  <sheetViews>
    <sheetView workbookViewId="0">
      <selection sqref="A1:S2"/>
    </sheetView>
  </sheetViews>
  <sheetFormatPr defaultColWidth="9.140625" defaultRowHeight="12.75" x14ac:dyDescent="0.2"/>
  <cols>
    <col min="1" max="1" width="24.85546875" style="4" bestFit="1" customWidth="1"/>
    <col min="2" max="2" width="24" style="5" bestFit="1" customWidth="1"/>
    <col min="3" max="3" width="7.5703125" style="5" bestFit="1" customWidth="1"/>
    <col min="4" max="4" width="17" style="4" bestFit="1" customWidth="1"/>
    <col min="5" max="5" width="20.7109375" style="4" bestFit="1" customWidth="1"/>
    <col min="6" max="9" width="5.5703125" style="5" bestFit="1" customWidth="1"/>
    <col min="10" max="12" width="2.140625" style="5" bestFit="1" customWidth="1"/>
    <col min="13" max="13" width="4.7109375" style="5" bestFit="1" customWidth="1"/>
    <col min="14" max="16" width="2.140625" style="5" bestFit="1" customWidth="1"/>
    <col min="17" max="17" width="4.7109375" style="5" bestFit="1" customWidth="1"/>
    <col min="18" max="18" width="5.7109375" style="4" bestFit="1" customWidth="1"/>
    <col min="19" max="19" width="7.140625" style="4" bestFit="1" customWidth="1"/>
    <col min="20" max="16384" width="9.140625" style="3"/>
  </cols>
  <sheetData>
    <row r="1" spans="1:19" s="2" customFormat="1" ht="28.9" customHeight="1" x14ac:dyDescent="0.2">
      <c r="A1" s="66" t="s">
        <v>660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8"/>
    </row>
    <row r="2" spans="1:19" s="2" customFormat="1" ht="61.9" customHeight="1" thickBot="1" x14ac:dyDescent="0.25">
      <c r="A2" s="69"/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1"/>
    </row>
    <row r="3" spans="1:19" s="1" customFormat="1" ht="12.75" customHeight="1" x14ac:dyDescent="0.2">
      <c r="A3" s="55" t="s">
        <v>0</v>
      </c>
      <c r="B3" s="57" t="s">
        <v>12</v>
      </c>
      <c r="C3" s="57" t="s">
        <v>9</v>
      </c>
      <c r="D3" s="59" t="s">
        <v>1</v>
      </c>
      <c r="E3" s="60" t="s">
        <v>14</v>
      </c>
      <c r="F3" s="55" t="s">
        <v>599</v>
      </c>
      <c r="G3" s="59"/>
      <c r="H3" s="59"/>
      <c r="I3" s="47"/>
      <c r="J3" s="55" t="s">
        <v>4</v>
      </c>
      <c r="K3" s="59"/>
      <c r="L3" s="59"/>
      <c r="M3" s="47"/>
      <c r="N3" s="55" t="s">
        <v>5</v>
      </c>
      <c r="O3" s="59"/>
      <c r="P3" s="59"/>
      <c r="Q3" s="47"/>
      <c r="R3" s="62" t="s">
        <v>11</v>
      </c>
      <c r="S3" s="47" t="s">
        <v>6</v>
      </c>
    </row>
    <row r="4" spans="1:19" s="1" customFormat="1" ht="23.25" customHeight="1" thickBot="1" x14ac:dyDescent="0.25">
      <c r="A4" s="56"/>
      <c r="B4" s="58"/>
      <c r="C4" s="58"/>
      <c r="D4" s="58"/>
      <c r="E4" s="61"/>
      <c r="F4" s="12">
        <v>1</v>
      </c>
      <c r="G4" s="13">
        <v>2</v>
      </c>
      <c r="H4" s="13">
        <v>3</v>
      </c>
      <c r="I4" s="14" t="s">
        <v>8</v>
      </c>
      <c r="J4" s="12">
        <v>1</v>
      </c>
      <c r="K4" s="13">
        <v>2</v>
      </c>
      <c r="L4" s="13">
        <v>3</v>
      </c>
      <c r="M4" s="14" t="s">
        <v>8</v>
      </c>
      <c r="N4" s="12">
        <v>1</v>
      </c>
      <c r="O4" s="13">
        <v>2</v>
      </c>
      <c r="P4" s="13">
        <v>3</v>
      </c>
      <c r="Q4" s="14" t="s">
        <v>8</v>
      </c>
      <c r="R4" s="63"/>
      <c r="S4" s="48"/>
    </row>
    <row r="5" spans="1:19" s="5" customFormat="1" ht="15" x14ac:dyDescent="0.2">
      <c r="A5" s="64" t="s">
        <v>177</v>
      </c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4"/>
    </row>
    <row r="6" spans="1:19" s="5" customFormat="1" x14ac:dyDescent="0.2">
      <c r="A6" s="21" t="s">
        <v>635</v>
      </c>
      <c r="B6" s="18" t="s">
        <v>636</v>
      </c>
      <c r="C6" s="18" t="s">
        <v>637</v>
      </c>
      <c r="D6" s="21" t="s">
        <v>20</v>
      </c>
      <c r="E6" s="21" t="s">
        <v>638</v>
      </c>
      <c r="F6" s="18" t="s">
        <v>448</v>
      </c>
      <c r="G6" s="18" t="s">
        <v>83</v>
      </c>
      <c r="H6" s="18" t="s">
        <v>145</v>
      </c>
      <c r="I6" s="18" t="s">
        <v>84</v>
      </c>
      <c r="J6" s="22"/>
      <c r="K6" s="22"/>
      <c r="L6" s="22"/>
      <c r="M6" s="22"/>
      <c r="N6" s="22"/>
      <c r="O6" s="22"/>
      <c r="P6" s="22"/>
      <c r="Q6" s="22"/>
      <c r="R6" s="21" t="str">
        <f>"87,5"</f>
        <v>87,5</v>
      </c>
      <c r="S6" s="21"/>
    </row>
    <row r="7" spans="1:19" s="5" customFormat="1" x14ac:dyDescent="0.2">
      <c r="A7" s="25" t="s">
        <v>639</v>
      </c>
      <c r="B7" s="20" t="s">
        <v>513</v>
      </c>
      <c r="C7" s="20" t="s">
        <v>514</v>
      </c>
      <c r="D7" s="25" t="s">
        <v>20</v>
      </c>
      <c r="E7" s="25" t="s">
        <v>488</v>
      </c>
      <c r="F7" s="20" t="s">
        <v>448</v>
      </c>
      <c r="G7" s="20" t="s">
        <v>261</v>
      </c>
      <c r="H7" s="20" t="s">
        <v>489</v>
      </c>
      <c r="I7" s="20" t="s">
        <v>144</v>
      </c>
      <c r="J7" s="26"/>
      <c r="K7" s="26"/>
      <c r="L7" s="26"/>
      <c r="M7" s="26"/>
      <c r="N7" s="26"/>
      <c r="O7" s="26"/>
      <c r="P7" s="26"/>
      <c r="Q7" s="26"/>
      <c r="R7" s="25" t="str">
        <f>"80,0"</f>
        <v>80,0</v>
      </c>
      <c r="S7" s="25"/>
    </row>
    <row r="9" spans="1:19" ht="15" x14ac:dyDescent="0.2">
      <c r="A9" s="72" t="s">
        <v>640</v>
      </c>
      <c r="B9" s="73"/>
      <c r="C9" s="73"/>
      <c r="D9" s="73"/>
      <c r="E9" s="73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</row>
    <row r="10" spans="1:19" x14ac:dyDescent="0.2">
      <c r="A10" s="15" t="s">
        <v>642</v>
      </c>
      <c r="B10" s="16" t="s">
        <v>643</v>
      </c>
      <c r="C10" s="16" t="s">
        <v>644</v>
      </c>
      <c r="D10" s="15" t="s">
        <v>20</v>
      </c>
      <c r="E10" s="15" t="s">
        <v>30</v>
      </c>
      <c r="F10" s="16" t="s">
        <v>306</v>
      </c>
      <c r="G10" s="16" t="s">
        <v>242</v>
      </c>
      <c r="H10" s="16" t="s">
        <v>448</v>
      </c>
      <c r="I10" s="17" t="s">
        <v>144</v>
      </c>
      <c r="J10" s="17"/>
      <c r="K10" s="17"/>
      <c r="L10" s="17"/>
      <c r="M10" s="17"/>
      <c r="N10" s="17"/>
      <c r="O10" s="17"/>
      <c r="P10" s="17"/>
      <c r="Q10" s="17"/>
      <c r="R10" s="15" t="str">
        <f>"70,0"</f>
        <v>70,0</v>
      </c>
      <c r="S10" s="15"/>
    </row>
    <row r="12" spans="1:19" ht="15" x14ac:dyDescent="0.2">
      <c r="A12" s="72" t="s">
        <v>25</v>
      </c>
      <c r="B12" s="73"/>
      <c r="C12" s="73"/>
      <c r="D12" s="73"/>
      <c r="E12" s="73"/>
      <c r="F12" s="73"/>
      <c r="G12" s="73"/>
      <c r="H12" s="73"/>
      <c r="I12" s="73"/>
      <c r="J12" s="73"/>
      <c r="K12" s="73"/>
      <c r="L12" s="73"/>
      <c r="M12" s="73"/>
      <c r="N12" s="73"/>
      <c r="O12" s="73"/>
      <c r="P12" s="73"/>
      <c r="Q12" s="73"/>
      <c r="R12" s="73"/>
    </row>
    <row r="13" spans="1:19" x14ac:dyDescent="0.2">
      <c r="A13" s="15" t="s">
        <v>485</v>
      </c>
      <c r="B13" s="16" t="s">
        <v>486</v>
      </c>
      <c r="C13" s="16" t="s">
        <v>487</v>
      </c>
      <c r="D13" s="15" t="s">
        <v>20</v>
      </c>
      <c r="E13" s="15" t="s">
        <v>488</v>
      </c>
      <c r="F13" s="16" t="s">
        <v>94</v>
      </c>
      <c r="G13" s="16" t="s">
        <v>272</v>
      </c>
      <c r="H13" s="16" t="s">
        <v>168</v>
      </c>
      <c r="I13" s="17" t="s">
        <v>91</v>
      </c>
      <c r="J13" s="17"/>
      <c r="K13" s="17"/>
      <c r="L13" s="17"/>
      <c r="M13" s="17"/>
      <c r="N13" s="17"/>
      <c r="O13" s="17"/>
      <c r="P13" s="17"/>
      <c r="Q13" s="17"/>
      <c r="R13" s="15" t="str">
        <f>"115,0"</f>
        <v>115,0</v>
      </c>
      <c r="S13" s="15"/>
    </row>
    <row r="15" spans="1:19" ht="15" x14ac:dyDescent="0.2">
      <c r="A15" s="72" t="s">
        <v>382</v>
      </c>
      <c r="B15" s="73"/>
      <c r="C15" s="73"/>
      <c r="D15" s="73"/>
      <c r="E15" s="73"/>
      <c r="F15" s="73"/>
      <c r="G15" s="73"/>
      <c r="H15" s="73"/>
      <c r="I15" s="73"/>
      <c r="J15" s="73"/>
      <c r="K15" s="73"/>
      <c r="L15" s="73"/>
      <c r="M15" s="73"/>
      <c r="N15" s="73"/>
      <c r="O15" s="73"/>
      <c r="P15" s="73"/>
      <c r="Q15" s="73"/>
      <c r="R15" s="73"/>
    </row>
    <row r="16" spans="1:19" x14ac:dyDescent="0.2">
      <c r="A16" s="21" t="s">
        <v>620</v>
      </c>
      <c r="B16" s="18" t="s">
        <v>621</v>
      </c>
      <c r="C16" s="18" t="s">
        <v>622</v>
      </c>
      <c r="D16" s="21" t="s">
        <v>20</v>
      </c>
      <c r="E16" s="21" t="s">
        <v>364</v>
      </c>
      <c r="F16" s="18" t="s">
        <v>115</v>
      </c>
      <c r="G16" s="18" t="s">
        <v>102</v>
      </c>
      <c r="H16" s="22" t="s">
        <v>146</v>
      </c>
      <c r="I16" s="22"/>
      <c r="J16" s="22"/>
      <c r="K16" s="22"/>
      <c r="L16" s="22"/>
      <c r="M16" s="22"/>
      <c r="N16" s="22"/>
      <c r="O16" s="22"/>
      <c r="P16" s="22"/>
      <c r="Q16" s="22"/>
      <c r="R16" s="21" t="str">
        <f>"160,0"</f>
        <v>160,0</v>
      </c>
      <c r="S16" s="21"/>
    </row>
    <row r="17" spans="1:19" x14ac:dyDescent="0.2">
      <c r="A17" s="25" t="s">
        <v>491</v>
      </c>
      <c r="B17" s="20" t="s">
        <v>626</v>
      </c>
      <c r="C17" s="20" t="s">
        <v>493</v>
      </c>
      <c r="D17" s="25" t="s">
        <v>20</v>
      </c>
      <c r="E17" s="25" t="s">
        <v>488</v>
      </c>
      <c r="F17" s="20" t="s">
        <v>115</v>
      </c>
      <c r="G17" s="20" t="s">
        <v>117</v>
      </c>
      <c r="H17" s="20" t="s">
        <v>189</v>
      </c>
      <c r="I17" s="20" t="s">
        <v>102</v>
      </c>
      <c r="J17" s="26"/>
      <c r="K17" s="26"/>
      <c r="L17" s="26"/>
      <c r="M17" s="26"/>
      <c r="N17" s="26"/>
      <c r="O17" s="26"/>
      <c r="P17" s="26"/>
      <c r="Q17" s="26"/>
      <c r="R17" s="25" t="str">
        <f>"160,0"</f>
        <v>160,0</v>
      </c>
      <c r="S17" s="25"/>
    </row>
    <row r="19" spans="1:19" ht="15" x14ac:dyDescent="0.2">
      <c r="D19" s="27" t="s">
        <v>53</v>
      </c>
    </row>
    <row r="20" spans="1:19" ht="15" x14ac:dyDescent="0.2">
      <c r="D20" s="27" t="s">
        <v>54</v>
      </c>
    </row>
    <row r="21" spans="1:19" ht="15" x14ac:dyDescent="0.2">
      <c r="D21" s="27" t="s">
        <v>55</v>
      </c>
    </row>
    <row r="22" spans="1:19" x14ac:dyDescent="0.2">
      <c r="D22" s="4" t="s">
        <v>56</v>
      </c>
    </row>
    <row r="23" spans="1:19" x14ac:dyDescent="0.2">
      <c r="D23" s="4" t="s">
        <v>57</v>
      </c>
    </row>
    <row r="24" spans="1:19" x14ac:dyDescent="0.2">
      <c r="D24" s="4" t="s">
        <v>58</v>
      </c>
    </row>
    <row r="27" spans="1:19" ht="18" x14ac:dyDescent="0.25">
      <c r="A27" s="28" t="s">
        <v>59</v>
      </c>
      <c r="B27" s="29"/>
    </row>
    <row r="28" spans="1:19" ht="15" x14ac:dyDescent="0.2">
      <c r="A28" s="30" t="s">
        <v>118</v>
      </c>
      <c r="B28" s="31"/>
    </row>
    <row r="29" spans="1:19" ht="14.25" x14ac:dyDescent="0.2">
      <c r="A29" s="33"/>
      <c r="B29" s="34" t="s">
        <v>61</v>
      </c>
    </row>
    <row r="30" spans="1:19" ht="15" x14ac:dyDescent="0.2">
      <c r="A30" s="35" t="s">
        <v>0</v>
      </c>
      <c r="B30" s="35" t="s">
        <v>62</v>
      </c>
      <c r="C30" s="35" t="s">
        <v>63</v>
      </c>
      <c r="D30" s="35" t="s">
        <v>598</v>
      </c>
    </row>
    <row r="31" spans="1:19" x14ac:dyDescent="0.2">
      <c r="A31" s="32" t="s">
        <v>634</v>
      </c>
      <c r="B31" s="5" t="s">
        <v>61</v>
      </c>
      <c r="C31" s="5" t="s">
        <v>222</v>
      </c>
      <c r="D31" s="36" t="s">
        <v>645</v>
      </c>
    </row>
    <row r="32" spans="1:19" x14ac:dyDescent="0.2">
      <c r="A32" s="32" t="s">
        <v>511</v>
      </c>
      <c r="B32" s="5" t="s">
        <v>61</v>
      </c>
      <c r="C32" s="5" t="s">
        <v>222</v>
      </c>
      <c r="D32" s="36" t="s">
        <v>646</v>
      </c>
    </row>
    <row r="33" spans="1:4" x14ac:dyDescent="0.2">
      <c r="A33" s="32" t="s">
        <v>641</v>
      </c>
      <c r="B33" s="5" t="s">
        <v>61</v>
      </c>
      <c r="C33" s="5" t="s">
        <v>647</v>
      </c>
      <c r="D33" s="36" t="s">
        <v>648</v>
      </c>
    </row>
    <row r="36" spans="1:4" ht="15" x14ac:dyDescent="0.2">
      <c r="A36" s="30" t="s">
        <v>60</v>
      </c>
      <c r="B36" s="31"/>
    </row>
    <row r="37" spans="1:4" ht="14.25" x14ac:dyDescent="0.2">
      <c r="A37" s="33"/>
      <c r="B37" s="34" t="s">
        <v>61</v>
      </c>
    </row>
    <row r="38" spans="1:4" ht="15" x14ac:dyDescent="0.2">
      <c r="A38" s="35" t="s">
        <v>0</v>
      </c>
      <c r="B38" s="35" t="s">
        <v>62</v>
      </c>
      <c r="C38" s="35" t="s">
        <v>63</v>
      </c>
      <c r="D38" s="35" t="s">
        <v>598</v>
      </c>
    </row>
    <row r="39" spans="1:4" x14ac:dyDescent="0.2">
      <c r="A39" s="32" t="s">
        <v>619</v>
      </c>
      <c r="B39" s="5" t="s">
        <v>61</v>
      </c>
      <c r="C39" s="5" t="s">
        <v>414</v>
      </c>
      <c r="D39" s="36" t="s">
        <v>649</v>
      </c>
    </row>
    <row r="40" spans="1:4" x14ac:dyDescent="0.2">
      <c r="A40" s="32" t="s">
        <v>484</v>
      </c>
      <c r="B40" s="5" t="s">
        <v>61</v>
      </c>
      <c r="C40" s="5" t="s">
        <v>65</v>
      </c>
      <c r="D40" s="36" t="s">
        <v>650</v>
      </c>
    </row>
    <row r="42" spans="1:4" ht="14.25" x14ac:dyDescent="0.2">
      <c r="A42" s="33"/>
      <c r="B42" s="34" t="s">
        <v>631</v>
      </c>
    </row>
    <row r="43" spans="1:4" ht="15" x14ac:dyDescent="0.2">
      <c r="A43" s="35" t="s">
        <v>0</v>
      </c>
      <c r="B43" s="35" t="s">
        <v>62</v>
      </c>
      <c r="C43" s="35" t="s">
        <v>63</v>
      </c>
      <c r="D43" s="35" t="s">
        <v>598</v>
      </c>
    </row>
    <row r="44" spans="1:4" x14ac:dyDescent="0.2">
      <c r="A44" s="32" t="s">
        <v>490</v>
      </c>
      <c r="B44" s="5" t="s">
        <v>632</v>
      </c>
      <c r="C44" s="5" t="s">
        <v>414</v>
      </c>
      <c r="D44" s="36" t="s">
        <v>651</v>
      </c>
    </row>
  </sheetData>
  <mergeCells count="15">
    <mergeCell ref="A1:S2"/>
    <mergeCell ref="A3:A4"/>
    <mergeCell ref="B3:B4"/>
    <mergeCell ref="C3:C4"/>
    <mergeCell ref="D3:D4"/>
    <mergeCell ref="E3:E4"/>
    <mergeCell ref="F3:I3"/>
    <mergeCell ref="J3:M3"/>
    <mergeCell ref="N3:Q3"/>
    <mergeCell ref="A15:R15"/>
    <mergeCell ref="R3:R4"/>
    <mergeCell ref="S3:S4"/>
    <mergeCell ref="A5:R5"/>
    <mergeCell ref="A9:R9"/>
    <mergeCell ref="A12:R1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8"/>
  <sheetViews>
    <sheetView workbookViewId="0">
      <selection sqref="A1:S2"/>
    </sheetView>
  </sheetViews>
  <sheetFormatPr defaultColWidth="9.140625" defaultRowHeight="12.75" x14ac:dyDescent="0.2"/>
  <cols>
    <col min="1" max="1" width="24.85546875" style="4" bestFit="1" customWidth="1"/>
    <col min="2" max="2" width="24" style="5" bestFit="1" customWidth="1"/>
    <col min="3" max="3" width="7.5703125" style="5" bestFit="1" customWidth="1"/>
    <col min="4" max="4" width="17" style="4" bestFit="1" customWidth="1"/>
    <col min="5" max="5" width="20.7109375" style="4" bestFit="1" customWidth="1"/>
    <col min="6" max="8" width="4.5703125" style="5" bestFit="1" customWidth="1"/>
    <col min="9" max="9" width="4.7109375" style="5" bestFit="1" customWidth="1"/>
    <col min="10" max="12" width="2.140625" style="5" bestFit="1" customWidth="1"/>
    <col min="13" max="13" width="4.7109375" style="5" bestFit="1" customWidth="1"/>
    <col min="14" max="16" width="2.140625" style="5" bestFit="1" customWidth="1"/>
    <col min="17" max="17" width="4.7109375" style="5" bestFit="1" customWidth="1"/>
    <col min="18" max="18" width="5.7109375" style="4" bestFit="1" customWidth="1"/>
    <col min="19" max="19" width="7.140625" style="4" bestFit="1" customWidth="1"/>
    <col min="20" max="16384" width="9.140625" style="3"/>
  </cols>
  <sheetData>
    <row r="1" spans="1:19" s="2" customFormat="1" ht="28.9" customHeight="1" x14ac:dyDescent="0.2">
      <c r="A1" s="66" t="s">
        <v>661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8"/>
    </row>
    <row r="2" spans="1:19" s="2" customFormat="1" ht="61.9" customHeight="1" thickBot="1" x14ac:dyDescent="0.25">
      <c r="A2" s="69"/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1"/>
    </row>
    <row r="3" spans="1:19" s="1" customFormat="1" ht="12.75" customHeight="1" x14ac:dyDescent="0.2">
      <c r="A3" s="55" t="s">
        <v>0</v>
      </c>
      <c r="B3" s="57" t="s">
        <v>12</v>
      </c>
      <c r="C3" s="57" t="s">
        <v>9</v>
      </c>
      <c r="D3" s="59" t="s">
        <v>1</v>
      </c>
      <c r="E3" s="60" t="s">
        <v>14</v>
      </c>
      <c r="F3" s="55" t="s">
        <v>599</v>
      </c>
      <c r="G3" s="59"/>
      <c r="H3" s="59"/>
      <c r="I3" s="47"/>
      <c r="J3" s="55" t="s">
        <v>4</v>
      </c>
      <c r="K3" s="59"/>
      <c r="L3" s="59"/>
      <c r="M3" s="47"/>
      <c r="N3" s="55" t="s">
        <v>5</v>
      </c>
      <c r="O3" s="59"/>
      <c r="P3" s="59"/>
      <c r="Q3" s="47"/>
      <c r="R3" s="62" t="s">
        <v>11</v>
      </c>
      <c r="S3" s="47" t="s">
        <v>6</v>
      </c>
    </row>
    <row r="4" spans="1:19" s="1" customFormat="1" ht="23.25" customHeight="1" thickBot="1" x14ac:dyDescent="0.25">
      <c r="A4" s="56"/>
      <c r="B4" s="58"/>
      <c r="C4" s="58"/>
      <c r="D4" s="58"/>
      <c r="E4" s="61"/>
      <c r="F4" s="12">
        <v>1</v>
      </c>
      <c r="G4" s="13">
        <v>2</v>
      </c>
      <c r="H4" s="13">
        <v>3</v>
      </c>
      <c r="I4" s="14" t="s">
        <v>8</v>
      </c>
      <c r="J4" s="12">
        <v>1</v>
      </c>
      <c r="K4" s="13">
        <v>2</v>
      </c>
      <c r="L4" s="13">
        <v>3</v>
      </c>
      <c r="M4" s="14" t="s">
        <v>8</v>
      </c>
      <c r="N4" s="12">
        <v>1</v>
      </c>
      <c r="O4" s="13">
        <v>2</v>
      </c>
      <c r="P4" s="13">
        <v>3</v>
      </c>
      <c r="Q4" s="14" t="s">
        <v>8</v>
      </c>
      <c r="R4" s="63"/>
      <c r="S4" s="48"/>
    </row>
    <row r="5" spans="1:19" s="5" customFormat="1" ht="15" x14ac:dyDescent="0.2">
      <c r="A5" s="64" t="s">
        <v>177</v>
      </c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4"/>
    </row>
    <row r="6" spans="1:19" s="5" customFormat="1" x14ac:dyDescent="0.2">
      <c r="A6" s="15" t="s">
        <v>512</v>
      </c>
      <c r="B6" s="16" t="s">
        <v>513</v>
      </c>
      <c r="C6" s="16" t="s">
        <v>514</v>
      </c>
      <c r="D6" s="15" t="s">
        <v>20</v>
      </c>
      <c r="E6" s="15" t="s">
        <v>488</v>
      </c>
      <c r="F6" s="16" t="s">
        <v>611</v>
      </c>
      <c r="G6" s="16" t="s">
        <v>612</v>
      </c>
      <c r="H6" s="16" t="s">
        <v>613</v>
      </c>
      <c r="I6" s="16" t="s">
        <v>614</v>
      </c>
      <c r="J6" s="17"/>
      <c r="K6" s="17"/>
      <c r="L6" s="17"/>
      <c r="M6" s="17"/>
      <c r="N6" s="17"/>
      <c r="O6" s="17"/>
      <c r="P6" s="17"/>
      <c r="Q6" s="17"/>
      <c r="R6" s="15" t="str">
        <f>"38,0"</f>
        <v>38,0</v>
      </c>
      <c r="S6" s="15"/>
    </row>
    <row r="7" spans="1:19" s="5" customFormat="1" x14ac:dyDescent="0.2">
      <c r="A7" s="4"/>
      <c r="D7" s="4"/>
      <c r="E7" s="4"/>
      <c r="R7" s="4"/>
      <c r="S7" s="4"/>
    </row>
    <row r="8" spans="1:19" ht="15" x14ac:dyDescent="0.2">
      <c r="A8" s="72" t="s">
        <v>25</v>
      </c>
      <c r="B8" s="73"/>
      <c r="C8" s="73"/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  <c r="R8" s="73"/>
    </row>
    <row r="9" spans="1:19" x14ac:dyDescent="0.2">
      <c r="A9" s="15" t="s">
        <v>485</v>
      </c>
      <c r="B9" s="16" t="s">
        <v>486</v>
      </c>
      <c r="C9" s="16" t="s">
        <v>487</v>
      </c>
      <c r="D9" s="15" t="s">
        <v>20</v>
      </c>
      <c r="E9" s="15" t="s">
        <v>488</v>
      </c>
      <c r="F9" s="16" t="s">
        <v>615</v>
      </c>
      <c r="G9" s="16" t="s">
        <v>616</v>
      </c>
      <c r="H9" s="16" t="s">
        <v>617</v>
      </c>
      <c r="I9" s="16" t="s">
        <v>618</v>
      </c>
      <c r="J9" s="17"/>
      <c r="K9" s="17"/>
      <c r="L9" s="17"/>
      <c r="M9" s="17"/>
      <c r="N9" s="17"/>
      <c r="O9" s="17"/>
      <c r="P9" s="17"/>
      <c r="Q9" s="17"/>
      <c r="R9" s="15" t="str">
        <f>"60,5"</f>
        <v>60,5</v>
      </c>
      <c r="S9" s="15"/>
    </row>
    <row r="11" spans="1:19" ht="15" x14ac:dyDescent="0.2">
      <c r="A11" s="72" t="s">
        <v>382</v>
      </c>
      <c r="B11" s="73"/>
      <c r="C11" s="73"/>
      <c r="D11" s="73"/>
      <c r="E11" s="73"/>
      <c r="F11" s="73"/>
      <c r="G11" s="73"/>
      <c r="H11" s="73"/>
      <c r="I11" s="73"/>
      <c r="J11" s="73"/>
      <c r="K11" s="73"/>
      <c r="L11" s="73"/>
      <c r="M11" s="73"/>
      <c r="N11" s="73"/>
      <c r="O11" s="73"/>
      <c r="P11" s="73"/>
      <c r="Q11" s="73"/>
      <c r="R11" s="73"/>
    </row>
    <row r="12" spans="1:19" x14ac:dyDescent="0.2">
      <c r="A12" s="21" t="s">
        <v>620</v>
      </c>
      <c r="B12" s="18" t="s">
        <v>621</v>
      </c>
      <c r="C12" s="18" t="s">
        <v>622</v>
      </c>
      <c r="D12" s="21" t="s">
        <v>20</v>
      </c>
      <c r="E12" s="21" t="s">
        <v>364</v>
      </c>
      <c r="F12" s="18" t="s">
        <v>623</v>
      </c>
      <c r="G12" s="18" t="s">
        <v>624</v>
      </c>
      <c r="H12" s="22" t="s">
        <v>625</v>
      </c>
      <c r="I12" s="22"/>
      <c r="J12" s="22"/>
      <c r="K12" s="22"/>
      <c r="L12" s="22"/>
      <c r="M12" s="22"/>
      <c r="N12" s="22"/>
      <c r="O12" s="22"/>
      <c r="P12" s="22"/>
      <c r="Q12" s="22"/>
      <c r="R12" s="21" t="str">
        <f>"80,5"</f>
        <v>80,5</v>
      </c>
      <c r="S12" s="21"/>
    </row>
    <row r="13" spans="1:19" x14ac:dyDescent="0.2">
      <c r="A13" s="25" t="s">
        <v>491</v>
      </c>
      <c r="B13" s="20" t="s">
        <v>626</v>
      </c>
      <c r="C13" s="20" t="s">
        <v>493</v>
      </c>
      <c r="D13" s="25" t="s">
        <v>20</v>
      </c>
      <c r="E13" s="25" t="s">
        <v>488</v>
      </c>
      <c r="F13" s="20" t="s">
        <v>618</v>
      </c>
      <c r="G13" s="20" t="s">
        <v>627</v>
      </c>
      <c r="H13" s="20" t="s">
        <v>623</v>
      </c>
      <c r="I13" s="20" t="s">
        <v>624</v>
      </c>
      <c r="J13" s="26"/>
      <c r="K13" s="26"/>
      <c r="L13" s="26"/>
      <c r="M13" s="26"/>
      <c r="N13" s="26"/>
      <c r="O13" s="26"/>
      <c r="P13" s="26"/>
      <c r="Q13" s="26"/>
      <c r="R13" s="25" t="str">
        <f>"80,5"</f>
        <v>80,5</v>
      </c>
      <c r="S13" s="25"/>
    </row>
    <row r="15" spans="1:19" ht="15" x14ac:dyDescent="0.2">
      <c r="D15" s="27" t="s">
        <v>53</v>
      </c>
    </row>
    <row r="16" spans="1:19" ht="15" x14ac:dyDescent="0.2">
      <c r="D16" s="27" t="s">
        <v>54</v>
      </c>
    </row>
    <row r="17" spans="1:4" ht="15" x14ac:dyDescent="0.2">
      <c r="D17" s="27" t="s">
        <v>55</v>
      </c>
    </row>
    <row r="18" spans="1:4" x14ac:dyDescent="0.2">
      <c r="D18" s="4" t="s">
        <v>56</v>
      </c>
    </row>
    <row r="19" spans="1:4" x14ac:dyDescent="0.2">
      <c r="D19" s="4" t="s">
        <v>57</v>
      </c>
    </row>
    <row r="20" spans="1:4" x14ac:dyDescent="0.2">
      <c r="D20" s="4" t="s">
        <v>58</v>
      </c>
    </row>
    <row r="23" spans="1:4" ht="18" x14ac:dyDescent="0.25">
      <c r="A23" s="28" t="s">
        <v>59</v>
      </c>
      <c r="B23" s="29"/>
    </row>
    <row r="24" spans="1:4" ht="15" x14ac:dyDescent="0.2">
      <c r="A24" s="30" t="s">
        <v>118</v>
      </c>
      <c r="B24" s="31"/>
    </row>
    <row r="25" spans="1:4" ht="14.25" x14ac:dyDescent="0.2">
      <c r="A25" s="33"/>
      <c r="B25" s="34" t="s">
        <v>61</v>
      </c>
    </row>
    <row r="26" spans="1:4" ht="15" x14ac:dyDescent="0.2">
      <c r="A26" s="35" t="s">
        <v>0</v>
      </c>
      <c r="B26" s="35" t="s">
        <v>62</v>
      </c>
      <c r="C26" s="35" t="s">
        <v>63</v>
      </c>
      <c r="D26" s="35" t="s">
        <v>598</v>
      </c>
    </row>
    <row r="27" spans="1:4" x14ac:dyDescent="0.2">
      <c r="A27" s="32" t="s">
        <v>511</v>
      </c>
      <c r="B27" s="5" t="s">
        <v>61</v>
      </c>
      <c r="C27" s="5" t="s">
        <v>222</v>
      </c>
      <c r="D27" s="36" t="s">
        <v>628</v>
      </c>
    </row>
    <row r="30" spans="1:4" ht="15" x14ac:dyDescent="0.2">
      <c r="A30" s="30" t="s">
        <v>60</v>
      </c>
      <c r="B30" s="31"/>
    </row>
    <row r="31" spans="1:4" ht="14.25" x14ac:dyDescent="0.2">
      <c r="A31" s="33"/>
      <c r="B31" s="34" t="s">
        <v>61</v>
      </c>
    </row>
    <row r="32" spans="1:4" ht="15" x14ac:dyDescent="0.2">
      <c r="A32" s="35" t="s">
        <v>0</v>
      </c>
      <c r="B32" s="35" t="s">
        <v>62</v>
      </c>
      <c r="C32" s="35" t="s">
        <v>63</v>
      </c>
      <c r="D32" s="35" t="s">
        <v>598</v>
      </c>
    </row>
    <row r="33" spans="1:4" x14ac:dyDescent="0.2">
      <c r="A33" s="32" t="s">
        <v>619</v>
      </c>
      <c r="B33" s="5" t="s">
        <v>61</v>
      </c>
      <c r="C33" s="5" t="s">
        <v>414</v>
      </c>
      <c r="D33" s="36" t="s">
        <v>629</v>
      </c>
    </row>
    <row r="34" spans="1:4" x14ac:dyDescent="0.2">
      <c r="A34" s="32" t="s">
        <v>484</v>
      </c>
      <c r="B34" s="5" t="s">
        <v>61</v>
      </c>
      <c r="C34" s="5" t="s">
        <v>65</v>
      </c>
      <c r="D34" s="36" t="s">
        <v>630</v>
      </c>
    </row>
    <row r="36" spans="1:4" ht="14.25" x14ac:dyDescent="0.2">
      <c r="A36" s="33"/>
      <c r="B36" s="34" t="s">
        <v>631</v>
      </c>
    </row>
    <row r="37" spans="1:4" ht="15" x14ac:dyDescent="0.2">
      <c r="A37" s="35" t="s">
        <v>0</v>
      </c>
      <c r="B37" s="35" t="s">
        <v>62</v>
      </c>
      <c r="C37" s="35" t="s">
        <v>63</v>
      </c>
      <c r="D37" s="35" t="s">
        <v>598</v>
      </c>
    </row>
    <row r="38" spans="1:4" x14ac:dyDescent="0.2">
      <c r="A38" s="32" t="s">
        <v>490</v>
      </c>
      <c r="B38" s="5" t="s">
        <v>632</v>
      </c>
      <c r="C38" s="5" t="s">
        <v>414</v>
      </c>
      <c r="D38" s="36" t="s">
        <v>633</v>
      </c>
    </row>
  </sheetData>
  <mergeCells count="14">
    <mergeCell ref="A5:R5"/>
    <mergeCell ref="A8:R8"/>
    <mergeCell ref="A11:R11"/>
    <mergeCell ref="A1:S2"/>
    <mergeCell ref="A3:A4"/>
    <mergeCell ref="B3:B4"/>
    <mergeCell ref="C3:C4"/>
    <mergeCell ref="D3:D4"/>
    <mergeCell ref="E3:E4"/>
    <mergeCell ref="F3:I3"/>
    <mergeCell ref="J3:M3"/>
    <mergeCell ref="N3:Q3"/>
    <mergeCell ref="R3:R4"/>
    <mergeCell ref="S3:S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9"/>
  <sheetViews>
    <sheetView workbookViewId="0">
      <selection sqref="A1:S2"/>
    </sheetView>
  </sheetViews>
  <sheetFormatPr defaultColWidth="9.140625" defaultRowHeight="12.75" x14ac:dyDescent="0.2"/>
  <cols>
    <col min="1" max="1" width="24.85546875" style="4" bestFit="1" customWidth="1"/>
    <col min="2" max="2" width="19.140625" style="5" bestFit="1" customWidth="1"/>
    <col min="3" max="3" width="7.5703125" style="5" bestFit="1" customWidth="1"/>
    <col min="4" max="4" width="17" style="4" bestFit="1" customWidth="1"/>
    <col min="5" max="5" width="25.85546875" style="4" bestFit="1" customWidth="1"/>
    <col min="6" max="7" width="4.5703125" style="5" bestFit="1" customWidth="1"/>
    <col min="8" max="8" width="5.5703125" style="5" bestFit="1" customWidth="1"/>
    <col min="9" max="9" width="4.7109375" style="5" bestFit="1" customWidth="1"/>
    <col min="10" max="12" width="2.140625" style="5" bestFit="1" customWidth="1"/>
    <col min="13" max="13" width="4.7109375" style="5" bestFit="1" customWidth="1"/>
    <col min="14" max="16" width="2.140625" style="5" bestFit="1" customWidth="1"/>
    <col min="17" max="17" width="4.7109375" style="5" bestFit="1" customWidth="1"/>
    <col min="18" max="18" width="5.7109375" style="4" bestFit="1" customWidth="1"/>
    <col min="19" max="19" width="7.140625" style="4" bestFit="1" customWidth="1"/>
    <col min="20" max="16384" width="9.140625" style="3"/>
  </cols>
  <sheetData>
    <row r="1" spans="1:19" s="2" customFormat="1" ht="28.9" customHeight="1" x14ac:dyDescent="0.2">
      <c r="A1" s="66" t="s">
        <v>662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8"/>
    </row>
    <row r="2" spans="1:19" s="2" customFormat="1" ht="61.9" customHeight="1" thickBot="1" x14ac:dyDescent="0.25">
      <c r="A2" s="69"/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1"/>
    </row>
    <row r="3" spans="1:19" s="1" customFormat="1" ht="12.75" customHeight="1" x14ac:dyDescent="0.2">
      <c r="A3" s="55" t="s">
        <v>0</v>
      </c>
      <c r="B3" s="57" t="s">
        <v>12</v>
      </c>
      <c r="C3" s="57" t="s">
        <v>9</v>
      </c>
      <c r="D3" s="59" t="s">
        <v>1</v>
      </c>
      <c r="E3" s="60" t="s">
        <v>14</v>
      </c>
      <c r="F3" s="55" t="s">
        <v>599</v>
      </c>
      <c r="G3" s="59"/>
      <c r="H3" s="59"/>
      <c r="I3" s="47"/>
      <c r="J3" s="55" t="s">
        <v>4</v>
      </c>
      <c r="K3" s="59"/>
      <c r="L3" s="59"/>
      <c r="M3" s="47"/>
      <c r="N3" s="55" t="s">
        <v>5</v>
      </c>
      <c r="O3" s="59"/>
      <c r="P3" s="59"/>
      <c r="Q3" s="47"/>
      <c r="R3" s="62" t="s">
        <v>11</v>
      </c>
      <c r="S3" s="47" t="s">
        <v>6</v>
      </c>
    </row>
    <row r="4" spans="1:19" s="1" customFormat="1" ht="23.25" customHeight="1" thickBot="1" x14ac:dyDescent="0.25">
      <c r="A4" s="56"/>
      <c r="B4" s="58"/>
      <c r="C4" s="58"/>
      <c r="D4" s="58"/>
      <c r="E4" s="61"/>
      <c r="F4" s="12">
        <v>1</v>
      </c>
      <c r="G4" s="13">
        <v>2</v>
      </c>
      <c r="H4" s="13">
        <v>3</v>
      </c>
      <c r="I4" s="14" t="s">
        <v>8</v>
      </c>
      <c r="J4" s="12">
        <v>1</v>
      </c>
      <c r="K4" s="13">
        <v>2</v>
      </c>
      <c r="L4" s="13">
        <v>3</v>
      </c>
      <c r="M4" s="14" t="s">
        <v>8</v>
      </c>
      <c r="N4" s="12">
        <v>1</v>
      </c>
      <c r="O4" s="13">
        <v>2</v>
      </c>
      <c r="P4" s="13">
        <v>3</v>
      </c>
      <c r="Q4" s="14" t="s">
        <v>8</v>
      </c>
      <c r="R4" s="63"/>
      <c r="S4" s="48"/>
    </row>
    <row r="5" spans="1:19" s="5" customFormat="1" ht="15" x14ac:dyDescent="0.2">
      <c r="A5" s="64" t="s">
        <v>177</v>
      </c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4"/>
    </row>
    <row r="6" spans="1:19" s="5" customFormat="1" x14ac:dyDescent="0.2">
      <c r="A6" s="15" t="s">
        <v>512</v>
      </c>
      <c r="B6" s="16" t="s">
        <v>513</v>
      </c>
      <c r="C6" s="16" t="s">
        <v>514</v>
      </c>
      <c r="D6" s="15" t="s">
        <v>20</v>
      </c>
      <c r="E6" s="15" t="s">
        <v>488</v>
      </c>
      <c r="F6" s="16" t="s">
        <v>442</v>
      </c>
      <c r="G6" s="16" t="s">
        <v>443</v>
      </c>
      <c r="H6" s="16" t="s">
        <v>306</v>
      </c>
      <c r="I6" s="17"/>
      <c r="J6" s="17"/>
      <c r="K6" s="17"/>
      <c r="L6" s="17"/>
      <c r="M6" s="17"/>
      <c r="N6" s="17"/>
      <c r="O6" s="17"/>
      <c r="P6" s="17"/>
      <c r="Q6" s="17"/>
      <c r="R6" s="15" t="str">
        <f>"50,0"</f>
        <v>50,0</v>
      </c>
      <c r="S6" s="15"/>
    </row>
    <row r="7" spans="1:19" s="5" customFormat="1" x14ac:dyDescent="0.2">
      <c r="A7" s="4"/>
      <c r="D7" s="4"/>
      <c r="E7" s="4"/>
      <c r="R7" s="4"/>
      <c r="S7" s="4"/>
    </row>
    <row r="8" spans="1:19" ht="15" x14ac:dyDescent="0.2">
      <c r="A8" s="72" t="s">
        <v>96</v>
      </c>
      <c r="B8" s="73"/>
      <c r="C8" s="73"/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  <c r="R8" s="73"/>
    </row>
    <row r="9" spans="1:19" x14ac:dyDescent="0.2">
      <c r="A9" s="15" t="s">
        <v>607</v>
      </c>
      <c r="B9" s="16" t="s">
        <v>608</v>
      </c>
      <c r="C9" s="16" t="s">
        <v>540</v>
      </c>
      <c r="D9" s="15" t="s">
        <v>20</v>
      </c>
      <c r="E9" s="15" t="s">
        <v>371</v>
      </c>
      <c r="F9" s="16" t="s">
        <v>93</v>
      </c>
      <c r="G9" s="16" t="s">
        <v>94</v>
      </c>
      <c r="H9" s="17" t="s">
        <v>95</v>
      </c>
      <c r="I9" s="17"/>
      <c r="J9" s="17"/>
      <c r="K9" s="17"/>
      <c r="L9" s="17"/>
      <c r="M9" s="17"/>
      <c r="N9" s="17"/>
      <c r="O9" s="17"/>
      <c r="P9" s="17"/>
      <c r="Q9" s="17"/>
      <c r="R9" s="15" t="str">
        <f>"95,0"</f>
        <v>95,0</v>
      </c>
      <c r="S9" s="15"/>
    </row>
    <row r="11" spans="1:19" ht="15" x14ac:dyDescent="0.2">
      <c r="D11" s="27" t="s">
        <v>53</v>
      </c>
    </row>
    <row r="12" spans="1:19" ht="15" x14ac:dyDescent="0.2">
      <c r="D12" s="27" t="s">
        <v>54</v>
      </c>
    </row>
    <row r="13" spans="1:19" ht="15" x14ac:dyDescent="0.2">
      <c r="D13" s="27" t="s">
        <v>55</v>
      </c>
    </row>
    <row r="14" spans="1:19" x14ac:dyDescent="0.2">
      <c r="D14" s="4" t="s">
        <v>56</v>
      </c>
    </row>
    <row r="15" spans="1:19" x14ac:dyDescent="0.2">
      <c r="D15" s="4" t="s">
        <v>57</v>
      </c>
    </row>
    <row r="16" spans="1:19" x14ac:dyDescent="0.2">
      <c r="D16" s="4" t="s">
        <v>58</v>
      </c>
    </row>
    <row r="19" spans="1:4" ht="18" x14ac:dyDescent="0.25">
      <c r="A19" s="28" t="s">
        <v>59</v>
      </c>
      <c r="B19" s="29"/>
    </row>
    <row r="20" spans="1:4" ht="15" x14ac:dyDescent="0.2">
      <c r="A20" s="30" t="s">
        <v>118</v>
      </c>
      <c r="B20" s="31"/>
    </row>
    <row r="21" spans="1:4" ht="14.25" x14ac:dyDescent="0.2">
      <c r="A21" s="33"/>
      <c r="B21" s="34" t="s">
        <v>61</v>
      </c>
    </row>
    <row r="22" spans="1:4" ht="15" x14ac:dyDescent="0.2">
      <c r="A22" s="35" t="s">
        <v>0</v>
      </c>
      <c r="B22" s="35" t="s">
        <v>62</v>
      </c>
      <c r="C22" s="35" t="s">
        <v>63</v>
      </c>
      <c r="D22" s="35" t="s">
        <v>598</v>
      </c>
    </row>
    <row r="23" spans="1:4" x14ac:dyDescent="0.2">
      <c r="A23" s="32" t="s">
        <v>511</v>
      </c>
      <c r="B23" s="5" t="s">
        <v>61</v>
      </c>
      <c r="C23" s="5" t="s">
        <v>222</v>
      </c>
      <c r="D23" s="36" t="s">
        <v>609</v>
      </c>
    </row>
    <row r="26" spans="1:4" ht="15" x14ac:dyDescent="0.2">
      <c r="A26" s="30" t="s">
        <v>60</v>
      </c>
      <c r="B26" s="31"/>
    </row>
    <row r="27" spans="1:4" ht="14.25" x14ac:dyDescent="0.2">
      <c r="A27" s="33"/>
      <c r="B27" s="34" t="s">
        <v>61</v>
      </c>
    </row>
    <row r="28" spans="1:4" ht="15" x14ac:dyDescent="0.2">
      <c r="A28" s="35" t="s">
        <v>0</v>
      </c>
      <c r="B28" s="35" t="s">
        <v>62</v>
      </c>
      <c r="C28" s="35" t="s">
        <v>63</v>
      </c>
      <c r="D28" s="35" t="s">
        <v>598</v>
      </c>
    </row>
    <row r="29" spans="1:4" x14ac:dyDescent="0.2">
      <c r="A29" s="32" t="s">
        <v>606</v>
      </c>
      <c r="B29" s="5" t="s">
        <v>61</v>
      </c>
      <c r="C29" s="5" t="s">
        <v>121</v>
      </c>
      <c r="D29" s="36" t="s">
        <v>610</v>
      </c>
    </row>
  </sheetData>
  <mergeCells count="13">
    <mergeCell ref="R3:R4"/>
    <mergeCell ref="S3:S4"/>
    <mergeCell ref="A5:R5"/>
    <mergeCell ref="A8:R8"/>
    <mergeCell ref="A1:S2"/>
    <mergeCell ref="A3:A4"/>
    <mergeCell ref="B3:B4"/>
    <mergeCell ref="C3:C4"/>
    <mergeCell ref="D3:D4"/>
    <mergeCell ref="E3:E4"/>
    <mergeCell ref="F3:I3"/>
    <mergeCell ref="J3:M3"/>
    <mergeCell ref="N3:Q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0"/>
  <sheetViews>
    <sheetView workbookViewId="0">
      <selection sqref="A1:S2"/>
    </sheetView>
  </sheetViews>
  <sheetFormatPr defaultColWidth="9.140625" defaultRowHeight="12.75" x14ac:dyDescent="0.2"/>
  <cols>
    <col min="1" max="1" width="24.85546875" style="4" bestFit="1" customWidth="1"/>
    <col min="2" max="2" width="19.140625" style="5" bestFit="1" customWidth="1"/>
    <col min="3" max="3" width="7.5703125" style="5" bestFit="1" customWidth="1"/>
    <col min="4" max="4" width="17" style="4" bestFit="1" customWidth="1"/>
    <col min="5" max="5" width="19.140625" style="4" bestFit="1" customWidth="1"/>
    <col min="6" max="8" width="4.5703125" style="5" bestFit="1" customWidth="1"/>
    <col min="9" max="9" width="4.7109375" style="5" bestFit="1" customWidth="1"/>
    <col min="10" max="12" width="2.140625" style="5" bestFit="1" customWidth="1"/>
    <col min="13" max="13" width="4.7109375" style="5" bestFit="1" customWidth="1"/>
    <col min="14" max="16" width="2.140625" style="5" bestFit="1" customWidth="1"/>
    <col min="17" max="17" width="4.7109375" style="5" bestFit="1" customWidth="1"/>
    <col min="18" max="18" width="5.7109375" style="4" bestFit="1" customWidth="1"/>
    <col min="19" max="19" width="7.140625" style="4" bestFit="1" customWidth="1"/>
    <col min="20" max="16384" width="9.140625" style="3"/>
  </cols>
  <sheetData>
    <row r="1" spans="1:19" s="2" customFormat="1" ht="28.9" customHeight="1" x14ac:dyDescent="0.2">
      <c r="A1" s="66" t="s">
        <v>663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8"/>
    </row>
    <row r="2" spans="1:19" s="2" customFormat="1" ht="61.9" customHeight="1" thickBot="1" x14ac:dyDescent="0.25">
      <c r="A2" s="69"/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1"/>
    </row>
    <row r="3" spans="1:19" s="1" customFormat="1" ht="12.75" customHeight="1" x14ac:dyDescent="0.2">
      <c r="A3" s="55" t="s">
        <v>0</v>
      </c>
      <c r="B3" s="57" t="s">
        <v>12</v>
      </c>
      <c r="C3" s="57" t="s">
        <v>9</v>
      </c>
      <c r="D3" s="59" t="s">
        <v>1</v>
      </c>
      <c r="E3" s="60" t="s">
        <v>14</v>
      </c>
      <c r="F3" s="55" t="s">
        <v>599</v>
      </c>
      <c r="G3" s="59"/>
      <c r="H3" s="59"/>
      <c r="I3" s="47"/>
      <c r="J3" s="55" t="s">
        <v>4</v>
      </c>
      <c r="K3" s="59"/>
      <c r="L3" s="59"/>
      <c r="M3" s="47"/>
      <c r="N3" s="55" t="s">
        <v>5</v>
      </c>
      <c r="O3" s="59"/>
      <c r="P3" s="59"/>
      <c r="Q3" s="47"/>
      <c r="R3" s="62" t="s">
        <v>11</v>
      </c>
      <c r="S3" s="47" t="s">
        <v>6</v>
      </c>
    </row>
    <row r="4" spans="1:19" s="1" customFormat="1" ht="23.25" customHeight="1" thickBot="1" x14ac:dyDescent="0.25">
      <c r="A4" s="56"/>
      <c r="B4" s="58"/>
      <c r="C4" s="58"/>
      <c r="D4" s="58"/>
      <c r="E4" s="61"/>
      <c r="F4" s="12">
        <v>1</v>
      </c>
      <c r="G4" s="13">
        <v>2</v>
      </c>
      <c r="H4" s="13">
        <v>3</v>
      </c>
      <c r="I4" s="14" t="s">
        <v>8</v>
      </c>
      <c r="J4" s="12">
        <v>1</v>
      </c>
      <c r="K4" s="13">
        <v>2</v>
      </c>
      <c r="L4" s="13">
        <v>3</v>
      </c>
      <c r="M4" s="14" t="s">
        <v>8</v>
      </c>
      <c r="N4" s="12">
        <v>1</v>
      </c>
      <c r="O4" s="13">
        <v>2</v>
      </c>
      <c r="P4" s="13">
        <v>3</v>
      </c>
      <c r="Q4" s="14" t="s">
        <v>8</v>
      </c>
      <c r="R4" s="63"/>
      <c r="S4" s="48"/>
    </row>
    <row r="5" spans="1:19" s="5" customFormat="1" ht="15" x14ac:dyDescent="0.2">
      <c r="A5" s="64" t="s">
        <v>600</v>
      </c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4"/>
    </row>
    <row r="6" spans="1:19" s="5" customFormat="1" x14ac:dyDescent="0.2">
      <c r="A6" s="15" t="s">
        <v>495</v>
      </c>
      <c r="B6" s="16" t="s">
        <v>496</v>
      </c>
      <c r="C6" s="16" t="s">
        <v>497</v>
      </c>
      <c r="D6" s="15" t="s">
        <v>20</v>
      </c>
      <c r="E6" s="15" t="s">
        <v>364</v>
      </c>
      <c r="F6" s="16" t="s">
        <v>594</v>
      </c>
      <c r="G6" s="16" t="s">
        <v>601</v>
      </c>
      <c r="H6" s="16" t="s">
        <v>602</v>
      </c>
      <c r="I6" s="17" t="s">
        <v>603</v>
      </c>
      <c r="J6" s="17"/>
      <c r="K6" s="17"/>
      <c r="L6" s="17"/>
      <c r="M6" s="17"/>
      <c r="N6" s="17"/>
      <c r="O6" s="17"/>
      <c r="P6" s="17"/>
      <c r="Q6" s="17"/>
      <c r="R6" s="15" t="str">
        <f>"32,5"</f>
        <v>32,5</v>
      </c>
      <c r="S6" s="15"/>
    </row>
    <row r="7" spans="1:19" s="5" customFormat="1" x14ac:dyDescent="0.2">
      <c r="A7" s="4"/>
      <c r="D7" s="4"/>
      <c r="E7" s="4"/>
      <c r="R7" s="4"/>
      <c r="S7" s="4"/>
    </row>
    <row r="8" spans="1:19" ht="15" x14ac:dyDescent="0.2">
      <c r="D8" s="27" t="s">
        <v>53</v>
      </c>
    </row>
    <row r="9" spans="1:19" ht="15" x14ac:dyDescent="0.2">
      <c r="D9" s="27" t="s">
        <v>54</v>
      </c>
    </row>
    <row r="10" spans="1:19" ht="15" x14ac:dyDescent="0.2">
      <c r="D10" s="27" t="s">
        <v>55</v>
      </c>
    </row>
    <row r="11" spans="1:19" x14ac:dyDescent="0.2">
      <c r="D11" s="4" t="s">
        <v>56</v>
      </c>
    </row>
    <row r="12" spans="1:19" x14ac:dyDescent="0.2">
      <c r="D12" s="4" t="s">
        <v>57</v>
      </c>
    </row>
    <row r="13" spans="1:19" x14ac:dyDescent="0.2">
      <c r="D13" s="4" t="s">
        <v>58</v>
      </c>
    </row>
    <row r="16" spans="1:19" ht="18" x14ac:dyDescent="0.25">
      <c r="A16" s="28" t="s">
        <v>59</v>
      </c>
      <c r="B16" s="29"/>
    </row>
    <row r="17" spans="1:4" ht="15" x14ac:dyDescent="0.2">
      <c r="A17" s="30" t="s">
        <v>60</v>
      </c>
      <c r="B17" s="31"/>
    </row>
    <row r="18" spans="1:4" ht="14.25" x14ac:dyDescent="0.2">
      <c r="A18" s="33"/>
      <c r="B18" s="34" t="s">
        <v>61</v>
      </c>
    </row>
    <row r="19" spans="1:4" ht="15" x14ac:dyDescent="0.2">
      <c r="A19" s="35" t="s">
        <v>0</v>
      </c>
      <c r="B19" s="35" t="s">
        <v>62</v>
      </c>
      <c r="C19" s="35" t="s">
        <v>63</v>
      </c>
      <c r="D19" s="35" t="s">
        <v>598</v>
      </c>
    </row>
    <row r="20" spans="1:4" x14ac:dyDescent="0.2">
      <c r="A20" s="32" t="s">
        <v>494</v>
      </c>
      <c r="B20" s="5" t="s">
        <v>61</v>
      </c>
      <c r="C20" s="5" t="s">
        <v>604</v>
      </c>
      <c r="D20" s="36" t="s">
        <v>605</v>
      </c>
    </row>
  </sheetData>
  <mergeCells count="12">
    <mergeCell ref="R3:R4"/>
    <mergeCell ref="S3:S4"/>
    <mergeCell ref="A5:R5"/>
    <mergeCell ref="A1:S2"/>
    <mergeCell ref="A3:A4"/>
    <mergeCell ref="B3:B4"/>
    <mergeCell ref="C3:C4"/>
    <mergeCell ref="D3:D4"/>
    <mergeCell ref="E3:E4"/>
    <mergeCell ref="F3:I3"/>
    <mergeCell ref="J3:M3"/>
    <mergeCell ref="N3:Q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workbookViewId="0">
      <selection activeCell="J31" sqref="J31"/>
    </sheetView>
  </sheetViews>
  <sheetFormatPr defaultColWidth="9.140625" defaultRowHeight="12.75" x14ac:dyDescent="0.2"/>
  <cols>
    <col min="1" max="1" width="24.85546875" style="4" bestFit="1" customWidth="1"/>
    <col min="2" max="2" width="19.140625" style="5" bestFit="1" customWidth="1"/>
    <col min="3" max="3" width="7.5703125" style="5" bestFit="1" customWidth="1"/>
    <col min="4" max="4" width="6.5703125" style="5" bestFit="1" customWidth="1"/>
    <col min="5" max="5" width="17" style="4" bestFit="1" customWidth="1"/>
    <col min="6" max="6" width="13.85546875" style="4" bestFit="1" customWidth="1"/>
    <col min="7" max="7" width="4.5703125" style="5" bestFit="1" customWidth="1"/>
    <col min="8" max="8" width="4.5703125" style="39" bestFit="1" customWidth="1"/>
    <col min="9" max="9" width="5.7109375" style="4" bestFit="1" customWidth="1"/>
    <col min="10" max="10" width="8.5703125" style="5" bestFit="1" customWidth="1"/>
    <col min="11" max="11" width="7.140625" style="4" bestFit="1" customWidth="1"/>
    <col min="12" max="16384" width="9.140625" style="3"/>
  </cols>
  <sheetData>
    <row r="1" spans="1:11" s="2" customFormat="1" ht="28.9" customHeight="1" x14ac:dyDescent="0.2">
      <c r="A1" s="66" t="s">
        <v>664</v>
      </c>
      <c r="B1" s="67"/>
      <c r="C1" s="67"/>
      <c r="D1" s="67"/>
      <c r="E1" s="67"/>
      <c r="F1" s="67"/>
      <c r="G1" s="67"/>
      <c r="H1" s="67"/>
      <c r="I1" s="67"/>
      <c r="J1" s="67"/>
      <c r="K1" s="68"/>
    </row>
    <row r="2" spans="1:11" s="2" customFormat="1" ht="61.9" customHeight="1" thickBot="1" x14ac:dyDescent="0.25">
      <c r="A2" s="69"/>
      <c r="B2" s="70"/>
      <c r="C2" s="70"/>
      <c r="D2" s="70"/>
      <c r="E2" s="70"/>
      <c r="F2" s="70"/>
      <c r="G2" s="70"/>
      <c r="H2" s="70"/>
      <c r="I2" s="70"/>
      <c r="J2" s="70"/>
      <c r="K2" s="71"/>
    </row>
    <row r="3" spans="1:11" s="1" customFormat="1" ht="12.75" customHeight="1" x14ac:dyDescent="0.2">
      <c r="A3" s="55" t="s">
        <v>0</v>
      </c>
      <c r="B3" s="57" t="s">
        <v>12</v>
      </c>
      <c r="C3" s="57" t="s">
        <v>9</v>
      </c>
      <c r="D3" s="59" t="s">
        <v>529</v>
      </c>
      <c r="E3" s="59" t="s">
        <v>1</v>
      </c>
      <c r="F3" s="60" t="s">
        <v>14</v>
      </c>
      <c r="G3" s="55" t="s">
        <v>548</v>
      </c>
      <c r="H3" s="59"/>
      <c r="I3" s="62" t="s">
        <v>75</v>
      </c>
      <c r="J3" s="59" t="s">
        <v>7</v>
      </c>
      <c r="K3" s="47" t="s">
        <v>6</v>
      </c>
    </row>
    <row r="4" spans="1:11" s="1" customFormat="1" ht="23.25" customHeight="1" thickBot="1" x14ac:dyDescent="0.25">
      <c r="A4" s="56"/>
      <c r="B4" s="58"/>
      <c r="C4" s="58"/>
      <c r="D4" s="58"/>
      <c r="E4" s="58"/>
      <c r="F4" s="61"/>
      <c r="G4" s="12" t="s">
        <v>578</v>
      </c>
      <c r="H4" s="37" t="s">
        <v>579</v>
      </c>
      <c r="I4" s="63"/>
      <c r="J4" s="58"/>
      <c r="K4" s="48"/>
    </row>
    <row r="5" spans="1:11" s="5" customFormat="1" ht="15" x14ac:dyDescent="0.2">
      <c r="A5" s="64" t="s">
        <v>169</v>
      </c>
      <c r="B5" s="65"/>
      <c r="C5" s="65"/>
      <c r="D5" s="65"/>
      <c r="E5" s="65"/>
      <c r="F5" s="65"/>
      <c r="G5" s="65"/>
      <c r="H5" s="65"/>
      <c r="I5" s="65"/>
      <c r="J5" s="65"/>
      <c r="K5" s="4"/>
    </row>
    <row r="6" spans="1:11" s="5" customFormat="1" x14ac:dyDescent="0.2">
      <c r="A6" s="15" t="s">
        <v>591</v>
      </c>
      <c r="B6" s="16" t="s">
        <v>592</v>
      </c>
      <c r="C6" s="16" t="s">
        <v>593</v>
      </c>
      <c r="D6" s="16" t="str">
        <f>"1,0828"</f>
        <v>1,0828</v>
      </c>
      <c r="E6" s="15" t="s">
        <v>20</v>
      </c>
      <c r="F6" s="15" t="s">
        <v>30</v>
      </c>
      <c r="G6" s="16" t="s">
        <v>594</v>
      </c>
      <c r="H6" s="38" t="s">
        <v>595</v>
      </c>
      <c r="I6" s="15" t="str">
        <f>"440,0"</f>
        <v>440,0</v>
      </c>
      <c r="J6" s="16" t="str">
        <f>"476,4320"</f>
        <v>476,4320</v>
      </c>
      <c r="K6" s="15"/>
    </row>
    <row r="7" spans="1:11" s="5" customFormat="1" x14ac:dyDescent="0.2">
      <c r="A7" s="4"/>
      <c r="E7" s="4"/>
      <c r="F7" s="4"/>
      <c r="H7" s="39"/>
      <c r="I7" s="4"/>
      <c r="K7" s="4"/>
    </row>
    <row r="8" spans="1:11" ht="15" x14ac:dyDescent="0.2">
      <c r="E8" s="27" t="s">
        <v>53</v>
      </c>
    </row>
    <row r="9" spans="1:11" ht="15" x14ac:dyDescent="0.2">
      <c r="E9" s="27" t="s">
        <v>54</v>
      </c>
    </row>
    <row r="10" spans="1:11" ht="15" x14ac:dyDescent="0.2">
      <c r="E10" s="27" t="s">
        <v>55</v>
      </c>
    </row>
    <row r="11" spans="1:11" x14ac:dyDescent="0.2">
      <c r="E11" s="4" t="s">
        <v>56</v>
      </c>
    </row>
    <row r="12" spans="1:11" x14ac:dyDescent="0.2">
      <c r="E12" s="4" t="s">
        <v>57</v>
      </c>
    </row>
    <row r="13" spans="1:11" x14ac:dyDescent="0.2">
      <c r="E13" s="4" t="s">
        <v>58</v>
      </c>
    </row>
    <row r="16" spans="1:11" ht="18" x14ac:dyDescent="0.25">
      <c r="A16" s="28" t="s">
        <v>59</v>
      </c>
      <c r="B16" s="29"/>
    </row>
    <row r="17" spans="1:5" ht="15" x14ac:dyDescent="0.2">
      <c r="A17" s="30" t="s">
        <v>118</v>
      </c>
      <c r="B17" s="31"/>
    </row>
    <row r="18" spans="1:5" ht="14.25" x14ac:dyDescent="0.2">
      <c r="A18" s="33"/>
      <c r="B18" s="34" t="s">
        <v>61</v>
      </c>
    </row>
    <row r="19" spans="1:5" ht="15" x14ac:dyDescent="0.2">
      <c r="A19" s="35" t="s">
        <v>0</v>
      </c>
      <c r="B19" s="35" t="s">
        <v>62</v>
      </c>
      <c r="C19" s="35" t="s">
        <v>63</v>
      </c>
      <c r="D19" s="35" t="s">
        <v>64</v>
      </c>
      <c r="E19" s="35" t="s">
        <v>529</v>
      </c>
    </row>
    <row r="20" spans="1:5" x14ac:dyDescent="0.2">
      <c r="A20" s="32" t="s">
        <v>590</v>
      </c>
      <c r="B20" s="5" t="s">
        <v>61</v>
      </c>
      <c r="C20" s="5" t="s">
        <v>224</v>
      </c>
      <c r="D20" s="5" t="s">
        <v>596</v>
      </c>
      <c r="E20" s="36" t="s">
        <v>597</v>
      </c>
    </row>
  </sheetData>
  <mergeCells count="12">
    <mergeCell ref="I3:I4"/>
    <mergeCell ref="J3:J4"/>
    <mergeCell ref="K3:K4"/>
    <mergeCell ref="A5:J5"/>
    <mergeCell ref="A1:K2"/>
    <mergeCell ref="A3:A4"/>
    <mergeCell ref="B3:B4"/>
    <mergeCell ref="C3:C4"/>
    <mergeCell ref="D3:D4"/>
    <mergeCell ref="E3:E4"/>
    <mergeCell ref="F3:F4"/>
    <mergeCell ref="G3:H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workbookViewId="0">
      <selection activeCell="J21" sqref="J21"/>
    </sheetView>
  </sheetViews>
  <sheetFormatPr defaultColWidth="9.140625" defaultRowHeight="12.75" x14ac:dyDescent="0.2"/>
  <cols>
    <col min="1" max="1" width="24.85546875" style="4" bestFit="1" customWidth="1"/>
    <col min="2" max="2" width="19.140625" style="5" bestFit="1" customWidth="1"/>
    <col min="3" max="3" width="7.5703125" style="5" bestFit="1" customWidth="1"/>
    <col min="4" max="4" width="6.5703125" style="5" bestFit="1" customWidth="1"/>
    <col min="5" max="5" width="17" style="4" bestFit="1" customWidth="1"/>
    <col min="6" max="6" width="26.7109375" style="4" bestFit="1" customWidth="1"/>
    <col min="7" max="7" width="5.5703125" style="5" bestFit="1" customWidth="1"/>
    <col min="8" max="8" width="4.5703125" style="39" bestFit="1" customWidth="1"/>
    <col min="9" max="9" width="6.5703125" style="4" bestFit="1" customWidth="1"/>
    <col min="10" max="10" width="9.5703125" style="5" bestFit="1" customWidth="1"/>
    <col min="11" max="11" width="7.140625" style="4" bestFit="1" customWidth="1"/>
    <col min="12" max="16384" width="9.140625" style="3"/>
  </cols>
  <sheetData>
    <row r="1" spans="1:11" s="2" customFormat="1" ht="28.9" customHeight="1" x14ac:dyDescent="0.2">
      <c r="A1" s="66" t="s">
        <v>580</v>
      </c>
      <c r="B1" s="67"/>
      <c r="C1" s="67"/>
      <c r="D1" s="67"/>
      <c r="E1" s="67"/>
      <c r="F1" s="67"/>
      <c r="G1" s="67"/>
      <c r="H1" s="67"/>
      <c r="I1" s="67"/>
      <c r="J1" s="67"/>
      <c r="K1" s="68"/>
    </row>
    <row r="2" spans="1:11" s="2" customFormat="1" ht="61.9" customHeight="1" thickBot="1" x14ac:dyDescent="0.25">
      <c r="A2" s="69"/>
      <c r="B2" s="70"/>
      <c r="C2" s="70"/>
      <c r="D2" s="70"/>
      <c r="E2" s="70"/>
      <c r="F2" s="70"/>
      <c r="G2" s="70"/>
      <c r="H2" s="70"/>
      <c r="I2" s="70"/>
      <c r="J2" s="70"/>
      <c r="K2" s="71"/>
    </row>
    <row r="3" spans="1:11" s="1" customFormat="1" ht="12.75" customHeight="1" x14ac:dyDescent="0.2">
      <c r="A3" s="55" t="s">
        <v>0</v>
      </c>
      <c r="B3" s="57" t="s">
        <v>12</v>
      </c>
      <c r="C3" s="57" t="s">
        <v>9</v>
      </c>
      <c r="D3" s="59" t="s">
        <v>529</v>
      </c>
      <c r="E3" s="59" t="s">
        <v>1</v>
      </c>
      <c r="F3" s="60" t="s">
        <v>14</v>
      </c>
      <c r="G3" s="55" t="s">
        <v>548</v>
      </c>
      <c r="H3" s="59"/>
      <c r="I3" s="62" t="s">
        <v>75</v>
      </c>
      <c r="J3" s="59" t="s">
        <v>7</v>
      </c>
      <c r="K3" s="47" t="s">
        <v>6</v>
      </c>
    </row>
    <row r="4" spans="1:11" s="1" customFormat="1" ht="23.25" customHeight="1" thickBot="1" x14ac:dyDescent="0.25">
      <c r="A4" s="56"/>
      <c r="B4" s="58"/>
      <c r="C4" s="58"/>
      <c r="D4" s="58"/>
      <c r="E4" s="58"/>
      <c r="F4" s="61"/>
      <c r="G4" s="12" t="s">
        <v>578</v>
      </c>
      <c r="H4" s="37" t="s">
        <v>579</v>
      </c>
      <c r="I4" s="63"/>
      <c r="J4" s="58"/>
      <c r="K4" s="48"/>
    </row>
    <row r="5" spans="1:11" s="5" customFormat="1" ht="15" x14ac:dyDescent="0.2">
      <c r="A5" s="64" t="s">
        <v>15</v>
      </c>
      <c r="B5" s="65"/>
      <c r="C5" s="65"/>
      <c r="D5" s="65"/>
      <c r="E5" s="65"/>
      <c r="F5" s="65"/>
      <c r="G5" s="65"/>
      <c r="H5" s="65"/>
      <c r="I5" s="65"/>
      <c r="J5" s="65"/>
      <c r="K5" s="4"/>
    </row>
    <row r="6" spans="1:11" s="5" customFormat="1" x14ac:dyDescent="0.2">
      <c r="A6" s="15" t="s">
        <v>582</v>
      </c>
      <c r="B6" s="16" t="s">
        <v>583</v>
      </c>
      <c r="C6" s="16" t="s">
        <v>584</v>
      </c>
      <c r="D6" s="16" t="str">
        <f>"0,6561"</f>
        <v>0,6561</v>
      </c>
      <c r="E6" s="15" t="s">
        <v>20</v>
      </c>
      <c r="F6" s="15" t="s">
        <v>194</v>
      </c>
      <c r="G6" s="16" t="s">
        <v>83</v>
      </c>
      <c r="H6" s="38" t="s">
        <v>517</v>
      </c>
      <c r="I6" s="15" t="str">
        <f>"2062,5"</f>
        <v>2062,5</v>
      </c>
      <c r="J6" s="16" t="str">
        <f>"1353,3093"</f>
        <v>1353,3093</v>
      </c>
      <c r="K6" s="15"/>
    </row>
    <row r="7" spans="1:11" s="5" customFormat="1" x14ac:dyDescent="0.2">
      <c r="A7" s="4"/>
      <c r="E7" s="4"/>
      <c r="F7" s="4"/>
      <c r="H7" s="39"/>
      <c r="I7" s="4"/>
      <c r="K7" s="4"/>
    </row>
    <row r="8" spans="1:11" ht="15" x14ac:dyDescent="0.2">
      <c r="A8" s="72" t="s">
        <v>46</v>
      </c>
      <c r="B8" s="73"/>
      <c r="C8" s="73"/>
      <c r="D8" s="73"/>
      <c r="E8" s="73"/>
      <c r="F8" s="73"/>
      <c r="G8" s="73"/>
      <c r="H8" s="73"/>
      <c r="I8" s="73"/>
      <c r="J8" s="73"/>
    </row>
    <row r="9" spans="1:11" x14ac:dyDescent="0.2">
      <c r="A9" s="15" t="s">
        <v>361</v>
      </c>
      <c r="B9" s="16" t="s">
        <v>362</v>
      </c>
      <c r="C9" s="16" t="s">
        <v>363</v>
      </c>
      <c r="D9" s="16" t="str">
        <f>"0,5625"</f>
        <v>0,5625</v>
      </c>
      <c r="E9" s="15" t="s">
        <v>20</v>
      </c>
      <c r="F9" s="15" t="s">
        <v>364</v>
      </c>
      <c r="G9" s="16" t="s">
        <v>183</v>
      </c>
      <c r="H9" s="38" t="s">
        <v>585</v>
      </c>
      <c r="I9" s="15" t="str">
        <f>"2860,0"</f>
        <v>2860,0</v>
      </c>
      <c r="J9" s="16" t="str">
        <f>"1608,7500"</f>
        <v>1608,7500</v>
      </c>
      <c r="K9" s="15"/>
    </row>
    <row r="11" spans="1:11" ht="15" x14ac:dyDescent="0.2">
      <c r="E11" s="27" t="s">
        <v>53</v>
      </c>
    </row>
    <row r="12" spans="1:11" ht="15" x14ac:dyDescent="0.2">
      <c r="E12" s="27" t="s">
        <v>54</v>
      </c>
    </row>
    <row r="13" spans="1:11" ht="15" x14ac:dyDescent="0.2">
      <c r="E13" s="27" t="s">
        <v>55</v>
      </c>
    </row>
    <row r="14" spans="1:11" x14ac:dyDescent="0.2">
      <c r="E14" s="4" t="s">
        <v>56</v>
      </c>
    </row>
    <row r="15" spans="1:11" x14ac:dyDescent="0.2">
      <c r="E15" s="4" t="s">
        <v>57</v>
      </c>
    </row>
    <row r="16" spans="1:11" x14ac:dyDescent="0.2">
      <c r="E16" s="4" t="s">
        <v>58</v>
      </c>
    </row>
    <row r="19" spans="1:5" ht="18" x14ac:dyDescent="0.25">
      <c r="A19" s="28" t="s">
        <v>59</v>
      </c>
      <c r="B19" s="29"/>
    </row>
    <row r="20" spans="1:5" ht="15" x14ac:dyDescent="0.2">
      <c r="A20" s="30" t="s">
        <v>60</v>
      </c>
      <c r="B20" s="31"/>
    </row>
    <row r="21" spans="1:5" ht="14.25" x14ac:dyDescent="0.2">
      <c r="A21" s="33"/>
      <c r="B21" s="34" t="s">
        <v>61</v>
      </c>
    </row>
    <row r="22" spans="1:5" ht="15" x14ac:dyDescent="0.2">
      <c r="A22" s="35" t="s">
        <v>0</v>
      </c>
      <c r="B22" s="35" t="s">
        <v>62</v>
      </c>
      <c r="C22" s="35" t="s">
        <v>63</v>
      </c>
      <c r="D22" s="35" t="s">
        <v>64</v>
      </c>
      <c r="E22" s="35" t="s">
        <v>529</v>
      </c>
    </row>
    <row r="23" spans="1:5" x14ac:dyDescent="0.2">
      <c r="A23" s="32" t="s">
        <v>360</v>
      </c>
      <c r="B23" s="5" t="s">
        <v>61</v>
      </c>
      <c r="C23" s="5" t="s">
        <v>69</v>
      </c>
      <c r="D23" s="5" t="s">
        <v>586</v>
      </c>
      <c r="E23" s="36" t="s">
        <v>587</v>
      </c>
    </row>
    <row r="24" spans="1:5" x14ac:dyDescent="0.2">
      <c r="A24" s="32" t="s">
        <v>581</v>
      </c>
      <c r="B24" s="5" t="s">
        <v>61</v>
      </c>
      <c r="C24" s="5" t="s">
        <v>73</v>
      </c>
      <c r="D24" s="5" t="s">
        <v>588</v>
      </c>
      <c r="E24" s="36" t="s">
        <v>589</v>
      </c>
    </row>
  </sheetData>
  <mergeCells count="13">
    <mergeCell ref="A5:J5"/>
    <mergeCell ref="A8:J8"/>
    <mergeCell ref="A1:K2"/>
    <mergeCell ref="A3:A4"/>
    <mergeCell ref="B3:B4"/>
    <mergeCell ref="C3:C4"/>
    <mergeCell ref="D3:D4"/>
    <mergeCell ref="E3:E4"/>
    <mergeCell ref="F3:F4"/>
    <mergeCell ref="G3:H3"/>
    <mergeCell ref="I3:I4"/>
    <mergeCell ref="J3:J4"/>
    <mergeCell ref="K3:K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workbookViewId="0">
      <selection activeCell="K24" sqref="K24"/>
    </sheetView>
  </sheetViews>
  <sheetFormatPr defaultColWidth="9.140625" defaultRowHeight="12.75" x14ac:dyDescent="0.2"/>
  <cols>
    <col min="1" max="1" width="24.85546875" style="4" bestFit="1" customWidth="1"/>
    <col min="2" max="2" width="19.140625" style="5" bestFit="1" customWidth="1"/>
    <col min="3" max="3" width="7.5703125" style="5" bestFit="1" customWidth="1"/>
    <col min="4" max="4" width="6.5703125" style="5" bestFit="1" customWidth="1"/>
    <col min="5" max="5" width="17" style="4" bestFit="1" customWidth="1"/>
    <col min="6" max="6" width="15.28515625" style="4" bestFit="1" customWidth="1"/>
    <col min="7" max="7" width="4.5703125" style="5" bestFit="1" customWidth="1"/>
    <col min="8" max="8" width="4.5703125" style="39" bestFit="1" customWidth="1"/>
    <col min="9" max="9" width="6.5703125" style="4" bestFit="1" customWidth="1"/>
    <col min="10" max="10" width="9.5703125" style="5" bestFit="1" customWidth="1"/>
    <col min="11" max="11" width="7.140625" style="4" bestFit="1" customWidth="1"/>
    <col min="12" max="16384" width="9.140625" style="3"/>
  </cols>
  <sheetData>
    <row r="1" spans="1:11" s="2" customFormat="1" ht="28.9" customHeight="1" x14ac:dyDescent="0.2">
      <c r="A1" s="66" t="s">
        <v>665</v>
      </c>
      <c r="B1" s="67"/>
      <c r="C1" s="67"/>
      <c r="D1" s="67"/>
      <c r="E1" s="67"/>
      <c r="F1" s="67"/>
      <c r="G1" s="67"/>
      <c r="H1" s="67"/>
      <c r="I1" s="67"/>
      <c r="J1" s="67"/>
      <c r="K1" s="68"/>
    </row>
    <row r="2" spans="1:11" s="2" customFormat="1" ht="61.9" customHeight="1" thickBot="1" x14ac:dyDescent="0.25">
      <c r="A2" s="69"/>
      <c r="B2" s="70"/>
      <c r="C2" s="70"/>
      <c r="D2" s="70"/>
      <c r="E2" s="70"/>
      <c r="F2" s="70"/>
      <c r="G2" s="70"/>
      <c r="H2" s="70"/>
      <c r="I2" s="70"/>
      <c r="J2" s="70"/>
      <c r="K2" s="71"/>
    </row>
    <row r="3" spans="1:11" s="1" customFormat="1" ht="12.75" customHeight="1" x14ac:dyDescent="0.2">
      <c r="A3" s="55" t="s">
        <v>0</v>
      </c>
      <c r="B3" s="57" t="s">
        <v>12</v>
      </c>
      <c r="C3" s="57" t="s">
        <v>9</v>
      </c>
      <c r="D3" s="59" t="s">
        <v>529</v>
      </c>
      <c r="E3" s="59" t="s">
        <v>1</v>
      </c>
      <c r="F3" s="60" t="s">
        <v>14</v>
      </c>
      <c r="G3" s="55" t="s">
        <v>548</v>
      </c>
      <c r="H3" s="59"/>
      <c r="I3" s="62" t="s">
        <v>75</v>
      </c>
      <c r="J3" s="59" t="s">
        <v>7</v>
      </c>
      <c r="K3" s="47" t="s">
        <v>6</v>
      </c>
    </row>
    <row r="4" spans="1:11" s="1" customFormat="1" ht="23.25" customHeight="1" thickBot="1" x14ac:dyDescent="0.25">
      <c r="A4" s="56"/>
      <c r="B4" s="58"/>
      <c r="C4" s="58"/>
      <c r="D4" s="58"/>
      <c r="E4" s="58"/>
      <c r="F4" s="61"/>
      <c r="G4" s="12" t="s">
        <v>578</v>
      </c>
      <c r="H4" s="37" t="s">
        <v>579</v>
      </c>
      <c r="I4" s="63"/>
      <c r="J4" s="58"/>
      <c r="K4" s="48"/>
    </row>
    <row r="5" spans="1:11" s="5" customFormat="1" ht="15" x14ac:dyDescent="0.2">
      <c r="A5" s="64" t="s">
        <v>15</v>
      </c>
      <c r="B5" s="65"/>
      <c r="C5" s="65"/>
      <c r="D5" s="65"/>
      <c r="E5" s="65"/>
      <c r="F5" s="65"/>
      <c r="G5" s="65"/>
      <c r="H5" s="65"/>
      <c r="I5" s="65"/>
      <c r="J5" s="65"/>
      <c r="K5" s="4"/>
    </row>
    <row r="6" spans="1:11" s="5" customFormat="1" x14ac:dyDescent="0.2">
      <c r="A6" s="15" t="s">
        <v>550</v>
      </c>
      <c r="B6" s="16" t="s">
        <v>551</v>
      </c>
      <c r="C6" s="16" t="s">
        <v>552</v>
      </c>
      <c r="D6" s="16" t="str">
        <f>"0,6737"</f>
        <v>0,6737</v>
      </c>
      <c r="E6" s="15" t="s">
        <v>20</v>
      </c>
      <c r="F6" s="15" t="s">
        <v>553</v>
      </c>
      <c r="G6" s="16" t="s">
        <v>489</v>
      </c>
      <c r="H6" s="38" t="s">
        <v>554</v>
      </c>
      <c r="I6" s="15" t="str">
        <f>"4572,5"</f>
        <v>4572,5</v>
      </c>
      <c r="J6" s="16" t="str">
        <f>"3080,2647"</f>
        <v>3080,2647</v>
      </c>
      <c r="K6" s="15"/>
    </row>
    <row r="7" spans="1:11" s="5" customFormat="1" x14ac:dyDescent="0.2">
      <c r="A7" s="4"/>
      <c r="E7" s="4"/>
      <c r="F7" s="4"/>
      <c r="H7" s="39"/>
      <c r="I7" s="4"/>
      <c r="K7" s="4"/>
    </row>
    <row r="8" spans="1:11" ht="15" x14ac:dyDescent="0.2">
      <c r="A8" s="72" t="s">
        <v>96</v>
      </c>
      <c r="B8" s="73"/>
      <c r="C8" s="73"/>
      <c r="D8" s="73"/>
      <c r="E8" s="73"/>
      <c r="F8" s="73"/>
      <c r="G8" s="73"/>
      <c r="H8" s="73"/>
      <c r="I8" s="73"/>
      <c r="J8" s="73"/>
    </row>
    <row r="9" spans="1:11" x14ac:dyDescent="0.2">
      <c r="A9" s="15" t="s">
        <v>556</v>
      </c>
      <c r="B9" s="16" t="s">
        <v>557</v>
      </c>
      <c r="C9" s="16" t="s">
        <v>558</v>
      </c>
      <c r="D9" s="16" t="str">
        <f>"0,6340"</f>
        <v>0,6340</v>
      </c>
      <c r="E9" s="15" t="s">
        <v>20</v>
      </c>
      <c r="F9" s="15" t="s">
        <v>30</v>
      </c>
      <c r="G9" s="16" t="s">
        <v>145</v>
      </c>
      <c r="H9" s="40" t="s">
        <v>559</v>
      </c>
      <c r="I9" s="15" t="str">
        <f>"3060,0"</f>
        <v>3060,0</v>
      </c>
      <c r="J9" s="16" t="str">
        <f>"1940,0400"</f>
        <v>1940,0400</v>
      </c>
      <c r="K9" s="15"/>
    </row>
    <row r="11" spans="1:11" ht="15" x14ac:dyDescent="0.2">
      <c r="A11" s="72" t="s">
        <v>25</v>
      </c>
      <c r="B11" s="73"/>
      <c r="C11" s="73"/>
      <c r="D11" s="73"/>
      <c r="E11" s="73"/>
      <c r="F11" s="73"/>
      <c r="G11" s="73"/>
      <c r="H11" s="73"/>
      <c r="I11" s="73"/>
      <c r="J11" s="73"/>
    </row>
    <row r="12" spans="1:11" x14ac:dyDescent="0.2">
      <c r="A12" s="21" t="s">
        <v>561</v>
      </c>
      <c r="B12" s="18" t="s">
        <v>562</v>
      </c>
      <c r="C12" s="18" t="s">
        <v>45</v>
      </c>
      <c r="D12" s="18" t="str">
        <f>"0,5889"</f>
        <v>0,5889</v>
      </c>
      <c r="E12" s="21" t="s">
        <v>20</v>
      </c>
      <c r="F12" s="21" t="s">
        <v>30</v>
      </c>
      <c r="G12" s="18" t="s">
        <v>563</v>
      </c>
      <c r="H12" s="41" t="s">
        <v>564</v>
      </c>
      <c r="I12" s="21" t="str">
        <f>"2632,5"</f>
        <v>2632,5</v>
      </c>
      <c r="J12" s="18" t="str">
        <f>"1550,1477"</f>
        <v>1550,1477</v>
      </c>
      <c r="K12" s="21"/>
    </row>
    <row r="13" spans="1:11" x14ac:dyDescent="0.2">
      <c r="A13" s="25" t="s">
        <v>566</v>
      </c>
      <c r="B13" s="20" t="s">
        <v>567</v>
      </c>
      <c r="C13" s="20" t="s">
        <v>568</v>
      </c>
      <c r="D13" s="20" t="str">
        <f>"0,6043"</f>
        <v>0,6043</v>
      </c>
      <c r="E13" s="25" t="s">
        <v>20</v>
      </c>
      <c r="F13" s="25" t="s">
        <v>30</v>
      </c>
      <c r="G13" s="20" t="s">
        <v>85</v>
      </c>
      <c r="H13" s="42" t="s">
        <v>569</v>
      </c>
      <c r="I13" s="25" t="str">
        <f>"2035,0"</f>
        <v>2035,0</v>
      </c>
      <c r="J13" s="20" t="str">
        <f>"1229,7505"</f>
        <v>1229,7505</v>
      </c>
      <c r="K13" s="25"/>
    </row>
    <row r="15" spans="1:11" ht="15" x14ac:dyDescent="0.2">
      <c r="E15" s="27" t="s">
        <v>53</v>
      </c>
    </row>
    <row r="16" spans="1:11" ht="15" x14ac:dyDescent="0.2">
      <c r="E16" s="27" t="s">
        <v>54</v>
      </c>
    </row>
    <row r="17" spans="1:5" ht="15" x14ac:dyDescent="0.2">
      <c r="E17" s="27" t="s">
        <v>55</v>
      </c>
    </row>
    <row r="18" spans="1:5" x14ac:dyDescent="0.2">
      <c r="E18" s="4" t="s">
        <v>56</v>
      </c>
    </row>
    <row r="19" spans="1:5" x14ac:dyDescent="0.2">
      <c r="E19" s="4" t="s">
        <v>57</v>
      </c>
    </row>
    <row r="20" spans="1:5" x14ac:dyDescent="0.2">
      <c r="E20" s="4" t="s">
        <v>58</v>
      </c>
    </row>
    <row r="23" spans="1:5" ht="18" x14ac:dyDescent="0.25">
      <c r="A23" s="28" t="s">
        <v>59</v>
      </c>
      <c r="B23" s="29"/>
    </row>
    <row r="24" spans="1:5" ht="15" x14ac:dyDescent="0.2">
      <c r="A24" s="30" t="s">
        <v>60</v>
      </c>
      <c r="B24" s="31"/>
    </row>
    <row r="25" spans="1:5" ht="14.25" x14ac:dyDescent="0.2">
      <c r="A25" s="33"/>
      <c r="B25" s="34" t="s">
        <v>61</v>
      </c>
    </row>
    <row r="26" spans="1:5" ht="15" x14ac:dyDescent="0.2">
      <c r="A26" s="35" t="s">
        <v>0</v>
      </c>
      <c r="B26" s="35" t="s">
        <v>62</v>
      </c>
      <c r="C26" s="35" t="s">
        <v>63</v>
      </c>
      <c r="D26" s="35" t="s">
        <v>64</v>
      </c>
      <c r="E26" s="35" t="s">
        <v>529</v>
      </c>
    </row>
    <row r="27" spans="1:5" x14ac:dyDescent="0.2">
      <c r="A27" s="32" t="s">
        <v>549</v>
      </c>
      <c r="B27" s="5" t="s">
        <v>61</v>
      </c>
      <c r="C27" s="5" t="s">
        <v>73</v>
      </c>
      <c r="D27" s="5" t="s">
        <v>570</v>
      </c>
      <c r="E27" s="36" t="s">
        <v>571</v>
      </c>
    </row>
    <row r="28" spans="1:5" x14ac:dyDescent="0.2">
      <c r="A28" s="32" t="s">
        <v>555</v>
      </c>
      <c r="B28" s="5" t="s">
        <v>61</v>
      </c>
      <c r="C28" s="5" t="s">
        <v>121</v>
      </c>
      <c r="D28" s="5" t="s">
        <v>572</v>
      </c>
      <c r="E28" s="36" t="s">
        <v>573</v>
      </c>
    </row>
    <row r="29" spans="1:5" x14ac:dyDescent="0.2">
      <c r="A29" s="32" t="s">
        <v>560</v>
      </c>
      <c r="B29" s="5" t="s">
        <v>61</v>
      </c>
      <c r="C29" s="5" t="s">
        <v>65</v>
      </c>
      <c r="D29" s="5" t="s">
        <v>574</v>
      </c>
      <c r="E29" s="36" t="s">
        <v>575</v>
      </c>
    </row>
    <row r="30" spans="1:5" x14ac:dyDescent="0.2">
      <c r="A30" s="32" t="s">
        <v>565</v>
      </c>
      <c r="B30" s="5" t="s">
        <v>61</v>
      </c>
      <c r="C30" s="5" t="s">
        <v>65</v>
      </c>
      <c r="D30" s="5" t="s">
        <v>576</v>
      </c>
      <c r="E30" s="36" t="s">
        <v>577</v>
      </c>
    </row>
  </sheetData>
  <mergeCells count="14">
    <mergeCell ref="A11:J11"/>
    <mergeCell ref="A1:K2"/>
    <mergeCell ref="A3:A4"/>
    <mergeCell ref="B3:B4"/>
    <mergeCell ref="C3:C4"/>
    <mergeCell ref="D3:D4"/>
    <mergeCell ref="E3:E4"/>
    <mergeCell ref="F3:F4"/>
    <mergeCell ref="G3:H3"/>
    <mergeCell ref="I3:I4"/>
    <mergeCell ref="J3:J4"/>
    <mergeCell ref="K3:K4"/>
    <mergeCell ref="A5:J5"/>
    <mergeCell ref="A8:J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21</vt:i4>
      </vt:variant>
    </vt:vector>
  </HeadingPairs>
  <TitlesOfParts>
    <vt:vector size="21" baseType="lpstr">
      <vt:lpstr>Лист52</vt:lpstr>
      <vt:lpstr>WPA st.ply BP</vt:lpstr>
      <vt:lpstr>Arm. «Rus. Axle»</vt:lpstr>
      <vt:lpstr>Al. Rus. Roulette</vt:lpstr>
      <vt:lpstr>Al. «Excalibur»</vt:lpstr>
      <vt:lpstr>Al. HUB</vt:lpstr>
      <vt:lpstr>MR BP 1_2 bw. AWPC</vt:lpstr>
      <vt:lpstr>MR BP 1 bw. AWPC</vt:lpstr>
      <vt:lpstr>MR BP 1 bw. WPC</vt:lpstr>
      <vt:lpstr>AWPC MP soft eq. BP</vt:lpstr>
      <vt:lpstr>WPC soft eq. BP</vt:lpstr>
      <vt:lpstr>WPA SC</vt:lpstr>
      <vt:lpstr>AWPA SC</vt:lpstr>
      <vt:lpstr>WPA OB</vt:lpstr>
      <vt:lpstr>AWPA raw PL</vt:lpstr>
      <vt:lpstr>AWPA raw BP</vt:lpstr>
      <vt:lpstr>AWPA raw DL</vt:lpstr>
      <vt:lpstr>WPA raw PL</vt:lpstr>
      <vt:lpstr>WPA m.ply BP</vt:lpstr>
      <vt:lpstr>WPA raw BP</vt:lpstr>
      <vt:lpstr>WPA raw DL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Tomchin</dc:creator>
  <cp:lastModifiedBy>User</cp:lastModifiedBy>
  <cp:lastPrinted>2008-02-22T21:19:54Z</cp:lastPrinted>
  <dcterms:created xsi:type="dcterms:W3CDTF">2002-06-16T13:36:44Z</dcterms:created>
  <dcterms:modified xsi:type="dcterms:W3CDTF">2020-09-29T10:35:46Z</dcterms:modified>
</cp:coreProperties>
</file>