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Декабрь/"/>
    </mc:Choice>
  </mc:AlternateContent>
  <xr:revisionPtr revIDLastSave="0" documentId="13_ncr:1_{062EED96-6B8B-D446-92FA-26008A9900A0}" xr6:coauthVersionLast="45" xr6:coauthVersionMax="45" xr10:uidLastSave="{00000000-0000-0000-0000-000000000000}"/>
  <bookViews>
    <workbookView xWindow="480" yWindow="460" windowWidth="28280" windowHeight="16140" firstSheet="22" activeTab="22" xr2:uid="{00000000-000D-0000-FFFF-FFFF00000000}"/>
  </bookViews>
  <sheets>
    <sheet name="WRPF ПЛ без экипировки ДК" sheetId="10" r:id="rId1"/>
    <sheet name="WRPF ПЛ без экипировки" sheetId="9" r:id="rId2"/>
    <sheet name="WRPF ПЛ в бинтах ДК" sheetId="6" r:id="rId3"/>
    <sheet name="WRPF ПЛ в бинтах" sheetId="5" r:id="rId4"/>
    <sheet name="WEPF ПЛ однослой ДК" sheetId="8" r:id="rId5"/>
    <sheet name="WRPF Двоеборье без экип ДК" sheetId="26" r:id="rId6"/>
    <sheet name="WRPF Двоеборье без экип" sheetId="25" r:id="rId7"/>
    <sheet name="WEPF Двоеборье экип" sheetId="27" r:id="rId8"/>
    <sheet name="WRPF Жим лежа без экип ДК" sheetId="13" r:id="rId9"/>
    <sheet name="WRPF Жим лежа без экип" sheetId="12" r:id="rId10"/>
    <sheet name="WEPF Жим однослой ДК" sheetId="16" r:id="rId11"/>
    <sheet name="WEPF Жим многослой ДК" sheetId="20" r:id="rId12"/>
    <sheet name="WEPF Жим однослой" sheetId="15" r:id="rId13"/>
    <sheet name="WEPF Жим софт однопетельная ДК" sheetId="14" r:id="rId14"/>
    <sheet name="WEPF Жим софт однопетельная" sheetId="11" r:id="rId15"/>
    <sheet name="WEPF Жим софт многопетельнаяДК" sheetId="18" r:id="rId16"/>
    <sheet name="WEPF Жим софт многопетельная" sheetId="17" r:id="rId17"/>
    <sheet name="WRPF Жим СФО" sheetId="52" r:id="rId18"/>
    <sheet name="WRPF Тяга без экипировки ДК" sheetId="22" r:id="rId19"/>
    <sheet name="WRPF Тяга без экипировки" sheetId="21" r:id="rId20"/>
    <sheet name="WEPF Тяга экип ДК" sheetId="24" r:id="rId21"/>
    <sheet name="WEPF Тяга экип" sheetId="23" r:id="rId22"/>
    <sheet name="WRPF Подъем на бицепс" sheetId="32" r:id="rId23"/>
  </sheets>
  <definedNames>
    <definedName name="_FilterDatabase" localSheetId="3" hidden="1">'WRPF ПЛ в бинтах'!$A$1:$S$3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3" i="9" l="1"/>
  <c r="L153" i="22"/>
  <c r="L45" i="52"/>
  <c r="K45" i="52"/>
  <c r="L42" i="52"/>
  <c r="K42" i="52"/>
  <c r="L39" i="52"/>
  <c r="K39" i="52"/>
  <c r="L36" i="52"/>
  <c r="K36" i="52"/>
  <c r="L35" i="52"/>
  <c r="K35" i="52"/>
  <c r="L32" i="52"/>
  <c r="K32" i="52"/>
  <c r="L31" i="52"/>
  <c r="K31" i="52"/>
  <c r="L28" i="52"/>
  <c r="K28" i="52"/>
  <c r="L25" i="52"/>
  <c r="K25" i="52"/>
  <c r="L24" i="52"/>
  <c r="K24" i="52"/>
  <c r="L23" i="52"/>
  <c r="K23" i="52"/>
  <c r="L22" i="52"/>
  <c r="K22" i="52"/>
  <c r="L19" i="52"/>
  <c r="K19" i="52"/>
  <c r="L16" i="52"/>
  <c r="K16" i="52"/>
  <c r="L13" i="52"/>
  <c r="K13" i="52"/>
  <c r="L10" i="52"/>
  <c r="K10" i="52"/>
  <c r="L7" i="52"/>
  <c r="K7" i="52"/>
  <c r="L6" i="52"/>
  <c r="K6" i="52"/>
  <c r="L139" i="32"/>
  <c r="L138" i="32"/>
  <c r="K138" i="32"/>
  <c r="L135" i="32"/>
  <c r="K135" i="32"/>
  <c r="L134" i="32"/>
  <c r="K134" i="32"/>
  <c r="L133" i="32"/>
  <c r="K133" i="32"/>
  <c r="L132" i="32"/>
  <c r="K132" i="32"/>
  <c r="L131" i="32"/>
  <c r="K131" i="32"/>
  <c r="L128" i="32"/>
  <c r="K128" i="32"/>
  <c r="L127" i="32"/>
  <c r="K127" i="32"/>
  <c r="L126" i="32"/>
  <c r="K126" i="32"/>
  <c r="L125" i="32"/>
  <c r="K125" i="32"/>
  <c r="L124" i="32"/>
  <c r="K124" i="32"/>
  <c r="L123" i="32"/>
  <c r="K123" i="32"/>
  <c r="L120" i="32"/>
  <c r="K120" i="32"/>
  <c r="L119" i="32"/>
  <c r="K119" i="32"/>
  <c r="L118" i="32"/>
  <c r="K118" i="32"/>
  <c r="L117" i="32"/>
  <c r="K117" i="32"/>
  <c r="L116" i="32"/>
  <c r="K116" i="32"/>
  <c r="L115" i="32"/>
  <c r="K115" i="32"/>
  <c r="L114" i="32"/>
  <c r="K114" i="32"/>
  <c r="L113" i="32"/>
  <c r="K113" i="32"/>
  <c r="L112" i="32"/>
  <c r="K112" i="32"/>
  <c r="L111" i="32"/>
  <c r="L110" i="32"/>
  <c r="K110" i="32"/>
  <c r="L109" i="32"/>
  <c r="K109" i="32"/>
  <c r="L106" i="32"/>
  <c r="K106" i="32"/>
  <c r="L105" i="32"/>
  <c r="K105" i="32"/>
  <c r="L104" i="32"/>
  <c r="K104" i="32"/>
  <c r="L103" i="32"/>
  <c r="L102" i="32"/>
  <c r="K102" i="32"/>
  <c r="L101" i="32"/>
  <c r="K101" i="32"/>
  <c r="L100" i="32"/>
  <c r="K100" i="32"/>
  <c r="L99" i="32"/>
  <c r="K99" i="32"/>
  <c r="L98" i="32"/>
  <c r="K98" i="32"/>
  <c r="L97" i="32"/>
  <c r="K97" i="32"/>
  <c r="L96" i="32"/>
  <c r="K96" i="32"/>
  <c r="L95" i="32"/>
  <c r="K95" i="32"/>
  <c r="L94" i="32"/>
  <c r="K94" i="32"/>
  <c r="L93" i="32"/>
  <c r="L92" i="32"/>
  <c r="K92" i="32"/>
  <c r="L89" i="32"/>
  <c r="K89" i="32"/>
  <c r="L88" i="32"/>
  <c r="K88" i="32"/>
  <c r="L87" i="32"/>
  <c r="K87" i="32"/>
  <c r="L86" i="32"/>
  <c r="K86" i="32"/>
  <c r="L85" i="32"/>
  <c r="K85" i="32"/>
  <c r="L84" i="32"/>
  <c r="K84" i="32"/>
  <c r="L83" i="32"/>
  <c r="K83" i="32"/>
  <c r="L82" i="32"/>
  <c r="K82" i="32"/>
  <c r="L81" i="32"/>
  <c r="K81" i="32"/>
  <c r="L80" i="32"/>
  <c r="K80" i="32"/>
  <c r="L79" i="32"/>
  <c r="K79" i="32"/>
  <c r="L78" i="32"/>
  <c r="K78" i="32"/>
  <c r="L77" i="32"/>
  <c r="K77" i="32"/>
  <c r="L76" i="32"/>
  <c r="K76" i="32"/>
  <c r="L75" i="32"/>
  <c r="K75" i="32"/>
  <c r="L74" i="32"/>
  <c r="K74" i="32"/>
  <c r="L71" i="32"/>
  <c r="K71" i="32"/>
  <c r="L70" i="32"/>
  <c r="K70" i="32"/>
  <c r="L69" i="32"/>
  <c r="K69" i="32"/>
  <c r="L68" i="32"/>
  <c r="K68" i="32"/>
  <c r="L67" i="32"/>
  <c r="K67" i="32"/>
  <c r="L66" i="32"/>
  <c r="K66" i="32"/>
  <c r="L65" i="32"/>
  <c r="K65" i="32"/>
  <c r="L64" i="32"/>
  <c r="K64" i="32"/>
  <c r="L63" i="32"/>
  <c r="K63" i="32"/>
  <c r="L62" i="32"/>
  <c r="K62" i="32"/>
  <c r="L61" i="32"/>
  <c r="K61" i="32"/>
  <c r="L60" i="32"/>
  <c r="K60" i="32"/>
  <c r="L59" i="32"/>
  <c r="K59" i="32"/>
  <c r="L58" i="32"/>
  <c r="K58" i="32"/>
  <c r="L57" i="32"/>
  <c r="K57" i="32"/>
  <c r="L54" i="32"/>
  <c r="K54" i="32"/>
  <c r="L53" i="32"/>
  <c r="K53" i="32"/>
  <c r="L52" i="32"/>
  <c r="K52" i="32"/>
  <c r="L51" i="32"/>
  <c r="K51" i="32"/>
  <c r="L50" i="32"/>
  <c r="K50" i="32"/>
  <c r="L49" i="32"/>
  <c r="K49" i="32"/>
  <c r="L48" i="32"/>
  <c r="K48" i="32"/>
  <c r="L47" i="32"/>
  <c r="K47" i="32"/>
  <c r="L46" i="32"/>
  <c r="K46" i="32"/>
  <c r="L43" i="32"/>
  <c r="K43" i="32"/>
  <c r="L42" i="32"/>
  <c r="K42" i="32"/>
  <c r="L41" i="32"/>
  <c r="K41" i="32"/>
  <c r="L40" i="32"/>
  <c r="K40" i="32"/>
  <c r="L37" i="32"/>
  <c r="K37" i="32"/>
  <c r="L36" i="32"/>
  <c r="K36" i="32"/>
  <c r="L35" i="32"/>
  <c r="K35" i="32"/>
  <c r="L32" i="32"/>
  <c r="K32" i="32"/>
  <c r="L31" i="32"/>
  <c r="K31" i="32"/>
  <c r="L28" i="32"/>
  <c r="K28" i="32"/>
  <c r="L25" i="32"/>
  <c r="K25" i="32"/>
  <c r="L24" i="32"/>
  <c r="K24" i="32"/>
  <c r="L21" i="32"/>
  <c r="K21" i="32"/>
  <c r="L20" i="32"/>
  <c r="K20" i="32"/>
  <c r="L19" i="32"/>
  <c r="K19" i="32"/>
  <c r="L18" i="32"/>
  <c r="K18" i="32"/>
  <c r="L17" i="32"/>
  <c r="L16" i="32"/>
  <c r="K16" i="32"/>
  <c r="L15" i="32"/>
  <c r="K15" i="32"/>
  <c r="L12" i="32"/>
  <c r="K12" i="32"/>
  <c r="L11" i="32"/>
  <c r="K11" i="32"/>
  <c r="L10" i="32"/>
  <c r="K10" i="32"/>
  <c r="L9" i="32"/>
  <c r="K9" i="32"/>
  <c r="L6" i="32"/>
  <c r="K6" i="32"/>
  <c r="P12" i="27"/>
  <c r="O12" i="27"/>
  <c r="P9" i="27"/>
  <c r="O9" i="27"/>
  <c r="P6" i="27"/>
  <c r="O6" i="27"/>
  <c r="P93" i="26"/>
  <c r="O93" i="26"/>
  <c r="P90" i="26"/>
  <c r="P89" i="26"/>
  <c r="P88" i="26"/>
  <c r="O88" i="26"/>
  <c r="P87" i="26"/>
  <c r="O87" i="26"/>
  <c r="P86" i="26"/>
  <c r="O86" i="26"/>
  <c r="P83" i="26"/>
  <c r="O83" i="26"/>
  <c r="P82" i="26"/>
  <c r="O82" i="26"/>
  <c r="P81" i="26"/>
  <c r="O81" i="26"/>
  <c r="P80" i="26"/>
  <c r="O80" i="26"/>
  <c r="P79" i="26"/>
  <c r="O79" i="26"/>
  <c r="P78" i="26"/>
  <c r="O78" i="26"/>
  <c r="P77" i="26"/>
  <c r="O77" i="26"/>
  <c r="P76" i="26"/>
  <c r="O76" i="26"/>
  <c r="P75" i="26"/>
  <c r="O75" i="26"/>
  <c r="P74" i="26"/>
  <c r="O74" i="26"/>
  <c r="P73" i="26"/>
  <c r="O73" i="26"/>
  <c r="P72" i="26"/>
  <c r="O72" i="26"/>
  <c r="P69" i="26"/>
  <c r="O69" i="26"/>
  <c r="P68" i="26"/>
  <c r="O68" i="26"/>
  <c r="P67" i="26"/>
  <c r="O67" i="26"/>
  <c r="P66" i="26"/>
  <c r="O66" i="26"/>
  <c r="P65" i="26"/>
  <c r="P64" i="26"/>
  <c r="O64" i="26"/>
  <c r="P63" i="26"/>
  <c r="O63" i="26"/>
  <c r="P62" i="26"/>
  <c r="O62" i="26"/>
  <c r="P61" i="26"/>
  <c r="O61" i="26"/>
  <c r="P60" i="26"/>
  <c r="O60" i="26"/>
  <c r="P59" i="26"/>
  <c r="O59" i="26"/>
  <c r="P58" i="26"/>
  <c r="O58" i="26"/>
  <c r="P57" i="26"/>
  <c r="O57" i="26"/>
  <c r="P56" i="26"/>
  <c r="O56" i="26"/>
  <c r="P55" i="26"/>
  <c r="O55" i="26"/>
  <c r="P52" i="26"/>
  <c r="O52" i="26"/>
  <c r="P51" i="26"/>
  <c r="O51" i="26"/>
  <c r="P50" i="26"/>
  <c r="O50" i="26"/>
  <c r="P49" i="26"/>
  <c r="P48" i="26"/>
  <c r="O48" i="26"/>
  <c r="P47" i="26"/>
  <c r="O47" i="26"/>
  <c r="P46" i="26"/>
  <c r="P45" i="26"/>
  <c r="O45" i="26"/>
  <c r="P44" i="26"/>
  <c r="O44" i="26"/>
  <c r="P43" i="26"/>
  <c r="O43" i="26"/>
  <c r="P42" i="26"/>
  <c r="O42" i="26"/>
  <c r="P41" i="26"/>
  <c r="O41" i="26"/>
  <c r="P40" i="26"/>
  <c r="O40" i="26"/>
  <c r="P39" i="26"/>
  <c r="O39" i="26"/>
  <c r="P38" i="26"/>
  <c r="O38" i="26"/>
  <c r="P37" i="26"/>
  <c r="O37" i="26"/>
  <c r="P36" i="26"/>
  <c r="O36" i="26"/>
  <c r="P33" i="26"/>
  <c r="P32" i="26"/>
  <c r="O32" i="26"/>
  <c r="P29" i="26"/>
  <c r="O29" i="26"/>
  <c r="P28" i="26"/>
  <c r="O28" i="26"/>
  <c r="P25" i="26"/>
  <c r="O25" i="26"/>
  <c r="P24" i="26"/>
  <c r="O24" i="26"/>
  <c r="P23" i="26"/>
  <c r="O23" i="26"/>
  <c r="P20" i="26"/>
  <c r="P17" i="26"/>
  <c r="O17" i="26"/>
  <c r="P16" i="26"/>
  <c r="O16" i="26"/>
  <c r="P15" i="26"/>
  <c r="O15" i="26"/>
  <c r="P14" i="26"/>
  <c r="O14" i="26"/>
  <c r="P11" i="26"/>
  <c r="O11" i="26"/>
  <c r="P10" i="26"/>
  <c r="O10" i="26"/>
  <c r="P7" i="26"/>
  <c r="O7" i="26"/>
  <c r="P6" i="26"/>
  <c r="O6" i="26"/>
  <c r="P77" i="25"/>
  <c r="O77" i="25"/>
  <c r="P76" i="25"/>
  <c r="O76" i="25"/>
  <c r="P73" i="25"/>
  <c r="O73" i="25"/>
  <c r="P72" i="25"/>
  <c r="P71" i="25"/>
  <c r="O71" i="25"/>
  <c r="P70" i="25"/>
  <c r="O70" i="25"/>
  <c r="P67" i="25"/>
  <c r="O67" i="25"/>
  <c r="P66" i="25"/>
  <c r="O66" i="25"/>
  <c r="P65" i="25"/>
  <c r="O65" i="25"/>
  <c r="P64" i="25"/>
  <c r="O64" i="25"/>
  <c r="P63" i="25"/>
  <c r="O63" i="25"/>
  <c r="P62" i="25"/>
  <c r="O62" i="25"/>
  <c r="P59" i="25"/>
  <c r="O59" i="25"/>
  <c r="P58" i="25"/>
  <c r="O58" i="25"/>
  <c r="P57" i="25"/>
  <c r="O57" i="25"/>
  <c r="P56" i="25"/>
  <c r="O56" i="25"/>
  <c r="P55" i="25"/>
  <c r="O55" i="25"/>
  <c r="P54" i="25"/>
  <c r="O54" i="25"/>
  <c r="P53" i="25"/>
  <c r="O53" i="25"/>
  <c r="P52" i="25"/>
  <c r="O52" i="25"/>
  <c r="P51" i="25"/>
  <c r="O51" i="25"/>
  <c r="P50" i="25"/>
  <c r="O50" i="25"/>
  <c r="P49" i="25"/>
  <c r="O49" i="25"/>
  <c r="P48" i="25"/>
  <c r="O48" i="25"/>
  <c r="P47" i="25"/>
  <c r="O47" i="25"/>
  <c r="P46" i="25"/>
  <c r="O46" i="25"/>
  <c r="P43" i="25"/>
  <c r="P42" i="25"/>
  <c r="O42" i="25"/>
  <c r="P41" i="25"/>
  <c r="O41" i="25"/>
  <c r="P40" i="25"/>
  <c r="O40" i="25"/>
  <c r="P39" i="25"/>
  <c r="O39" i="25"/>
  <c r="P38" i="25"/>
  <c r="O38" i="25"/>
  <c r="P37" i="25"/>
  <c r="O37" i="25"/>
  <c r="P34" i="25"/>
  <c r="O34" i="25"/>
  <c r="P33" i="25"/>
  <c r="O33" i="25"/>
  <c r="P32" i="25"/>
  <c r="P31" i="25"/>
  <c r="O31" i="25"/>
  <c r="P30" i="25"/>
  <c r="O30" i="25"/>
  <c r="P29" i="25"/>
  <c r="O29" i="25"/>
  <c r="P28" i="25"/>
  <c r="O28" i="25"/>
  <c r="P25" i="25"/>
  <c r="O25" i="25"/>
  <c r="P24" i="25"/>
  <c r="O24" i="25"/>
  <c r="P23" i="25"/>
  <c r="O23" i="25"/>
  <c r="P20" i="25"/>
  <c r="O20" i="25"/>
  <c r="P19" i="25"/>
  <c r="O19" i="25"/>
  <c r="P16" i="25"/>
  <c r="O16" i="25"/>
  <c r="P13" i="25"/>
  <c r="O13" i="25"/>
  <c r="P12" i="25"/>
  <c r="O12" i="25"/>
  <c r="P9" i="25"/>
  <c r="O9" i="25"/>
  <c r="P8" i="25"/>
  <c r="O8" i="25"/>
  <c r="P7" i="25"/>
  <c r="O7" i="25"/>
  <c r="P6" i="25"/>
  <c r="O6" i="25"/>
  <c r="L16" i="24"/>
  <c r="K16" i="24"/>
  <c r="L13" i="24"/>
  <c r="K13" i="24"/>
  <c r="L12" i="24"/>
  <c r="K12" i="24"/>
  <c r="L9" i="24"/>
  <c r="K9" i="24"/>
  <c r="L6" i="24"/>
  <c r="K6" i="24"/>
  <c r="L23" i="23"/>
  <c r="K23" i="23"/>
  <c r="L20" i="23"/>
  <c r="K20" i="23"/>
  <c r="L19" i="23"/>
  <c r="K19" i="23"/>
  <c r="L18" i="23"/>
  <c r="K18" i="23"/>
  <c r="L15" i="23"/>
  <c r="K15" i="23"/>
  <c r="L12" i="23"/>
  <c r="K12" i="23"/>
  <c r="L9" i="23"/>
  <c r="K9" i="23"/>
  <c r="L6" i="23"/>
  <c r="K6" i="23"/>
  <c r="L168" i="22"/>
  <c r="K168" i="22"/>
  <c r="L165" i="22"/>
  <c r="K165" i="22"/>
  <c r="L164" i="22"/>
  <c r="K164" i="22"/>
  <c r="L161" i="22"/>
  <c r="K161" i="22"/>
  <c r="L160" i="22"/>
  <c r="K160" i="22"/>
  <c r="L159" i="22"/>
  <c r="K159" i="22"/>
  <c r="L158" i="22"/>
  <c r="K158" i="22"/>
  <c r="L157" i="22"/>
  <c r="K157" i="22"/>
  <c r="L154" i="22"/>
  <c r="K154" i="22"/>
  <c r="L152" i="22"/>
  <c r="K152" i="22"/>
  <c r="L151" i="22"/>
  <c r="K151" i="22"/>
  <c r="L150" i="22"/>
  <c r="K150" i="22"/>
  <c r="L149" i="22"/>
  <c r="K149" i="22"/>
  <c r="L146" i="22"/>
  <c r="K146" i="22"/>
  <c r="L145" i="22"/>
  <c r="K145" i="22"/>
  <c r="L144" i="22"/>
  <c r="K144" i="22"/>
  <c r="L143" i="22"/>
  <c r="K143" i="22"/>
  <c r="L142" i="22"/>
  <c r="K142" i="22"/>
  <c r="L141" i="22"/>
  <c r="K141" i="22"/>
  <c r="L140" i="22"/>
  <c r="K140" i="22"/>
  <c r="L139" i="22"/>
  <c r="K139" i="22"/>
  <c r="L138" i="22"/>
  <c r="K138" i="22"/>
  <c r="L137" i="22"/>
  <c r="K137" i="22"/>
  <c r="L136" i="22"/>
  <c r="K136" i="22"/>
  <c r="L135" i="22"/>
  <c r="K135" i="22"/>
  <c r="L134" i="22"/>
  <c r="K134" i="22"/>
  <c r="L133" i="22"/>
  <c r="K133" i="22"/>
  <c r="L132" i="22"/>
  <c r="K132" i="22"/>
  <c r="L131" i="22"/>
  <c r="K131" i="22"/>
  <c r="L130" i="22"/>
  <c r="K130" i="22"/>
  <c r="L127" i="22"/>
  <c r="K127" i="22"/>
  <c r="L126" i="22"/>
  <c r="K126" i="22"/>
  <c r="L125" i="22"/>
  <c r="K125" i="22"/>
  <c r="L124" i="22"/>
  <c r="K124" i="22"/>
  <c r="L123" i="22"/>
  <c r="K123" i="22"/>
  <c r="L122" i="22"/>
  <c r="K122" i="22"/>
  <c r="L121" i="22"/>
  <c r="K121" i="22"/>
  <c r="L120" i="22"/>
  <c r="K120" i="22"/>
  <c r="L119" i="22"/>
  <c r="K119" i="22"/>
  <c r="L118" i="22"/>
  <c r="K118" i="22"/>
  <c r="L117" i="22"/>
  <c r="K117" i="22"/>
  <c r="L116" i="22"/>
  <c r="K116" i="22"/>
  <c r="L115" i="22"/>
  <c r="K115" i="22"/>
  <c r="L114" i="22"/>
  <c r="K114" i="22"/>
  <c r="L113" i="22"/>
  <c r="K113" i="22"/>
  <c r="L112" i="22"/>
  <c r="K112" i="22"/>
  <c r="L109" i="22"/>
  <c r="K109" i="22"/>
  <c r="L108" i="22"/>
  <c r="K108" i="22"/>
  <c r="L107" i="22"/>
  <c r="K107" i="22"/>
  <c r="L106" i="22"/>
  <c r="K106" i="22"/>
  <c r="L105" i="22"/>
  <c r="K105" i="22"/>
  <c r="L104" i="22"/>
  <c r="K104" i="22"/>
  <c r="L103" i="22"/>
  <c r="K103" i="22"/>
  <c r="L102" i="22"/>
  <c r="K102" i="22"/>
  <c r="L101" i="22"/>
  <c r="K101" i="22"/>
  <c r="L100" i="22"/>
  <c r="K100" i="22"/>
  <c r="L99" i="22"/>
  <c r="K99" i="22"/>
  <c r="L98" i="22"/>
  <c r="K98" i="22"/>
  <c r="L97" i="22"/>
  <c r="K97" i="22"/>
  <c r="L96" i="22"/>
  <c r="K96" i="22"/>
  <c r="L95" i="22"/>
  <c r="K95" i="22"/>
  <c r="L94" i="22"/>
  <c r="K94" i="22"/>
  <c r="L93" i="22"/>
  <c r="K93" i="22"/>
  <c r="L92" i="22"/>
  <c r="K92" i="22"/>
  <c r="L89" i="22"/>
  <c r="K89" i="22"/>
  <c r="L88" i="22"/>
  <c r="K88" i="22"/>
  <c r="L87" i="22"/>
  <c r="K87" i="22"/>
  <c r="L86" i="22"/>
  <c r="K86" i="22"/>
  <c r="L85" i="22"/>
  <c r="K85" i="22"/>
  <c r="L84" i="22"/>
  <c r="K84" i="22"/>
  <c r="L83" i="22"/>
  <c r="K83" i="22"/>
  <c r="L82" i="22"/>
  <c r="K82" i="22"/>
  <c r="L81" i="22"/>
  <c r="K81" i="22"/>
  <c r="L80" i="22"/>
  <c r="K80" i="22"/>
  <c r="L77" i="22"/>
  <c r="K77" i="22"/>
  <c r="L76" i="22"/>
  <c r="K76" i="22"/>
  <c r="L75" i="22"/>
  <c r="K75" i="22"/>
  <c r="L74" i="22"/>
  <c r="K74" i="22"/>
  <c r="L73" i="22"/>
  <c r="L70" i="22"/>
  <c r="K70" i="22"/>
  <c r="L69" i="22"/>
  <c r="K69" i="22"/>
  <c r="L66" i="22"/>
  <c r="K66" i="22"/>
  <c r="L65" i="22"/>
  <c r="K65" i="22"/>
  <c r="L64" i="22"/>
  <c r="K64" i="22"/>
  <c r="L61" i="22"/>
  <c r="K61" i="22"/>
  <c r="L58" i="22"/>
  <c r="K58" i="22"/>
  <c r="L57" i="22"/>
  <c r="K57" i="22"/>
  <c r="L54" i="22"/>
  <c r="K54" i="22"/>
  <c r="L51" i="22"/>
  <c r="K51" i="22"/>
  <c r="L50" i="22"/>
  <c r="K50" i="22"/>
  <c r="L49" i="22"/>
  <c r="K49" i="22"/>
  <c r="L48" i="22"/>
  <c r="K48" i="22"/>
  <c r="L47" i="22"/>
  <c r="K47" i="22"/>
  <c r="L46" i="22"/>
  <c r="K46" i="22"/>
  <c r="L45" i="22"/>
  <c r="K45" i="22"/>
  <c r="L44" i="22"/>
  <c r="K44" i="22"/>
  <c r="L43" i="22"/>
  <c r="K43" i="22"/>
  <c r="L42" i="22"/>
  <c r="K42" i="22"/>
  <c r="L41" i="22"/>
  <c r="K41" i="22"/>
  <c r="L38" i="22"/>
  <c r="K38" i="22"/>
  <c r="L37" i="22"/>
  <c r="L36" i="22"/>
  <c r="K36" i="22"/>
  <c r="L35" i="22"/>
  <c r="K35" i="22"/>
  <c r="L34" i="22"/>
  <c r="K34" i="22"/>
  <c r="L33" i="22"/>
  <c r="K33" i="22"/>
  <c r="L32" i="22"/>
  <c r="K32" i="22"/>
  <c r="L31" i="22"/>
  <c r="K31" i="22"/>
  <c r="L30" i="22"/>
  <c r="K30" i="22"/>
  <c r="L29" i="22"/>
  <c r="K29" i="22"/>
  <c r="L28" i="22"/>
  <c r="K28" i="22"/>
  <c r="L25" i="22"/>
  <c r="K25" i="22"/>
  <c r="L24" i="22"/>
  <c r="K24" i="22"/>
  <c r="L23" i="22"/>
  <c r="K23" i="22"/>
  <c r="L22" i="22"/>
  <c r="K22" i="22"/>
  <c r="L19" i="22"/>
  <c r="K19" i="22"/>
  <c r="L18" i="22"/>
  <c r="K18" i="22"/>
  <c r="L17" i="22"/>
  <c r="K17" i="22"/>
  <c r="L16" i="22"/>
  <c r="K16" i="22"/>
  <c r="L15" i="22"/>
  <c r="K15" i="22"/>
  <c r="L14" i="22"/>
  <c r="K14" i="22"/>
  <c r="L13" i="22"/>
  <c r="K13" i="22"/>
  <c r="L12" i="22"/>
  <c r="K12" i="22"/>
  <c r="L11" i="22"/>
  <c r="K11" i="22"/>
  <c r="L8" i="22"/>
  <c r="K8" i="22"/>
  <c r="L7" i="22"/>
  <c r="K7" i="22"/>
  <c r="L6" i="22"/>
  <c r="K6" i="22"/>
  <c r="L106" i="21"/>
  <c r="K106" i="21"/>
  <c r="L105" i="21"/>
  <c r="K105" i="21"/>
  <c r="L104" i="21"/>
  <c r="K104" i="21"/>
  <c r="L103" i="21"/>
  <c r="K103" i="21"/>
  <c r="L102" i="21"/>
  <c r="K102" i="21"/>
  <c r="L101" i="21"/>
  <c r="K101" i="21"/>
  <c r="L100" i="21"/>
  <c r="K100" i="21"/>
  <c r="L97" i="21"/>
  <c r="K97" i="21"/>
  <c r="L96" i="21"/>
  <c r="K96" i="21"/>
  <c r="L95" i="21"/>
  <c r="K95" i="21"/>
  <c r="L94" i="21"/>
  <c r="K94" i="21"/>
  <c r="L93" i="21"/>
  <c r="K93" i="21"/>
  <c r="L92" i="21"/>
  <c r="K92" i="21"/>
  <c r="L91" i="21"/>
  <c r="K91" i="21"/>
  <c r="L90" i="21"/>
  <c r="K90" i="21"/>
  <c r="L87" i="21"/>
  <c r="K87" i="21"/>
  <c r="L86" i="21"/>
  <c r="K86" i="21"/>
  <c r="L85" i="21"/>
  <c r="K85" i="21"/>
  <c r="L84" i="21"/>
  <c r="K84" i="21"/>
  <c r="L83" i="21"/>
  <c r="K83" i="21"/>
  <c r="L82" i="21"/>
  <c r="K82" i="21"/>
  <c r="L81" i="21"/>
  <c r="K81" i="21"/>
  <c r="L80" i="21"/>
  <c r="K80" i="21"/>
  <c r="L79" i="21"/>
  <c r="K79" i="21"/>
  <c r="L76" i="21"/>
  <c r="K76" i="21"/>
  <c r="L75" i="21"/>
  <c r="K75" i="21"/>
  <c r="L74" i="21"/>
  <c r="K74" i="21"/>
  <c r="L73" i="21"/>
  <c r="K73" i="21"/>
  <c r="L72" i="21"/>
  <c r="K72" i="21"/>
  <c r="L71" i="21"/>
  <c r="K71" i="21"/>
  <c r="L70" i="21"/>
  <c r="K70" i="21"/>
  <c r="L69" i="21"/>
  <c r="K69" i="21"/>
  <c r="L68" i="21"/>
  <c r="K68" i="21"/>
  <c r="L67" i="21"/>
  <c r="K67" i="21"/>
  <c r="L66" i="21"/>
  <c r="K66" i="21"/>
  <c r="L65" i="21"/>
  <c r="K65" i="21"/>
  <c r="L64" i="21"/>
  <c r="K64" i="21"/>
  <c r="L63" i="21"/>
  <c r="K63" i="21"/>
  <c r="L62" i="21"/>
  <c r="K62" i="21"/>
  <c r="L61" i="21"/>
  <c r="K61" i="21"/>
  <c r="L58" i="21"/>
  <c r="K58" i="21"/>
  <c r="L57" i="21"/>
  <c r="K57" i="21"/>
  <c r="L56" i="21"/>
  <c r="K56" i="21"/>
  <c r="L55" i="21"/>
  <c r="K55" i="21"/>
  <c r="L54" i="21"/>
  <c r="K54" i="21"/>
  <c r="L53" i="21"/>
  <c r="K53" i="21"/>
  <c r="L52" i="21"/>
  <c r="K52" i="21"/>
  <c r="L51" i="21"/>
  <c r="K51" i="21"/>
  <c r="L50" i="21"/>
  <c r="K50" i="21"/>
  <c r="L49" i="21"/>
  <c r="K49" i="21"/>
  <c r="L48" i="21"/>
  <c r="K48" i="21"/>
  <c r="L47" i="21"/>
  <c r="K47" i="21"/>
  <c r="L46" i="21"/>
  <c r="K46" i="21"/>
  <c r="L43" i="21"/>
  <c r="K43" i="21"/>
  <c r="L42" i="21"/>
  <c r="K42" i="21"/>
  <c r="L41" i="21"/>
  <c r="K41" i="21"/>
  <c r="L40" i="21"/>
  <c r="K40" i="21"/>
  <c r="L39" i="21"/>
  <c r="K39" i="21"/>
  <c r="L38" i="21"/>
  <c r="K38" i="21"/>
  <c r="L37" i="21"/>
  <c r="K37" i="21"/>
  <c r="L34" i="21"/>
  <c r="K34" i="21"/>
  <c r="L33" i="21"/>
  <c r="K33" i="21"/>
  <c r="L32" i="21"/>
  <c r="K32" i="21"/>
  <c r="L31" i="21"/>
  <c r="K31" i="21"/>
  <c r="L28" i="21"/>
  <c r="K28" i="21"/>
  <c r="L27" i="21"/>
  <c r="K27" i="21"/>
  <c r="L26" i="21"/>
  <c r="K26" i="21"/>
  <c r="L25" i="21"/>
  <c r="K25" i="21"/>
  <c r="L24" i="21"/>
  <c r="K24" i="21"/>
  <c r="L21" i="21"/>
  <c r="K21" i="21"/>
  <c r="L20" i="21"/>
  <c r="K20" i="21"/>
  <c r="L17" i="21"/>
  <c r="K17" i="21"/>
  <c r="L14" i="21"/>
  <c r="K14" i="21"/>
  <c r="L13" i="21"/>
  <c r="K13" i="21"/>
  <c r="L12" i="21"/>
  <c r="K12" i="21"/>
  <c r="L9" i="21"/>
  <c r="K9" i="21"/>
  <c r="L6" i="21"/>
  <c r="K6" i="21"/>
  <c r="L6" i="20"/>
  <c r="K6" i="20"/>
  <c r="L25" i="18"/>
  <c r="K25" i="18"/>
  <c r="L24" i="18"/>
  <c r="K24" i="18"/>
  <c r="L23" i="18"/>
  <c r="K23" i="18"/>
  <c r="L22" i="18"/>
  <c r="K22" i="18"/>
  <c r="L19" i="18"/>
  <c r="L18" i="18"/>
  <c r="L17" i="18"/>
  <c r="K17" i="18"/>
  <c r="L16" i="18"/>
  <c r="K16" i="18"/>
  <c r="L15" i="18"/>
  <c r="K15" i="18"/>
  <c r="L12" i="18"/>
  <c r="K12" i="18"/>
  <c r="L11" i="18"/>
  <c r="K11" i="18"/>
  <c r="L8" i="18"/>
  <c r="L7" i="18"/>
  <c r="L6" i="18"/>
  <c r="L42" i="17"/>
  <c r="K42" i="17"/>
  <c r="L39" i="17"/>
  <c r="K39" i="17"/>
  <c r="L38" i="17"/>
  <c r="K38" i="17"/>
  <c r="L37" i="17"/>
  <c r="K37" i="17"/>
  <c r="L36" i="17"/>
  <c r="K36" i="17"/>
  <c r="L35" i="17"/>
  <c r="K35" i="17"/>
  <c r="L34" i="17"/>
  <c r="K34" i="17"/>
  <c r="L31" i="17"/>
  <c r="K31" i="17"/>
  <c r="L30" i="17"/>
  <c r="K30" i="17"/>
  <c r="L27" i="17"/>
  <c r="K27" i="17"/>
  <c r="L26" i="17"/>
  <c r="K26" i="17"/>
  <c r="L25" i="17"/>
  <c r="K25" i="17"/>
  <c r="L24" i="17"/>
  <c r="K24" i="17"/>
  <c r="L23" i="17"/>
  <c r="K23" i="17"/>
  <c r="L22" i="17"/>
  <c r="K22" i="17"/>
  <c r="L21" i="17"/>
  <c r="K21" i="17"/>
  <c r="L20" i="17"/>
  <c r="K20" i="17"/>
  <c r="L17" i="17"/>
  <c r="K17" i="17"/>
  <c r="L14" i="17"/>
  <c r="K14" i="17"/>
  <c r="L13" i="17"/>
  <c r="K13" i="17"/>
  <c r="L10" i="17"/>
  <c r="K10" i="17"/>
  <c r="L9" i="17"/>
  <c r="K9" i="17"/>
  <c r="L6" i="17"/>
  <c r="K6" i="17"/>
  <c r="L21" i="16"/>
  <c r="K21" i="16"/>
  <c r="L20" i="16"/>
  <c r="L17" i="16"/>
  <c r="K17" i="16"/>
  <c r="L14" i="16"/>
  <c r="K14" i="16"/>
  <c r="L11" i="16"/>
  <c r="L10" i="16"/>
  <c r="L9" i="16"/>
  <c r="K9" i="16"/>
  <c r="L6" i="16"/>
  <c r="K6" i="16"/>
  <c r="L19" i="15"/>
  <c r="L18" i="15"/>
  <c r="K18" i="15"/>
  <c r="L17" i="15"/>
  <c r="L16" i="15"/>
  <c r="K16" i="15"/>
  <c r="L13" i="15"/>
  <c r="K13" i="15"/>
  <c r="L12" i="15"/>
  <c r="K12" i="15"/>
  <c r="L9" i="15"/>
  <c r="K9" i="15"/>
  <c r="L8" i="15"/>
  <c r="K8" i="15"/>
  <c r="L7" i="15"/>
  <c r="K7" i="15"/>
  <c r="L6" i="15"/>
  <c r="K6" i="15"/>
  <c r="L55" i="14"/>
  <c r="K55" i="14"/>
  <c r="L54" i="14"/>
  <c r="K54" i="14"/>
  <c r="L53" i="14"/>
  <c r="K53" i="14"/>
  <c r="L52" i="14"/>
  <c r="K52" i="14"/>
  <c r="L51" i="14"/>
  <c r="K51" i="14"/>
  <c r="L50" i="14"/>
  <c r="K50" i="14"/>
  <c r="L47" i="14"/>
  <c r="L46" i="14"/>
  <c r="K46" i="14"/>
  <c r="L45" i="14"/>
  <c r="K45" i="14"/>
  <c r="L44" i="14"/>
  <c r="L43" i="14"/>
  <c r="K43" i="14"/>
  <c r="L42" i="14"/>
  <c r="K42" i="14"/>
  <c r="L41" i="14"/>
  <c r="K41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29" i="14"/>
  <c r="K29" i="14"/>
  <c r="L28" i="14"/>
  <c r="K28" i="14"/>
  <c r="L27" i="14"/>
  <c r="K27" i="14"/>
  <c r="L26" i="14"/>
  <c r="K26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4" i="14"/>
  <c r="L13" i="14"/>
  <c r="K13" i="14"/>
  <c r="L10" i="14"/>
  <c r="K10" i="14"/>
  <c r="L7" i="14"/>
  <c r="K7" i="14"/>
  <c r="L6" i="14"/>
  <c r="K6" i="14"/>
  <c r="L301" i="13"/>
  <c r="K301" i="13"/>
  <c r="L300" i="13"/>
  <c r="K300" i="13"/>
  <c r="L297" i="13"/>
  <c r="K297" i="13"/>
  <c r="L296" i="13"/>
  <c r="K296" i="13"/>
  <c r="L295" i="13"/>
  <c r="K295" i="13"/>
  <c r="L294" i="13"/>
  <c r="K294" i="13"/>
  <c r="L293" i="13"/>
  <c r="K293" i="13"/>
  <c r="L292" i="13"/>
  <c r="K292" i="13"/>
  <c r="L291" i="13"/>
  <c r="K291" i="13"/>
  <c r="L290" i="13"/>
  <c r="K290" i="13"/>
  <c r="L289" i="13"/>
  <c r="K289" i="13"/>
  <c r="L288" i="13"/>
  <c r="K288" i="13"/>
  <c r="L287" i="13"/>
  <c r="K287" i="13"/>
  <c r="L286" i="13"/>
  <c r="K286" i="13"/>
  <c r="L283" i="13"/>
  <c r="K283" i="13"/>
  <c r="L282" i="13"/>
  <c r="K282" i="13"/>
  <c r="L281" i="13"/>
  <c r="K281" i="13"/>
  <c r="L280" i="13"/>
  <c r="K280" i="13"/>
  <c r="L279" i="13"/>
  <c r="K279" i="13"/>
  <c r="L278" i="13"/>
  <c r="K278" i="13"/>
  <c r="L277" i="13"/>
  <c r="K277" i="13"/>
  <c r="L276" i="13"/>
  <c r="L275" i="13"/>
  <c r="K275" i="13"/>
  <c r="L274" i="13"/>
  <c r="K274" i="13"/>
  <c r="L273" i="13"/>
  <c r="K273" i="13"/>
  <c r="L272" i="13"/>
  <c r="K272" i="13"/>
  <c r="L271" i="13"/>
  <c r="K271" i="13"/>
  <c r="L270" i="13"/>
  <c r="K270" i="13"/>
  <c r="L269" i="13"/>
  <c r="K269" i="13"/>
  <c r="L268" i="13"/>
  <c r="K268" i="13"/>
  <c r="L265" i="13"/>
  <c r="L264" i="13"/>
  <c r="L263" i="13"/>
  <c r="K263" i="13"/>
  <c r="L262" i="13"/>
  <c r="K262" i="13"/>
  <c r="L261" i="13"/>
  <c r="K261" i="13"/>
  <c r="L260" i="13"/>
  <c r="K260" i="13"/>
  <c r="L259" i="13"/>
  <c r="K259" i="13"/>
  <c r="L258" i="13"/>
  <c r="K258" i="13"/>
  <c r="L257" i="13"/>
  <c r="K257" i="13"/>
  <c r="L256" i="13"/>
  <c r="K256" i="13"/>
  <c r="L255" i="13"/>
  <c r="K255" i="13"/>
  <c r="L254" i="13"/>
  <c r="K254" i="13"/>
  <c r="L253" i="13"/>
  <c r="L252" i="13"/>
  <c r="L251" i="13"/>
  <c r="K251" i="13"/>
  <c r="L250" i="13"/>
  <c r="K250" i="13"/>
  <c r="L249" i="13"/>
  <c r="K249" i="13"/>
  <c r="L248" i="13"/>
  <c r="K248" i="13"/>
  <c r="L247" i="13"/>
  <c r="K247" i="13"/>
  <c r="L246" i="13"/>
  <c r="K246" i="13"/>
  <c r="L245" i="13"/>
  <c r="K245" i="13"/>
  <c r="L244" i="13"/>
  <c r="K244" i="13"/>
  <c r="L243" i="13"/>
  <c r="K243" i="13"/>
  <c r="L242" i="13"/>
  <c r="L241" i="13"/>
  <c r="L240" i="13"/>
  <c r="K240" i="13"/>
  <c r="L239" i="13"/>
  <c r="K239" i="13"/>
  <c r="L238" i="13"/>
  <c r="K238" i="13"/>
  <c r="L237" i="13"/>
  <c r="K237" i="13"/>
  <c r="L236" i="13"/>
  <c r="K236" i="13"/>
  <c r="L235" i="13"/>
  <c r="K235" i="13"/>
  <c r="L234" i="13"/>
  <c r="K234" i="13"/>
  <c r="L231" i="13"/>
  <c r="K231" i="13"/>
  <c r="L230" i="13"/>
  <c r="K230" i="13"/>
  <c r="L229" i="13"/>
  <c r="K229" i="13"/>
  <c r="L228" i="13"/>
  <c r="K228" i="13"/>
  <c r="L227" i="13"/>
  <c r="K227" i="13"/>
  <c r="L226" i="13"/>
  <c r="K226" i="13"/>
  <c r="L225" i="13"/>
  <c r="K225" i="13"/>
  <c r="L224" i="13"/>
  <c r="L223" i="13"/>
  <c r="K223" i="13"/>
  <c r="L222" i="13"/>
  <c r="K222" i="13"/>
  <c r="L221" i="13"/>
  <c r="K221" i="13"/>
  <c r="L220" i="13"/>
  <c r="K220" i="13"/>
  <c r="L219" i="13"/>
  <c r="K219" i="13"/>
  <c r="L218" i="13"/>
  <c r="K218" i="13"/>
  <c r="L217" i="13"/>
  <c r="L216" i="13"/>
  <c r="L215" i="13"/>
  <c r="L214" i="13"/>
  <c r="L213" i="13"/>
  <c r="L212" i="13"/>
  <c r="L211" i="13"/>
  <c r="L210" i="13"/>
  <c r="L209" i="13"/>
  <c r="L208" i="13"/>
  <c r="L207" i="13"/>
  <c r="K207" i="13"/>
  <c r="L206" i="13"/>
  <c r="K206" i="13"/>
  <c r="L205" i="13"/>
  <c r="K205" i="13"/>
  <c r="L204" i="13"/>
  <c r="K204" i="13"/>
  <c r="L203" i="13"/>
  <c r="K203" i="13"/>
  <c r="L202" i="13"/>
  <c r="K202" i="13"/>
  <c r="L201" i="13"/>
  <c r="K201" i="13"/>
  <c r="L200" i="13"/>
  <c r="K200" i="13"/>
  <c r="L199" i="13"/>
  <c r="K199" i="13"/>
  <c r="L198" i="13"/>
  <c r="K198" i="13"/>
  <c r="L197" i="13"/>
  <c r="K197" i="13"/>
  <c r="L196" i="13"/>
  <c r="K196" i="13"/>
  <c r="L195" i="13"/>
  <c r="K195" i="13"/>
  <c r="L194" i="13"/>
  <c r="K194" i="13"/>
  <c r="L193" i="13"/>
  <c r="K193" i="13"/>
  <c r="L192" i="13"/>
  <c r="K192" i="13"/>
  <c r="L191" i="13"/>
  <c r="K191" i="13"/>
  <c r="L190" i="13"/>
  <c r="K190" i="13"/>
  <c r="L189" i="13"/>
  <c r="K189" i="13"/>
  <c r="L188" i="13"/>
  <c r="K188" i="13"/>
  <c r="L187" i="13"/>
  <c r="K187" i="13"/>
  <c r="L186" i="13"/>
  <c r="K186" i="13"/>
  <c r="L185" i="13"/>
  <c r="K185" i="13"/>
  <c r="L184" i="13"/>
  <c r="K184" i="13"/>
  <c r="L183" i="13"/>
  <c r="K183" i="13"/>
  <c r="L182" i="13"/>
  <c r="L181" i="13"/>
  <c r="K181" i="13"/>
  <c r="L180" i="13"/>
  <c r="K180" i="13"/>
  <c r="L179" i="13"/>
  <c r="K179" i="13"/>
  <c r="L178" i="13"/>
  <c r="K178" i="13"/>
  <c r="L177" i="13"/>
  <c r="K177" i="13"/>
  <c r="L176" i="13"/>
  <c r="K176" i="13"/>
  <c r="L175" i="13"/>
  <c r="K175" i="13"/>
  <c r="L172" i="13"/>
  <c r="K172" i="13"/>
  <c r="L171" i="13"/>
  <c r="K171" i="13"/>
  <c r="L170" i="13"/>
  <c r="K170" i="13"/>
  <c r="L169" i="13"/>
  <c r="K169" i="13"/>
  <c r="L168" i="13"/>
  <c r="K168" i="13"/>
  <c r="L167" i="13"/>
  <c r="K167" i="13"/>
  <c r="L166" i="13"/>
  <c r="L165" i="13"/>
  <c r="L164" i="13"/>
  <c r="K164" i="13"/>
  <c r="L163" i="13"/>
  <c r="K163" i="13"/>
  <c r="L162" i="13"/>
  <c r="K162" i="13"/>
  <c r="L161" i="13"/>
  <c r="K161" i="13"/>
  <c r="L160" i="13"/>
  <c r="K160" i="13"/>
  <c r="L159" i="13"/>
  <c r="K159" i="13"/>
  <c r="L158" i="13"/>
  <c r="L157" i="13"/>
  <c r="L156" i="13"/>
  <c r="L155" i="13"/>
  <c r="K155" i="13"/>
  <c r="L154" i="13"/>
  <c r="K154" i="13"/>
  <c r="L153" i="13"/>
  <c r="K153" i="13"/>
  <c r="L152" i="13"/>
  <c r="K152" i="13"/>
  <c r="L151" i="13"/>
  <c r="K151" i="13"/>
  <c r="L150" i="13"/>
  <c r="K150" i="13"/>
  <c r="L149" i="13"/>
  <c r="K149" i="13"/>
  <c r="L148" i="13"/>
  <c r="K148" i="13"/>
  <c r="L147" i="13"/>
  <c r="K147" i="13"/>
  <c r="L146" i="13"/>
  <c r="K146" i="13"/>
  <c r="L145" i="13"/>
  <c r="K145" i="13"/>
  <c r="L144" i="13"/>
  <c r="K144" i="13"/>
  <c r="L143" i="13"/>
  <c r="K143" i="13"/>
  <c r="L142" i="13"/>
  <c r="K142" i="13"/>
  <c r="L141" i="13"/>
  <c r="K141" i="13"/>
  <c r="L140" i="13"/>
  <c r="K140" i="13"/>
  <c r="L139" i="13"/>
  <c r="K139" i="13"/>
  <c r="L138" i="13"/>
  <c r="K138" i="13"/>
  <c r="L137" i="13"/>
  <c r="K137" i="13"/>
  <c r="L136" i="13"/>
  <c r="K136" i="13"/>
  <c r="L135" i="13"/>
  <c r="K135" i="13"/>
  <c r="L134" i="13"/>
  <c r="K134" i="13"/>
  <c r="L131" i="13"/>
  <c r="K131" i="13"/>
  <c r="L130" i="13"/>
  <c r="K130" i="13"/>
  <c r="L129" i="13"/>
  <c r="K129" i="13"/>
  <c r="L128" i="13"/>
  <c r="K128" i="13"/>
  <c r="L127" i="13"/>
  <c r="L126" i="13"/>
  <c r="K126" i="13"/>
  <c r="L125" i="13"/>
  <c r="K125" i="13"/>
  <c r="L124" i="13"/>
  <c r="K124" i="13"/>
  <c r="L123" i="13"/>
  <c r="K123" i="13"/>
  <c r="L122" i="13"/>
  <c r="K122" i="13"/>
  <c r="L121" i="13"/>
  <c r="K121" i="13"/>
  <c r="L120" i="13"/>
  <c r="K120" i="13"/>
  <c r="L119" i="13"/>
  <c r="K119" i="13"/>
  <c r="L118" i="13"/>
  <c r="K118" i="13"/>
  <c r="L117" i="13"/>
  <c r="K117" i="13"/>
  <c r="L116" i="13"/>
  <c r="K116" i="13"/>
  <c r="L115" i="13"/>
  <c r="K115" i="13"/>
  <c r="L114" i="13"/>
  <c r="K114" i="13"/>
  <c r="L113" i="13"/>
  <c r="K113" i="13"/>
  <c r="L110" i="13"/>
  <c r="K110" i="13"/>
  <c r="L109" i="13"/>
  <c r="K109" i="13"/>
  <c r="L108" i="13"/>
  <c r="L107" i="13"/>
  <c r="L106" i="13"/>
  <c r="K106" i="13"/>
  <c r="L105" i="13"/>
  <c r="K105" i="13"/>
  <c r="L104" i="13"/>
  <c r="K104" i="13"/>
  <c r="L103" i="13"/>
  <c r="K103" i="13"/>
  <c r="L102" i="13"/>
  <c r="K102" i="13"/>
  <c r="L101" i="13"/>
  <c r="K101" i="13"/>
  <c r="L100" i="13"/>
  <c r="K100" i="13"/>
  <c r="L99" i="13"/>
  <c r="K99" i="13"/>
  <c r="L98" i="13"/>
  <c r="L97" i="13"/>
  <c r="L96" i="13"/>
  <c r="K96" i="13"/>
  <c r="L95" i="13"/>
  <c r="K95" i="13"/>
  <c r="L94" i="13"/>
  <c r="K94" i="13"/>
  <c r="L91" i="13"/>
  <c r="L90" i="13"/>
  <c r="K90" i="13"/>
  <c r="L89" i="13"/>
  <c r="K89" i="13"/>
  <c r="L88" i="13"/>
  <c r="K88" i="13"/>
  <c r="L87" i="13"/>
  <c r="L86" i="13"/>
  <c r="K86" i="13"/>
  <c r="L85" i="13"/>
  <c r="K85" i="13"/>
  <c r="L84" i="13"/>
  <c r="K84" i="13"/>
  <c r="L81" i="13"/>
  <c r="K81" i="13"/>
  <c r="L80" i="13"/>
  <c r="K80" i="13"/>
  <c r="L79" i="13"/>
  <c r="K79" i="13"/>
  <c r="L78" i="13"/>
  <c r="K78" i="13"/>
  <c r="L77" i="13"/>
  <c r="K77" i="13"/>
  <c r="L74" i="13"/>
  <c r="K74" i="13"/>
  <c r="L73" i="13"/>
  <c r="L72" i="13"/>
  <c r="K72" i="13"/>
  <c r="L71" i="13"/>
  <c r="K71" i="13"/>
  <c r="L70" i="13"/>
  <c r="K70" i="13"/>
  <c r="L69" i="13"/>
  <c r="K69" i="13"/>
  <c r="L68" i="13"/>
  <c r="K68" i="13"/>
  <c r="L67" i="13"/>
  <c r="K67" i="13"/>
  <c r="L66" i="13"/>
  <c r="K66" i="13"/>
  <c r="L63" i="13"/>
  <c r="K63" i="13"/>
  <c r="L62" i="13"/>
  <c r="K62" i="13"/>
  <c r="L61" i="13"/>
  <c r="K61" i="13"/>
  <c r="L60" i="13"/>
  <c r="K60" i="13"/>
  <c r="L59" i="13"/>
  <c r="K59" i="13"/>
  <c r="L58" i="13"/>
  <c r="K58" i="13"/>
  <c r="L57" i="13"/>
  <c r="K57" i="13"/>
  <c r="L56" i="13"/>
  <c r="K56" i="13"/>
  <c r="L55" i="13"/>
  <c r="K55" i="13"/>
  <c r="L54" i="13"/>
  <c r="K54" i="13"/>
  <c r="L53" i="13"/>
  <c r="K53" i="13"/>
  <c r="L52" i="13"/>
  <c r="K52" i="13"/>
  <c r="L51" i="13"/>
  <c r="K51" i="13"/>
  <c r="L50" i="13"/>
  <c r="L49" i="13"/>
  <c r="K49" i="13"/>
  <c r="L46" i="13"/>
  <c r="K46" i="13"/>
  <c r="L45" i="13"/>
  <c r="L44" i="13"/>
  <c r="K44" i="13"/>
  <c r="L43" i="13"/>
  <c r="K43" i="13"/>
  <c r="L42" i="13"/>
  <c r="K42" i="13"/>
  <c r="L41" i="13"/>
  <c r="K41" i="13"/>
  <c r="L40" i="13"/>
  <c r="K40" i="13"/>
  <c r="L39" i="13"/>
  <c r="K39" i="13"/>
  <c r="L38" i="13"/>
  <c r="K38" i="13"/>
  <c r="L35" i="13"/>
  <c r="K35" i="13"/>
  <c r="L34" i="13"/>
  <c r="K34" i="13"/>
  <c r="L33" i="13"/>
  <c r="K33" i="13"/>
  <c r="L32" i="13"/>
  <c r="K32" i="13"/>
  <c r="L31" i="13"/>
  <c r="K31" i="13"/>
  <c r="L30" i="13"/>
  <c r="K30" i="13"/>
  <c r="L29" i="13"/>
  <c r="K29" i="13"/>
  <c r="L28" i="13"/>
  <c r="L27" i="13"/>
  <c r="K27" i="13"/>
  <c r="L24" i="13"/>
  <c r="K24" i="13"/>
  <c r="L23" i="13"/>
  <c r="K23" i="13"/>
  <c r="L22" i="13"/>
  <c r="K22" i="13"/>
  <c r="L21" i="13"/>
  <c r="K21" i="13"/>
  <c r="L20" i="13"/>
  <c r="K20" i="13"/>
  <c r="L19" i="13"/>
  <c r="K19" i="13"/>
  <c r="L18" i="13"/>
  <c r="K18" i="13"/>
  <c r="L17" i="13"/>
  <c r="K17" i="13"/>
  <c r="L14" i="13"/>
  <c r="L13" i="13"/>
  <c r="K13" i="13"/>
  <c r="L12" i="13"/>
  <c r="K12" i="13"/>
  <c r="L11" i="13"/>
  <c r="K11" i="13"/>
  <c r="L8" i="13"/>
  <c r="K8" i="13"/>
  <c r="L7" i="13"/>
  <c r="K7" i="13"/>
  <c r="L6" i="13"/>
  <c r="K6" i="13"/>
  <c r="L188" i="12"/>
  <c r="K188" i="12"/>
  <c r="L187" i="12"/>
  <c r="K187" i="12"/>
  <c r="L184" i="12"/>
  <c r="K184" i="12"/>
  <c r="L183" i="12"/>
  <c r="K183" i="12"/>
  <c r="L182" i="12"/>
  <c r="K182" i="12"/>
  <c r="L181" i="12"/>
  <c r="K181" i="12"/>
  <c r="L180" i="12"/>
  <c r="K180" i="12"/>
  <c r="L179" i="12"/>
  <c r="K179" i="12"/>
  <c r="L178" i="12"/>
  <c r="K178" i="12"/>
  <c r="L177" i="12"/>
  <c r="K177" i="12"/>
  <c r="L174" i="12"/>
  <c r="K174" i="12"/>
  <c r="L173" i="12"/>
  <c r="K173" i="12"/>
  <c r="L172" i="12"/>
  <c r="K172" i="12"/>
  <c r="L171" i="12"/>
  <c r="K171" i="12"/>
  <c r="L170" i="12"/>
  <c r="K170" i="12"/>
  <c r="L169" i="12"/>
  <c r="L168" i="12"/>
  <c r="K168" i="12"/>
  <c r="L167" i="12"/>
  <c r="K167" i="12"/>
  <c r="L166" i="12"/>
  <c r="K166" i="12"/>
  <c r="L165" i="12"/>
  <c r="K165" i="12"/>
  <c r="L164" i="12"/>
  <c r="K164" i="12"/>
  <c r="L163" i="12"/>
  <c r="L162" i="12"/>
  <c r="L161" i="12"/>
  <c r="K161" i="12"/>
  <c r="L160" i="12"/>
  <c r="K160" i="12"/>
  <c r="L159" i="12"/>
  <c r="K159" i="12"/>
  <c r="L158" i="12"/>
  <c r="K158" i="12"/>
  <c r="L157" i="12"/>
  <c r="K157" i="12"/>
  <c r="L156" i="12"/>
  <c r="K156" i="12"/>
  <c r="L155" i="12"/>
  <c r="K155" i="12"/>
  <c r="L154" i="12"/>
  <c r="K154" i="12"/>
  <c r="L153" i="12"/>
  <c r="K153" i="12"/>
  <c r="L152" i="12"/>
  <c r="K152" i="12"/>
  <c r="L151" i="12"/>
  <c r="K151" i="12"/>
  <c r="L148" i="12"/>
  <c r="K148" i="12"/>
  <c r="L147" i="12"/>
  <c r="K147" i="12"/>
  <c r="L146" i="12"/>
  <c r="K146" i="12"/>
  <c r="L145" i="12"/>
  <c r="K145" i="12"/>
  <c r="L144" i="12"/>
  <c r="K144" i="12"/>
  <c r="L143" i="12"/>
  <c r="L142" i="12"/>
  <c r="K142" i="12"/>
  <c r="L141" i="12"/>
  <c r="K141" i="12"/>
  <c r="L140" i="12"/>
  <c r="K140" i="12"/>
  <c r="L139" i="12"/>
  <c r="K139" i="12"/>
  <c r="L138" i="12"/>
  <c r="K138" i="12"/>
  <c r="L137" i="12"/>
  <c r="K137" i="12"/>
  <c r="L136" i="12"/>
  <c r="K136" i="12"/>
  <c r="L135" i="12"/>
  <c r="K135" i="12"/>
  <c r="L134" i="12"/>
  <c r="K134" i="12"/>
  <c r="L133" i="12"/>
  <c r="K133" i="12"/>
  <c r="L132" i="12"/>
  <c r="K132" i="12"/>
  <c r="L131" i="12"/>
  <c r="K131" i="12"/>
  <c r="L130" i="12"/>
  <c r="K130" i="12"/>
  <c r="L129" i="12"/>
  <c r="K129" i="12"/>
  <c r="L128" i="12"/>
  <c r="K128" i="12"/>
  <c r="L127" i="12"/>
  <c r="K127" i="12"/>
  <c r="L124" i="12"/>
  <c r="K124" i="12"/>
  <c r="L123" i="12"/>
  <c r="L122" i="12"/>
  <c r="K122" i="12"/>
  <c r="L121" i="12"/>
  <c r="K121" i="12"/>
  <c r="L120" i="12"/>
  <c r="K120" i="12"/>
  <c r="L119" i="12"/>
  <c r="K119" i="12"/>
  <c r="L118" i="12"/>
  <c r="K118" i="12"/>
  <c r="L117" i="12"/>
  <c r="K117" i="12"/>
  <c r="L116" i="12"/>
  <c r="K116" i="12"/>
  <c r="L115" i="12"/>
  <c r="K115" i="12"/>
  <c r="L114" i="12"/>
  <c r="K114" i="12"/>
  <c r="L113" i="12"/>
  <c r="K113" i="12"/>
  <c r="L112" i="12"/>
  <c r="K112" i="12"/>
  <c r="L111" i="12"/>
  <c r="K111" i="12"/>
  <c r="L110" i="12"/>
  <c r="K110" i="12"/>
  <c r="L109" i="12"/>
  <c r="K109" i="12"/>
  <c r="L108" i="12"/>
  <c r="K108" i="12"/>
  <c r="L107" i="12"/>
  <c r="K107" i="12"/>
  <c r="L106" i="12"/>
  <c r="K106" i="12"/>
  <c r="L105" i="12"/>
  <c r="K105" i="12"/>
  <c r="L104" i="12"/>
  <c r="K104" i="12"/>
  <c r="L103" i="12"/>
  <c r="K103" i="12"/>
  <c r="L102" i="12"/>
  <c r="K102" i="12"/>
  <c r="L101" i="12"/>
  <c r="K101" i="12"/>
  <c r="L100" i="12"/>
  <c r="K100" i="12"/>
  <c r="L99" i="12"/>
  <c r="K99" i="12"/>
  <c r="L98" i="12"/>
  <c r="K98" i="12"/>
  <c r="L97" i="12"/>
  <c r="K97" i="12"/>
  <c r="L96" i="12"/>
  <c r="K96" i="12"/>
  <c r="L95" i="12"/>
  <c r="K95" i="12"/>
  <c r="L94" i="12"/>
  <c r="K94" i="12"/>
  <c r="L93" i="12"/>
  <c r="K93" i="12"/>
  <c r="L90" i="12"/>
  <c r="K90" i="12"/>
  <c r="L89" i="12"/>
  <c r="K89" i="12"/>
  <c r="L88" i="12"/>
  <c r="K88" i="12"/>
  <c r="L87" i="12"/>
  <c r="K87" i="12"/>
  <c r="L86" i="12"/>
  <c r="K86" i="12"/>
  <c r="L85" i="12"/>
  <c r="L84" i="12"/>
  <c r="L83" i="12"/>
  <c r="K83" i="12"/>
  <c r="L82" i="12"/>
  <c r="K82" i="12"/>
  <c r="L81" i="12"/>
  <c r="K81" i="12"/>
  <c r="L80" i="12"/>
  <c r="K80" i="12"/>
  <c r="L79" i="12"/>
  <c r="K79" i="12"/>
  <c r="L78" i="12"/>
  <c r="K78" i="12"/>
  <c r="L77" i="12"/>
  <c r="K77" i="12"/>
  <c r="L76" i="12"/>
  <c r="K76" i="12"/>
  <c r="L75" i="12"/>
  <c r="K75" i="12"/>
  <c r="L74" i="12"/>
  <c r="K74" i="12"/>
  <c r="L73" i="12"/>
  <c r="K73" i="12"/>
  <c r="L72" i="12"/>
  <c r="K72" i="12"/>
  <c r="L71" i="12"/>
  <c r="K71" i="12"/>
  <c r="L70" i="12"/>
  <c r="K70" i="12"/>
  <c r="L69" i="12"/>
  <c r="K69" i="12"/>
  <c r="L68" i="12"/>
  <c r="K68" i="12"/>
  <c r="L67" i="12"/>
  <c r="K67" i="12"/>
  <c r="L64" i="12"/>
  <c r="K64" i="12"/>
  <c r="L63" i="12"/>
  <c r="K63" i="12"/>
  <c r="L62" i="12"/>
  <c r="K62" i="12"/>
  <c r="L61" i="12"/>
  <c r="K61" i="12"/>
  <c r="L60" i="12"/>
  <c r="L59" i="12"/>
  <c r="L58" i="12"/>
  <c r="L57" i="12"/>
  <c r="L56" i="12"/>
  <c r="K56" i="12"/>
  <c r="L55" i="12"/>
  <c r="K55" i="12"/>
  <c r="L54" i="12"/>
  <c r="K54" i="12"/>
  <c r="L53" i="12"/>
  <c r="K53" i="12"/>
  <c r="L52" i="12"/>
  <c r="K52" i="12"/>
  <c r="L51" i="12"/>
  <c r="K51" i="12"/>
  <c r="L50" i="12"/>
  <c r="K50" i="12"/>
  <c r="L49" i="12"/>
  <c r="K49" i="12"/>
  <c r="L46" i="12"/>
  <c r="K46" i="12"/>
  <c r="L45" i="12"/>
  <c r="K45" i="12"/>
  <c r="L44" i="12"/>
  <c r="L43" i="12"/>
  <c r="K43" i="12"/>
  <c r="L42" i="12"/>
  <c r="K42" i="12"/>
  <c r="L39" i="12"/>
  <c r="L38" i="12"/>
  <c r="K38" i="12"/>
  <c r="L37" i="12"/>
  <c r="K37" i="12"/>
  <c r="L34" i="12"/>
  <c r="K34" i="12"/>
  <c r="L33" i="12"/>
  <c r="K33" i="12"/>
  <c r="L30" i="12"/>
  <c r="K30" i="12"/>
  <c r="L27" i="12"/>
  <c r="K27" i="12"/>
  <c r="L24" i="12"/>
  <c r="K24" i="12"/>
  <c r="L23" i="12"/>
  <c r="K23" i="12"/>
  <c r="L22" i="12"/>
  <c r="K22" i="12"/>
  <c r="L21" i="12"/>
  <c r="K21" i="12"/>
  <c r="L20" i="12"/>
  <c r="K20" i="12"/>
  <c r="L19" i="12"/>
  <c r="K19" i="12"/>
  <c r="L18" i="12"/>
  <c r="K18" i="12"/>
  <c r="L15" i="12"/>
  <c r="K15" i="12"/>
  <c r="L14" i="12"/>
  <c r="K14" i="12"/>
  <c r="L11" i="12"/>
  <c r="K11" i="12"/>
  <c r="L10" i="12"/>
  <c r="K10" i="12"/>
  <c r="L7" i="12"/>
  <c r="K7" i="12"/>
  <c r="L6" i="12"/>
  <c r="K6" i="12"/>
  <c r="L63" i="11"/>
  <c r="K63" i="11"/>
  <c r="L60" i="11"/>
  <c r="K60" i="11"/>
  <c r="L59" i="11"/>
  <c r="K59" i="11"/>
  <c r="L58" i="11"/>
  <c r="K58" i="11"/>
  <c r="L55" i="11"/>
  <c r="K55" i="11"/>
  <c r="L52" i="11"/>
  <c r="K52" i="11"/>
  <c r="L51" i="11"/>
  <c r="K51" i="11"/>
  <c r="L50" i="11"/>
  <c r="K50" i="11"/>
  <c r="L49" i="11"/>
  <c r="K49" i="11"/>
  <c r="L48" i="11"/>
  <c r="K48" i="11"/>
  <c r="L47" i="11"/>
  <c r="K47" i="11"/>
  <c r="L44" i="11"/>
  <c r="K44" i="11"/>
  <c r="L43" i="11"/>
  <c r="K43" i="11"/>
  <c r="L42" i="11"/>
  <c r="K42" i="11"/>
  <c r="L41" i="11"/>
  <c r="K41" i="11"/>
  <c r="L40" i="11"/>
  <c r="K40" i="11"/>
  <c r="L39" i="11"/>
  <c r="K39" i="11"/>
  <c r="L38" i="11"/>
  <c r="K38" i="11"/>
  <c r="L35" i="11"/>
  <c r="K35" i="11"/>
  <c r="L34" i="11"/>
  <c r="K34" i="11"/>
  <c r="L31" i="11"/>
  <c r="L30" i="11"/>
  <c r="L29" i="11"/>
  <c r="L28" i="11"/>
  <c r="L25" i="11"/>
  <c r="K25" i="11"/>
  <c r="L22" i="11"/>
  <c r="K22" i="11"/>
  <c r="L19" i="11"/>
  <c r="K19" i="11"/>
  <c r="L16" i="11"/>
  <c r="K16" i="11"/>
  <c r="L15" i="11"/>
  <c r="K15" i="11"/>
  <c r="L14" i="11"/>
  <c r="K14" i="11"/>
  <c r="L13" i="11"/>
  <c r="K13" i="11"/>
  <c r="L10" i="11"/>
  <c r="K10" i="11"/>
  <c r="L9" i="11"/>
  <c r="K9" i="11"/>
  <c r="L6" i="11"/>
  <c r="K6" i="11"/>
  <c r="T215" i="10"/>
  <c r="T214" i="10"/>
  <c r="T211" i="10"/>
  <c r="S211" i="10"/>
  <c r="T210" i="10"/>
  <c r="S210" i="10"/>
  <c r="T207" i="10"/>
  <c r="S207" i="10"/>
  <c r="T206" i="10"/>
  <c r="T205" i="10"/>
  <c r="S205" i="10"/>
  <c r="T204" i="10"/>
  <c r="S204" i="10"/>
  <c r="T201" i="10"/>
  <c r="T200" i="10"/>
  <c r="S200" i="10"/>
  <c r="T199" i="10"/>
  <c r="S199" i="10"/>
  <c r="T198" i="10"/>
  <c r="S198" i="10"/>
  <c r="T197" i="10"/>
  <c r="S197" i="10"/>
  <c r="T196" i="10"/>
  <c r="S196" i="10"/>
  <c r="T195" i="10"/>
  <c r="S195" i="10"/>
  <c r="T194" i="10"/>
  <c r="S194" i="10"/>
  <c r="T193" i="10"/>
  <c r="S193" i="10"/>
  <c r="T190" i="10"/>
  <c r="S190" i="10"/>
  <c r="T189" i="10"/>
  <c r="S189" i="10"/>
  <c r="T188" i="10"/>
  <c r="T187" i="10"/>
  <c r="T186" i="10"/>
  <c r="S186" i="10"/>
  <c r="T185" i="10"/>
  <c r="S185" i="10"/>
  <c r="T184" i="10"/>
  <c r="S184" i="10"/>
  <c r="T183" i="10"/>
  <c r="S183" i="10"/>
  <c r="T182" i="10"/>
  <c r="S182" i="10"/>
  <c r="T181" i="10"/>
  <c r="S181" i="10"/>
  <c r="T180" i="10"/>
  <c r="S180" i="10"/>
  <c r="T179" i="10"/>
  <c r="S179" i="10"/>
  <c r="T178" i="10"/>
  <c r="S178" i="10"/>
  <c r="T175" i="10"/>
  <c r="S175" i="10"/>
  <c r="T174" i="10"/>
  <c r="S174" i="10"/>
  <c r="T173" i="10"/>
  <c r="S173" i="10"/>
  <c r="T172" i="10"/>
  <c r="S172" i="10"/>
  <c r="T171" i="10"/>
  <c r="T170" i="10"/>
  <c r="S170" i="10"/>
  <c r="T169" i="10"/>
  <c r="S169" i="10"/>
  <c r="T168" i="10"/>
  <c r="S168" i="10"/>
  <c r="T167" i="10"/>
  <c r="S167" i="10"/>
  <c r="T166" i="10"/>
  <c r="S166" i="10"/>
  <c r="T165" i="10"/>
  <c r="T164" i="10"/>
  <c r="S164" i="10"/>
  <c r="T163" i="10"/>
  <c r="S163" i="10"/>
  <c r="T162" i="10"/>
  <c r="S162" i="10"/>
  <c r="T161" i="10"/>
  <c r="S161" i="10"/>
  <c r="T160" i="10"/>
  <c r="S160" i="10"/>
  <c r="T159" i="10"/>
  <c r="S159" i="10"/>
  <c r="T158" i="10"/>
  <c r="S158" i="10"/>
  <c r="T157" i="10"/>
  <c r="S157" i="10"/>
  <c r="T156" i="10"/>
  <c r="S156" i="10"/>
  <c r="T155" i="10"/>
  <c r="S155" i="10"/>
  <c r="T154" i="10"/>
  <c r="S154" i="10"/>
  <c r="T153" i="10"/>
  <c r="S153" i="10"/>
  <c r="T152" i="10"/>
  <c r="S152" i="10"/>
  <c r="T151" i="10"/>
  <c r="S151" i="10"/>
  <c r="T150" i="10"/>
  <c r="S150" i="10"/>
  <c r="T149" i="10"/>
  <c r="S149" i="10"/>
  <c r="T148" i="10"/>
  <c r="S148" i="10"/>
  <c r="T147" i="10"/>
  <c r="S147" i="10"/>
  <c r="T146" i="10"/>
  <c r="S146" i="10"/>
  <c r="T145" i="10"/>
  <c r="S145" i="10"/>
  <c r="T144" i="10"/>
  <c r="S144" i="10"/>
  <c r="T143" i="10"/>
  <c r="S143" i="10"/>
  <c r="T142" i="10"/>
  <c r="S142" i="10"/>
  <c r="T141" i="10"/>
  <c r="S141" i="10"/>
  <c r="T140" i="10"/>
  <c r="S140" i="10"/>
  <c r="T139" i="10"/>
  <c r="S139" i="10"/>
  <c r="T138" i="10"/>
  <c r="S138" i="10"/>
  <c r="T135" i="10"/>
  <c r="S135" i="10"/>
  <c r="T134" i="10"/>
  <c r="S134" i="10"/>
  <c r="T133" i="10"/>
  <c r="S133" i="10"/>
  <c r="T132" i="10"/>
  <c r="T131" i="10"/>
  <c r="S131" i="10"/>
  <c r="T130" i="10"/>
  <c r="S130" i="10"/>
  <c r="T129" i="10"/>
  <c r="S129" i="10"/>
  <c r="T128" i="10"/>
  <c r="S128" i="10"/>
  <c r="T127" i="10"/>
  <c r="S127" i="10"/>
  <c r="T126" i="10"/>
  <c r="S126" i="10"/>
  <c r="T125" i="10"/>
  <c r="S125" i="10"/>
  <c r="T124" i="10"/>
  <c r="S124" i="10"/>
  <c r="T123" i="10"/>
  <c r="S123" i="10"/>
  <c r="T122" i="10"/>
  <c r="T121" i="10"/>
  <c r="S121" i="10"/>
  <c r="T120" i="10"/>
  <c r="S120" i="10"/>
  <c r="T118" i="10"/>
  <c r="S118" i="10"/>
  <c r="T117" i="10"/>
  <c r="S117" i="10"/>
  <c r="T116" i="10"/>
  <c r="S116" i="10"/>
  <c r="T115" i="10"/>
  <c r="T114" i="10"/>
  <c r="S114" i="10"/>
  <c r="T119" i="10"/>
  <c r="S119" i="10"/>
  <c r="T113" i="10"/>
  <c r="S113" i="10"/>
  <c r="T112" i="10"/>
  <c r="T111" i="10"/>
  <c r="S111" i="10"/>
  <c r="T108" i="10"/>
  <c r="T107" i="10"/>
  <c r="S107" i="10"/>
  <c r="T106" i="10"/>
  <c r="S106" i="10"/>
  <c r="T105" i="10"/>
  <c r="S105" i="10"/>
  <c r="T104" i="10"/>
  <c r="S104" i="10"/>
  <c r="T103" i="10"/>
  <c r="S103" i="10"/>
  <c r="T102" i="10"/>
  <c r="S102" i="10"/>
  <c r="T101" i="10"/>
  <c r="S101" i="10"/>
  <c r="T98" i="10"/>
  <c r="S98" i="10"/>
  <c r="T97" i="10"/>
  <c r="S97" i="10"/>
  <c r="T96" i="10"/>
  <c r="S96" i="10"/>
  <c r="T95" i="10"/>
  <c r="S95" i="10"/>
  <c r="T94" i="10"/>
  <c r="S94" i="10"/>
  <c r="T93" i="10"/>
  <c r="S93" i="10"/>
  <c r="T92" i="10"/>
  <c r="S92" i="10"/>
  <c r="T91" i="10"/>
  <c r="S91" i="10"/>
  <c r="T90" i="10"/>
  <c r="S90" i="10"/>
  <c r="T87" i="10"/>
  <c r="S87" i="10"/>
  <c r="T86" i="10"/>
  <c r="S86" i="10"/>
  <c r="T85" i="10"/>
  <c r="S85" i="10"/>
  <c r="T84" i="10"/>
  <c r="S84" i="10"/>
  <c r="T81" i="10"/>
  <c r="S81" i="10"/>
  <c r="T78" i="10"/>
  <c r="S78" i="10"/>
  <c r="T75" i="10"/>
  <c r="T72" i="10"/>
  <c r="S72" i="10"/>
  <c r="T69" i="10"/>
  <c r="S69" i="10"/>
  <c r="T68" i="10"/>
  <c r="S68" i="10"/>
  <c r="T67" i="10"/>
  <c r="T66" i="10"/>
  <c r="S66" i="10"/>
  <c r="T63" i="10"/>
  <c r="T62" i="10"/>
  <c r="T61" i="10"/>
  <c r="S61" i="10"/>
  <c r="T60" i="10"/>
  <c r="S60" i="10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T48" i="10"/>
  <c r="S48" i="10"/>
  <c r="T47" i="10"/>
  <c r="T46" i="10"/>
  <c r="S46" i="10"/>
  <c r="T43" i="10"/>
  <c r="T42" i="10"/>
  <c r="S42" i="10"/>
  <c r="T41" i="10"/>
  <c r="T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2" i="10"/>
  <c r="T31" i="10"/>
  <c r="S31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7" i="10"/>
  <c r="T16" i="10"/>
  <c r="T15" i="10"/>
  <c r="S15" i="10"/>
  <c r="T14" i="10"/>
  <c r="S14" i="10"/>
  <c r="T13" i="10"/>
  <c r="S13" i="10"/>
  <c r="T12" i="10"/>
  <c r="S12" i="10"/>
  <c r="T11" i="10"/>
  <c r="S11" i="10"/>
  <c r="T8" i="10"/>
  <c r="S8" i="10"/>
  <c r="T7" i="10"/>
  <c r="S7" i="10"/>
  <c r="T6" i="10"/>
  <c r="S6" i="10"/>
  <c r="T120" i="9"/>
  <c r="S120" i="9"/>
  <c r="T117" i="9"/>
  <c r="S117" i="9"/>
  <c r="T116" i="9"/>
  <c r="S116" i="9"/>
  <c r="T115" i="9"/>
  <c r="S115" i="9"/>
  <c r="T112" i="9"/>
  <c r="S112" i="9"/>
  <c r="T111" i="9"/>
  <c r="S111" i="9"/>
  <c r="T110" i="9"/>
  <c r="S110" i="9"/>
  <c r="T109" i="9"/>
  <c r="T108" i="9"/>
  <c r="S108" i="9"/>
  <c r="T107" i="9"/>
  <c r="S107" i="9"/>
  <c r="T106" i="9"/>
  <c r="S106" i="9"/>
  <c r="T105" i="9"/>
  <c r="S105" i="9"/>
  <c r="T104" i="9"/>
  <c r="S104" i="9"/>
  <c r="T103" i="9"/>
  <c r="S103" i="9"/>
  <c r="T100" i="9"/>
  <c r="S100" i="9"/>
  <c r="T99" i="9"/>
  <c r="S99" i="9"/>
  <c r="T98" i="9"/>
  <c r="T97" i="9"/>
  <c r="S97" i="9"/>
  <c r="T96" i="9"/>
  <c r="S96" i="9"/>
  <c r="T95" i="9"/>
  <c r="S95" i="9"/>
  <c r="T94" i="9"/>
  <c r="S94" i="9"/>
  <c r="T93" i="9"/>
  <c r="S93" i="9"/>
  <c r="T92" i="9"/>
  <c r="S92" i="9"/>
  <c r="T91" i="9"/>
  <c r="S91" i="9"/>
  <c r="T90" i="9"/>
  <c r="S90" i="9"/>
  <c r="T89" i="9"/>
  <c r="S89" i="9"/>
  <c r="T88" i="9"/>
  <c r="S88" i="9"/>
  <c r="T85" i="9"/>
  <c r="S85" i="9"/>
  <c r="T84" i="9"/>
  <c r="S84" i="9"/>
  <c r="T83" i="9"/>
  <c r="T82" i="9"/>
  <c r="T81" i="9"/>
  <c r="T80" i="9"/>
  <c r="T79" i="9"/>
  <c r="S79" i="9"/>
  <c r="T78" i="9"/>
  <c r="S78" i="9"/>
  <c r="T77" i="9"/>
  <c r="S77" i="9"/>
  <c r="T76" i="9"/>
  <c r="S76" i="9"/>
  <c r="T75" i="9"/>
  <c r="S75" i="9"/>
  <c r="T74" i="9"/>
  <c r="S74" i="9"/>
  <c r="T73" i="9"/>
  <c r="S73" i="9"/>
  <c r="T72" i="9"/>
  <c r="S72" i="9"/>
  <c r="T69" i="9"/>
  <c r="S69" i="9"/>
  <c r="T68" i="9"/>
  <c r="S68" i="9"/>
  <c r="T67" i="9"/>
  <c r="S67" i="9"/>
  <c r="T66" i="9"/>
  <c r="S66" i="9"/>
  <c r="T65" i="9"/>
  <c r="T64" i="9"/>
  <c r="T63" i="9"/>
  <c r="S63" i="9"/>
  <c r="T62" i="9"/>
  <c r="S62" i="9"/>
  <c r="T61" i="9"/>
  <c r="S61" i="9"/>
  <c r="T60" i="9"/>
  <c r="S60" i="9"/>
  <c r="T59" i="9"/>
  <c r="S59" i="9"/>
  <c r="T58" i="9"/>
  <c r="T55" i="9"/>
  <c r="S55" i="9"/>
  <c r="T54" i="9"/>
  <c r="T53" i="9"/>
  <c r="T52" i="9"/>
  <c r="T51" i="9"/>
  <c r="T50" i="9"/>
  <c r="S50" i="9"/>
  <c r="T49" i="9"/>
  <c r="S49" i="9"/>
  <c r="T48" i="9"/>
  <c r="S48" i="9"/>
  <c r="T47" i="9"/>
  <c r="S47" i="9"/>
  <c r="T46" i="9"/>
  <c r="S46" i="9"/>
  <c r="T45" i="9"/>
  <c r="S45" i="9"/>
  <c r="T42" i="9"/>
  <c r="S42" i="9"/>
  <c r="T41" i="9"/>
  <c r="S41" i="9"/>
  <c r="T40" i="9"/>
  <c r="S40" i="9"/>
  <c r="T39" i="9"/>
  <c r="T38" i="9"/>
  <c r="S38" i="9"/>
  <c r="T35" i="9"/>
  <c r="S35" i="9"/>
  <c r="T32" i="9"/>
  <c r="S32" i="9"/>
  <c r="T29" i="9"/>
  <c r="S29" i="9"/>
  <c r="T26" i="9"/>
  <c r="S26" i="9"/>
  <c r="T25" i="9"/>
  <c r="S25" i="9"/>
  <c r="T22" i="9"/>
  <c r="S22" i="9"/>
  <c r="T19" i="9"/>
  <c r="S19" i="9"/>
  <c r="T18" i="9"/>
  <c r="S18" i="9"/>
  <c r="T17" i="9"/>
  <c r="S17" i="9"/>
  <c r="T14" i="9"/>
  <c r="S14" i="9"/>
  <c r="T13" i="9"/>
  <c r="S13" i="9"/>
  <c r="T10" i="9"/>
  <c r="S10" i="9"/>
  <c r="T9" i="9"/>
  <c r="S9" i="9"/>
  <c r="T6" i="9"/>
  <c r="S6" i="9"/>
  <c r="T6" i="8"/>
  <c r="T74" i="6"/>
  <c r="S74" i="6"/>
  <c r="T71" i="6"/>
  <c r="T70" i="6"/>
  <c r="S70" i="6"/>
  <c r="T67" i="6"/>
  <c r="T66" i="6"/>
  <c r="S66" i="6"/>
  <c r="T65" i="6"/>
  <c r="T64" i="6"/>
  <c r="S64" i="6"/>
  <c r="T63" i="6"/>
  <c r="S63" i="6"/>
  <c r="T62" i="6"/>
  <c r="S62" i="6"/>
  <c r="T61" i="6"/>
  <c r="S61" i="6"/>
  <c r="T60" i="6"/>
  <c r="T57" i="6"/>
  <c r="S57" i="6"/>
  <c r="T56" i="6"/>
  <c r="T55" i="6"/>
  <c r="S55" i="6"/>
  <c r="T54" i="6"/>
  <c r="S54" i="6"/>
  <c r="T53" i="6"/>
  <c r="S53" i="6"/>
  <c r="T52" i="6"/>
  <c r="S52" i="6"/>
  <c r="T51" i="6"/>
  <c r="S51" i="6"/>
  <c r="T50" i="6"/>
  <c r="S50" i="6"/>
  <c r="T47" i="6"/>
  <c r="T46" i="6"/>
  <c r="S46" i="6"/>
  <c r="T45" i="6"/>
  <c r="S45" i="6"/>
  <c r="T44" i="6"/>
  <c r="S44" i="6"/>
  <c r="T43" i="6"/>
  <c r="S43" i="6"/>
  <c r="T42" i="6"/>
  <c r="S42" i="6"/>
  <c r="T41" i="6"/>
  <c r="S41" i="6"/>
  <c r="T38" i="6"/>
  <c r="T37" i="6"/>
  <c r="S37" i="6"/>
  <c r="T36" i="6"/>
  <c r="S36" i="6"/>
  <c r="T35" i="6"/>
  <c r="S35" i="6"/>
  <c r="T32" i="6"/>
  <c r="T31" i="6"/>
  <c r="S31" i="6"/>
  <c r="T28" i="6"/>
  <c r="S28" i="6"/>
  <c r="T25" i="6"/>
  <c r="S25" i="6"/>
  <c r="T22" i="6"/>
  <c r="T19" i="6"/>
  <c r="S19" i="6"/>
  <c r="T18" i="6"/>
  <c r="S18" i="6"/>
  <c r="T17" i="6"/>
  <c r="S17" i="6"/>
  <c r="T14" i="6"/>
  <c r="T13" i="6"/>
  <c r="S13" i="6"/>
  <c r="T12" i="6"/>
  <c r="S12" i="6"/>
  <c r="T11" i="6"/>
  <c r="S11" i="6"/>
  <c r="T8" i="6"/>
  <c r="S8" i="6"/>
  <c r="T7" i="6"/>
  <c r="S7" i="6"/>
  <c r="T6" i="6"/>
  <c r="S6" i="6"/>
  <c r="T110" i="5"/>
  <c r="S110" i="5"/>
  <c r="T109" i="5"/>
  <c r="T108" i="5"/>
  <c r="S108" i="5"/>
  <c r="T107" i="5"/>
  <c r="S107" i="5"/>
  <c r="T106" i="5"/>
  <c r="T105" i="5"/>
  <c r="S105" i="5"/>
  <c r="T102" i="5"/>
  <c r="S102" i="5"/>
  <c r="T101" i="5"/>
  <c r="T100" i="5"/>
  <c r="T99" i="5"/>
  <c r="S99" i="5"/>
  <c r="T98" i="5"/>
  <c r="S98" i="5"/>
  <c r="T95" i="5"/>
  <c r="S95" i="5"/>
  <c r="T94" i="5"/>
  <c r="S94" i="5"/>
  <c r="T93" i="5"/>
  <c r="S93" i="5"/>
  <c r="T92" i="5"/>
  <c r="S92" i="5"/>
  <c r="T91" i="5"/>
  <c r="S91" i="5"/>
  <c r="T90" i="5"/>
  <c r="T89" i="5"/>
  <c r="S89" i="5"/>
  <c r="T88" i="5"/>
  <c r="S88" i="5"/>
  <c r="T87" i="5"/>
  <c r="S87" i="5"/>
  <c r="T86" i="5"/>
  <c r="S86" i="5"/>
  <c r="T85" i="5"/>
  <c r="S85" i="5"/>
  <c r="T84" i="5"/>
  <c r="S84" i="5"/>
  <c r="T83" i="5"/>
  <c r="S83" i="5"/>
  <c r="T82" i="5"/>
  <c r="S82" i="5"/>
  <c r="T79" i="5"/>
  <c r="S79" i="5"/>
  <c r="T78" i="5"/>
  <c r="S78" i="5"/>
  <c r="T77" i="5"/>
  <c r="S77" i="5"/>
  <c r="T76" i="5"/>
  <c r="S76" i="5"/>
  <c r="T75" i="5"/>
  <c r="S75" i="5"/>
  <c r="T74" i="5"/>
  <c r="S74" i="5"/>
  <c r="T71" i="5"/>
  <c r="S71" i="5"/>
  <c r="T70" i="5"/>
  <c r="S70" i="5"/>
  <c r="T69" i="5"/>
  <c r="S69" i="5"/>
  <c r="T68" i="5"/>
  <c r="T67" i="5"/>
  <c r="T66" i="5"/>
  <c r="T65" i="5"/>
  <c r="S65" i="5"/>
  <c r="T64" i="5"/>
  <c r="S64" i="5"/>
  <c r="T63" i="5"/>
  <c r="S63" i="5"/>
  <c r="T62" i="5"/>
  <c r="S62" i="5"/>
  <c r="T61" i="5"/>
  <c r="S61" i="5"/>
  <c r="T60" i="5"/>
  <c r="S60" i="5"/>
  <c r="T59" i="5"/>
  <c r="T58" i="5"/>
  <c r="S58" i="5"/>
  <c r="T55" i="5"/>
  <c r="S55" i="5"/>
  <c r="T54" i="5"/>
  <c r="T53" i="5"/>
  <c r="S53" i="5"/>
  <c r="T52" i="5"/>
  <c r="S52" i="5"/>
  <c r="T51" i="5"/>
  <c r="S51" i="5"/>
  <c r="T50" i="5"/>
  <c r="S50" i="5"/>
  <c r="T49" i="5"/>
  <c r="S49" i="5"/>
  <c r="T48" i="5"/>
  <c r="S48" i="5"/>
  <c r="T47" i="5"/>
  <c r="S47" i="5"/>
  <c r="T46" i="5"/>
  <c r="S46" i="5"/>
  <c r="T43" i="5"/>
  <c r="S43" i="5"/>
  <c r="T42" i="5"/>
  <c r="T41" i="5"/>
  <c r="T40" i="5"/>
  <c r="T39" i="5"/>
  <c r="S39" i="5"/>
  <c r="T38" i="5"/>
  <c r="S38" i="5"/>
  <c r="T37" i="5"/>
  <c r="S37" i="5"/>
  <c r="T36" i="5"/>
  <c r="S36" i="5"/>
  <c r="T35" i="5"/>
  <c r="S35" i="5"/>
  <c r="T32" i="5"/>
  <c r="S32" i="5"/>
  <c r="T31" i="5"/>
  <c r="T30" i="5"/>
  <c r="S30" i="5"/>
  <c r="T27" i="5"/>
  <c r="T26" i="5"/>
  <c r="S26" i="5"/>
  <c r="T23" i="5"/>
  <c r="S23" i="5"/>
  <c r="T20" i="5"/>
  <c r="S20" i="5"/>
  <c r="T17" i="5"/>
  <c r="S17" i="5"/>
  <c r="T14" i="5"/>
  <c r="S14" i="5"/>
  <c r="T13" i="5"/>
  <c r="S13" i="5"/>
  <c r="T12" i="5"/>
  <c r="S12" i="5"/>
  <c r="T9" i="5"/>
  <c r="S9" i="5"/>
  <c r="T6" i="5"/>
  <c r="S6" i="5"/>
</calcChain>
</file>

<file path=xl/sharedStrings.xml><?xml version="1.0" encoding="utf-8"?>
<sst xmlns="http://schemas.openxmlformats.org/spreadsheetml/2006/main" count="17203" uniqueCount="3761">
  <si>
    <t>ФИО</t>
  </si>
  <si>
    <t>Сумма</t>
  </si>
  <si>
    <t>Тренер</t>
  </si>
  <si>
    <t>Очки</t>
  </si>
  <si>
    <t>Рек</t>
  </si>
  <si>
    <t>Собственный 
вес</t>
  </si>
  <si>
    <t>Приседание</t>
  </si>
  <si>
    <t>Жим лёжа</t>
  </si>
  <si>
    <t>Становая тяга</t>
  </si>
  <si>
    <t>ВЕСОВАЯ КАТЕГОРИЯ   52</t>
  </si>
  <si>
    <t>Удалова Евгения</t>
  </si>
  <si>
    <t>Открытая (07.01.1984)/37</t>
  </si>
  <si>
    <t>51,00</t>
  </si>
  <si>
    <t>65,0</t>
  </si>
  <si>
    <t>70,0</t>
  </si>
  <si>
    <t>75,0</t>
  </si>
  <si>
    <t>40,0</t>
  </si>
  <si>
    <t>45,0</t>
  </si>
  <si>
    <t>80,0</t>
  </si>
  <si>
    <t>87,5</t>
  </si>
  <si>
    <t xml:space="preserve">Сапунков К </t>
  </si>
  <si>
    <t>ВЕСОВАЯ КАТЕГОРИЯ   56</t>
  </si>
  <si>
    <t>Кончакова Наталья</t>
  </si>
  <si>
    <t>Мастера 40-49 (14.08.1977)/44</t>
  </si>
  <si>
    <t>54,40</t>
  </si>
  <si>
    <t>145,0</t>
  </si>
  <si>
    <t>152,5</t>
  </si>
  <si>
    <t>77,5</t>
  </si>
  <si>
    <t>175,0</t>
  </si>
  <si>
    <t>185,0</t>
  </si>
  <si>
    <t xml:space="preserve">Исаков П. </t>
  </si>
  <si>
    <t>ВЕСОВАЯ КАТЕГОРИЯ   60</t>
  </si>
  <si>
    <t>Валиева Луиза</t>
  </si>
  <si>
    <t>Открытая (15.08.1996)/25</t>
  </si>
  <si>
    <t>60,00</t>
  </si>
  <si>
    <t>150,0</t>
  </si>
  <si>
    <t>160,0</t>
  </si>
  <si>
    <t>170,0</t>
  </si>
  <si>
    <t>90,0</t>
  </si>
  <si>
    <t>100,0</t>
  </si>
  <si>
    <t>180,0</t>
  </si>
  <si>
    <t xml:space="preserve">Коноров Д. </t>
  </si>
  <si>
    <t>Открытая (19.04.1987)/34</t>
  </si>
  <si>
    <t>58,00</t>
  </si>
  <si>
    <t xml:space="preserve">KAZ/Балхаш </t>
  </si>
  <si>
    <t>140,0</t>
  </si>
  <si>
    <t>155,0</t>
  </si>
  <si>
    <t>162,5</t>
  </si>
  <si>
    <t>Ларина Ксения</t>
  </si>
  <si>
    <t>Открытая (29.07.1993)/28</t>
  </si>
  <si>
    <t>59,20</t>
  </si>
  <si>
    <t>50,0</t>
  </si>
  <si>
    <t>55,0</t>
  </si>
  <si>
    <t>60,0</t>
  </si>
  <si>
    <t>105,0</t>
  </si>
  <si>
    <t>ВЕСОВАЯ КАТЕГОРИЯ   67.5</t>
  </si>
  <si>
    <t>Новожилова Екатерина</t>
  </si>
  <si>
    <t>Открытая (14.06.1986)/35</t>
  </si>
  <si>
    <t>65,50</t>
  </si>
  <si>
    <t>165,0</t>
  </si>
  <si>
    <t>82,5</t>
  </si>
  <si>
    <t>177,5</t>
  </si>
  <si>
    <t>ВЕСОВАЯ КАТЕГОРИЯ   82.5</t>
  </si>
  <si>
    <t>Печерская Елена</t>
  </si>
  <si>
    <t>Открытая (08.02.1991)/30</t>
  </si>
  <si>
    <t>80,50</t>
  </si>
  <si>
    <t>195,0</t>
  </si>
  <si>
    <t>205,0</t>
  </si>
  <si>
    <t>215,0</t>
  </si>
  <si>
    <t>95,0</t>
  </si>
  <si>
    <t>190,0</t>
  </si>
  <si>
    <t>200,0</t>
  </si>
  <si>
    <t xml:space="preserve">Суслов Н. </t>
  </si>
  <si>
    <t>Mortazavi Seyed</t>
  </si>
  <si>
    <t>Мастера 40-49 (19.06.1975)/46</t>
  </si>
  <si>
    <t xml:space="preserve">IRN/Tehran </t>
  </si>
  <si>
    <t>120,0</t>
  </si>
  <si>
    <t>125,0</t>
  </si>
  <si>
    <t>115,0</t>
  </si>
  <si>
    <t>117,5</t>
  </si>
  <si>
    <t>Открытая (20.05.1997)/24</t>
  </si>
  <si>
    <t>66,70</t>
  </si>
  <si>
    <t xml:space="preserve">UZB/Ташкент </t>
  </si>
  <si>
    <t>210,0</t>
  </si>
  <si>
    <t>127,5</t>
  </si>
  <si>
    <t>135,0</t>
  </si>
  <si>
    <t>225,0</t>
  </si>
  <si>
    <t>235,0</t>
  </si>
  <si>
    <t xml:space="preserve">Рахмонкулов К. </t>
  </si>
  <si>
    <t>Sirdani Abolfazl</t>
  </si>
  <si>
    <t>Открытая (17.06.1987)/34</t>
  </si>
  <si>
    <t>67,50</t>
  </si>
  <si>
    <t>202,5</t>
  </si>
  <si>
    <t>ВЕСОВАЯ КАТЕГОРИЯ   75</t>
  </si>
  <si>
    <t>Fathi Abbas</t>
  </si>
  <si>
    <t>Открытая (21.01.1995)/26</t>
  </si>
  <si>
    <t>73,90</t>
  </si>
  <si>
    <t>220,0</t>
  </si>
  <si>
    <t>230,0</t>
  </si>
  <si>
    <t>237,5</t>
  </si>
  <si>
    <t>Открытая (19.02.1997)/24</t>
  </si>
  <si>
    <t>74,60</t>
  </si>
  <si>
    <t xml:space="preserve">TJK/Пенджикент </t>
  </si>
  <si>
    <t>Мастера 50-59 (15.04.1966)/55</t>
  </si>
  <si>
    <t>74,00</t>
  </si>
  <si>
    <t xml:space="preserve">KAZ/Шымкент </t>
  </si>
  <si>
    <t>110,0</t>
  </si>
  <si>
    <t>Открытая (17.07.1995)/26</t>
  </si>
  <si>
    <t>81,20</t>
  </si>
  <si>
    <t xml:space="preserve">BLR/Минск </t>
  </si>
  <si>
    <t>275,0</t>
  </si>
  <si>
    <t>285,0</t>
  </si>
  <si>
    <t>295,0</t>
  </si>
  <si>
    <t>182,5</t>
  </si>
  <si>
    <t>290,0</t>
  </si>
  <si>
    <t xml:space="preserve">Винокуров Д. </t>
  </si>
  <si>
    <t>Коротких Роман</t>
  </si>
  <si>
    <t>Открытая (21.08.1994)/27</t>
  </si>
  <si>
    <t>81,70</t>
  </si>
  <si>
    <t>260,0</t>
  </si>
  <si>
    <t>270,0</t>
  </si>
  <si>
    <t>280,0</t>
  </si>
  <si>
    <t>Открытая (13.09.1992)/29</t>
  </si>
  <si>
    <t>82,50</t>
  </si>
  <si>
    <t xml:space="preserve">BLR/Гомель </t>
  </si>
  <si>
    <t>277,5</t>
  </si>
  <si>
    <t>Фомин Сергей</t>
  </si>
  <si>
    <t>Открытая (16.04.1983)/38</t>
  </si>
  <si>
    <t>300,0</t>
  </si>
  <si>
    <t>Наршиев Бахытжан</t>
  </si>
  <si>
    <t>Открытая (03.01.1991)/30</t>
  </si>
  <si>
    <t>82,10</t>
  </si>
  <si>
    <t>130,0</t>
  </si>
  <si>
    <t>240,0</t>
  </si>
  <si>
    <t>250,0</t>
  </si>
  <si>
    <t xml:space="preserve">Литвинов А. </t>
  </si>
  <si>
    <t>Бурдинский Никита</t>
  </si>
  <si>
    <t>Открытая (07.10.1994)/27</t>
  </si>
  <si>
    <t>81,00</t>
  </si>
  <si>
    <t xml:space="preserve">Римиханов И. </t>
  </si>
  <si>
    <t>Открытая (27.01.1995)/26</t>
  </si>
  <si>
    <t>81,30</t>
  </si>
  <si>
    <t xml:space="preserve">MDA/Кишинев </t>
  </si>
  <si>
    <t>Ефимищев Михаил</t>
  </si>
  <si>
    <t>Открытая (27.10.1994)/27</t>
  </si>
  <si>
    <t>82,00</t>
  </si>
  <si>
    <t xml:space="preserve">Варава И. </t>
  </si>
  <si>
    <t>Сидоренко Владимир</t>
  </si>
  <si>
    <t>Мастера 60-69 (27.10.1961)/60</t>
  </si>
  <si>
    <t>81,90</t>
  </si>
  <si>
    <t>ВЕСОВАЯ КАТЕГОРИЯ   90</t>
  </si>
  <si>
    <t>Юниоры (08.04.1998)/23</t>
  </si>
  <si>
    <t>90,00</t>
  </si>
  <si>
    <t xml:space="preserve">MDA/Бельцы </t>
  </si>
  <si>
    <t>245,0</t>
  </si>
  <si>
    <t>89,00</t>
  </si>
  <si>
    <t>Семенюк Александр</t>
  </si>
  <si>
    <t>Открытая (16.05.1995)/26</t>
  </si>
  <si>
    <t>88,80</t>
  </si>
  <si>
    <t>297,5</t>
  </si>
  <si>
    <t>315,0</t>
  </si>
  <si>
    <t>325,0</t>
  </si>
  <si>
    <t>335,0</t>
  </si>
  <si>
    <t>Открытая (13.11.1994)/27</t>
  </si>
  <si>
    <t>89,50</t>
  </si>
  <si>
    <t xml:space="preserve">MDA/Томай </t>
  </si>
  <si>
    <t>Фомин Владимир</t>
  </si>
  <si>
    <t>Открытая (01.06.1989)/32</t>
  </si>
  <si>
    <t>87,10</t>
  </si>
  <si>
    <t>272,5</t>
  </si>
  <si>
    <t>262,5</t>
  </si>
  <si>
    <t xml:space="preserve">Максимов С. </t>
  </si>
  <si>
    <t>Открытая (13.12.1995)/26</t>
  </si>
  <si>
    <t>86,10</t>
  </si>
  <si>
    <t xml:space="preserve">KAZ/Нур-Султан </t>
  </si>
  <si>
    <t>Бурцев Анатолий</t>
  </si>
  <si>
    <t>Открытая (26.05.1990)/31</t>
  </si>
  <si>
    <t>Алиев Владимир</t>
  </si>
  <si>
    <t>Открытая (26.01.1992)/29</t>
  </si>
  <si>
    <t>88,00</t>
  </si>
  <si>
    <t>192,5</t>
  </si>
  <si>
    <t>197,5</t>
  </si>
  <si>
    <t>265,0</t>
  </si>
  <si>
    <t xml:space="preserve">Мельников Н. </t>
  </si>
  <si>
    <t>Ильенко Александр</t>
  </si>
  <si>
    <t>Открытая (23.03.1996)/25</t>
  </si>
  <si>
    <t>84,60</t>
  </si>
  <si>
    <t>167,5</t>
  </si>
  <si>
    <t xml:space="preserve">Луговой А. </t>
  </si>
  <si>
    <t>Азизмамадов Константин</t>
  </si>
  <si>
    <t>Открытая (17.03.1985)/36</t>
  </si>
  <si>
    <t>88,90</t>
  </si>
  <si>
    <t xml:space="preserve">Никулин А. </t>
  </si>
  <si>
    <t>Марков Анатолий</t>
  </si>
  <si>
    <t>Мастера 70-79 (13.01.1951)/70</t>
  </si>
  <si>
    <t>ВЕСОВАЯ КАТЕГОРИЯ   100</t>
  </si>
  <si>
    <t>Guliyev Nihad</t>
  </si>
  <si>
    <t>Юниоры (30.05.1998)/23</t>
  </si>
  <si>
    <t>96,80</t>
  </si>
  <si>
    <t xml:space="preserve">AZE/Баку </t>
  </si>
  <si>
    <t>308,0</t>
  </si>
  <si>
    <t>312,5</t>
  </si>
  <si>
    <t>Лазарев Вячеслав</t>
  </si>
  <si>
    <t>Юниоры (21.05.1998)/23</t>
  </si>
  <si>
    <t>94,90</t>
  </si>
  <si>
    <t>255,0</t>
  </si>
  <si>
    <t xml:space="preserve">Пальцев Р. </t>
  </si>
  <si>
    <t>Ahmadov Ramil</t>
  </si>
  <si>
    <t>Открытая (06.05.1988)/33</t>
  </si>
  <si>
    <t>98,60</t>
  </si>
  <si>
    <t>212,5</t>
  </si>
  <si>
    <t>320,0</t>
  </si>
  <si>
    <t>330,0</t>
  </si>
  <si>
    <t>Коваль Алексей</t>
  </si>
  <si>
    <t>Открытая (24.08.1991)/30</t>
  </si>
  <si>
    <t>99,40</t>
  </si>
  <si>
    <t>305,0</t>
  </si>
  <si>
    <t>310,0</t>
  </si>
  <si>
    <t xml:space="preserve">Андреев Т. </t>
  </si>
  <si>
    <t>Открытая (02.09.1994)/27</t>
  </si>
  <si>
    <t>98,30</t>
  </si>
  <si>
    <t>340,0</t>
  </si>
  <si>
    <t>Карпович Максим</t>
  </si>
  <si>
    <t>Открытая (13.07.1993)/28</t>
  </si>
  <si>
    <t>97,50</t>
  </si>
  <si>
    <t>282,5</t>
  </si>
  <si>
    <t>172,5</t>
  </si>
  <si>
    <t>322,5</t>
  </si>
  <si>
    <t xml:space="preserve">Власова Н. </t>
  </si>
  <si>
    <t>Постаногов Геннадий</t>
  </si>
  <si>
    <t>Открытая (26.04.1984)/37</t>
  </si>
  <si>
    <t>97,10</t>
  </si>
  <si>
    <t>Козлов Владимир</t>
  </si>
  <si>
    <t>Открытая (21.07.1990)/31</t>
  </si>
  <si>
    <t>100,00</t>
  </si>
  <si>
    <t xml:space="preserve">Тимофеев С. </t>
  </si>
  <si>
    <t>Dalal Rajat</t>
  </si>
  <si>
    <t>Открытая (12.01.1996)/25</t>
  </si>
  <si>
    <t xml:space="preserve">IND/Faridabad </t>
  </si>
  <si>
    <t>Namjoo Roohollah</t>
  </si>
  <si>
    <t>Открытая (09.07.1991)/30</t>
  </si>
  <si>
    <t>97,30</t>
  </si>
  <si>
    <t>Поляков Николай</t>
  </si>
  <si>
    <t>Открытая (27.05.1994)/27</t>
  </si>
  <si>
    <t>98,80</t>
  </si>
  <si>
    <t>Сапунков Константин</t>
  </si>
  <si>
    <t>Мастера 40-49 (02.09.1981)/40</t>
  </si>
  <si>
    <t>92,40</t>
  </si>
  <si>
    <t>142,5</t>
  </si>
  <si>
    <t xml:space="preserve">Брехов Р. </t>
  </si>
  <si>
    <t>Постика Владимир</t>
  </si>
  <si>
    <t>Мастера 40-49 (20.07.1979)/42</t>
  </si>
  <si>
    <t>94,20</t>
  </si>
  <si>
    <t>147,5</t>
  </si>
  <si>
    <t xml:space="preserve">Прадед А. </t>
  </si>
  <si>
    <t>Радаев Владимир</t>
  </si>
  <si>
    <t>Мастера 60-69 (11.08.1954)/67</t>
  </si>
  <si>
    <t xml:space="preserve">Добрынин С. </t>
  </si>
  <si>
    <t>ВЕСОВАЯ КАТЕГОРИЯ   110</t>
  </si>
  <si>
    <t>Boris Tsvetkov</t>
  </si>
  <si>
    <t>Открытая (21.06.1998)/23</t>
  </si>
  <si>
    <t>107,80</t>
  </si>
  <si>
    <t xml:space="preserve">BGR/Sofia </t>
  </si>
  <si>
    <t>370,0</t>
  </si>
  <si>
    <t>390,0</t>
  </si>
  <si>
    <t xml:space="preserve">Vangelov A. </t>
  </si>
  <si>
    <t>Петров Артем</t>
  </si>
  <si>
    <t>Открытая (05.03.1997)/24</t>
  </si>
  <si>
    <t>107,20</t>
  </si>
  <si>
    <t>Открытая (02.02.1987)/34</t>
  </si>
  <si>
    <t>107,70</t>
  </si>
  <si>
    <t>Мамонов Дмитрий</t>
  </si>
  <si>
    <t>Открытая (14.08.1988)/33</t>
  </si>
  <si>
    <t>107,60</t>
  </si>
  <si>
    <t>Чакин Сергей</t>
  </si>
  <si>
    <t>Мастера 40-49 (24.03.1974)/47</t>
  </si>
  <si>
    <t>108,60</t>
  </si>
  <si>
    <t xml:space="preserve">Обухов Ф. </t>
  </si>
  <si>
    <t>Воронцов Михаил</t>
  </si>
  <si>
    <t>Мастера 50-59 (12.02.1964)/57</t>
  </si>
  <si>
    <t>ВЕСОВАЯ КАТЕГОРИЯ   125</t>
  </si>
  <si>
    <t>Прокопьев Александр</t>
  </si>
  <si>
    <t>Открытая (13.06.1993)/28</t>
  </si>
  <si>
    <t>122,80</t>
  </si>
  <si>
    <t>355,0</t>
  </si>
  <si>
    <t>Степанов Игорь</t>
  </si>
  <si>
    <t>Открытая (09.04.1989)/32</t>
  </si>
  <si>
    <t>123,80</t>
  </si>
  <si>
    <t>217,5</t>
  </si>
  <si>
    <t>222,5</t>
  </si>
  <si>
    <t xml:space="preserve">Романов Д. </t>
  </si>
  <si>
    <t>Пахучий Александр</t>
  </si>
  <si>
    <t>Открытая (24.04.1978)/43</t>
  </si>
  <si>
    <t>116,30</t>
  </si>
  <si>
    <t>Новиков Иван</t>
  </si>
  <si>
    <t>Открытая (23.05.1996)/25</t>
  </si>
  <si>
    <t>121,00</t>
  </si>
  <si>
    <t>360,0</t>
  </si>
  <si>
    <t xml:space="preserve">Насонов Д. </t>
  </si>
  <si>
    <t>Кучма Алексей</t>
  </si>
  <si>
    <t>Открытая (04.01.1979)/42</t>
  </si>
  <si>
    <t>124,60</t>
  </si>
  <si>
    <t>Алиев Исамудин</t>
  </si>
  <si>
    <t>Открытая (10.06.1978)/43</t>
  </si>
  <si>
    <t>123,10</t>
  </si>
  <si>
    <t xml:space="preserve">Рамазанов И. </t>
  </si>
  <si>
    <t>Клычев Александр</t>
  </si>
  <si>
    <t>Открытая (25.06.1986)/35</t>
  </si>
  <si>
    <t>123,70</t>
  </si>
  <si>
    <t>207,5</t>
  </si>
  <si>
    <t xml:space="preserve">Агафонов В. </t>
  </si>
  <si>
    <t>Мамцев Евгений</t>
  </si>
  <si>
    <t>Открытая (01.02.1987)/34</t>
  </si>
  <si>
    <t>114,80</t>
  </si>
  <si>
    <t xml:space="preserve">Румянцев С. </t>
  </si>
  <si>
    <t>Открытая (19.06.1994)/27</t>
  </si>
  <si>
    <t xml:space="preserve">KAZ/Алматы </t>
  </si>
  <si>
    <t>227,5</t>
  </si>
  <si>
    <t xml:space="preserve">Сивоконь А. </t>
  </si>
  <si>
    <t>Мастера 40-49 (24.04.1978)/43</t>
  </si>
  <si>
    <t>Мастера 40-49 (04.01.1979)/42</t>
  </si>
  <si>
    <t>Мастера 40-49 (10.06.1978)/43</t>
  </si>
  <si>
    <t>Дьячков Антон</t>
  </si>
  <si>
    <t>Мастера 40-49 (21.12.1977)/43</t>
  </si>
  <si>
    <t>112,40</t>
  </si>
  <si>
    <t>Исраилов Арби</t>
  </si>
  <si>
    <t>Мастера 50-59 (20.07.1968)/53</t>
  </si>
  <si>
    <t>120,60</t>
  </si>
  <si>
    <t>ВЕСОВАЯ КАТЕГОРИЯ   140</t>
  </si>
  <si>
    <t>Gluic Ante</t>
  </si>
  <si>
    <t>Юниоры (27.04.1999)/22</t>
  </si>
  <si>
    <t>126,40</t>
  </si>
  <si>
    <t xml:space="preserve">HRV/Zagreb </t>
  </si>
  <si>
    <t>350,0</t>
  </si>
  <si>
    <t>Jamali Mehrdad</t>
  </si>
  <si>
    <t>Юниоры (22.08.1998)/23</t>
  </si>
  <si>
    <t>130,30</t>
  </si>
  <si>
    <t>292,5</t>
  </si>
  <si>
    <t>Aliev Ali</t>
  </si>
  <si>
    <t>Открытая (28.01.1994)/27</t>
  </si>
  <si>
    <t>140,00</t>
  </si>
  <si>
    <t xml:space="preserve">AZE/Гянджа </t>
  </si>
  <si>
    <t xml:space="preserve">Aliev M. </t>
  </si>
  <si>
    <t>Ермаков Алексей</t>
  </si>
  <si>
    <t>Мастера 40-49 (03.07.1973)/48</t>
  </si>
  <si>
    <t>136,50</t>
  </si>
  <si>
    <t>ВЕСОВАЯ КАТЕГОРИЯ   140+</t>
  </si>
  <si>
    <t>Шерстнев Илья</t>
  </si>
  <si>
    <t>Юноши 17-19 (25.04.2003)/18</t>
  </si>
  <si>
    <t>144,10</t>
  </si>
  <si>
    <t>375,0</t>
  </si>
  <si>
    <t xml:space="preserve">Сарычев К. </t>
  </si>
  <si>
    <t>Safdar Ali</t>
  </si>
  <si>
    <t>Юниоры (09.08.2001)/20</t>
  </si>
  <si>
    <t>152,60</t>
  </si>
  <si>
    <t>Открытая (25.04.2003)/18</t>
  </si>
  <si>
    <t>Штоколов Денис</t>
  </si>
  <si>
    <t>Открытая (13.05.1979)/42</t>
  </si>
  <si>
    <t>140,30</t>
  </si>
  <si>
    <t xml:space="preserve">Осипов К. </t>
  </si>
  <si>
    <t>Treskavica Milan</t>
  </si>
  <si>
    <t>Открытая (20.04.1992)/29</t>
  </si>
  <si>
    <t>142,90</t>
  </si>
  <si>
    <t xml:space="preserve">Korotkov M. </t>
  </si>
  <si>
    <t>Мастера 40-49 (13.05.1979)/42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</si>
  <si>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</si>
  <si>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</si>
  <si>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</si>
  <si>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</si>
  <si>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</si>
  <si>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</si>
  <si>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</si>
  <si>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</si>
  <si>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82.5</t>
  </si>
  <si>
    <t>515,0</t>
  </si>
  <si>
    <t>469,6285</t>
  </si>
  <si>
    <t>60</t>
  </si>
  <si>
    <t>420,0</t>
  </si>
  <si>
    <t>468,2580</t>
  </si>
  <si>
    <t>67.5</t>
  </si>
  <si>
    <t>427,5</t>
  </si>
  <si>
    <t>445,9680</t>
  </si>
  <si>
    <t xml:space="preserve">Мастера </t>
  </si>
  <si>
    <t xml:space="preserve">Мастера 40-49 </t>
  </si>
  <si>
    <t>56</t>
  </si>
  <si>
    <t xml:space="preserve">Мужчины </t>
  </si>
  <si>
    <t xml:space="preserve">Юноши </t>
  </si>
  <si>
    <t xml:space="preserve">Юноши 17-19 </t>
  </si>
  <si>
    <t xml:space="preserve">Юниоры </t>
  </si>
  <si>
    <t>140</t>
  </si>
  <si>
    <t>100</t>
  </si>
  <si>
    <t>110</t>
  </si>
  <si>
    <t>890,0</t>
  </si>
  <si>
    <t>527,1470</t>
  </si>
  <si>
    <t>90</t>
  </si>
  <si>
    <t>817,5</t>
  </si>
  <si>
    <t>525,4890</t>
  </si>
  <si>
    <t>125</t>
  </si>
  <si>
    <t>900,0</t>
  </si>
  <si>
    <t>514,8000</t>
  </si>
  <si>
    <t xml:space="preserve">Мастера 70-79 </t>
  </si>
  <si>
    <t>510,0</t>
  </si>
  <si>
    <t>559,9953</t>
  </si>
  <si>
    <t xml:space="preserve">Мастера 60-69 </t>
  </si>
  <si>
    <t>555,0</t>
  </si>
  <si>
    <t>540,7530</t>
  </si>
  <si>
    <t>860,0</t>
  </si>
  <si>
    <t>512,1475</t>
  </si>
  <si>
    <t>1</t>
  </si>
  <si>
    <t/>
  </si>
  <si>
    <t>2</t>
  </si>
  <si>
    <t>3</t>
  </si>
  <si>
    <t>-</t>
  </si>
  <si>
    <t>4</t>
  </si>
  <si>
    <t>5</t>
  </si>
  <si>
    <t>6</t>
  </si>
  <si>
    <t>7</t>
  </si>
  <si>
    <t>8</t>
  </si>
  <si>
    <t>Шевцова Алёна</t>
  </si>
  <si>
    <t>Юниорки (13.06.1998)/23</t>
  </si>
  <si>
    <t>55,20</t>
  </si>
  <si>
    <t>Полянская Ксения</t>
  </si>
  <si>
    <t>Открытая (22.11.1988)/33</t>
  </si>
  <si>
    <t>55,90</t>
  </si>
  <si>
    <t xml:space="preserve">Пахучий А. </t>
  </si>
  <si>
    <t>Вишняк Анна</t>
  </si>
  <si>
    <t>Открытая (12.12.1984)/37</t>
  </si>
  <si>
    <t>56,00</t>
  </si>
  <si>
    <t>102,5</t>
  </si>
  <si>
    <t xml:space="preserve">Быховец А. </t>
  </si>
  <si>
    <t>Ковшарь Олеся</t>
  </si>
  <si>
    <t>Юниорки (21.07.1999)/22</t>
  </si>
  <si>
    <t>Чабанная Юлия</t>
  </si>
  <si>
    <t>Открытая (12.02.1986)/35</t>
  </si>
  <si>
    <t>58,50</t>
  </si>
  <si>
    <t>85,0</t>
  </si>
  <si>
    <t>Голубовская Алла</t>
  </si>
  <si>
    <t>Открытая (29.07.1991)/30</t>
  </si>
  <si>
    <t>58,30</t>
  </si>
  <si>
    <t>37,5</t>
  </si>
  <si>
    <t>42,5</t>
  </si>
  <si>
    <t>Михайлова Светлана</t>
  </si>
  <si>
    <t>Открытая (24.10.1981)/40</t>
  </si>
  <si>
    <t>58,20</t>
  </si>
  <si>
    <t>Галакова Александра</t>
  </si>
  <si>
    <t>Юниорки (04.05.1999)/22</t>
  </si>
  <si>
    <t>67,30</t>
  </si>
  <si>
    <t>Открытая (04.05.1999)/22</t>
  </si>
  <si>
    <t>Насырова Анжелика</t>
  </si>
  <si>
    <t>Открытая (13.06.1995)/26</t>
  </si>
  <si>
    <t>63,00</t>
  </si>
  <si>
    <t>122,5</t>
  </si>
  <si>
    <t>Васильева Екатерина</t>
  </si>
  <si>
    <t>Мастера 40-49 (07.09.1976)/45</t>
  </si>
  <si>
    <t>Виноградова Дарья</t>
  </si>
  <si>
    <t>Открытая (21.01.1989)/32</t>
  </si>
  <si>
    <t>79,30</t>
  </si>
  <si>
    <t xml:space="preserve">Танаев М. </t>
  </si>
  <si>
    <t>Бальцук Вячеслав</t>
  </si>
  <si>
    <t>Юноши 17-19 (27.01.2004)/17</t>
  </si>
  <si>
    <t>59,50</t>
  </si>
  <si>
    <t xml:space="preserve">BLR/Лида </t>
  </si>
  <si>
    <t>Рыбалкин Владислав</t>
  </si>
  <si>
    <t>Юноши 17-19 (30.06.2004)/17</t>
  </si>
  <si>
    <t>70,60</t>
  </si>
  <si>
    <t>Дурнов Роман</t>
  </si>
  <si>
    <t>Открытая (23.09.1986)/35</t>
  </si>
  <si>
    <t>74,90</t>
  </si>
  <si>
    <t>Пахучий Даниил</t>
  </si>
  <si>
    <t>Юниоры (12.09.2001)/20</t>
  </si>
  <si>
    <t>81,60</t>
  </si>
  <si>
    <t>Юршин Евгений</t>
  </si>
  <si>
    <t>Открытая (01.05.1989)/32</t>
  </si>
  <si>
    <t>82,20</t>
  </si>
  <si>
    <t>137,5</t>
  </si>
  <si>
    <t>Быков Станислав</t>
  </si>
  <si>
    <t>Открытая (02.06.1988)/33</t>
  </si>
  <si>
    <t>77,60</t>
  </si>
  <si>
    <t xml:space="preserve">Бобров Ю. </t>
  </si>
  <si>
    <t>Степанов Григорий</t>
  </si>
  <si>
    <t>Открытая (11.07.1980)/41</t>
  </si>
  <si>
    <t>80,30</t>
  </si>
  <si>
    <t>Huseynov Mahammad</t>
  </si>
  <si>
    <t>Юноши 17-19 (25.05.2002)/19</t>
  </si>
  <si>
    <t>281,0</t>
  </si>
  <si>
    <t>293,5</t>
  </si>
  <si>
    <t xml:space="preserve">Гумбатов А. </t>
  </si>
  <si>
    <t>Прокопьев Виктор</t>
  </si>
  <si>
    <t>Открытая (03.03.1995)/26</t>
  </si>
  <si>
    <t>89,60</t>
  </si>
  <si>
    <t>Открытая (25.05.2002)/19</t>
  </si>
  <si>
    <t>Arhipovs Aleksandrs</t>
  </si>
  <si>
    <t>Открытая (18.11.1992)/29</t>
  </si>
  <si>
    <t xml:space="preserve">LVA/Riga </t>
  </si>
  <si>
    <t>157,5</t>
  </si>
  <si>
    <t>Рощупкин Андрей</t>
  </si>
  <si>
    <t>Открытая (17.07.1994)/27</t>
  </si>
  <si>
    <t>Проскурин Дмитрий</t>
  </si>
  <si>
    <t>Открытая (24.06.1994)/27</t>
  </si>
  <si>
    <t>Майоров Дмитрий</t>
  </si>
  <si>
    <t>Открытая (04.09.1992)/29</t>
  </si>
  <si>
    <t>267,5</t>
  </si>
  <si>
    <t>Юниоры (12.05.2001)/20</t>
  </si>
  <si>
    <t>99,00</t>
  </si>
  <si>
    <t xml:space="preserve">TJK/Гиссар </t>
  </si>
  <si>
    <t xml:space="preserve">Насриддинов М. </t>
  </si>
  <si>
    <t>Сабанчиев Мурат</t>
  </si>
  <si>
    <t>Открытая (07.01.1988)/33</t>
  </si>
  <si>
    <t>95,40</t>
  </si>
  <si>
    <t xml:space="preserve">Хашпаков М. </t>
  </si>
  <si>
    <t>Мулихов Александр</t>
  </si>
  <si>
    <t>Открытая (12.08.1988)/33</t>
  </si>
  <si>
    <t>99,90</t>
  </si>
  <si>
    <t>Галашев Никита</t>
  </si>
  <si>
    <t>Открытая (16.06.1994)/27</t>
  </si>
  <si>
    <t>96,60</t>
  </si>
  <si>
    <t>Сафронов Роман</t>
  </si>
  <si>
    <t>Открытая (04.08.1989)/32</t>
  </si>
  <si>
    <t>95,60</t>
  </si>
  <si>
    <t>Морозов Дмитрий</t>
  </si>
  <si>
    <t>Открытая (13.09.1984)/37</t>
  </si>
  <si>
    <t>132,5</t>
  </si>
  <si>
    <t>Новрузова Оскар</t>
  </si>
  <si>
    <t>Открытая (26.07.1993)/28</t>
  </si>
  <si>
    <t>98,00</t>
  </si>
  <si>
    <t>Федюков Вадим</t>
  </si>
  <si>
    <t>Мастера 40-49 (14.03.1976)/45</t>
  </si>
  <si>
    <t>Соловьев Вадим</t>
  </si>
  <si>
    <t>Юноши 17-19 (21.07.2003)/18</t>
  </si>
  <si>
    <t>101,20</t>
  </si>
  <si>
    <t>Дорофейский Евгений</t>
  </si>
  <si>
    <t>Открытая (14.09.1995)/26</t>
  </si>
  <si>
    <t>108,90</t>
  </si>
  <si>
    <t>321,0</t>
  </si>
  <si>
    <t>Киреев Пётр</t>
  </si>
  <si>
    <t>Открытая (05.02.1996)/25</t>
  </si>
  <si>
    <t>105,10</t>
  </si>
  <si>
    <t>Дзапаров Руслан</t>
  </si>
  <si>
    <t>Открытая (27.07.1991)/30</t>
  </si>
  <si>
    <t>106,40</t>
  </si>
  <si>
    <t>Комеров Максим</t>
  </si>
  <si>
    <t>Открытая (15.03.1989)/32</t>
  </si>
  <si>
    <t>103,00</t>
  </si>
  <si>
    <t>Открытая (09.04.1988)/33</t>
  </si>
  <si>
    <t>109,70</t>
  </si>
  <si>
    <t xml:space="preserve">TJK/Душанбе </t>
  </si>
  <si>
    <t>Каданцев Кирилл</t>
  </si>
  <si>
    <t>Мастера 40-49 (29.04.1973)/48</t>
  </si>
  <si>
    <t>108,40</t>
  </si>
  <si>
    <t>247,5</t>
  </si>
  <si>
    <t>Мастера 60-69 (19.08.1956)/65</t>
  </si>
  <si>
    <t>108,70</t>
  </si>
  <si>
    <t>Долгих Андрей</t>
  </si>
  <si>
    <t>Открытая (06.11.1987)/34</t>
  </si>
  <si>
    <t>124,50</t>
  </si>
  <si>
    <t>Хамробоев Азиз</t>
  </si>
  <si>
    <t>Открытая (26.04.1994)/27</t>
  </si>
  <si>
    <t>119,10</t>
  </si>
  <si>
    <t>Попов Евгений</t>
  </si>
  <si>
    <t>Открытая (12.11.1992)/29</t>
  </si>
  <si>
    <t>129,20</t>
  </si>
  <si>
    <t>257,5</t>
  </si>
  <si>
    <t>252,5</t>
  </si>
  <si>
    <t>445,0</t>
  </si>
  <si>
    <t>524,3435</t>
  </si>
  <si>
    <t>417,5</t>
  </si>
  <si>
    <t>491,2305</t>
  </si>
  <si>
    <t>407,5</t>
  </si>
  <si>
    <t>463,3682</t>
  </si>
  <si>
    <t>75</t>
  </si>
  <si>
    <t>392,5</t>
  </si>
  <si>
    <t>735,0</t>
  </si>
  <si>
    <t>470,2530</t>
  </si>
  <si>
    <t>752,5</t>
  </si>
  <si>
    <t>444,2008</t>
  </si>
  <si>
    <t>697,5</t>
  </si>
  <si>
    <t>433,0777</t>
  </si>
  <si>
    <t>Ader Benjamin</t>
  </si>
  <si>
    <t>Юниоры (15.11.1998)/23</t>
  </si>
  <si>
    <t xml:space="preserve">HUN/Kapuvar </t>
  </si>
  <si>
    <t>Бобровская Надежда</t>
  </si>
  <si>
    <t>Открытая (30.10.1985)/36</t>
  </si>
  <si>
    <t>49,80</t>
  </si>
  <si>
    <t>Важенина Ольга</t>
  </si>
  <si>
    <t>Открытая (25.09.1988)/33</t>
  </si>
  <si>
    <t>55,70</t>
  </si>
  <si>
    <t>107,5</t>
  </si>
  <si>
    <t xml:space="preserve">Мацько И. </t>
  </si>
  <si>
    <t>Юсупова Роза</t>
  </si>
  <si>
    <t>Мастера 40-49 (01.04.1981)/40</t>
  </si>
  <si>
    <t>55,30</t>
  </si>
  <si>
    <t>67,5</t>
  </si>
  <si>
    <t xml:space="preserve">Горбачев Г. </t>
  </si>
  <si>
    <t>Антонова Юлия</t>
  </si>
  <si>
    <t>Открытая (01.02.1980)/41</t>
  </si>
  <si>
    <t>64,90</t>
  </si>
  <si>
    <t>187,5</t>
  </si>
  <si>
    <t>112,5</t>
  </si>
  <si>
    <t>Катаева Эльвира</t>
  </si>
  <si>
    <t>62,90</t>
  </si>
  <si>
    <t>92,5</t>
  </si>
  <si>
    <t xml:space="preserve">Горбунов В. </t>
  </si>
  <si>
    <t>Стародубова Дарья</t>
  </si>
  <si>
    <t>Открытая (27.09.2004)/17</t>
  </si>
  <si>
    <t>74,30</t>
  </si>
  <si>
    <t>97,5</t>
  </si>
  <si>
    <t xml:space="preserve">Кабишов С. </t>
  </si>
  <si>
    <t>Пилипчатина Юлия</t>
  </si>
  <si>
    <t>Открытая (29.09.1984)/37</t>
  </si>
  <si>
    <t>72,90</t>
  </si>
  <si>
    <t xml:space="preserve">Жабин В. </t>
  </si>
  <si>
    <t>Косенко Екатерина</t>
  </si>
  <si>
    <t>Мастера 40-49 (24.02.1978)/43</t>
  </si>
  <si>
    <t xml:space="preserve">Кашпаров Д. </t>
  </si>
  <si>
    <t>Грачева Ольга</t>
  </si>
  <si>
    <t>Мастера 40-49 (19.09.1978)/43</t>
  </si>
  <si>
    <t>76,90</t>
  </si>
  <si>
    <t>Епихина Виктория</t>
  </si>
  <si>
    <t>Открытая (18.04.1991)/30</t>
  </si>
  <si>
    <t>85,40</t>
  </si>
  <si>
    <t>Курдюкова Екатерина</t>
  </si>
  <si>
    <t>Открытая (17.10.1981)/40</t>
  </si>
  <si>
    <t>72,5</t>
  </si>
  <si>
    <t xml:space="preserve">Туляков Н. </t>
  </si>
  <si>
    <t>Кузнецов Сергей</t>
  </si>
  <si>
    <t>Открытая (31.08.1982)/39</t>
  </si>
  <si>
    <t>53,70</t>
  </si>
  <si>
    <t>Шахпазов Расим</t>
  </si>
  <si>
    <t>Открытая (10.10.1991)/30</t>
  </si>
  <si>
    <t>Muzaffarov Elvin</t>
  </si>
  <si>
    <t>Открытая (15.07.1994)/27</t>
  </si>
  <si>
    <t>66,00</t>
  </si>
  <si>
    <t>226,0</t>
  </si>
  <si>
    <t>251,0</t>
  </si>
  <si>
    <t>Морозов Ярослав</t>
  </si>
  <si>
    <t>Юниоры (26.03.1999)/22</t>
  </si>
  <si>
    <t>75,00</t>
  </si>
  <si>
    <t>Мурадов Владислав</t>
  </si>
  <si>
    <t>Юниоры (30.10.1999)/22</t>
  </si>
  <si>
    <t>72,70</t>
  </si>
  <si>
    <t xml:space="preserve">Лукьянов С. </t>
  </si>
  <si>
    <t>Пономарев Иван</t>
  </si>
  <si>
    <t>Открытая (30.06.1988)/33</t>
  </si>
  <si>
    <t>Николаев Денис</t>
  </si>
  <si>
    <t>Открытая (15.07.1991)/30</t>
  </si>
  <si>
    <t>246,0</t>
  </si>
  <si>
    <t xml:space="preserve">Кузнецов И. </t>
  </si>
  <si>
    <t>Минаев Александр</t>
  </si>
  <si>
    <t>Открытая (01.08.1993)/28</t>
  </si>
  <si>
    <t>Бодров Артем</t>
  </si>
  <si>
    <t>Юниоры (07.02.1999)/22</t>
  </si>
  <si>
    <t>81,10</t>
  </si>
  <si>
    <t xml:space="preserve">Семилетов А. </t>
  </si>
  <si>
    <t>Бойченко Богдан</t>
  </si>
  <si>
    <t>Юниоры (06.05.2001)/20</t>
  </si>
  <si>
    <t>80,90</t>
  </si>
  <si>
    <t>Рамазанов Ислам</t>
  </si>
  <si>
    <t>Открытая (01.05.1991)/30</t>
  </si>
  <si>
    <t xml:space="preserve">Тулпаров Ш. </t>
  </si>
  <si>
    <t>Lazimov Kamran</t>
  </si>
  <si>
    <t>Открытая (12.10.1990)/31</t>
  </si>
  <si>
    <t>Шишкин Денис</t>
  </si>
  <si>
    <t>Открытая (20.04.1983)/38</t>
  </si>
  <si>
    <t>232,5</t>
  </si>
  <si>
    <t xml:space="preserve">Щербина С. </t>
  </si>
  <si>
    <t>Сметанников Виктор</t>
  </si>
  <si>
    <t>Открытая (11.03.1986)/35</t>
  </si>
  <si>
    <t>Буров Виталий</t>
  </si>
  <si>
    <t>Открытая (22.05.1986)/35</t>
  </si>
  <si>
    <t>80,80</t>
  </si>
  <si>
    <t xml:space="preserve">Бондарев П. </t>
  </si>
  <si>
    <t>Волков Михаил</t>
  </si>
  <si>
    <t>Открытая (26.01.1999)/22</t>
  </si>
  <si>
    <t xml:space="preserve">Панфёрова М. </t>
  </si>
  <si>
    <t>Тимохин Павел</t>
  </si>
  <si>
    <t>Открытая (06.03.1981)/40</t>
  </si>
  <si>
    <t>81,80</t>
  </si>
  <si>
    <t>Мастера 40-49 (06.03.1981)/40</t>
  </si>
  <si>
    <t>Хоменко Валерий</t>
  </si>
  <si>
    <t>Мастера 70-79 (03.09.1951)/70</t>
  </si>
  <si>
    <t>79,00</t>
  </si>
  <si>
    <t>Shokri Mohammadreza</t>
  </si>
  <si>
    <t>Юниоры (22.05.1998)/23</t>
  </si>
  <si>
    <t>88,60</t>
  </si>
  <si>
    <t>Лукьянов Сергей</t>
  </si>
  <si>
    <t>Открытая (02.06.1986)/35</t>
  </si>
  <si>
    <t>Бугримов Виталий</t>
  </si>
  <si>
    <t>Открытая (25.08.1993)/28</t>
  </si>
  <si>
    <t>Тимофеев Станислав</t>
  </si>
  <si>
    <t>Открытая (15.08.1980)/41</t>
  </si>
  <si>
    <t>87,50</t>
  </si>
  <si>
    <t>242,5</t>
  </si>
  <si>
    <t>302,5</t>
  </si>
  <si>
    <t>Тарасов Виталий</t>
  </si>
  <si>
    <t>Открытая (09.06.1977)/44</t>
  </si>
  <si>
    <t>86,20</t>
  </si>
  <si>
    <t>Шумкин Евгений</t>
  </si>
  <si>
    <t>Открытая (11.01.1995)/26</t>
  </si>
  <si>
    <t xml:space="preserve">Каминский Е. </t>
  </si>
  <si>
    <t>Открытая (22.05.1998)/23</t>
  </si>
  <si>
    <t>Мастера 40-49 (15.08.1980)/41</t>
  </si>
  <si>
    <t>Мастера 40-49 (09.06.1977)/44</t>
  </si>
  <si>
    <t>Гаджиев Муслим</t>
  </si>
  <si>
    <t>Мастера 40-49 (04.04.1974)/47</t>
  </si>
  <si>
    <t>87,70</t>
  </si>
  <si>
    <t xml:space="preserve">Гусейнов Г. </t>
  </si>
  <si>
    <t>Мастера 60-69 (30.08.1955)/66</t>
  </si>
  <si>
    <t xml:space="preserve">MDA/Тирасполь </t>
  </si>
  <si>
    <t>Рябов Вячеслав</t>
  </si>
  <si>
    <t>Юниоры (03.02.1999)/22</t>
  </si>
  <si>
    <t>96,10</t>
  </si>
  <si>
    <t xml:space="preserve">Васильев Б. </t>
  </si>
  <si>
    <t>Басаргин Андрей</t>
  </si>
  <si>
    <t>Открытая (21.07.1998)/23</t>
  </si>
  <si>
    <t>99,20</t>
  </si>
  <si>
    <t>Бахтурин Василий</t>
  </si>
  <si>
    <t>Открытая (10.01.1984)/37</t>
  </si>
  <si>
    <t>Бозов Тимур</t>
  </si>
  <si>
    <t>Открытая (13.11.1992)/29</t>
  </si>
  <si>
    <t>Сазонов Виталий</t>
  </si>
  <si>
    <t>95,70</t>
  </si>
  <si>
    <t>Михайлов Сергей</t>
  </si>
  <si>
    <t>Открытая (11.03.1994)/27</t>
  </si>
  <si>
    <t xml:space="preserve">Кирилл Т. </t>
  </si>
  <si>
    <t>Лукьянов Евгений</t>
  </si>
  <si>
    <t>Открытая (06.02.1981)/40</t>
  </si>
  <si>
    <t>Щербаков Вадим</t>
  </si>
  <si>
    <t>Открытая (20.07.1989)/32</t>
  </si>
  <si>
    <t>96,30</t>
  </si>
  <si>
    <t xml:space="preserve">Дмитрий Т. </t>
  </si>
  <si>
    <t>Ильясов Руслан</t>
  </si>
  <si>
    <t>Открытая (08.08.1990)/31</t>
  </si>
  <si>
    <t>98,10</t>
  </si>
  <si>
    <t>Ильин Борис</t>
  </si>
  <si>
    <t>Открытая (15.09.1994)/27</t>
  </si>
  <si>
    <t>98,20</t>
  </si>
  <si>
    <t>Иниев Умар</t>
  </si>
  <si>
    <t>Открытая (25.12.1985)/35</t>
  </si>
  <si>
    <t>Щербаков Роман</t>
  </si>
  <si>
    <t>Мастера 50-59 (19.12.1970)/50</t>
  </si>
  <si>
    <t xml:space="preserve">Гнатко В. </t>
  </si>
  <si>
    <t>Гнатко Виталий</t>
  </si>
  <si>
    <t>Мастера 60-69 (30.07.1961)/60</t>
  </si>
  <si>
    <t>93,00</t>
  </si>
  <si>
    <t xml:space="preserve">Горохов Е. </t>
  </si>
  <si>
    <t>Зайцев Владимир</t>
  </si>
  <si>
    <t>Мастера 70-79 (02.11.1949)/72</t>
  </si>
  <si>
    <t>99,50</t>
  </si>
  <si>
    <t>Омаров Закир</t>
  </si>
  <si>
    <t>Юниоры (31.07.1998)/23</t>
  </si>
  <si>
    <t>110,00</t>
  </si>
  <si>
    <t xml:space="preserve">Омаров А. </t>
  </si>
  <si>
    <t>Тихонов Дмитрий</t>
  </si>
  <si>
    <t>Юниоры (06.04.2000)/21</t>
  </si>
  <si>
    <t>106,60</t>
  </si>
  <si>
    <t xml:space="preserve">Павлов А. </t>
  </si>
  <si>
    <t>Иригов Аскер</t>
  </si>
  <si>
    <t>Открытая (07.06.1989)/32</t>
  </si>
  <si>
    <t>109,60</t>
  </si>
  <si>
    <t>345,0</t>
  </si>
  <si>
    <t>Сысоев Станислав</t>
  </si>
  <si>
    <t>Открытая (02.01.1990)/31</t>
  </si>
  <si>
    <t>109,30</t>
  </si>
  <si>
    <t>332,5</t>
  </si>
  <si>
    <t>Шаров Александр</t>
  </si>
  <si>
    <t>Открытая (03.09.1983)/38</t>
  </si>
  <si>
    <t>109,40</t>
  </si>
  <si>
    <t>287,5</t>
  </si>
  <si>
    <t>Самсонов Юрий</t>
  </si>
  <si>
    <t>Открытая (24.08.1982)/39</t>
  </si>
  <si>
    <t>109,90</t>
  </si>
  <si>
    <t>231,0</t>
  </si>
  <si>
    <t xml:space="preserve">Полянский Д. </t>
  </si>
  <si>
    <t>Aghalarov Vusal</t>
  </si>
  <si>
    <t>Открытая (20.10.1991)/30</t>
  </si>
  <si>
    <t>105,60</t>
  </si>
  <si>
    <t>Загороднюк Иван</t>
  </si>
  <si>
    <t>Открытая (02.05.1997)/24</t>
  </si>
  <si>
    <t>109,20</t>
  </si>
  <si>
    <t xml:space="preserve">Смирнов Д. </t>
  </si>
  <si>
    <t>Романов Александр</t>
  </si>
  <si>
    <t>Открытая (02.02.1973)/48</t>
  </si>
  <si>
    <t>107,50</t>
  </si>
  <si>
    <t>Ranjbar Mostafa</t>
  </si>
  <si>
    <t>Открытая (22.03.1990)/31</t>
  </si>
  <si>
    <t xml:space="preserve">Asadzadeh J. </t>
  </si>
  <si>
    <t>Черномырдин Сергей</t>
  </si>
  <si>
    <t>Мастера 40-49 (29.03.1980)/41</t>
  </si>
  <si>
    <t>104,70</t>
  </si>
  <si>
    <t xml:space="preserve">Чекасин К. </t>
  </si>
  <si>
    <t>Кравченко Николай</t>
  </si>
  <si>
    <t>Мастера 40-49 (02.09.1975)/46</t>
  </si>
  <si>
    <t>Ахмедов Расул</t>
  </si>
  <si>
    <t>Открытая (28.02.1979)/42</t>
  </si>
  <si>
    <t>120,10</t>
  </si>
  <si>
    <t>Зинец Александр</t>
  </si>
  <si>
    <t>Открытая (06.08.1992)/29</t>
  </si>
  <si>
    <t>123,90</t>
  </si>
  <si>
    <t>342,5</t>
  </si>
  <si>
    <t>Ломовцев Константин</t>
  </si>
  <si>
    <t>Открытая (09.04.1993)/28</t>
  </si>
  <si>
    <t>123,20</t>
  </si>
  <si>
    <t>Погас Максим</t>
  </si>
  <si>
    <t>Открытая (10.03.1985)/36</t>
  </si>
  <si>
    <t>118,60</t>
  </si>
  <si>
    <t>Стрежнев Сергей</t>
  </si>
  <si>
    <t>Открытая (19.09.1996)/25</t>
  </si>
  <si>
    <t>113,50</t>
  </si>
  <si>
    <t>Макаренко Алексей</t>
  </si>
  <si>
    <t>Открытая (22.02.1981)/40</t>
  </si>
  <si>
    <t>118,80</t>
  </si>
  <si>
    <t xml:space="preserve">Крылов В. </t>
  </si>
  <si>
    <t>Humbatov Aydin</t>
  </si>
  <si>
    <t>Открытая (30.12.1986)/34</t>
  </si>
  <si>
    <t>121,70</t>
  </si>
  <si>
    <t>Мастера 40-49 (28.02.1979)/42</t>
  </si>
  <si>
    <t>Карпов Денис</t>
  </si>
  <si>
    <t>Мастера 40-49 (21.02.1981)/40</t>
  </si>
  <si>
    <t>117,90</t>
  </si>
  <si>
    <t>Мастера 40-49 (22.02.1981)/40</t>
  </si>
  <si>
    <t>Омаров Руслан</t>
  </si>
  <si>
    <t>Открытая (07.07.1983)/38</t>
  </si>
  <si>
    <t>128,20</t>
  </si>
  <si>
    <t>362,5</t>
  </si>
  <si>
    <t>Туляков Никита</t>
  </si>
  <si>
    <t>Открытая (23.02.1988)/33</t>
  </si>
  <si>
    <t>129,10</t>
  </si>
  <si>
    <t>Смирнов Дмитрий</t>
  </si>
  <si>
    <t>Открытая (18.11.1978)/43</t>
  </si>
  <si>
    <t>137,60</t>
  </si>
  <si>
    <t>Цуркану Сергей</t>
  </si>
  <si>
    <t>Открытая (08.04.1983)/38</t>
  </si>
  <si>
    <t>142,00</t>
  </si>
  <si>
    <t>482,5</t>
  </si>
  <si>
    <t>506,7698</t>
  </si>
  <si>
    <t>447,5</t>
  </si>
  <si>
    <t>481,1967</t>
  </si>
  <si>
    <t>532,5</t>
  </si>
  <si>
    <t>471,0495</t>
  </si>
  <si>
    <t>767,5</t>
  </si>
  <si>
    <t>515,2995</t>
  </si>
  <si>
    <t>887,5</t>
  </si>
  <si>
    <t>503,2125</t>
  </si>
  <si>
    <t>740,0</t>
  </si>
  <si>
    <t>500,9060</t>
  </si>
  <si>
    <t>837,5</t>
  </si>
  <si>
    <t>488,1345</t>
  </si>
  <si>
    <t>410,0</t>
  </si>
  <si>
    <t>479,6754</t>
  </si>
  <si>
    <t>525,0</t>
  </si>
  <si>
    <t>455,1309</t>
  </si>
  <si>
    <t>ВЕСОВАЯ КАТЕГОРИЯ   48</t>
  </si>
  <si>
    <t>Дегтярева Юлия</t>
  </si>
  <si>
    <t>Открытая (08.09.1990)/31</t>
  </si>
  <si>
    <t>47,10</t>
  </si>
  <si>
    <t>62,5</t>
  </si>
  <si>
    <t xml:space="preserve">Сакович О. </t>
  </si>
  <si>
    <t>Лопухова Мария</t>
  </si>
  <si>
    <t>Открытая (07.12.1997)/24</t>
  </si>
  <si>
    <t>47,70</t>
  </si>
  <si>
    <t xml:space="preserve">Моргулец Д. </t>
  </si>
  <si>
    <t>Ивахненко Елена</t>
  </si>
  <si>
    <t>Открытая (01.10.1986)/35</t>
  </si>
  <si>
    <t>47,00</t>
  </si>
  <si>
    <t>47,5</t>
  </si>
  <si>
    <t>52,5</t>
  </si>
  <si>
    <t>Гуляева Ангелина</t>
  </si>
  <si>
    <t>Девушки 17-19 (12.12.2004)/17</t>
  </si>
  <si>
    <t>51,70</t>
  </si>
  <si>
    <t>35,0</t>
  </si>
  <si>
    <t>Громова Марина</t>
  </si>
  <si>
    <t>Открытая (17.11.1994)/27</t>
  </si>
  <si>
    <t>52,00</t>
  </si>
  <si>
    <t>Соловьева Мария</t>
  </si>
  <si>
    <t>51,80</t>
  </si>
  <si>
    <t>Кулыгина Людмила</t>
  </si>
  <si>
    <t>Открытая (25.02.1987)/34</t>
  </si>
  <si>
    <t>50,80</t>
  </si>
  <si>
    <t xml:space="preserve">Малолетнев И. </t>
  </si>
  <si>
    <t>Ивата Алиса</t>
  </si>
  <si>
    <t>Открытая (01.06.1997)/24</t>
  </si>
  <si>
    <t>50,90</t>
  </si>
  <si>
    <t>Петрова Милада</t>
  </si>
  <si>
    <t>Открытая (29.04.1986)/35</t>
  </si>
  <si>
    <t xml:space="preserve">Коломыцев М. </t>
  </si>
  <si>
    <t>Дубинина Татьяна</t>
  </si>
  <si>
    <t>Мастера 40-49 (06.08.1978)/43</t>
  </si>
  <si>
    <t>Штанько Дарья</t>
  </si>
  <si>
    <t>Юниорки (25.01.1998)/23</t>
  </si>
  <si>
    <t>57,5</t>
  </si>
  <si>
    <t>Артамонова Анастасия</t>
  </si>
  <si>
    <t>Юниорки (07.05.1999)/22</t>
  </si>
  <si>
    <t>54,10</t>
  </si>
  <si>
    <t>Балякина Евгения</t>
  </si>
  <si>
    <t>Открытая (15.12.1990)/31</t>
  </si>
  <si>
    <t>54,90</t>
  </si>
  <si>
    <t>Капанжи Ольга</t>
  </si>
  <si>
    <t>Открытая (06.09.1989)/32</t>
  </si>
  <si>
    <t>55,10</t>
  </si>
  <si>
    <t>Тюрина Ирина</t>
  </si>
  <si>
    <t>Старчикова Светлана</t>
  </si>
  <si>
    <t>Открытая (16.04.1993)/28</t>
  </si>
  <si>
    <t>Шаповалова Кристина</t>
  </si>
  <si>
    <t>Открытая (14.01.1992)/29</t>
  </si>
  <si>
    <t>Тюрина Ольга</t>
  </si>
  <si>
    <t>Открытая (13.07.1974)/47</t>
  </si>
  <si>
    <t>52,50</t>
  </si>
  <si>
    <t>Колесникова Ольга</t>
  </si>
  <si>
    <t>Открытая (13.09.1994)/27</t>
  </si>
  <si>
    <t>54,70</t>
  </si>
  <si>
    <t>Asadi Raha</t>
  </si>
  <si>
    <t>Девушки 14-16 (15.06.2011)/10</t>
  </si>
  <si>
    <t>57,00</t>
  </si>
  <si>
    <t>22,5</t>
  </si>
  <si>
    <t>27,5</t>
  </si>
  <si>
    <t>30,0</t>
  </si>
  <si>
    <t>25,0</t>
  </si>
  <si>
    <t>Дубинина Анастасия</t>
  </si>
  <si>
    <t>Девушки 17-19 (13.10.2004)/17</t>
  </si>
  <si>
    <t>59,30</t>
  </si>
  <si>
    <t>Штрекова Кристина</t>
  </si>
  <si>
    <t>Юниорки (28.01.1998)/23</t>
  </si>
  <si>
    <t>59,60</t>
  </si>
  <si>
    <t xml:space="preserve">Бебенин Г. </t>
  </si>
  <si>
    <t>Открытая (10.03.1981)/40</t>
  </si>
  <si>
    <t>58,40</t>
  </si>
  <si>
    <t xml:space="preserve">UKR/Горловка </t>
  </si>
  <si>
    <t>Власова Алёна</t>
  </si>
  <si>
    <t>Открытая (19.09.1984)/37</t>
  </si>
  <si>
    <t>Щеткова Ольга</t>
  </si>
  <si>
    <t>Открытая (30.09.1993)/28</t>
  </si>
  <si>
    <t>Фролова Дарья</t>
  </si>
  <si>
    <t>Открытая (17.04.1997)/24</t>
  </si>
  <si>
    <t>59,10</t>
  </si>
  <si>
    <t>Лиховод Елизавета</t>
  </si>
  <si>
    <t>59,90</t>
  </si>
  <si>
    <t>Кравченко Анна</t>
  </si>
  <si>
    <t>Открытая (08.11.1995)/26</t>
  </si>
  <si>
    <t>59,40</t>
  </si>
  <si>
    <t xml:space="preserve">Салпагаров Д. </t>
  </si>
  <si>
    <t>Бледных Элла</t>
  </si>
  <si>
    <t>Открытая (12.08.1994)/27</t>
  </si>
  <si>
    <t>57,80</t>
  </si>
  <si>
    <t>Стрельникова Екатерина</t>
  </si>
  <si>
    <t>Открытая (26.02.1987)/34</t>
  </si>
  <si>
    <t xml:space="preserve">Боломожнов М. </t>
  </si>
  <si>
    <t>Камышникова Марина</t>
  </si>
  <si>
    <t>Мастера 40-49 (16.02.1979)/42</t>
  </si>
  <si>
    <t>Шульгина Ольга</t>
  </si>
  <si>
    <t>Мастера 50-59 (18.10.1971)/50</t>
  </si>
  <si>
    <t>58,10</t>
  </si>
  <si>
    <t>Кирсанова Полина</t>
  </si>
  <si>
    <t>Девушки 17-19 (06.01.2004)/17</t>
  </si>
  <si>
    <t>Полевая Виктория</t>
  </si>
  <si>
    <t>Девушки 17-19 (27.08.2003)/18</t>
  </si>
  <si>
    <t>65,40</t>
  </si>
  <si>
    <t>Хомицевич Валерия</t>
  </si>
  <si>
    <t>Юниорки (30.11.1999)/22</t>
  </si>
  <si>
    <t>66,40</t>
  </si>
  <si>
    <t>Крекова Диана</t>
  </si>
  <si>
    <t>Юниорки (25.04.1998)/23</t>
  </si>
  <si>
    <t>65,60</t>
  </si>
  <si>
    <t>Сайфулина Наталья</t>
  </si>
  <si>
    <t>Открытая (14.01.1982)/39</t>
  </si>
  <si>
    <t>67,20</t>
  </si>
  <si>
    <t xml:space="preserve">Сайфулин А. </t>
  </si>
  <si>
    <t>Воскобойникова Виктория</t>
  </si>
  <si>
    <t>Открытая (23.06.1982)/39</t>
  </si>
  <si>
    <t>66,80</t>
  </si>
  <si>
    <t>Махнычева Екатерина</t>
  </si>
  <si>
    <t>Открытая (05.02.1982)/39</t>
  </si>
  <si>
    <t>66,50</t>
  </si>
  <si>
    <t>Ядрихинская Мария</t>
  </si>
  <si>
    <t>Открытая (09.07.1982)/39</t>
  </si>
  <si>
    <t>66,20</t>
  </si>
  <si>
    <t>Брик Ольга</t>
  </si>
  <si>
    <t>Открытая (25.12.1987)/33</t>
  </si>
  <si>
    <t>63,20</t>
  </si>
  <si>
    <t>Мурашева Лидия</t>
  </si>
  <si>
    <t>Открытая (31.07.1983)/38</t>
  </si>
  <si>
    <t xml:space="preserve">Царюк А. </t>
  </si>
  <si>
    <t>Куликова Ирина</t>
  </si>
  <si>
    <t>Открытая (28.02.1992)/29</t>
  </si>
  <si>
    <t xml:space="preserve">Харитонов С. </t>
  </si>
  <si>
    <t>Сидоркина Наталья</t>
  </si>
  <si>
    <t>Открытая (13.04.1987)/34</t>
  </si>
  <si>
    <t>Петрусенко Мария</t>
  </si>
  <si>
    <t>Открытая (30.07.1987)/34</t>
  </si>
  <si>
    <t>Толстова Мария</t>
  </si>
  <si>
    <t>Открытая (18.05.1987)/34</t>
  </si>
  <si>
    <t>61,50</t>
  </si>
  <si>
    <t>Брулева Евгения</t>
  </si>
  <si>
    <t>Открытая (19.12.1989)/31</t>
  </si>
  <si>
    <t>63,90</t>
  </si>
  <si>
    <t>Тюлькина Татьяна</t>
  </si>
  <si>
    <t>Открытая (01.02.1983)/38</t>
  </si>
  <si>
    <t>65,20</t>
  </si>
  <si>
    <t xml:space="preserve">Аршинов И. </t>
  </si>
  <si>
    <t>Никонова Екатерина</t>
  </si>
  <si>
    <t>Открытая (15.09.1984)/37</t>
  </si>
  <si>
    <t xml:space="preserve">Гетманчук А. </t>
  </si>
  <si>
    <t>Поталета Екатерина</t>
  </si>
  <si>
    <t>63,40</t>
  </si>
  <si>
    <t>Гордеева Дарья</t>
  </si>
  <si>
    <t>Открытая (12.03.1994)/27</t>
  </si>
  <si>
    <t>69,90</t>
  </si>
  <si>
    <t xml:space="preserve">Борисов А. </t>
  </si>
  <si>
    <t>Шичкова Ирина</t>
  </si>
  <si>
    <t>Открытая (20.08.1992)/29</t>
  </si>
  <si>
    <t>32,5</t>
  </si>
  <si>
    <t xml:space="preserve">Лузик Е. </t>
  </si>
  <si>
    <t>Кардакова Наталья</t>
  </si>
  <si>
    <t>Мастера 40-49 (15.06.1981)/40</t>
  </si>
  <si>
    <t>Марочкина Надежда</t>
  </si>
  <si>
    <t>Мастера 60-69 (07.02.1957)/64</t>
  </si>
  <si>
    <t>70,10</t>
  </si>
  <si>
    <t xml:space="preserve">Соколов Е. </t>
  </si>
  <si>
    <t>Шувалова Татьяна</t>
  </si>
  <si>
    <t>Мастера 40-49 (05.01.1975)/46</t>
  </si>
  <si>
    <t>79,10</t>
  </si>
  <si>
    <t>Дулова Дарья</t>
  </si>
  <si>
    <t>Открытая (26.03.1993)/28</t>
  </si>
  <si>
    <t>Huseynli Huseyn</t>
  </si>
  <si>
    <t>Юниоры (26.11.2000)/21</t>
  </si>
  <si>
    <t>51,90</t>
  </si>
  <si>
    <t>Лагерев Даниил</t>
  </si>
  <si>
    <t>Юноши 14-16 (15.09.2009)/12</t>
  </si>
  <si>
    <t>55,00</t>
  </si>
  <si>
    <t>Багов Алим</t>
  </si>
  <si>
    <t>Юноши 14-16 (28.03.2005)/16</t>
  </si>
  <si>
    <t>56,80</t>
  </si>
  <si>
    <t>Цоколов Артём</t>
  </si>
  <si>
    <t>Юноши 14-16 (09.10.2007)/14</t>
  </si>
  <si>
    <t>78,0</t>
  </si>
  <si>
    <t xml:space="preserve">Ступников Р. </t>
  </si>
  <si>
    <t>Suleymanzade Ramin</t>
  </si>
  <si>
    <t>Открытая (07.05.1995)/26</t>
  </si>
  <si>
    <t>59,00</t>
  </si>
  <si>
    <t>181,0</t>
  </si>
  <si>
    <t>116,0</t>
  </si>
  <si>
    <t>206,0</t>
  </si>
  <si>
    <t>Открытая (28.03.2005)/16</t>
  </si>
  <si>
    <t>Кривов Матвей</t>
  </si>
  <si>
    <t>Юноши 14-16 (07.12.2005)/16</t>
  </si>
  <si>
    <t>66,10</t>
  </si>
  <si>
    <t xml:space="preserve">Дичков А. </t>
  </si>
  <si>
    <t>Гущин Леонид</t>
  </si>
  <si>
    <t>Юноши 17-19 (29.09.2003)/18</t>
  </si>
  <si>
    <t>67,10</t>
  </si>
  <si>
    <t xml:space="preserve">Лапин Э. </t>
  </si>
  <si>
    <t>Гончаров Максим</t>
  </si>
  <si>
    <t>Юниоры (01.04.2001)/20</t>
  </si>
  <si>
    <t>Савельев Никита</t>
  </si>
  <si>
    <t>Юниоры (30.11.2001)/20</t>
  </si>
  <si>
    <t>Саидов Магомед</t>
  </si>
  <si>
    <t>Юниоры (20.10.1998)/23</t>
  </si>
  <si>
    <t>66,90</t>
  </si>
  <si>
    <t>Каюмов Руслан</t>
  </si>
  <si>
    <t>Открытая (30.04.1993)/28</t>
  </si>
  <si>
    <t>Открытая (01.04.2001)/20</t>
  </si>
  <si>
    <t>Барладян Александр</t>
  </si>
  <si>
    <t>Открытая (14.02.1996)/25</t>
  </si>
  <si>
    <t>Ефанов Артем</t>
  </si>
  <si>
    <t>Открытая (17.07.1992)/29</t>
  </si>
  <si>
    <t>Гусельников Данила</t>
  </si>
  <si>
    <t>Юноши 14-16 (25.07.2005)/16</t>
  </si>
  <si>
    <t>68,80</t>
  </si>
  <si>
    <t>Терещенко Илья</t>
  </si>
  <si>
    <t>Юноши 17-19 (06.02.2003)/18</t>
  </si>
  <si>
    <t>73,60</t>
  </si>
  <si>
    <t xml:space="preserve">Лузанов А. </t>
  </si>
  <si>
    <t>Тагибеков Асхаб</t>
  </si>
  <si>
    <t>Открытая (03.10.1990)/31</t>
  </si>
  <si>
    <t>74,10</t>
  </si>
  <si>
    <t>Коломыцев Михаил</t>
  </si>
  <si>
    <t>Открытая (21.06.1989)/32</t>
  </si>
  <si>
    <t>El-Sayed Mahmoud</t>
  </si>
  <si>
    <t>Открытая (28.06.1992)/29</t>
  </si>
  <si>
    <t xml:space="preserve">EGY/Cairo </t>
  </si>
  <si>
    <t>Степанов Илья</t>
  </si>
  <si>
    <t>Открытая (21.06.1991)/30</t>
  </si>
  <si>
    <t>73,40</t>
  </si>
  <si>
    <t>Кузьмин Михаил</t>
  </si>
  <si>
    <t>Открытая (31.10.1991)/30</t>
  </si>
  <si>
    <t>71,10</t>
  </si>
  <si>
    <t xml:space="preserve">Снопков В. </t>
  </si>
  <si>
    <t>Калинин Даниил</t>
  </si>
  <si>
    <t>Открытая (12.06.1988)/33</t>
  </si>
  <si>
    <t xml:space="preserve">Щенников А. </t>
  </si>
  <si>
    <t>Шуклин Артём</t>
  </si>
  <si>
    <t>Юноши 14-16 (06.09.2008)/13</t>
  </si>
  <si>
    <t>77,30</t>
  </si>
  <si>
    <t>Фролов Ярослав</t>
  </si>
  <si>
    <t>Юноши 14-16 (17.12.2004)/16</t>
  </si>
  <si>
    <t>80,00</t>
  </si>
  <si>
    <t xml:space="preserve">Рыбин С. </t>
  </si>
  <si>
    <t>Тубаев Эльдар</t>
  </si>
  <si>
    <t>Юноши 17-19 (29.08.2002)/19</t>
  </si>
  <si>
    <t xml:space="preserve">Губжев Б. </t>
  </si>
  <si>
    <t>Сычев Владислав</t>
  </si>
  <si>
    <t>Желейко Алексей</t>
  </si>
  <si>
    <t>Юноши 17-19 (14.08.2002)/19</t>
  </si>
  <si>
    <t>79,80</t>
  </si>
  <si>
    <t>Bobojonov Umedjon</t>
  </si>
  <si>
    <t>Юноши 17-19 (11.04.2003)/18</t>
  </si>
  <si>
    <t>Fardi Gurbanov</t>
  </si>
  <si>
    <t>Юниоры (08.07.1998)/23</t>
  </si>
  <si>
    <t>81,50</t>
  </si>
  <si>
    <t xml:space="preserve">Elchin M. </t>
  </si>
  <si>
    <t>Шевнин Никита</t>
  </si>
  <si>
    <t>Юниоры (02.02.2000)/21</t>
  </si>
  <si>
    <t>Шутов Сергей</t>
  </si>
  <si>
    <t>Юниоры (21.10.1998)/23</t>
  </si>
  <si>
    <t>81,40</t>
  </si>
  <si>
    <t>Росляков Владислав</t>
  </si>
  <si>
    <t>Юниоры (10.06.2000)/21</t>
  </si>
  <si>
    <t>78,90</t>
  </si>
  <si>
    <t>Бондаренко Валентин</t>
  </si>
  <si>
    <t>Юниоры (25.08.1998)/23</t>
  </si>
  <si>
    <t>Коновалов Вадим</t>
  </si>
  <si>
    <t>Юниоры (31.05.2000)/21</t>
  </si>
  <si>
    <t>Dremiankov Konstantin</t>
  </si>
  <si>
    <t>Открытая (21.07.1966)/55</t>
  </si>
  <si>
    <t xml:space="preserve">BLR/Брест </t>
  </si>
  <si>
    <t>Pleskach Dmitry</t>
  </si>
  <si>
    <t>Открытая (31.07.1988)/33</t>
  </si>
  <si>
    <t>76,40</t>
  </si>
  <si>
    <t xml:space="preserve">BLR/Могилев </t>
  </si>
  <si>
    <t>Юдин Григорий</t>
  </si>
  <si>
    <t>Открытая (06.06.1985)/36</t>
  </si>
  <si>
    <t>Карпеев Дмитрий</t>
  </si>
  <si>
    <t>Открытая (24.04.1984)/37</t>
  </si>
  <si>
    <t>Ahmadov Roman</t>
  </si>
  <si>
    <t>Открытая (13.02.1985)/36</t>
  </si>
  <si>
    <t>Марасов Динар</t>
  </si>
  <si>
    <t>Открытая (26.08.1996)/25</t>
  </si>
  <si>
    <t>82,40</t>
  </si>
  <si>
    <t xml:space="preserve">Рахматуллин Б. </t>
  </si>
  <si>
    <t>Донников Юрий</t>
  </si>
  <si>
    <t>Открытая (01.12.1983)/38</t>
  </si>
  <si>
    <t>80,70</t>
  </si>
  <si>
    <t xml:space="preserve">Пустовой Р. </t>
  </si>
  <si>
    <t>Мартынюк Артём</t>
  </si>
  <si>
    <t>Открытая (08.09.1985)/36</t>
  </si>
  <si>
    <t>82,30</t>
  </si>
  <si>
    <t>Открытая (10.01.1990)/31</t>
  </si>
  <si>
    <t xml:space="preserve">UKR/Киев </t>
  </si>
  <si>
    <t>Мамадов Хуршед</t>
  </si>
  <si>
    <t>Открытая (28.09.2002)/19</t>
  </si>
  <si>
    <t>75,10</t>
  </si>
  <si>
    <t>Журавлев Роман</t>
  </si>
  <si>
    <t>Мастера 40-49 (22.02.1979)/42</t>
  </si>
  <si>
    <t>Мастера 50-59 (21.07.1966)/55</t>
  </si>
  <si>
    <t>Банасинский Сергей</t>
  </si>
  <si>
    <t>Мастера 70-79 (16.10.1948)/73</t>
  </si>
  <si>
    <t>79,20</t>
  </si>
  <si>
    <t>Воронин Даниил</t>
  </si>
  <si>
    <t>Юноши 17-19 (07.03.2002)/19</t>
  </si>
  <si>
    <t>Ефимов Георгий</t>
  </si>
  <si>
    <t>Юноши 17-19 (17.04.2002)/19</t>
  </si>
  <si>
    <t>85,60</t>
  </si>
  <si>
    <t>Бородач Данила</t>
  </si>
  <si>
    <t>Юноши 17-19 (27.06.2002)/19</t>
  </si>
  <si>
    <t>83,60</t>
  </si>
  <si>
    <t>Мартынов Денис</t>
  </si>
  <si>
    <t>Юниоры (30.10.2001)/20</t>
  </si>
  <si>
    <t>Степанов Кирилл</t>
  </si>
  <si>
    <t>Юниоры (16.06.1998)/23</t>
  </si>
  <si>
    <t>88,30</t>
  </si>
  <si>
    <t>156,0</t>
  </si>
  <si>
    <t>Ефремов Николай</t>
  </si>
  <si>
    <t>Юниоры (24.11.1998)/23</t>
  </si>
  <si>
    <t>88,20</t>
  </si>
  <si>
    <t>Шабунин Александр</t>
  </si>
  <si>
    <t>89,20</t>
  </si>
  <si>
    <t>Андреев Алексей</t>
  </si>
  <si>
    <t>Юниоры (04.11.2000)/21</t>
  </si>
  <si>
    <t>Юниоры (05.12.2001)/20</t>
  </si>
  <si>
    <t>88,10</t>
  </si>
  <si>
    <t>Владимиров Евгений</t>
  </si>
  <si>
    <t>Открытая (22.08.1964)/57</t>
  </si>
  <si>
    <t xml:space="preserve">Серегин К. </t>
  </si>
  <si>
    <t>Воробьев Николай</t>
  </si>
  <si>
    <t>Открытая (07.08.1984)/37</t>
  </si>
  <si>
    <t>Пашков Игорь</t>
  </si>
  <si>
    <t>Открытая (10.06.1986)/35</t>
  </si>
  <si>
    <t>85,20</t>
  </si>
  <si>
    <t>Герчогло Павел</t>
  </si>
  <si>
    <t>Открытая (10.08.1989)/32</t>
  </si>
  <si>
    <t>89,80</t>
  </si>
  <si>
    <t>Симкин Андрей</t>
  </si>
  <si>
    <t>Открытая (27.05.1983)/38</t>
  </si>
  <si>
    <t>88,70</t>
  </si>
  <si>
    <t>Сукиасян Тигран</t>
  </si>
  <si>
    <t>Открытая (22.12.1987)/33</t>
  </si>
  <si>
    <t>89,70</t>
  </si>
  <si>
    <t xml:space="preserve">Трофимов А. </t>
  </si>
  <si>
    <t>Балабин Денис</t>
  </si>
  <si>
    <t>Открытая (06.11.1978)/43</t>
  </si>
  <si>
    <t>89,10</t>
  </si>
  <si>
    <t>Краснов Александр</t>
  </si>
  <si>
    <t>Открытая (28.10.1986)/35</t>
  </si>
  <si>
    <t>87,30</t>
  </si>
  <si>
    <t>Федорец Михаил</t>
  </si>
  <si>
    <t>Открытая (29.07.1989)/32</t>
  </si>
  <si>
    <t>Писарев Андрей</t>
  </si>
  <si>
    <t>Открытая (26.09.1995)/26</t>
  </si>
  <si>
    <t xml:space="preserve">Савин А. </t>
  </si>
  <si>
    <t>Стрешный Иван</t>
  </si>
  <si>
    <t>Открытая (01.06.1984)/37</t>
  </si>
  <si>
    <t>88,50</t>
  </si>
  <si>
    <t>Калинин Антон</t>
  </si>
  <si>
    <t>Открытая (05.07.1986)/35</t>
  </si>
  <si>
    <t>Москалев Тимофей</t>
  </si>
  <si>
    <t>Открытая (09.02.1992)/29</t>
  </si>
  <si>
    <t>Попович Тарас</t>
  </si>
  <si>
    <t>88,40</t>
  </si>
  <si>
    <t>Лихачев Борис</t>
  </si>
  <si>
    <t>Открытая (19.12.1987)/33</t>
  </si>
  <si>
    <t>82,90</t>
  </si>
  <si>
    <t>Массино Владислав</t>
  </si>
  <si>
    <t>Открытая (31.08.1995)/26</t>
  </si>
  <si>
    <t>Ефремов Владислав</t>
  </si>
  <si>
    <t>Открытая (23.11.1988)/33</t>
  </si>
  <si>
    <t>84,70</t>
  </si>
  <si>
    <t xml:space="preserve">Краснов А. </t>
  </si>
  <si>
    <t>Шахов Владимир</t>
  </si>
  <si>
    <t>Открытая (07.09.1996)/25</t>
  </si>
  <si>
    <t>Решетов Владимир</t>
  </si>
  <si>
    <t>Мастера 40-49 (07.07.1975)/46</t>
  </si>
  <si>
    <t>Мастера 40-49 (06.11.1978)/43</t>
  </si>
  <si>
    <t>Коваленко Иван</t>
  </si>
  <si>
    <t>Мастера 40-49 (13.02.1978)/43</t>
  </si>
  <si>
    <t>87,80</t>
  </si>
  <si>
    <t>Гарипов Роман</t>
  </si>
  <si>
    <t>Мастера 40-49 (04.11.1976)/45</t>
  </si>
  <si>
    <t xml:space="preserve">Свентицкий С. </t>
  </si>
  <si>
    <t>Зубарев Игорь</t>
  </si>
  <si>
    <t>Мастера 40-49 (21.01.1980)/41</t>
  </si>
  <si>
    <t>Палтоев Марат</t>
  </si>
  <si>
    <t>Мастера 40-49 (22.03.1978)/43</t>
  </si>
  <si>
    <t xml:space="preserve">Горюнов В. </t>
  </si>
  <si>
    <t>Мастера 50-59 (22.08.1964)/57</t>
  </si>
  <si>
    <t>Абрамов Максим</t>
  </si>
  <si>
    <t>Мастера 50-59 (07.02.1969)/52</t>
  </si>
  <si>
    <t>86,60</t>
  </si>
  <si>
    <t>Коваленко Виктор</t>
  </si>
  <si>
    <t>Мастера 60-69 (10.09.1959)/62</t>
  </si>
  <si>
    <t xml:space="preserve">Богачев И. </t>
  </si>
  <si>
    <t>Кунашев Руслан</t>
  </si>
  <si>
    <t>Мастера 60-69 (27.08.1956)/65</t>
  </si>
  <si>
    <t>86,80</t>
  </si>
  <si>
    <t>Гагнидзе Георгий</t>
  </si>
  <si>
    <t>Юноши 17-19 (23.10.2002)/19</t>
  </si>
  <si>
    <t>Беркун Олег</t>
  </si>
  <si>
    <t>Юниоры (10.09.1998)/23</t>
  </si>
  <si>
    <t>97,90</t>
  </si>
  <si>
    <t>Горб Максим</t>
  </si>
  <si>
    <t>Открытая (23.05.1990)/31</t>
  </si>
  <si>
    <t>97,70</t>
  </si>
  <si>
    <t>Stoichev Slavyan</t>
  </si>
  <si>
    <t>Открытая (06.01.1986)/35</t>
  </si>
  <si>
    <t>Холзаков Евгений</t>
  </si>
  <si>
    <t>Открытая (27.11.1992)/29</t>
  </si>
  <si>
    <t>97,80</t>
  </si>
  <si>
    <t>Сердюк Илья</t>
  </si>
  <si>
    <t>Открытая (20.11.1995)/26</t>
  </si>
  <si>
    <t xml:space="preserve">Зверев Р. </t>
  </si>
  <si>
    <t>Рублев Михаил</t>
  </si>
  <si>
    <t>Открытая (07.06.1979)/42</t>
  </si>
  <si>
    <t>Куприянов Михаил</t>
  </si>
  <si>
    <t>Открытая (20.11.1985)/36</t>
  </si>
  <si>
    <t>Сметов Сергей</t>
  </si>
  <si>
    <t>Открытая (28.09.1996)/25</t>
  </si>
  <si>
    <t xml:space="preserve">Джабаров Р. </t>
  </si>
  <si>
    <t>Алферьев Алексей</t>
  </si>
  <si>
    <t>Открытая (30.07.1991)/30</t>
  </si>
  <si>
    <t>Донской Антон</t>
  </si>
  <si>
    <t>Открытая (21.10.1992)/29</t>
  </si>
  <si>
    <t>Мирзоев Арсен</t>
  </si>
  <si>
    <t>Мастера 40-49 (31.08.1979)/42</t>
  </si>
  <si>
    <t>Андреев Андрей</t>
  </si>
  <si>
    <t>Мастера 40-49 (08.03.1979)/42</t>
  </si>
  <si>
    <t>Корягин Александр</t>
  </si>
  <si>
    <t>Юниоры (19.06.2000)/21</t>
  </si>
  <si>
    <t>Трунов Олег</t>
  </si>
  <si>
    <t>Открытая (08.08.1988)/33</t>
  </si>
  <si>
    <t>103,40</t>
  </si>
  <si>
    <t>Salimov Makhmadsolikh</t>
  </si>
  <si>
    <t>Открытая (10.09.1986)/35</t>
  </si>
  <si>
    <t>108,50</t>
  </si>
  <si>
    <t>Павловский Дмитрий</t>
  </si>
  <si>
    <t>Открытая (01.02.1988)/33</t>
  </si>
  <si>
    <t xml:space="preserve">Сенькин В. </t>
  </si>
  <si>
    <t>Бабакин Константин</t>
  </si>
  <si>
    <t>Открытая (05.01.1984)/37</t>
  </si>
  <si>
    <t>105,30</t>
  </si>
  <si>
    <t xml:space="preserve">Шеховцов А. </t>
  </si>
  <si>
    <t>Нестеров Дмитрий</t>
  </si>
  <si>
    <t>Открытая (10.11.1995)/26</t>
  </si>
  <si>
    <t>105,50</t>
  </si>
  <si>
    <t xml:space="preserve">Половнев А. </t>
  </si>
  <si>
    <t>Бобров Юрий</t>
  </si>
  <si>
    <t>Открытая (07.09.1991)/30</t>
  </si>
  <si>
    <t>107,00</t>
  </si>
  <si>
    <t>Гребенников Антон</t>
  </si>
  <si>
    <t>Открытая (05.02.1991)/30</t>
  </si>
  <si>
    <t xml:space="preserve">Гурылев Н. </t>
  </si>
  <si>
    <t>Гуров Андрей</t>
  </si>
  <si>
    <t>Открытая (22.03.1983)/38</t>
  </si>
  <si>
    <t>109,50</t>
  </si>
  <si>
    <t>Тхакахов Марат</t>
  </si>
  <si>
    <t>Открытая (04.04.1983)/38</t>
  </si>
  <si>
    <t>117,40</t>
  </si>
  <si>
    <t>Бокарев Никита</t>
  </si>
  <si>
    <t>Открытая (17.01.1996)/25</t>
  </si>
  <si>
    <t>122,30</t>
  </si>
  <si>
    <t>Крамской Александр</t>
  </si>
  <si>
    <t>Открытая (11.05.1996)/25</t>
  </si>
  <si>
    <t>123,50</t>
  </si>
  <si>
    <t>Каминер Борис</t>
  </si>
  <si>
    <t>Мастера 50-59 (25.06.1968)/53</t>
  </si>
  <si>
    <t>117,80</t>
  </si>
  <si>
    <t>Шуров Антон</t>
  </si>
  <si>
    <t>Юниоры (01.06.2000)/21</t>
  </si>
  <si>
    <t>138,40</t>
  </si>
  <si>
    <t>Паршиков Ион</t>
  </si>
  <si>
    <t>Открытая (14.10.1995)/26</t>
  </si>
  <si>
    <t>125,10</t>
  </si>
  <si>
    <t xml:space="preserve">Балобатько И. </t>
  </si>
  <si>
    <t>152,50</t>
  </si>
  <si>
    <t>Открытая (09.08.2001)/20</t>
  </si>
  <si>
    <t xml:space="preserve">Девушки </t>
  </si>
  <si>
    <t>52</t>
  </si>
  <si>
    <t xml:space="preserve">Юноши 14-16 </t>
  </si>
  <si>
    <t>48</t>
  </si>
  <si>
    <t>463,2660</t>
  </si>
  <si>
    <t>380,0</t>
  </si>
  <si>
    <t>432,6680</t>
  </si>
  <si>
    <t>395,0</t>
  </si>
  <si>
    <t>404,4405</t>
  </si>
  <si>
    <t>625,0</t>
  </si>
  <si>
    <t>399,0000</t>
  </si>
  <si>
    <t>535,0</t>
  </si>
  <si>
    <t>359,7340</t>
  </si>
  <si>
    <t>517,5</t>
  </si>
  <si>
    <t>339,3248</t>
  </si>
  <si>
    <t>760,0</t>
  </si>
  <si>
    <t>425,4480</t>
  </si>
  <si>
    <t>414,5513</t>
  </si>
  <si>
    <t>702,5</t>
  </si>
  <si>
    <t>413,7725</t>
  </si>
  <si>
    <t>755,0</t>
  </si>
  <si>
    <t>463,8720</t>
  </si>
  <si>
    <t>715,0</t>
  </si>
  <si>
    <t>435,2920</t>
  </si>
  <si>
    <t>670,0</t>
  </si>
  <si>
    <t>431,2120</t>
  </si>
  <si>
    <t xml:space="preserve">Мастера 50-59 </t>
  </si>
  <si>
    <t>559,2820</t>
  </si>
  <si>
    <t>635,0</t>
  </si>
  <si>
    <t>533,7175</t>
  </si>
  <si>
    <t>647,5</t>
  </si>
  <si>
    <t>448,9568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</si>
  <si>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</si>
  <si>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</si>
  <si>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</si>
  <si>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</si>
  <si>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</si>
  <si>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</si>
  <si>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</si>
  <si>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</si>
  <si>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</si>
  <si>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</si>
  <si>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Балясина Евгения</t>
  </si>
  <si>
    <t>Открытая (21.05.1989)/32</t>
  </si>
  <si>
    <t>47,50</t>
  </si>
  <si>
    <t xml:space="preserve">Зайцев С. </t>
  </si>
  <si>
    <t>Харина Валентина</t>
  </si>
  <si>
    <t>Открытая (24.12.1977)/43</t>
  </si>
  <si>
    <t xml:space="preserve">Прокопов М. </t>
  </si>
  <si>
    <t>Мастера 40-49 (24.12.1977)/43</t>
  </si>
  <si>
    <t>Лазуренко Ольга</t>
  </si>
  <si>
    <t>Открытая (05.09.1971)/50</t>
  </si>
  <si>
    <t>65,80</t>
  </si>
  <si>
    <t xml:space="preserve">Остапенко И. </t>
  </si>
  <si>
    <t>Хованская Ольга</t>
  </si>
  <si>
    <t>Открытая (21.07.1992)/29</t>
  </si>
  <si>
    <t>Мастера 50-59 (05.09.1971)/50</t>
  </si>
  <si>
    <t>Прокопова Елена</t>
  </si>
  <si>
    <t>Мастера 50-59 (07.03.1966)/55</t>
  </si>
  <si>
    <t>Макарова Елена</t>
  </si>
  <si>
    <t>Мастера 50-59 (08.08.1962)/59</t>
  </si>
  <si>
    <t>70,30</t>
  </si>
  <si>
    <t>Усов Виктор</t>
  </si>
  <si>
    <t>Открытая (29.09.1989)/32</t>
  </si>
  <si>
    <t>Антропов Александр</t>
  </si>
  <si>
    <t>Открытая (14.03.1969)/52</t>
  </si>
  <si>
    <t>73,50</t>
  </si>
  <si>
    <t>Килин Роман</t>
  </si>
  <si>
    <t>Юниоры (02.06.1998)/23</t>
  </si>
  <si>
    <t>Силушин Павел</t>
  </si>
  <si>
    <t>Открытая (17.09.1989)/32</t>
  </si>
  <si>
    <t>79,60</t>
  </si>
  <si>
    <t xml:space="preserve">Силушин А. </t>
  </si>
  <si>
    <t>Открытая (02.06.1998)/23</t>
  </si>
  <si>
    <t>Хованский Дмитрий</t>
  </si>
  <si>
    <t>Открытая (26.05.1986)/35</t>
  </si>
  <si>
    <t xml:space="preserve">Беловал Е. </t>
  </si>
  <si>
    <t>Открытая (24.03.1988)/33</t>
  </si>
  <si>
    <t xml:space="preserve">BLR/Бобруйск </t>
  </si>
  <si>
    <t>Новоселов Александр</t>
  </si>
  <si>
    <t>Открытая (05.12.1987)/34</t>
  </si>
  <si>
    <t xml:space="preserve">Леонов П. </t>
  </si>
  <si>
    <t>Семенов Роман</t>
  </si>
  <si>
    <t>Открытая (12.11.1979)/42</t>
  </si>
  <si>
    <t>Боев Виталий</t>
  </si>
  <si>
    <t>Открытая (27.06.1984)/37</t>
  </si>
  <si>
    <t>96,40</t>
  </si>
  <si>
    <t>Быховец Артём</t>
  </si>
  <si>
    <t>Открытая (19.07.1983)/38</t>
  </si>
  <si>
    <t>Решетник Константин</t>
  </si>
  <si>
    <t>Открытая (10.03.1987)/34</t>
  </si>
  <si>
    <t>Наумов Дмитрий</t>
  </si>
  <si>
    <t>Открытая (03.04.1992)/29</t>
  </si>
  <si>
    <t>Мастера 40-49 (12.11.1979)/42</t>
  </si>
  <si>
    <t>Леоненко Василий</t>
  </si>
  <si>
    <t>Мастера 50-59 (06.04.1967)/54</t>
  </si>
  <si>
    <t>93,20</t>
  </si>
  <si>
    <t>238,0</t>
  </si>
  <si>
    <t>Леонов Павел</t>
  </si>
  <si>
    <t>Открытая (08.11.1983)/38</t>
  </si>
  <si>
    <t>103,70</t>
  </si>
  <si>
    <t>Пузырев Денис</t>
  </si>
  <si>
    <t>Открытая (31.03.1974)/47</t>
  </si>
  <si>
    <t xml:space="preserve">Грудев А. </t>
  </si>
  <si>
    <t>Емельянов Николай</t>
  </si>
  <si>
    <t>Мастера 40-49 (30.08.1979)/42</t>
  </si>
  <si>
    <t>106,20</t>
  </si>
  <si>
    <t>Мастера 40-49 (31.03.1974)/47</t>
  </si>
  <si>
    <t>Куротченко Игорь</t>
  </si>
  <si>
    <t>Мастера 50-59 (20.03.1962)/59</t>
  </si>
  <si>
    <t>107,30</t>
  </si>
  <si>
    <t>Филинович Сергей</t>
  </si>
  <si>
    <t>Мастера 60-69 (05.04.1961)/60</t>
  </si>
  <si>
    <t>109,00</t>
  </si>
  <si>
    <t>Rahmani Maeimabadi</t>
  </si>
  <si>
    <t>Открытая (14.01.1987)/34</t>
  </si>
  <si>
    <t>119,00</t>
  </si>
  <si>
    <t>Sadehi Hamed</t>
  </si>
  <si>
    <t>Открытая (22.09.1992)/29</t>
  </si>
  <si>
    <t>139,70</t>
  </si>
  <si>
    <t>Рулев Антон</t>
  </si>
  <si>
    <t>Открытая (03.09.1982)/39</t>
  </si>
  <si>
    <t>152,90</t>
  </si>
  <si>
    <t xml:space="preserve">Дубиковский В. </t>
  </si>
  <si>
    <t xml:space="preserve">Результат </t>
  </si>
  <si>
    <t xml:space="preserve">Gloss </t>
  </si>
  <si>
    <t>183,4080</t>
  </si>
  <si>
    <t>173,3863</t>
  </si>
  <si>
    <t>167,7600</t>
  </si>
  <si>
    <t>172,1175</t>
  </si>
  <si>
    <t>Результат</t>
  </si>
  <si>
    <t>Гулина Татьяна</t>
  </si>
  <si>
    <t>Открытая (28.04.1973)/48</t>
  </si>
  <si>
    <t>46,80</t>
  </si>
  <si>
    <t>Сингильдина Анна</t>
  </si>
  <si>
    <t>Открытая (06.07.1985)/36</t>
  </si>
  <si>
    <t>Логвинова Надежда</t>
  </si>
  <si>
    <t>Открытая (27.07.1986)/35</t>
  </si>
  <si>
    <t xml:space="preserve">Катаев Л. </t>
  </si>
  <si>
    <t>Лялякичева Татьяна</t>
  </si>
  <si>
    <t>Мастера 40-49 (21.03.1978)/43</t>
  </si>
  <si>
    <t>66,60</t>
  </si>
  <si>
    <t>Жильцова Кира</t>
  </si>
  <si>
    <t>Мастера 70-79 (24.04.1944)/77</t>
  </si>
  <si>
    <t>67,00</t>
  </si>
  <si>
    <t xml:space="preserve">Петров К. </t>
  </si>
  <si>
    <t>Малеева Любовь</t>
  </si>
  <si>
    <t>Открытая (25.08.1977)/44</t>
  </si>
  <si>
    <t xml:space="preserve">KGZ/Бишкек </t>
  </si>
  <si>
    <t>Власова Надежда</t>
  </si>
  <si>
    <t>Открытая (24.01.1982)/39</t>
  </si>
  <si>
    <t>72,50</t>
  </si>
  <si>
    <t xml:space="preserve">Калита И. </t>
  </si>
  <si>
    <t>Варакина Екатерина</t>
  </si>
  <si>
    <t>Открытая (14.07.1995)/26</t>
  </si>
  <si>
    <t>Хоменкова Светлана</t>
  </si>
  <si>
    <t>Открытая (25.11.1980)/41</t>
  </si>
  <si>
    <t>72,20</t>
  </si>
  <si>
    <t>103,0</t>
  </si>
  <si>
    <t>Мастера 40-49 (25.08.1977)/44</t>
  </si>
  <si>
    <t>Мастера 40-49 (25.11.1980)/41</t>
  </si>
  <si>
    <t>Открытая (01.02.1993)/28</t>
  </si>
  <si>
    <t>75,60</t>
  </si>
  <si>
    <t xml:space="preserve">IND/Delhi </t>
  </si>
  <si>
    <t>Мухин Всеволод</t>
  </si>
  <si>
    <t>Юноши 14-16 (16.01.2009)/12</t>
  </si>
  <si>
    <t>Karavani Ahmad</t>
  </si>
  <si>
    <t>Открытая (23.03.1992)/29</t>
  </si>
  <si>
    <t>Вахрушев Даниил</t>
  </si>
  <si>
    <t>Юноши 17-19 (12.05.2003)/18</t>
  </si>
  <si>
    <t>64,50</t>
  </si>
  <si>
    <t>Александров Дмитрий</t>
  </si>
  <si>
    <t>Открытая (27.12.1979)/41</t>
  </si>
  <si>
    <t>74,50</t>
  </si>
  <si>
    <t xml:space="preserve">Шумер И. </t>
  </si>
  <si>
    <t>Шибаев Александр</t>
  </si>
  <si>
    <t>Открытая (14.01.1991)/30</t>
  </si>
  <si>
    <t>73,00</t>
  </si>
  <si>
    <t>Открытая (20.04.1991)/30</t>
  </si>
  <si>
    <t xml:space="preserve">Акшин И. </t>
  </si>
  <si>
    <t>Мастера 40-49 (27.12.1979)/41</t>
  </si>
  <si>
    <t>Мастера 50-59 (14.03.1969)/52</t>
  </si>
  <si>
    <t>Афонин Андрей</t>
  </si>
  <si>
    <t>Юноши 14-16 (28.01.2005)/16</t>
  </si>
  <si>
    <t>83,0</t>
  </si>
  <si>
    <t>Калинин Савва</t>
  </si>
  <si>
    <t>Юноши 17-19 (21.01.2004)/17</t>
  </si>
  <si>
    <t>76,50</t>
  </si>
  <si>
    <t>Юниоры (08.03.1998)/23</t>
  </si>
  <si>
    <t xml:space="preserve">UKR/Донецк </t>
  </si>
  <si>
    <t>Суший Илья</t>
  </si>
  <si>
    <t>Открытая (20.08.1984)/37</t>
  </si>
  <si>
    <t>Абдюшев Артур</t>
  </si>
  <si>
    <t>Открытая (28.02.1993)/28</t>
  </si>
  <si>
    <t xml:space="preserve">Двизов Ю. </t>
  </si>
  <si>
    <t>Руссу Александр</t>
  </si>
  <si>
    <t>Открытая (10.10.1986)/35</t>
  </si>
  <si>
    <t>Открытая (06.11.1989)/32</t>
  </si>
  <si>
    <t>Буханцев Антон</t>
  </si>
  <si>
    <t>Открытая (22.06.1991)/30</t>
  </si>
  <si>
    <t xml:space="preserve">Яруков С. </t>
  </si>
  <si>
    <t>Nasirov Nijat</t>
  </si>
  <si>
    <t>Открытая (21.03.1989)/32</t>
  </si>
  <si>
    <t xml:space="preserve">Aliyev N. </t>
  </si>
  <si>
    <t>Макаров Игорь</t>
  </si>
  <si>
    <t>Открытая (25.04.1982)/39</t>
  </si>
  <si>
    <t>Долженко Никита</t>
  </si>
  <si>
    <t>Открытая (22.03.1992)/29</t>
  </si>
  <si>
    <t>Антонов Сергей</t>
  </si>
  <si>
    <t>Открытая (27.07.1989)/32</t>
  </si>
  <si>
    <t>Иванников Сергей</t>
  </si>
  <si>
    <t>Мастера 40-49 (09.11.1981)/40</t>
  </si>
  <si>
    <t>Тенишев Валериан</t>
  </si>
  <si>
    <t>Мастера 50-59 (17.11.1963)/58</t>
  </si>
  <si>
    <t>Никифоров Сергей</t>
  </si>
  <si>
    <t>Мастера 70-79 (02.10.1947)/74</t>
  </si>
  <si>
    <t>Открытая (21.08.1990)/31</t>
  </si>
  <si>
    <t>89,90</t>
  </si>
  <si>
    <t>Баруков Игорь</t>
  </si>
  <si>
    <t>Открытая (25.04.1985)/36</t>
  </si>
  <si>
    <t>Askarov Ali</t>
  </si>
  <si>
    <t>Открытая (09.02.1985)/36</t>
  </si>
  <si>
    <t>Сапожников Владислав</t>
  </si>
  <si>
    <t>Открытая (21.10.1993)/28</t>
  </si>
  <si>
    <t>86,70</t>
  </si>
  <si>
    <t>Росляков Сергей</t>
  </si>
  <si>
    <t>Открытая (08.12.1986)/35</t>
  </si>
  <si>
    <t xml:space="preserve">Гришечко Р. </t>
  </si>
  <si>
    <t>Бакушкин Юрий</t>
  </si>
  <si>
    <t>Открытая (17.07.1990)/31</t>
  </si>
  <si>
    <t>89,30</t>
  </si>
  <si>
    <t xml:space="preserve">Бастрыкин А. </t>
  </si>
  <si>
    <t>Коновалов Сергей</t>
  </si>
  <si>
    <t>Открытая (23.05.1987)/34</t>
  </si>
  <si>
    <t xml:space="preserve">Меркулов А. </t>
  </si>
  <si>
    <t>Ламин Максим</t>
  </si>
  <si>
    <t>Открытая (07.08.1993)/28</t>
  </si>
  <si>
    <t>87,60</t>
  </si>
  <si>
    <t>Капин Илья</t>
  </si>
  <si>
    <t>Открытая (31.12.1981)/39</t>
  </si>
  <si>
    <t>Мыцев Иван</t>
  </si>
  <si>
    <t>Открытая (07.11.1988)/33</t>
  </si>
  <si>
    <t>Волков Илья</t>
  </si>
  <si>
    <t>Открытая (30.06.1994)/27</t>
  </si>
  <si>
    <t xml:space="preserve">Рыбалкин Д. </t>
  </si>
  <si>
    <t>Баймешев Эдуард</t>
  </si>
  <si>
    <t>Открытая (26.08.1991)/30</t>
  </si>
  <si>
    <t xml:space="preserve">Околышев В. </t>
  </si>
  <si>
    <t>Ламекин Владислав</t>
  </si>
  <si>
    <t>Открытая (16.11.1995)/26</t>
  </si>
  <si>
    <t xml:space="preserve">Распопов Ю. </t>
  </si>
  <si>
    <t>Устинов Владимир</t>
  </si>
  <si>
    <t>Открытая (01.08.1984)/37</t>
  </si>
  <si>
    <t>86,90</t>
  </si>
  <si>
    <t>Зиннатов Руслан</t>
  </si>
  <si>
    <t>Открытая (21.12.1986)/34</t>
  </si>
  <si>
    <t xml:space="preserve">Абдуллин М. </t>
  </si>
  <si>
    <t>Чиликин Антон</t>
  </si>
  <si>
    <t>Открытая (25.03.1992)/29</t>
  </si>
  <si>
    <t>Легчаев Роман</t>
  </si>
  <si>
    <t>Открытая (03.12.1995)/26</t>
  </si>
  <si>
    <t>Фаткулов Артём</t>
  </si>
  <si>
    <t>Мастера 40-49 (17.07.1978)/43</t>
  </si>
  <si>
    <t>Скворцов Виталий</t>
  </si>
  <si>
    <t>Мастера 50-59 (07.03.1967)/54</t>
  </si>
  <si>
    <t xml:space="preserve">Скворцов В. </t>
  </si>
  <si>
    <t>Ходжумян Армен</t>
  </si>
  <si>
    <t>Мастера 50-59 (17.08.1970)/51</t>
  </si>
  <si>
    <t>Баженов Валерий</t>
  </si>
  <si>
    <t>Мастера 60-69 (16.08.1960)/61</t>
  </si>
  <si>
    <t>85,50</t>
  </si>
  <si>
    <t>Плешков Владимир</t>
  </si>
  <si>
    <t>Мастера 70-79 (29.08.1944)/77</t>
  </si>
  <si>
    <t>83,40</t>
  </si>
  <si>
    <t>Переезчиков Вячеслав</t>
  </si>
  <si>
    <t>Юниоры (06.12.2000)/21</t>
  </si>
  <si>
    <t>92,80</t>
  </si>
  <si>
    <t>Иванов Виктор</t>
  </si>
  <si>
    <t>Юниоры (12.06.1998)/23</t>
  </si>
  <si>
    <t>98,70</t>
  </si>
  <si>
    <t>Пыткин Максим</t>
  </si>
  <si>
    <t>Открытая (30.03.1992)/29</t>
  </si>
  <si>
    <t>93,70</t>
  </si>
  <si>
    <t>Васильев Богдан</t>
  </si>
  <si>
    <t>Открытая (26.12.1994)/26</t>
  </si>
  <si>
    <t>96,20</t>
  </si>
  <si>
    <t>Пантюшин Константин</t>
  </si>
  <si>
    <t>Открытая (15.05.1989)/32</t>
  </si>
  <si>
    <t>99,80</t>
  </si>
  <si>
    <t xml:space="preserve">Головинский Д. </t>
  </si>
  <si>
    <t>Макиевский Андрей</t>
  </si>
  <si>
    <t>Открытая (16.02.1989)/32</t>
  </si>
  <si>
    <t>96,90</t>
  </si>
  <si>
    <t xml:space="preserve">Новиков И. </t>
  </si>
  <si>
    <t>Клещев Михаил</t>
  </si>
  <si>
    <t>Открытая (05.03.1986)/35</t>
  </si>
  <si>
    <t>Николаев Максим</t>
  </si>
  <si>
    <t>Открытая (09.08.1983)/38</t>
  </si>
  <si>
    <t>Некрасов Иван</t>
  </si>
  <si>
    <t>Открытая (18.03.1982)/39</t>
  </si>
  <si>
    <t>98,50</t>
  </si>
  <si>
    <t>Продан Сергей</t>
  </si>
  <si>
    <t>Открытая (01.11.1989)/32</t>
  </si>
  <si>
    <t>95,00</t>
  </si>
  <si>
    <t>Калугин Игорь</t>
  </si>
  <si>
    <t>Открытая (21.10.1983)/38</t>
  </si>
  <si>
    <t>Царёв Иван</t>
  </si>
  <si>
    <t>Открытая (29.01.1985)/36</t>
  </si>
  <si>
    <t>Ахмедов Александр</t>
  </si>
  <si>
    <t>Открытая (08.08.1984)/37</t>
  </si>
  <si>
    <t>Мубараков Вячеслав</t>
  </si>
  <si>
    <t>Открытая (12.03.1989)/32</t>
  </si>
  <si>
    <t>97,60</t>
  </si>
  <si>
    <t xml:space="preserve">Нуруев Р. </t>
  </si>
  <si>
    <t>Аштаев Евгений</t>
  </si>
  <si>
    <t>Открытая (24.02.1989)/32</t>
  </si>
  <si>
    <t>Бардин Владимир</t>
  </si>
  <si>
    <t>Открытая (13.01.1985)/36</t>
  </si>
  <si>
    <t>Серкин Илья</t>
  </si>
  <si>
    <t>Открытая (14.05.1995)/26</t>
  </si>
  <si>
    <t>98,90</t>
  </si>
  <si>
    <t>Быстров Филипп</t>
  </si>
  <si>
    <t>Открытая (20.01.1991)/30</t>
  </si>
  <si>
    <t>Волохин Артур</t>
  </si>
  <si>
    <t>Открытая (06.09.1986)/35</t>
  </si>
  <si>
    <t>Макушов Андрей</t>
  </si>
  <si>
    <t>Открытая (21.07.1991)/30</t>
  </si>
  <si>
    <t>96,50</t>
  </si>
  <si>
    <t>Агафонов Виталий</t>
  </si>
  <si>
    <t>Мастера 40-49 (23.10.1976)/45</t>
  </si>
  <si>
    <t>99,60</t>
  </si>
  <si>
    <t xml:space="preserve">Андреев В. </t>
  </si>
  <si>
    <t>Мучлер Александр</t>
  </si>
  <si>
    <t>Мастера 40-49 (06.08.1979)/42</t>
  </si>
  <si>
    <t>Анфилов Александр</t>
  </si>
  <si>
    <t>Мастера 40-49 (17.02.1972)/49</t>
  </si>
  <si>
    <t>97,40</t>
  </si>
  <si>
    <t xml:space="preserve">Тихонов А. </t>
  </si>
  <si>
    <t>Пашин Дмитрий</t>
  </si>
  <si>
    <t>Мастера 40-49 (15.10.1979)/42</t>
  </si>
  <si>
    <t>93,30</t>
  </si>
  <si>
    <t xml:space="preserve">Суворов А. </t>
  </si>
  <si>
    <t>Локтионов Александр</t>
  </si>
  <si>
    <t>Мастера 50-59 (20.12.1964)/56</t>
  </si>
  <si>
    <t xml:space="preserve">Лисьев А. </t>
  </si>
  <si>
    <t>Александров Анатолий</t>
  </si>
  <si>
    <t>Мастера 50-59 (06.04.1966)/55</t>
  </si>
  <si>
    <t>Усачев Игорь</t>
  </si>
  <si>
    <t>Мастера 50-59 (06.06.1965)/56</t>
  </si>
  <si>
    <t>245,5</t>
  </si>
  <si>
    <t>250,5</t>
  </si>
  <si>
    <t>97,00</t>
  </si>
  <si>
    <t>Петров Александр</t>
  </si>
  <si>
    <t>Мастера 60-69 (17.07.1960)/61</t>
  </si>
  <si>
    <t>Орлов Илья</t>
  </si>
  <si>
    <t>104,00</t>
  </si>
  <si>
    <t xml:space="preserve">Краснов Н </t>
  </si>
  <si>
    <t>Асадчих Станислав</t>
  </si>
  <si>
    <t>Открытая (17.01.1989)/32</t>
  </si>
  <si>
    <t>Открытая (03.05.1987)/34</t>
  </si>
  <si>
    <t>Солнцев Иван</t>
  </si>
  <si>
    <t>Открытая (25.03.1974)/47</t>
  </si>
  <si>
    <t>100,60</t>
  </si>
  <si>
    <t>Мусаев Ахмед</t>
  </si>
  <si>
    <t>Открытая (10.10.1980)/41</t>
  </si>
  <si>
    <t>Сабуров Геннадий</t>
  </si>
  <si>
    <t>Открытая (12.03.1987)/34</t>
  </si>
  <si>
    <t>107,90</t>
  </si>
  <si>
    <t xml:space="preserve">Климов В. </t>
  </si>
  <si>
    <t>Меркулов Михаил</t>
  </si>
  <si>
    <t>Апальков Андрей</t>
  </si>
  <si>
    <t>Мастера 40-49 (21.06.1979)/42</t>
  </si>
  <si>
    <t>Цыплов Сергей</t>
  </si>
  <si>
    <t>Мастера 40-49 (15.09.1976)/45</t>
  </si>
  <si>
    <t>108,80</t>
  </si>
  <si>
    <t xml:space="preserve">Пономарев И. </t>
  </si>
  <si>
    <t>Мастера 40-49 (25.03.1974)/47</t>
  </si>
  <si>
    <t>Лариков Роман</t>
  </si>
  <si>
    <t>Мастера 40-49 (14.09.1975)/46</t>
  </si>
  <si>
    <t>108,20</t>
  </si>
  <si>
    <t>Вечканов Алексей</t>
  </si>
  <si>
    <t>Мастера 40-49 (04.10.1976)/45</t>
  </si>
  <si>
    <t>Карчевский Аркадий</t>
  </si>
  <si>
    <t>Мастера 40-49 (28.04.1975)/46</t>
  </si>
  <si>
    <t xml:space="preserve">Романов Ю. </t>
  </si>
  <si>
    <t>Герштанский Сергей</t>
  </si>
  <si>
    <t>Мастера 40-49 (06.04.1974)/47</t>
  </si>
  <si>
    <t>108,10</t>
  </si>
  <si>
    <t xml:space="preserve">Петросян А. </t>
  </si>
  <si>
    <t>Мурашов Максим</t>
  </si>
  <si>
    <t>Мастера 40-49 (19.09.1979)/42</t>
  </si>
  <si>
    <t xml:space="preserve">Ушаков А. </t>
  </si>
  <si>
    <t>Галахов Александр</t>
  </si>
  <si>
    <t>Мастера 50-59 (21.05.1971)/50</t>
  </si>
  <si>
    <t>105,70</t>
  </si>
  <si>
    <t xml:space="preserve">Калинеченко В. </t>
  </si>
  <si>
    <t>Исаев Евгений</t>
  </si>
  <si>
    <t>Мастера 50-59 (12.04.1971)/50</t>
  </si>
  <si>
    <t>106,50</t>
  </si>
  <si>
    <t>Рыбальченко Игорь</t>
  </si>
  <si>
    <t>Мастера 50-59 (22.03.1964)/57</t>
  </si>
  <si>
    <t>Зяблов Николай</t>
  </si>
  <si>
    <t>Мастера 60-69 (05.04.1958)/63</t>
  </si>
  <si>
    <t>102,00</t>
  </si>
  <si>
    <t xml:space="preserve">Разумов А. </t>
  </si>
  <si>
    <t>Шойган Александр</t>
  </si>
  <si>
    <t>Мастера 60-69 (21.04.1960)/61</t>
  </si>
  <si>
    <t>102,20</t>
  </si>
  <si>
    <t>161,0</t>
  </si>
  <si>
    <t>Винокуров Дмитрий</t>
  </si>
  <si>
    <t>Открытая (27.04.1989)/32</t>
  </si>
  <si>
    <t>125,00</t>
  </si>
  <si>
    <t xml:space="preserve">Дорохов Д. </t>
  </si>
  <si>
    <t>Матевосян Давид</t>
  </si>
  <si>
    <t>Открытая (12.06.1996)/25</t>
  </si>
  <si>
    <t>115,60</t>
  </si>
  <si>
    <t>Мыцык Александр</t>
  </si>
  <si>
    <t>Открытая (21.10.1973)/48</t>
  </si>
  <si>
    <t>Черепнин Валентин</t>
  </si>
  <si>
    <t>Открытая (08.12.1976)/45</t>
  </si>
  <si>
    <t>115,10</t>
  </si>
  <si>
    <t>Хупсароков Аскер</t>
  </si>
  <si>
    <t>Открытая (26.04.1987)/34</t>
  </si>
  <si>
    <t>119,40</t>
  </si>
  <si>
    <t>Чулин Сергей</t>
  </si>
  <si>
    <t>Открытая (18.04.1987)/34</t>
  </si>
  <si>
    <t>122,90</t>
  </si>
  <si>
    <t xml:space="preserve">Олег П. </t>
  </si>
  <si>
    <t>Ломакин Сергей</t>
  </si>
  <si>
    <t>Открытая (09.08.1985)/36</t>
  </si>
  <si>
    <t>112,20</t>
  </si>
  <si>
    <t xml:space="preserve">Гранов Я. </t>
  </si>
  <si>
    <t>Романов Юрий</t>
  </si>
  <si>
    <t>Открытая (08.01.1983)/38</t>
  </si>
  <si>
    <t>120,90</t>
  </si>
  <si>
    <t>Горбунов Александр</t>
  </si>
  <si>
    <t>Открытая (15.09.1986)/35</t>
  </si>
  <si>
    <t>120,00</t>
  </si>
  <si>
    <t>Белокопытов Максим</t>
  </si>
  <si>
    <t>Открытая (04.07.1992)/29</t>
  </si>
  <si>
    <t xml:space="preserve">Виттик С. </t>
  </si>
  <si>
    <t>Мастера 40-49 (21.10.1973)/48</t>
  </si>
  <si>
    <t>Мастера 40-49 (08.12.1976)/45</t>
  </si>
  <si>
    <t>Примак Григорий</t>
  </si>
  <si>
    <t>Мастера 40-49 (04.12.1978)/43</t>
  </si>
  <si>
    <t>121,90</t>
  </si>
  <si>
    <t xml:space="preserve">Липовский А. </t>
  </si>
  <si>
    <t>Климов Виктор</t>
  </si>
  <si>
    <t>Мастера 40-49 (10.03.1975)/46</t>
  </si>
  <si>
    <t>Епишин Евгений</t>
  </si>
  <si>
    <t>Мастера 50-59 (01.01.1962)/59</t>
  </si>
  <si>
    <t>122,00</t>
  </si>
  <si>
    <t>Мастера 50-59 (04.02.1964)/57</t>
  </si>
  <si>
    <t>111,50</t>
  </si>
  <si>
    <t>Жильцов Игорь</t>
  </si>
  <si>
    <t>Мастера 50-59 (14.08.1970)/51</t>
  </si>
  <si>
    <t>114,70</t>
  </si>
  <si>
    <t>Аствацатуров Александр</t>
  </si>
  <si>
    <t>Мастера 60-69 (11.04.1959)/62</t>
  </si>
  <si>
    <t>113,70</t>
  </si>
  <si>
    <t>Васильев Виктор</t>
  </si>
  <si>
    <t>Мастера 60-69 (09.02.1954)/67</t>
  </si>
  <si>
    <t>111,60</t>
  </si>
  <si>
    <t>Исадибиров Асадула</t>
  </si>
  <si>
    <t>Открытая (29.10.1986)/35</t>
  </si>
  <si>
    <t>Кашпаров Денис</t>
  </si>
  <si>
    <t>Открытая (27.01.1985)/36</t>
  </si>
  <si>
    <t>132,60</t>
  </si>
  <si>
    <t>337,5</t>
  </si>
  <si>
    <t>Крылов Виктор</t>
  </si>
  <si>
    <t>Открытая (20.05.1985)/36</t>
  </si>
  <si>
    <t>137,00</t>
  </si>
  <si>
    <t>Романов Дмитрий</t>
  </si>
  <si>
    <t>Открытая (16.06.1987)/34</t>
  </si>
  <si>
    <t>128,50</t>
  </si>
  <si>
    <t xml:space="preserve">Чибисов С. </t>
  </si>
  <si>
    <t>Мещеряков Сергей</t>
  </si>
  <si>
    <t>Открытая (17.01.1987)/34</t>
  </si>
  <si>
    <t>134,60</t>
  </si>
  <si>
    <t>Герасимов Сергей</t>
  </si>
  <si>
    <t>Мастера 40-49 (08.11.1975)/46</t>
  </si>
  <si>
    <t>129,50</t>
  </si>
  <si>
    <t xml:space="preserve">Соловьев В. </t>
  </si>
  <si>
    <t>Севостьянов Вадим</t>
  </si>
  <si>
    <t>Мастера 40-49 (01.01.1976)/45</t>
  </si>
  <si>
    <t>180,60</t>
  </si>
  <si>
    <t xml:space="preserve">Симбирский </t>
  </si>
  <si>
    <t>Сурков Алексей</t>
  </si>
  <si>
    <t>Мастера 40-49 (15.08.1978)/43</t>
  </si>
  <si>
    <t>148,00</t>
  </si>
  <si>
    <t xml:space="preserve">Губанов А. </t>
  </si>
  <si>
    <t>124,3190</t>
  </si>
  <si>
    <t>116,5920</t>
  </si>
  <si>
    <t>110,1045</t>
  </si>
  <si>
    <t>147,1100</t>
  </si>
  <si>
    <t>139,2720</t>
  </si>
  <si>
    <t>138,1765</t>
  </si>
  <si>
    <t>173,9658</t>
  </si>
  <si>
    <t>164,7360</t>
  </si>
  <si>
    <t>157,7887</t>
  </si>
  <si>
    <t>Sahiba</t>
  </si>
  <si>
    <t>19</t>
  </si>
  <si>
    <t>20</t>
  </si>
  <si>
    <t>ВЕСОВАЯ КАТЕГОРИЯ   44</t>
  </si>
  <si>
    <t>Флёрова Анна</t>
  </si>
  <si>
    <t>Девушки 14-16 (31.07.2009)/12</t>
  </si>
  <si>
    <t>43,50</t>
  </si>
  <si>
    <t xml:space="preserve">Флёров С. </t>
  </si>
  <si>
    <t>Фарахманд Сохайла</t>
  </si>
  <si>
    <t>Открытая (13.04.1988)/33</t>
  </si>
  <si>
    <t>42,60</t>
  </si>
  <si>
    <t>Идиятуллина Алия</t>
  </si>
  <si>
    <t>Открытая (01.04.1990)/31</t>
  </si>
  <si>
    <t>43,40</t>
  </si>
  <si>
    <t>Каминская Наталья</t>
  </si>
  <si>
    <t>Открытая (25.07.1983)/38</t>
  </si>
  <si>
    <t xml:space="preserve">Швецова Н. </t>
  </si>
  <si>
    <t>Талаева Евгения</t>
  </si>
  <si>
    <t>Открытая (15.09.1993)/28</t>
  </si>
  <si>
    <t>Бондусь Надежда</t>
  </si>
  <si>
    <t>Открытая (27.07.1990)/31</t>
  </si>
  <si>
    <t>Васильева Татьяна</t>
  </si>
  <si>
    <t>Открытая (28.01.1997)/24</t>
  </si>
  <si>
    <t>46,70</t>
  </si>
  <si>
    <t>Феоктистова Ярослава</t>
  </si>
  <si>
    <t>Девушки 14-16 (13.10.2008)/13</t>
  </si>
  <si>
    <t>Вихорькова Светлана</t>
  </si>
  <si>
    <t>Девушки 17-19 (18.02.2004)/17</t>
  </si>
  <si>
    <t>49,40</t>
  </si>
  <si>
    <t>Кузнецова Ксения</t>
  </si>
  <si>
    <t>50,40</t>
  </si>
  <si>
    <t>Черкашина Анастасия</t>
  </si>
  <si>
    <t>Открытая (15.04.1984)/37</t>
  </si>
  <si>
    <t>51,40</t>
  </si>
  <si>
    <t>Bezyk Iryna</t>
  </si>
  <si>
    <t>Открытая (12.06.1974)/47</t>
  </si>
  <si>
    <t>51,60</t>
  </si>
  <si>
    <t xml:space="preserve">CZE/Prague </t>
  </si>
  <si>
    <t>Ерофеева Елена</t>
  </si>
  <si>
    <t>Открытая (27.05.1984)/37</t>
  </si>
  <si>
    <t>49,90</t>
  </si>
  <si>
    <t>52,2</t>
  </si>
  <si>
    <t>Мастера 40-49 (12.06.1974)/47</t>
  </si>
  <si>
    <t>Аверина Мария</t>
  </si>
  <si>
    <t>Мастера 40-49 (23.12.1977)/43</t>
  </si>
  <si>
    <t>50,00</t>
  </si>
  <si>
    <t>Лутфуллина Элина</t>
  </si>
  <si>
    <t>Юниорки (19.06.2000)/21</t>
  </si>
  <si>
    <t>Попова Любовь</t>
  </si>
  <si>
    <t>Юниорки (30.01.2000)/21</t>
  </si>
  <si>
    <t>Следь Анастасия</t>
  </si>
  <si>
    <t>Открытая (05.08.1985)/36</t>
  </si>
  <si>
    <t xml:space="preserve">Соколов Н. </t>
  </si>
  <si>
    <t>Гоголева Мария</t>
  </si>
  <si>
    <t>Открытая (08.11.1975)/46</t>
  </si>
  <si>
    <t>Геташвили Мария</t>
  </si>
  <si>
    <t>Открытая (18.06.1980)/41</t>
  </si>
  <si>
    <t>55,60</t>
  </si>
  <si>
    <t xml:space="preserve">Баландин С. </t>
  </si>
  <si>
    <t>Кичева Елена</t>
  </si>
  <si>
    <t>Открытая (30.12.1991)/29</t>
  </si>
  <si>
    <t>55,40</t>
  </si>
  <si>
    <t>Войнова Екатерина</t>
  </si>
  <si>
    <t>Открытая (22.09.1990)/31</t>
  </si>
  <si>
    <t>58,60</t>
  </si>
  <si>
    <t xml:space="preserve">Сапожонков А. </t>
  </si>
  <si>
    <t>Абрамова Елена</t>
  </si>
  <si>
    <t>Открытая (28.06.1993)/28</t>
  </si>
  <si>
    <t>58,70</t>
  </si>
  <si>
    <t>Сергеева Кристина</t>
  </si>
  <si>
    <t>Открытая (02.03.1992)/29</t>
  </si>
  <si>
    <t>Чернявская Анна</t>
  </si>
  <si>
    <t>Открытая (12.06.1982)/39</t>
  </si>
  <si>
    <t>Открытая (03.04.1989)/32</t>
  </si>
  <si>
    <t>Максимчук Ольга</t>
  </si>
  <si>
    <t>Открытая (05.07.1997)/24</t>
  </si>
  <si>
    <t xml:space="preserve">Шишлянников Д. </t>
  </si>
  <si>
    <t>Краевская Юлия</t>
  </si>
  <si>
    <t>Гордиенко Ольга</t>
  </si>
  <si>
    <t>Девушки 14-16 (17.05.2005)/16</t>
  </si>
  <si>
    <t xml:space="preserve">Денис П. </t>
  </si>
  <si>
    <t>Селиверстова Виктория</t>
  </si>
  <si>
    <t>Юниорки (26.08.2001)/20</t>
  </si>
  <si>
    <t>63,70</t>
  </si>
  <si>
    <t xml:space="preserve">Саночкин М. </t>
  </si>
  <si>
    <t>Ухарева Мария</t>
  </si>
  <si>
    <t>Открытая (03.05.1988)/33</t>
  </si>
  <si>
    <t>Каверина Виктория</t>
  </si>
  <si>
    <t>Открытая (08.01.1990)/31</t>
  </si>
  <si>
    <t>Григорьева Светлана</t>
  </si>
  <si>
    <t>Открытая (15.07.1982)/39</t>
  </si>
  <si>
    <t>Кузьмичева Екатерина</t>
  </si>
  <si>
    <t>Открытая (23.01.1996)/25</t>
  </si>
  <si>
    <t>62,00</t>
  </si>
  <si>
    <t>Ахметшина Жанна</t>
  </si>
  <si>
    <t>Открытая (27.08.1989)/32</t>
  </si>
  <si>
    <t>Крынкина Ольга</t>
  </si>
  <si>
    <t>Открытая (24.06.1987)/34</t>
  </si>
  <si>
    <t xml:space="preserve">Суший И. </t>
  </si>
  <si>
    <t>Шаргородская Виктория</t>
  </si>
  <si>
    <t>Открытая (19.03.1988)/33</t>
  </si>
  <si>
    <t>64,20</t>
  </si>
  <si>
    <t>Емельянова Ирина</t>
  </si>
  <si>
    <t>Мастера 40-49 (20.03.1975)/46</t>
  </si>
  <si>
    <t>65,70</t>
  </si>
  <si>
    <t>Маскаева Виталия</t>
  </si>
  <si>
    <t>Девушки 17-19 (16.09.2004)/17</t>
  </si>
  <si>
    <t>70,50</t>
  </si>
  <si>
    <t>Досхоева Марет</t>
  </si>
  <si>
    <t>Юниорки (03.12.1999)/22</t>
  </si>
  <si>
    <t>Лымарева Елена</t>
  </si>
  <si>
    <t>Открытая (20.04.1966)/55</t>
  </si>
  <si>
    <t xml:space="preserve">Вишняков М. </t>
  </si>
  <si>
    <t>Коробчук Олеся</t>
  </si>
  <si>
    <t>Открытая (22.11.1983)/38</t>
  </si>
  <si>
    <t>70,80</t>
  </si>
  <si>
    <t>Шестакова Татьяна</t>
  </si>
  <si>
    <t>Открытая (30.08.1994)/27</t>
  </si>
  <si>
    <t>69,80</t>
  </si>
  <si>
    <t xml:space="preserve">Фролов А. </t>
  </si>
  <si>
    <t>Малолетнева Галина</t>
  </si>
  <si>
    <t>Открытая (25.11.1988)/33</t>
  </si>
  <si>
    <t>Марченко Ольга</t>
  </si>
  <si>
    <t>Мастера 40-49 (21.05.1976)/45</t>
  </si>
  <si>
    <t>72,60</t>
  </si>
  <si>
    <t>Мастера 50-59 (20.04.1966)/55</t>
  </si>
  <si>
    <t>Орехов Иван</t>
  </si>
  <si>
    <t>Юноши 14-16 (07.01.2005)/16</t>
  </si>
  <si>
    <t>50,70</t>
  </si>
  <si>
    <t>Таджибов Курбан</t>
  </si>
  <si>
    <t>Юноши 14-16 (19.12.2005)/15</t>
  </si>
  <si>
    <t>Котов Глеб</t>
  </si>
  <si>
    <t>Юноши 14-16 (14.06.2011)/10</t>
  </si>
  <si>
    <t>41,30</t>
  </si>
  <si>
    <t>Khajeh Valid</t>
  </si>
  <si>
    <t>Юноши 17-19 (02.03.2004)/17</t>
  </si>
  <si>
    <t>51,10</t>
  </si>
  <si>
    <t>Орлов Владислав</t>
  </si>
  <si>
    <t>Юноши 14-16 (02.11.2005)/16</t>
  </si>
  <si>
    <t xml:space="preserve">Докучаев К., Сюмайкин М. </t>
  </si>
  <si>
    <t>Рамазанов Рамал</t>
  </si>
  <si>
    <t>Юноши 14-16 (20.09.2005)/16</t>
  </si>
  <si>
    <t>Щербаков Иван</t>
  </si>
  <si>
    <t>Юноши 17-19 (26.09.2002)/19</t>
  </si>
  <si>
    <t xml:space="preserve">Щербаков Е. </t>
  </si>
  <si>
    <t>Тагиров Икрам</t>
  </si>
  <si>
    <t>Юноши 17-19 (29.10.2003)/18</t>
  </si>
  <si>
    <t>Абдурахманов Нариман</t>
  </si>
  <si>
    <t>Открытая (26.06.1994)/27</t>
  </si>
  <si>
    <t>Ягодин Иван</t>
  </si>
  <si>
    <t>Открытая (24.08.1995)/26</t>
  </si>
  <si>
    <t>56,50</t>
  </si>
  <si>
    <t>Надин Вадим</t>
  </si>
  <si>
    <t>Открытая (01.12.1996)/25</t>
  </si>
  <si>
    <t>Траскин Кирилл</t>
  </si>
  <si>
    <t>Юноши 17-19 (07.08.2004)/17</t>
  </si>
  <si>
    <t>Данилов Антон</t>
  </si>
  <si>
    <t>Гайда Кирилл</t>
  </si>
  <si>
    <t>Юниоры (01.09.1999)/22</t>
  </si>
  <si>
    <t xml:space="preserve">Именьев А. </t>
  </si>
  <si>
    <t>Гусейнов Руслан</t>
  </si>
  <si>
    <t>Юниоры (25.05.1998)/23</t>
  </si>
  <si>
    <t>Сокуров Георгий</t>
  </si>
  <si>
    <t>Юниоры (15.02.2000)/21</t>
  </si>
  <si>
    <t>Лученков Иван</t>
  </si>
  <si>
    <t>Открытая (30.03.1991)/30</t>
  </si>
  <si>
    <t>67,40</t>
  </si>
  <si>
    <t>Глухов Евгений</t>
  </si>
  <si>
    <t>Открытая (10.04.1987)/34</t>
  </si>
  <si>
    <t>Virabyan Aharon</t>
  </si>
  <si>
    <t>Открытая (13.05.1995)/26</t>
  </si>
  <si>
    <t xml:space="preserve">ARM/Armavir </t>
  </si>
  <si>
    <t xml:space="preserve">Кокляев М., Зайкин А. </t>
  </si>
  <si>
    <t>Талаев Кирилл</t>
  </si>
  <si>
    <t>Открытая (31.08.1989)/32</t>
  </si>
  <si>
    <t xml:space="preserve">Тимофеев Н. </t>
  </si>
  <si>
    <t>Шаламов Никита</t>
  </si>
  <si>
    <t>Открытая (13.01.1994)/27</t>
  </si>
  <si>
    <t>Дегтярёв Роман</t>
  </si>
  <si>
    <t>Открытая (08.05.1997)/24</t>
  </si>
  <si>
    <t>Филин Сергей</t>
  </si>
  <si>
    <t>Открытая (17.08.1990)/31</t>
  </si>
  <si>
    <t>Taras Uladzimir</t>
  </si>
  <si>
    <t>Открытая (04.11.1995)/26</t>
  </si>
  <si>
    <t xml:space="preserve">BLR/Гродно </t>
  </si>
  <si>
    <t>Тибилов Георгий</t>
  </si>
  <si>
    <t>Открытая (24.11.1997)/24</t>
  </si>
  <si>
    <t>Тертыш Андрей</t>
  </si>
  <si>
    <t>Мастера 40-49 (18.02.1980)/41</t>
  </si>
  <si>
    <t>Айвазян Размик</t>
  </si>
  <si>
    <t>Мастера 60-69 (28.12.1957)/63</t>
  </si>
  <si>
    <t>Алексеев Тимур</t>
  </si>
  <si>
    <t>Юноши 14-16 (28.01.2006)/15</t>
  </si>
  <si>
    <t xml:space="preserve">Дуров С. </t>
  </si>
  <si>
    <t>Шишлянников Даниил</t>
  </si>
  <si>
    <t>Юноши 17-19 (05.04.2002)/19</t>
  </si>
  <si>
    <t>72,30</t>
  </si>
  <si>
    <t>Балашов Владислав</t>
  </si>
  <si>
    <t>Юниоры (19.03.2001)/20</t>
  </si>
  <si>
    <t xml:space="preserve">Никитин С. </t>
  </si>
  <si>
    <t>Антипов Артем</t>
  </si>
  <si>
    <t>Мазуренко Станислав</t>
  </si>
  <si>
    <t>Открытая (20.06.1987)/34</t>
  </si>
  <si>
    <t>Иванов Павел</t>
  </si>
  <si>
    <t>73,70</t>
  </si>
  <si>
    <t>Вяхирев Илья</t>
  </si>
  <si>
    <t>Открытая (01.05.1993)/28</t>
  </si>
  <si>
    <t>Открытая (01.12.1989)/32</t>
  </si>
  <si>
    <t>Овчаренко Максим</t>
  </si>
  <si>
    <t>Открытая (12.05.1982)/39</t>
  </si>
  <si>
    <t>74,70</t>
  </si>
  <si>
    <t>Кетенчиев Марат</t>
  </si>
  <si>
    <t>Открытая (19.07.1986)/35</t>
  </si>
  <si>
    <t>Герасимов Артур</t>
  </si>
  <si>
    <t>Открытая (28.10.1988)/33</t>
  </si>
  <si>
    <t>74,40</t>
  </si>
  <si>
    <t xml:space="preserve">Лебедев А. </t>
  </si>
  <si>
    <t>Христич Михаил</t>
  </si>
  <si>
    <t>Открытая (17.02.1988)/33</t>
  </si>
  <si>
    <t>Сидоров Михаил</t>
  </si>
  <si>
    <t>Открытая (27.08.1996)/25</t>
  </si>
  <si>
    <t>Габараев Тимур</t>
  </si>
  <si>
    <t>Открытая (21.06.1992)/29</t>
  </si>
  <si>
    <t>Желябовский Дмитрий</t>
  </si>
  <si>
    <t>Мастера 40-49 (02.10.1978)/43</t>
  </si>
  <si>
    <t>Сокольников Николай</t>
  </si>
  <si>
    <t>Мастера 50-59 (24.10.1970)/51</t>
  </si>
  <si>
    <t>Дышер Виктор</t>
  </si>
  <si>
    <t>Мастера 60-69 (26.04.1955)/66</t>
  </si>
  <si>
    <t>Двизов Юрий</t>
  </si>
  <si>
    <t>Мастера 70-79 (05.02.1947)/74</t>
  </si>
  <si>
    <t>Бырька Александр</t>
  </si>
  <si>
    <t>Юноши 14-16 (30.06.2006)/15</t>
  </si>
  <si>
    <t xml:space="preserve">Медведева Е. </t>
  </si>
  <si>
    <t>Сайфиев Огабек</t>
  </si>
  <si>
    <t>Юноши 17-19 (27.02.2004)/17</t>
  </si>
  <si>
    <t>78,10</t>
  </si>
  <si>
    <t>Бурдинец Дмитрий</t>
  </si>
  <si>
    <t>Юноши 17-19 (17.03.2003)/18</t>
  </si>
  <si>
    <t>Ошков Александр</t>
  </si>
  <si>
    <t>Юноши 17-19 (26.11.2003)/18</t>
  </si>
  <si>
    <t xml:space="preserve">Ошков С. </t>
  </si>
  <si>
    <t>Юниоры (03.11.1999)/22</t>
  </si>
  <si>
    <t>Колосов Евгений</t>
  </si>
  <si>
    <t>Юниоры (02.12.1998)/23</t>
  </si>
  <si>
    <t>Юрк Даниил</t>
  </si>
  <si>
    <t>Юниоры (05.11.2001)/20</t>
  </si>
  <si>
    <t xml:space="preserve">Мурашов М. </t>
  </si>
  <si>
    <t>Конюхов Александр</t>
  </si>
  <si>
    <t>Иванов Денис</t>
  </si>
  <si>
    <t>Открытая (27.06.1980)/41</t>
  </si>
  <si>
    <t>176,0</t>
  </si>
  <si>
    <t>178,0</t>
  </si>
  <si>
    <t>Евсеев Михаил</t>
  </si>
  <si>
    <t>Открытая (14.12.1990)/31</t>
  </si>
  <si>
    <t>79,90</t>
  </si>
  <si>
    <t>Родов Максим</t>
  </si>
  <si>
    <t>Открытая (26.07.1988)/33</t>
  </si>
  <si>
    <t xml:space="preserve">Ширданин А. </t>
  </si>
  <si>
    <t>Вислогузов Артем</t>
  </si>
  <si>
    <t>Открытая (25.12.1990)/30</t>
  </si>
  <si>
    <t xml:space="preserve">Жулин А. </t>
  </si>
  <si>
    <t>Платонов Максим</t>
  </si>
  <si>
    <t>Открытая (07.04.1995)/26</t>
  </si>
  <si>
    <t>Плаксин Евгений</t>
  </si>
  <si>
    <t>Открытая (26.12.1987)/33</t>
  </si>
  <si>
    <t>Князев Денис</t>
  </si>
  <si>
    <t>Открытая (22.03.1991)/30</t>
  </si>
  <si>
    <t>Захаров Тарас</t>
  </si>
  <si>
    <t>Открытая (19.11.1995)/26</t>
  </si>
  <si>
    <t>Науменко Руслан</t>
  </si>
  <si>
    <t>Открытая (27.08.1990)/31</t>
  </si>
  <si>
    <t>Кекутия Данил</t>
  </si>
  <si>
    <t>Открытая (18.11.1997)/24</t>
  </si>
  <si>
    <t>Евсеев Игорь</t>
  </si>
  <si>
    <t>Открытая (30.07.1988)/33</t>
  </si>
  <si>
    <t xml:space="preserve">Скорятин А. </t>
  </si>
  <si>
    <t>Кашапов Артур</t>
  </si>
  <si>
    <t>Открытая (09.02.1997)/24</t>
  </si>
  <si>
    <t>Карагодин Александр</t>
  </si>
  <si>
    <t>Открытая (07.05.1991)/30</t>
  </si>
  <si>
    <t>Толстиков Дмитрий</t>
  </si>
  <si>
    <t>Открытая (05.01.1997)/24</t>
  </si>
  <si>
    <t>79,40</t>
  </si>
  <si>
    <t>Вагнер Андрей</t>
  </si>
  <si>
    <t>Открытая (14.11.1995)/26</t>
  </si>
  <si>
    <t xml:space="preserve">Павел Т. </t>
  </si>
  <si>
    <t>Касараев Сергей</t>
  </si>
  <si>
    <t>Открытая (18.02.1974)/47</t>
  </si>
  <si>
    <t>Мастера 40-49 (27.06.1980)/41</t>
  </si>
  <si>
    <t>Козлов Александр</t>
  </si>
  <si>
    <t>Мастера 40-49 (04.07.1981)/40</t>
  </si>
  <si>
    <t>Захаров Илья</t>
  </si>
  <si>
    <t>Мастера 40-49 (28.02.1981)/40</t>
  </si>
  <si>
    <t xml:space="preserve">Агафонов К. </t>
  </si>
  <si>
    <t>Хаванский Дмитрий</t>
  </si>
  <si>
    <t>Мастера 40-49 (06.10.1981)/40</t>
  </si>
  <si>
    <t>Пронишев Евгений</t>
  </si>
  <si>
    <t>Мастера 40-49 (26.04.1978)/43</t>
  </si>
  <si>
    <t>80,60</t>
  </si>
  <si>
    <t>Садыков Валерий</t>
  </si>
  <si>
    <t>Мастера 40-49 (02.07.1976)/45</t>
  </si>
  <si>
    <t>77,10</t>
  </si>
  <si>
    <t xml:space="preserve">Приходько А. </t>
  </si>
  <si>
    <t>Мастера 40-49 (18.02.1974)/47</t>
  </si>
  <si>
    <t>Базанов Сергей</t>
  </si>
  <si>
    <t>Мастера 50-59 (22.06.1962)/59</t>
  </si>
  <si>
    <t>Александров Леонид</t>
  </si>
  <si>
    <t>Мастера 50-59 (15.07.1971)/50</t>
  </si>
  <si>
    <t>Плюснин Олег</t>
  </si>
  <si>
    <t>Мастера 50-59 (22.03.1963)/58</t>
  </si>
  <si>
    <t>76,00</t>
  </si>
  <si>
    <t xml:space="preserve">Васев А. </t>
  </si>
  <si>
    <t>Мосин Василий</t>
  </si>
  <si>
    <t>Мастера 60-69 (09.06.1956)/65</t>
  </si>
  <si>
    <t>Николаев Александр</t>
  </si>
  <si>
    <t>Мастера 60-69 (08.07.1959)/62</t>
  </si>
  <si>
    <t>Барабанов Герман</t>
  </si>
  <si>
    <t>Мастера 80+ (28.01.1940)/81</t>
  </si>
  <si>
    <t>Курочкин Семён</t>
  </si>
  <si>
    <t>Юноши 14-16 (19.02.2006)/15</t>
  </si>
  <si>
    <t>Титов Глеб</t>
  </si>
  <si>
    <t>Юноши 14-16 (24.09.2007)/14</t>
  </si>
  <si>
    <t>82,70</t>
  </si>
  <si>
    <t>Тушев Матфей</t>
  </si>
  <si>
    <t>Юноши 14-16 (19.03.2006)/15</t>
  </si>
  <si>
    <t xml:space="preserve">Мучлер А. </t>
  </si>
  <si>
    <t>Колесников Артём</t>
  </si>
  <si>
    <t>Юноши 17-19 (04.06.2002)/19</t>
  </si>
  <si>
    <t>Телепнев Владислав</t>
  </si>
  <si>
    <t>Юниоры (29.03.1999)/22</t>
  </si>
  <si>
    <t>Максимов Андрей</t>
  </si>
  <si>
    <t>Юниоры (21.12.1997)/23</t>
  </si>
  <si>
    <t>Саенко Денис</t>
  </si>
  <si>
    <t>Юниоры (08.05.2000)/21</t>
  </si>
  <si>
    <t>Бочко Матвей</t>
  </si>
  <si>
    <t>Юниоры (19.05.1998)/23</t>
  </si>
  <si>
    <t xml:space="preserve">Сизов А. </t>
  </si>
  <si>
    <t>Мищенко Артем</t>
  </si>
  <si>
    <t>Открытая (26.06.1984)/37</t>
  </si>
  <si>
    <t>Майоров Олег</t>
  </si>
  <si>
    <t>Апазаов Шамиль</t>
  </si>
  <si>
    <t>Открытая (23.05.1994)/27</t>
  </si>
  <si>
    <t xml:space="preserve">Коптев С. </t>
  </si>
  <si>
    <t>Ширяев Андрей</t>
  </si>
  <si>
    <t>Открытая (06.06.1997)/24</t>
  </si>
  <si>
    <t xml:space="preserve">Марченко В. </t>
  </si>
  <si>
    <t>Лапин Эдуард</t>
  </si>
  <si>
    <t>Открытая (24.03.1996)/25</t>
  </si>
  <si>
    <t xml:space="preserve">Гулевский А. </t>
  </si>
  <si>
    <t>Арутюнян Арам</t>
  </si>
  <si>
    <t>Юдин Максим</t>
  </si>
  <si>
    <t>Открытая (09.06.1993)/28</t>
  </si>
  <si>
    <t>Жаров Евгений</t>
  </si>
  <si>
    <t>Открытая (07.11.1986)/35</t>
  </si>
  <si>
    <t>Ульзутуев Пётр</t>
  </si>
  <si>
    <t>Открытая (28.05.1987)/34</t>
  </si>
  <si>
    <t>Открытая (07.10.1986)/35</t>
  </si>
  <si>
    <t>Рящиков Александр</t>
  </si>
  <si>
    <t>Открытая (10.12.1983)/38</t>
  </si>
  <si>
    <t>Лопарев Денис</t>
  </si>
  <si>
    <t>Открытая (24.07.1986)/35</t>
  </si>
  <si>
    <t>Четвертаков Василий</t>
  </si>
  <si>
    <t>Открытая (23.10.1994)/27</t>
  </si>
  <si>
    <t>Ли Виталий</t>
  </si>
  <si>
    <t>Открытая (27.07.1992)/29</t>
  </si>
  <si>
    <t>89,40</t>
  </si>
  <si>
    <t>Фролов Алексей</t>
  </si>
  <si>
    <t>Открытая (30.11.1988)/33</t>
  </si>
  <si>
    <t>Федин Виталий</t>
  </si>
  <si>
    <t>Открытая (30.11.1987)/34</t>
  </si>
  <si>
    <t>Шурыгин Матвей</t>
  </si>
  <si>
    <t>Открытая (03.09.1993)/28</t>
  </si>
  <si>
    <t>84,20</t>
  </si>
  <si>
    <t>Птицын Сергей</t>
  </si>
  <si>
    <t>Открытая (04.07.1993)/28</t>
  </si>
  <si>
    <t>87,90</t>
  </si>
  <si>
    <t xml:space="preserve">Кулагин Д. </t>
  </si>
  <si>
    <t>Меликсетян Гор</t>
  </si>
  <si>
    <t>Открытая (31.03.1988)/33</t>
  </si>
  <si>
    <t xml:space="preserve">Федорец М. </t>
  </si>
  <si>
    <t>Оболенский Антон</t>
  </si>
  <si>
    <t>Открытая (07.05.1993)/28</t>
  </si>
  <si>
    <t>Старостин Никита</t>
  </si>
  <si>
    <t>Открытая (13.08.1987)/34</t>
  </si>
  <si>
    <t>83,10</t>
  </si>
  <si>
    <t xml:space="preserve">Данилова Е. </t>
  </si>
  <si>
    <t>Терентьев Геннадий</t>
  </si>
  <si>
    <t>Открытая (16.02.1995)/26</t>
  </si>
  <si>
    <t xml:space="preserve">Сарычев К., Сапожонков А. </t>
  </si>
  <si>
    <t>Тихиенко Антон</t>
  </si>
  <si>
    <t>Открытая (04.06.1987)/34</t>
  </si>
  <si>
    <t>Торган Дмитрий</t>
  </si>
  <si>
    <t>Открытая (21.12.1991)/29</t>
  </si>
  <si>
    <t>85,10</t>
  </si>
  <si>
    <t>Капитан Кирилл</t>
  </si>
  <si>
    <t>Открытая (11.03.1984)/37</t>
  </si>
  <si>
    <t>Соколов Василий</t>
  </si>
  <si>
    <t>Открытая (10.07.1994)/27</t>
  </si>
  <si>
    <t>Извеков Анатолий</t>
  </si>
  <si>
    <t>Открытая (16.04.1988)/33</t>
  </si>
  <si>
    <t>Григорьянц Роман</t>
  </si>
  <si>
    <t>Открытая (17.05.1983)/38</t>
  </si>
  <si>
    <t>Потехин Евгений</t>
  </si>
  <si>
    <t>Открытая (09.10.1989)/32</t>
  </si>
  <si>
    <t xml:space="preserve">Самойлов М. </t>
  </si>
  <si>
    <t>Абрамов Никита</t>
  </si>
  <si>
    <t>Открытая (29.11.1991)/30</t>
  </si>
  <si>
    <t>Додонов Сергей</t>
  </si>
  <si>
    <t>Открытая (10.02.1988)/33</t>
  </si>
  <si>
    <t>Рогозный Никита</t>
  </si>
  <si>
    <t xml:space="preserve">Дурнов Р. </t>
  </si>
  <si>
    <t>Корнилов Алексей</t>
  </si>
  <si>
    <t>Открытая (05.08.1990)/31</t>
  </si>
  <si>
    <t>Мякишев Сергей</t>
  </si>
  <si>
    <t>Мастера 40-49 (15.09.1977)/44</t>
  </si>
  <si>
    <t>Талдыкин Алексей</t>
  </si>
  <si>
    <t>Абдулкадиров Назир</t>
  </si>
  <si>
    <t>Мастера 40-49 (25.10.1976)/45</t>
  </si>
  <si>
    <t xml:space="preserve">Тимохин П. </t>
  </si>
  <si>
    <t>Гаджахмедов Сейдали</t>
  </si>
  <si>
    <t>Мастера 40-49 (28.04.1972)/49</t>
  </si>
  <si>
    <t>Камель Владислав</t>
  </si>
  <si>
    <t>Мастера 40-49 (06.01.1976)/45</t>
  </si>
  <si>
    <t>Разуваев Роман</t>
  </si>
  <si>
    <t>Мастера 40-49 (15.02.1975)/46</t>
  </si>
  <si>
    <t>83,90</t>
  </si>
  <si>
    <t>Латыпов Оскар</t>
  </si>
  <si>
    <t>Мастера 40-49 (24.07.1978)/43</t>
  </si>
  <si>
    <t>Рубцов Александр</t>
  </si>
  <si>
    <t>Мастера 50-59 (04.03.1969)/52</t>
  </si>
  <si>
    <t>Шаталин Дмитрий</t>
  </si>
  <si>
    <t>Мастера 50-59 (02.09.1967)/54</t>
  </si>
  <si>
    <t>Узлов Юрий</t>
  </si>
  <si>
    <t>Мастера 50-59 (12.09.1969)/52</t>
  </si>
  <si>
    <t>Акопян Арсен</t>
  </si>
  <si>
    <t>Мастера 50-59 (23.06.1970)/51</t>
  </si>
  <si>
    <t>Лашин Владимир</t>
  </si>
  <si>
    <t>Мастера 60-69 (28.03.1960)/61</t>
  </si>
  <si>
    <t>Клименко Владимир</t>
  </si>
  <si>
    <t>Мастера 70-79 (12.03.1945)/76</t>
  </si>
  <si>
    <t>83,80</t>
  </si>
  <si>
    <t>Салосалов Сергей</t>
  </si>
  <si>
    <t>Юноши 17-19 (11.09.2004)/17</t>
  </si>
  <si>
    <t>95,90</t>
  </si>
  <si>
    <t>Яковлев Максим</t>
  </si>
  <si>
    <t>Юноши 17-19 (19.06.2004)/17</t>
  </si>
  <si>
    <t>Макаров Иван</t>
  </si>
  <si>
    <t>Юноши 17-19 (30.01.2003)/18</t>
  </si>
  <si>
    <t>Сурков Вадим</t>
  </si>
  <si>
    <t>Юниоры (30.08.2001)/20</t>
  </si>
  <si>
    <t>Саидов Миразор</t>
  </si>
  <si>
    <t>Юниоры (08.08.1998)/23</t>
  </si>
  <si>
    <t>Икоев Заур</t>
  </si>
  <si>
    <t>Юниоры (13.05.1998)/23</t>
  </si>
  <si>
    <t xml:space="preserve">Туков А. </t>
  </si>
  <si>
    <t>Гаврин Никита</t>
  </si>
  <si>
    <t>Юниоры (03.03.2000)/21</t>
  </si>
  <si>
    <t>96,00</t>
  </si>
  <si>
    <t>Кузнецов Антон</t>
  </si>
  <si>
    <t>Юниоры (10.08.1999)/22</t>
  </si>
  <si>
    <t>Исмоилов Джовидон</t>
  </si>
  <si>
    <t>Юниоры (21.07.1998)/23</t>
  </si>
  <si>
    <t xml:space="preserve">TJK/Вандж </t>
  </si>
  <si>
    <t>Щукин Леонид</t>
  </si>
  <si>
    <t>Открытая (12.01.1982)/39</t>
  </si>
  <si>
    <t>Калягин Александр</t>
  </si>
  <si>
    <t>Открытая (12.06.1983)/38</t>
  </si>
  <si>
    <t xml:space="preserve">Коротков М. </t>
  </si>
  <si>
    <t>Родионов Денис</t>
  </si>
  <si>
    <t>Открытая (24.03.1995)/26</t>
  </si>
  <si>
    <t>Буланов Алексей</t>
  </si>
  <si>
    <t>Открытая (11.04.1992)/29</t>
  </si>
  <si>
    <t>Аракелян Владимир</t>
  </si>
  <si>
    <t>Открытая (25.05.1996)/25</t>
  </si>
  <si>
    <t>Своровский Георгий</t>
  </si>
  <si>
    <t>Открытая (30.05.1997)/24</t>
  </si>
  <si>
    <t>99,10</t>
  </si>
  <si>
    <t>Гречишников Александр</t>
  </si>
  <si>
    <t>Открытая (20.09.1986)/35</t>
  </si>
  <si>
    <t>90,20</t>
  </si>
  <si>
    <t>Мудрый Владимир</t>
  </si>
  <si>
    <t>Открытая (03.06.1992)/29</t>
  </si>
  <si>
    <t>92,90</t>
  </si>
  <si>
    <t>Федоров Александр</t>
  </si>
  <si>
    <t>Открытая (05.10.1990)/31</t>
  </si>
  <si>
    <t>91,90</t>
  </si>
  <si>
    <t>Букатов Дмитрий</t>
  </si>
  <si>
    <t>Открытая (30.10.1993)/28</t>
  </si>
  <si>
    <t>Тарасов Сергей</t>
  </si>
  <si>
    <t>Мастера 40-49 (02.10.1976)/45</t>
  </si>
  <si>
    <t>Качанов Клим</t>
  </si>
  <si>
    <t>Мастера 40-49 (19.06.1973)/48</t>
  </si>
  <si>
    <t>Колчев Сергей</t>
  </si>
  <si>
    <t>Мастера 40-49 (20.05.1979)/42</t>
  </si>
  <si>
    <t>Катаев Владимир</t>
  </si>
  <si>
    <t>Мастера 40-49 (01.07.1977)/44</t>
  </si>
  <si>
    <t>Asrorov Saidahmad</t>
  </si>
  <si>
    <t>Мастера 40-49 (20.12.1973)/47</t>
  </si>
  <si>
    <t>91,60</t>
  </si>
  <si>
    <t>Трубин Сергей</t>
  </si>
  <si>
    <t>Мастера 50-59 (16.04.1969)/52</t>
  </si>
  <si>
    <t>Шурыгин Юрий</t>
  </si>
  <si>
    <t>Мастера 50-59 (23.10.1971)/50</t>
  </si>
  <si>
    <t>Воронец Сергей</t>
  </si>
  <si>
    <t>Мастера 50-59 (16.10.1971)/50</t>
  </si>
  <si>
    <t xml:space="preserve">Афанасьев Е. </t>
  </si>
  <si>
    <t>Омаров Магомед</t>
  </si>
  <si>
    <t>Мастера 50-59 (30.05.1963)/58</t>
  </si>
  <si>
    <t>94,50</t>
  </si>
  <si>
    <t>Шахбанов Исмаил</t>
  </si>
  <si>
    <t>Мастера 50-59 (26.11.1971)/50</t>
  </si>
  <si>
    <t xml:space="preserve">Кулаков О. </t>
  </si>
  <si>
    <t>Никулин Александр</t>
  </si>
  <si>
    <t>Юноши 17-19 (04.09.2004)/17</t>
  </si>
  <si>
    <t>105,00</t>
  </si>
  <si>
    <t>Музыкин Александр</t>
  </si>
  <si>
    <t>Юниоры (06.04.1998)/23</t>
  </si>
  <si>
    <t>103,80</t>
  </si>
  <si>
    <t xml:space="preserve">Клюшев А. </t>
  </si>
  <si>
    <t>Ясаков Дмитрий</t>
  </si>
  <si>
    <t>Юниоры (07.12.1998)/23</t>
  </si>
  <si>
    <t>Алиев Сахиб</t>
  </si>
  <si>
    <t>Открытая (29.11.1988)/33</t>
  </si>
  <si>
    <t>Коблик Дмитрий</t>
  </si>
  <si>
    <t>Открытая (20.08.1993)/28</t>
  </si>
  <si>
    <t>Виноградов Эдуард</t>
  </si>
  <si>
    <t>Открытая (20.07.1974)/47</t>
  </si>
  <si>
    <t>Пасынков Роман</t>
  </si>
  <si>
    <t>Открытая (10.11.1981)/40</t>
  </si>
  <si>
    <t>Клочков Виктор</t>
  </si>
  <si>
    <t>Тимошенко Евгений</t>
  </si>
  <si>
    <t>Открытая (08.08.1982)/39</t>
  </si>
  <si>
    <t>Алимов Алексей</t>
  </si>
  <si>
    <t>Мастера 40-49 (05.02.1978)/43</t>
  </si>
  <si>
    <t>106,90</t>
  </si>
  <si>
    <t xml:space="preserve">Седых А. </t>
  </si>
  <si>
    <t>Мастера 40-49 (20.07.1974)/47</t>
  </si>
  <si>
    <t>Аннин Сергей</t>
  </si>
  <si>
    <t>Мастера 40-49 (08.02.1981)/40</t>
  </si>
  <si>
    <t>109,80</t>
  </si>
  <si>
    <t>Бердинских Константин</t>
  </si>
  <si>
    <t>Мастера 50-59 (24.08.1970)/51</t>
  </si>
  <si>
    <t xml:space="preserve">Линников К. </t>
  </si>
  <si>
    <t>Максимов Роман</t>
  </si>
  <si>
    <t>Мастера 50-59 (08.06.1969)/52</t>
  </si>
  <si>
    <t>Крипак Сергей</t>
  </si>
  <si>
    <t>Мастера 50-59 (26.08.1962)/59</t>
  </si>
  <si>
    <t>Kovalskiy Vladimir</t>
  </si>
  <si>
    <t>Мастера 60-69 (21.01.1958)/63</t>
  </si>
  <si>
    <t>106,30</t>
  </si>
  <si>
    <t>Гейдарли Элмин</t>
  </si>
  <si>
    <t>Юниоры (01.02.1998)/23</t>
  </si>
  <si>
    <t>Сасаниа Георгий</t>
  </si>
  <si>
    <t>Открытая (14.02.1993)/28</t>
  </si>
  <si>
    <t>123,30</t>
  </si>
  <si>
    <t>Зиновагин Дмитрий</t>
  </si>
  <si>
    <t>Открытая (10.08.1986)/35</t>
  </si>
  <si>
    <t>124,40</t>
  </si>
  <si>
    <t xml:space="preserve">Касараев С. </t>
  </si>
  <si>
    <t>Цаплин Александр</t>
  </si>
  <si>
    <t>Открытая (24.11.1987)/34</t>
  </si>
  <si>
    <t>121,80</t>
  </si>
  <si>
    <t>Кильдюшкин Даниил</t>
  </si>
  <si>
    <t>Открытая (01.04.1997)/24</t>
  </si>
  <si>
    <t>Ковальчук Вадим</t>
  </si>
  <si>
    <t>Открытая (27.10.1983)/38</t>
  </si>
  <si>
    <t>116,70</t>
  </si>
  <si>
    <t>Сорокин Павел</t>
  </si>
  <si>
    <t>Открытая (03.01.1984)/37</t>
  </si>
  <si>
    <t>122,20</t>
  </si>
  <si>
    <t>Сидорин Сергей</t>
  </si>
  <si>
    <t>Открытая (14.01.1990)/31</t>
  </si>
  <si>
    <t>113,90</t>
  </si>
  <si>
    <t>Урусов Дмитрий</t>
  </si>
  <si>
    <t>Мастера 40-49 (04.06.1974)/47</t>
  </si>
  <si>
    <t>111,40</t>
  </si>
  <si>
    <t>Горшунов Сергей</t>
  </si>
  <si>
    <t>Мастера 40-49 (26.05.1976)/45</t>
  </si>
  <si>
    <t>113,10</t>
  </si>
  <si>
    <t>Усольцев Евгений</t>
  </si>
  <si>
    <t>Мастера 50-59 (01.02.1970)/51</t>
  </si>
  <si>
    <t>123,40</t>
  </si>
  <si>
    <t xml:space="preserve">Пахомов С. </t>
  </si>
  <si>
    <t>Открытая (22.05.1993)/28</t>
  </si>
  <si>
    <t>125,50</t>
  </si>
  <si>
    <t>Шаульский Виталий</t>
  </si>
  <si>
    <t>Мастера 40-49 (02.06.1973)/48</t>
  </si>
  <si>
    <t>132,40</t>
  </si>
  <si>
    <t>209,0</t>
  </si>
  <si>
    <t>77,7840</t>
  </si>
  <si>
    <t>67,5060</t>
  </si>
  <si>
    <t>44</t>
  </si>
  <si>
    <t>67,3930</t>
  </si>
  <si>
    <t>117,6600</t>
  </si>
  <si>
    <t>106,0470</t>
  </si>
  <si>
    <t>103,3515</t>
  </si>
  <si>
    <t>108,4891</t>
  </si>
  <si>
    <t>107,8119</t>
  </si>
  <si>
    <t>79,0334</t>
  </si>
  <si>
    <t>108,3950</t>
  </si>
  <si>
    <t>100,5015</t>
  </si>
  <si>
    <t>99,3735</t>
  </si>
  <si>
    <t>115,8240</t>
  </si>
  <si>
    <t>115,4857</t>
  </si>
  <si>
    <t>103,2465</t>
  </si>
  <si>
    <t>143,4465</t>
  </si>
  <si>
    <t>131,6920</t>
  </si>
  <si>
    <t>130,7138</t>
  </si>
  <si>
    <t xml:space="preserve">Мастера 80+ </t>
  </si>
  <si>
    <t>177,3660</t>
  </si>
  <si>
    <t>151,9334</t>
  </si>
  <si>
    <t>21</t>
  </si>
  <si>
    <t>22</t>
  </si>
  <si>
    <t>23</t>
  </si>
  <si>
    <t>24</t>
  </si>
  <si>
    <t>25</t>
  </si>
  <si>
    <t>Открытая (07.03.1966)/55</t>
  </si>
  <si>
    <t>Барышев Дмитрий</t>
  </si>
  <si>
    <t>Открытая (09.01.1997)/24</t>
  </si>
  <si>
    <t>Зализецкий Степан</t>
  </si>
  <si>
    <t>Жигулин Константин</t>
  </si>
  <si>
    <t>Открытая (03.10.1987)/34</t>
  </si>
  <si>
    <t>Душевин Евгений</t>
  </si>
  <si>
    <t>Открытая (20.08.1995)/26</t>
  </si>
  <si>
    <t>80,40</t>
  </si>
  <si>
    <t xml:space="preserve">Атменеев В. </t>
  </si>
  <si>
    <t>Матвеев Александр</t>
  </si>
  <si>
    <t>Открытая (14.03.1974)/47</t>
  </si>
  <si>
    <t>79,70</t>
  </si>
  <si>
    <t xml:space="preserve">Жинкин В. </t>
  </si>
  <si>
    <t>Щеглов Евгений</t>
  </si>
  <si>
    <t>Открытая (28.03.1991)/30</t>
  </si>
  <si>
    <t>Farahmand Neazhad</t>
  </si>
  <si>
    <t>Открытая (10.07.1983)/38</t>
  </si>
  <si>
    <t>Мастера 40-49 (14.03.1974)/47</t>
  </si>
  <si>
    <t>Соловьев-Новиков Алексей</t>
  </si>
  <si>
    <t>Мастера 50-59 (08.07.1969)/52</t>
  </si>
  <si>
    <t>Никонов Денис</t>
  </si>
  <si>
    <t>Открытая (21.03.1982)/39</t>
  </si>
  <si>
    <t>Евдокимов Иван</t>
  </si>
  <si>
    <t>Мастера 50-59 (23.02.1964)/57</t>
  </si>
  <si>
    <t>Салов Андрей</t>
  </si>
  <si>
    <t>Мастера 60-69 (18.10.1959)/62</t>
  </si>
  <si>
    <t>Тохтуев Андрей</t>
  </si>
  <si>
    <t>Открытая (06.06.1982)/39</t>
  </si>
  <si>
    <t>Открытая (06.04.1967)/54</t>
  </si>
  <si>
    <t>Толстов Дмитрий</t>
  </si>
  <si>
    <t>Мастера 40-49 (26.10.1973)/48</t>
  </si>
  <si>
    <t xml:space="preserve">Егорочкин А. </t>
  </si>
  <si>
    <t>Rashidi-Sabeghi Alireza</t>
  </si>
  <si>
    <t>Мастера 40-49 (22.12.1975)/45</t>
  </si>
  <si>
    <t>91,20</t>
  </si>
  <si>
    <t xml:space="preserve">IRN/Behshahr </t>
  </si>
  <si>
    <t>Мастера 50-59 (28.04.1969)/52</t>
  </si>
  <si>
    <t>Ли Владимир</t>
  </si>
  <si>
    <t>Мастера 70-79 (16.10.1951)/70</t>
  </si>
  <si>
    <t>90,80</t>
  </si>
  <si>
    <t>Терлецкий Матвей</t>
  </si>
  <si>
    <t>Открытая (22.04.1992)/29</t>
  </si>
  <si>
    <t xml:space="preserve">Потапов А. </t>
  </si>
  <si>
    <t>Сухарев Андрей</t>
  </si>
  <si>
    <t>Открытая (22.07.1974)/47</t>
  </si>
  <si>
    <t>Велес Евгений</t>
  </si>
  <si>
    <t>Открытая (09.03.1968)/53</t>
  </si>
  <si>
    <t>Джафаров Заур</t>
  </si>
  <si>
    <t>Открытая (05.09.1982)/39</t>
  </si>
  <si>
    <t>Мастера 50-59 (09.03.1968)/53</t>
  </si>
  <si>
    <t>Ярков Василий</t>
  </si>
  <si>
    <t>Мастера 50-59 (20.06.1970)/51</t>
  </si>
  <si>
    <t>Чередин Владимир</t>
  </si>
  <si>
    <t>Открытая (30.01.1971)/50</t>
  </si>
  <si>
    <t>124,30</t>
  </si>
  <si>
    <t xml:space="preserve">BLR/Мозырь </t>
  </si>
  <si>
    <t>317,0</t>
  </si>
  <si>
    <t xml:space="preserve">Залуцкий Р. </t>
  </si>
  <si>
    <t>Naderi Saeid</t>
  </si>
  <si>
    <t>Открытая (11.12.1981)/40</t>
  </si>
  <si>
    <t>Мима Виктор</t>
  </si>
  <si>
    <t>124,00</t>
  </si>
  <si>
    <t>Мастера 40-49 (11.12.1981)/40</t>
  </si>
  <si>
    <t>Мастера 50-59 (30.01.1971)/50</t>
  </si>
  <si>
    <t>163,8750</t>
  </si>
  <si>
    <t>158,3955</t>
  </si>
  <si>
    <t>156,9462</t>
  </si>
  <si>
    <t>185,1787</t>
  </si>
  <si>
    <t>171,3111</t>
  </si>
  <si>
    <t>Открытая (09.10.1988)/33</t>
  </si>
  <si>
    <t>Кокорев Илья</t>
  </si>
  <si>
    <t>Открытая (19.01.1973)/48</t>
  </si>
  <si>
    <t>Мастера 40-49 (19.01.1973)/48</t>
  </si>
  <si>
    <t>Кончаков Владимир</t>
  </si>
  <si>
    <t>Открытая (25.05.1973)/48</t>
  </si>
  <si>
    <t xml:space="preserve">Белкин Ю. </t>
  </si>
  <si>
    <t>Мастера 40-49 (25.05.1973)/48</t>
  </si>
  <si>
    <t>Ghazizadehkhosroshahi Mehdi</t>
  </si>
  <si>
    <t>Открытая (24.07.1985)/36</t>
  </si>
  <si>
    <t>Абдуллаев Малик</t>
  </si>
  <si>
    <t>Мастера 40-49 (29.09.1977)/44</t>
  </si>
  <si>
    <t>100,70</t>
  </si>
  <si>
    <t xml:space="preserve">Исраилов А. </t>
  </si>
  <si>
    <t>Рогожкин Роман</t>
  </si>
  <si>
    <t>Samir Mohamed</t>
  </si>
  <si>
    <t>Мастера 40-49 (28.09.1977)/44</t>
  </si>
  <si>
    <t xml:space="preserve">EGY/Giza </t>
  </si>
  <si>
    <t>Джамилов Вусал</t>
  </si>
  <si>
    <t>Открытая (28.04.1991)/30</t>
  </si>
  <si>
    <t>Открытая (30.03.1978)/43</t>
  </si>
  <si>
    <t>Открытая (12.07.1989)/32</t>
  </si>
  <si>
    <t xml:space="preserve">KGZ/Ош </t>
  </si>
  <si>
    <t>Акулич Александр</t>
  </si>
  <si>
    <t>Открытая (17.11.1981)/40</t>
  </si>
  <si>
    <t>Сёмин Василий</t>
  </si>
  <si>
    <t>Открытая (09.08.1987)/34</t>
  </si>
  <si>
    <t xml:space="preserve">Мавренков С. </t>
  </si>
  <si>
    <t>Мастера 40-49 (21.01.1979)/42</t>
  </si>
  <si>
    <t>Атменеев Виталий</t>
  </si>
  <si>
    <t>Открытая (06.11.1986)/35</t>
  </si>
  <si>
    <t xml:space="preserve">Еловиков Р. </t>
  </si>
  <si>
    <t>Беспаликов Валерий</t>
  </si>
  <si>
    <t>Открытая (07.04.1981)/40</t>
  </si>
  <si>
    <t>105,20</t>
  </si>
  <si>
    <t xml:space="preserve">Семенов Р. </t>
  </si>
  <si>
    <t>365,0</t>
  </si>
  <si>
    <t>415,0</t>
  </si>
  <si>
    <t>Мастера 40-49 (07.04.1981)/40</t>
  </si>
  <si>
    <t>Каганский Максим</t>
  </si>
  <si>
    <t>Мастера 40-49 (19.11.1980)/41</t>
  </si>
  <si>
    <t>Шлепин Олег</t>
  </si>
  <si>
    <t>Открытая (08.07.1975)/46</t>
  </si>
  <si>
    <t>110,40</t>
  </si>
  <si>
    <t>Мастера 40-49 (08.07.1975)/46</t>
  </si>
  <si>
    <t>Борисов Артур</t>
  </si>
  <si>
    <t>Юниоры (29.12.1997)/23</t>
  </si>
  <si>
    <t>127,10</t>
  </si>
  <si>
    <t>Открытая (29.12.1997)/23</t>
  </si>
  <si>
    <t>Чадаев Александр</t>
  </si>
  <si>
    <t>Открытая (12.04.1973)/48</t>
  </si>
  <si>
    <t>352,5</t>
  </si>
  <si>
    <t>Мастера 40-49 (12.04.1973)/48</t>
  </si>
  <si>
    <t>165,50</t>
  </si>
  <si>
    <t>190,1410</t>
  </si>
  <si>
    <t>209,6605</t>
  </si>
  <si>
    <t>191,2235</t>
  </si>
  <si>
    <t>Небыков Алексей</t>
  </si>
  <si>
    <t>Открытая (19.03.1966)/55</t>
  </si>
  <si>
    <t>Мастера 50-59 (19.03.1966)/55</t>
  </si>
  <si>
    <t>Щеславский Станислав</t>
  </si>
  <si>
    <t>Открытая (15.04.1981)/40</t>
  </si>
  <si>
    <t>Jamilov Vusal</t>
  </si>
  <si>
    <t>95,20</t>
  </si>
  <si>
    <t>Сухарев Кирилл</t>
  </si>
  <si>
    <t>Открытая (21.12.1993)/27</t>
  </si>
  <si>
    <t xml:space="preserve">Сухарев А. </t>
  </si>
  <si>
    <t>Гаража Юрий</t>
  </si>
  <si>
    <t>Открытая (02.06.1982)/39</t>
  </si>
  <si>
    <t>104,50</t>
  </si>
  <si>
    <t>Гамаев Александр</t>
  </si>
  <si>
    <t>Открытая (06.02.1983)/38</t>
  </si>
  <si>
    <t>104,30</t>
  </si>
  <si>
    <t>Мастера 40-49 (22.07.1974)/47</t>
  </si>
  <si>
    <t>382,0</t>
  </si>
  <si>
    <t>Махновская Тамара</t>
  </si>
  <si>
    <t>Открытая (18.05.1985)/36</t>
  </si>
  <si>
    <t>51,50</t>
  </si>
  <si>
    <t>Быстрова Александра</t>
  </si>
  <si>
    <t>Открытая (28.11.1989)/32</t>
  </si>
  <si>
    <t>64,40</t>
  </si>
  <si>
    <t>ВЕСОВАЯ КАТЕГОРИЯ   90+</t>
  </si>
  <si>
    <t>Цыплова Ольга</t>
  </si>
  <si>
    <t>Открытая (19.11.1975)/46</t>
  </si>
  <si>
    <t>Мастера 40-49 (19.11.1975)/46</t>
  </si>
  <si>
    <t>Расеев Никита</t>
  </si>
  <si>
    <t>Юноши 14-16 (23.05.2005)/16</t>
  </si>
  <si>
    <t>64,10</t>
  </si>
  <si>
    <t>Malik Nitin</t>
  </si>
  <si>
    <t>Юноши 17-19 (28.02.2003)/18</t>
  </si>
  <si>
    <t>Юниоры (07.02.2001)/20</t>
  </si>
  <si>
    <t>60,20</t>
  </si>
  <si>
    <t>Спиридонов Сергей</t>
  </si>
  <si>
    <t>Открытая (11.08.1985)/36</t>
  </si>
  <si>
    <t xml:space="preserve">Блажчук В. </t>
  </si>
  <si>
    <t>Bhardwaj Ullwal</t>
  </si>
  <si>
    <t>Юноши 14-16 (10.01.2006)/15</t>
  </si>
  <si>
    <t>Дольников Сергей</t>
  </si>
  <si>
    <t>Открытая (05.05.1986)/35</t>
  </si>
  <si>
    <t>Курдюков Сергей</t>
  </si>
  <si>
    <t>Открытая (04.02.1986)/35</t>
  </si>
  <si>
    <t>Саркисян Аркадий</t>
  </si>
  <si>
    <t>Открытая (05.02.1993)/28</t>
  </si>
  <si>
    <t xml:space="preserve">Амирханов А. </t>
  </si>
  <si>
    <t>Открытая (23.10.1985)/36</t>
  </si>
  <si>
    <t>Сулейманов Раиф</t>
  </si>
  <si>
    <t>Открытая (03.12.1981)/40</t>
  </si>
  <si>
    <t>Ahmad Afsar</t>
  </si>
  <si>
    <t>Открытая (02.02.1996)/25</t>
  </si>
  <si>
    <t>Корж Алексей</t>
  </si>
  <si>
    <t>Sahai Chaitanya</t>
  </si>
  <si>
    <t>Открытая (05.12.1983)/38</t>
  </si>
  <si>
    <t>87,20</t>
  </si>
  <si>
    <t>Мастера 40-49 (03.12.1981)/40</t>
  </si>
  <si>
    <t>Жабин Владимир</t>
  </si>
  <si>
    <t>Бушуев Павел</t>
  </si>
  <si>
    <t>Мастера 40-49 (28.11.1978)/43</t>
  </si>
  <si>
    <t xml:space="preserve">Павлов С. </t>
  </si>
  <si>
    <t>Лосученко Александр</t>
  </si>
  <si>
    <t>Мастера 60-69 (06.12.1955)/66</t>
  </si>
  <si>
    <t>273,0</t>
  </si>
  <si>
    <t>Немчинов Александр</t>
  </si>
  <si>
    <t>Мастера 70-79 (10.11.1951)/70</t>
  </si>
  <si>
    <t>Якубов Эмиль</t>
  </si>
  <si>
    <t>Юниоры (02.03.2001)/20</t>
  </si>
  <si>
    <t xml:space="preserve">Канафиев Н. </t>
  </si>
  <si>
    <t>Комраков Владислав</t>
  </si>
  <si>
    <t>Юниоры (28.09.1998)/23</t>
  </si>
  <si>
    <t xml:space="preserve">Салахетдинов Э. </t>
  </si>
  <si>
    <t>Verdiyev Hafiz</t>
  </si>
  <si>
    <t>Открытая (04.03.1990)/31</t>
  </si>
  <si>
    <t>327,5</t>
  </si>
  <si>
    <t xml:space="preserve">Aghayev R. </t>
  </si>
  <si>
    <t>307,5</t>
  </si>
  <si>
    <t>Яруков Станислав</t>
  </si>
  <si>
    <t>Открытая (12.07.1990)/31</t>
  </si>
  <si>
    <t>Huseynov Nijat</t>
  </si>
  <si>
    <t>Открытая (18.09.1989)/32</t>
  </si>
  <si>
    <t>Катков Александр</t>
  </si>
  <si>
    <t>Открытая (11.01.1987)/34</t>
  </si>
  <si>
    <t xml:space="preserve">Суджян А. </t>
  </si>
  <si>
    <t>Chettri Sanjay</t>
  </si>
  <si>
    <t>Открытая (21.05.1988)/33</t>
  </si>
  <si>
    <t>92,50</t>
  </si>
  <si>
    <t>Зозулинский Олег</t>
  </si>
  <si>
    <t>Открытая (03.07.1986)/35</t>
  </si>
  <si>
    <t>More Chetan</t>
  </si>
  <si>
    <t>Мастера 40-49 (06.01.1974)/47</t>
  </si>
  <si>
    <t>Макаров Владимир</t>
  </si>
  <si>
    <t>Мастера 70-79 (25.07.1946)/75</t>
  </si>
  <si>
    <t>166,0</t>
  </si>
  <si>
    <t>Салахетдинов Эльдар</t>
  </si>
  <si>
    <t>330,5</t>
  </si>
  <si>
    <t>Пономарёв Даниил</t>
  </si>
  <si>
    <t>Юниоры (10.09.2001)/20</t>
  </si>
  <si>
    <t>Квятковский Роман</t>
  </si>
  <si>
    <t>Открытая (22.06.1994)/27</t>
  </si>
  <si>
    <t>Открытая (15.10.1990)/31</t>
  </si>
  <si>
    <t>Ashish Kumar</t>
  </si>
  <si>
    <t>Мастера 40-49 (30.07.1976)/45</t>
  </si>
  <si>
    <t>Gurdayal Singh</t>
  </si>
  <si>
    <t>Юноши 17-19 (04.06.2004)/17</t>
  </si>
  <si>
    <t>Khosrovzade Nijat</t>
  </si>
  <si>
    <t>Открытая (19.05.1984)/37</t>
  </si>
  <si>
    <t>120,80</t>
  </si>
  <si>
    <t>382,5</t>
  </si>
  <si>
    <t xml:space="preserve">Mustafayev A. </t>
  </si>
  <si>
    <t>Крамсков Алексей</t>
  </si>
  <si>
    <t>Открытая (12.01.1994)/27</t>
  </si>
  <si>
    <t>Открытая (10.03.1975)/46</t>
  </si>
  <si>
    <t>Mahawat Sachin</t>
  </si>
  <si>
    <t>Юноши 17-19 (10.01.2003)/18</t>
  </si>
  <si>
    <t>131,00</t>
  </si>
  <si>
    <t>Пермяков Сергей</t>
  </si>
  <si>
    <t>Открытая (09.09.1983)/38</t>
  </si>
  <si>
    <t>133,20</t>
  </si>
  <si>
    <t>Иванов Евгений</t>
  </si>
  <si>
    <t>Открытая (13.06.1973)/48</t>
  </si>
  <si>
    <t>127,60</t>
  </si>
  <si>
    <t>Лившиц Олег</t>
  </si>
  <si>
    <t>Мастера 40-49 (03.10.1973)/48</t>
  </si>
  <si>
    <t>128,80</t>
  </si>
  <si>
    <t xml:space="preserve">Шишканова С. </t>
  </si>
  <si>
    <t>Мастера 40-49 (13.06.1973)/48</t>
  </si>
  <si>
    <t>188,7795</t>
  </si>
  <si>
    <t>169,0240</t>
  </si>
  <si>
    <t>90+</t>
  </si>
  <si>
    <t>162,7920</t>
  </si>
  <si>
    <t>208,0015</t>
  </si>
  <si>
    <t>203,0340</t>
  </si>
  <si>
    <t>186,6440</t>
  </si>
  <si>
    <t>219,1510</t>
  </si>
  <si>
    <t>212,1120</t>
  </si>
  <si>
    <t>203,7700</t>
  </si>
  <si>
    <t>252,1215</t>
  </si>
  <si>
    <t>251,0611</t>
  </si>
  <si>
    <t>220,8784</t>
  </si>
  <si>
    <t>Shivam</t>
  </si>
  <si>
    <t>Sanjay</t>
  </si>
  <si>
    <t>Углова Ольга</t>
  </si>
  <si>
    <t>Открытая (17.12.1999)/21</t>
  </si>
  <si>
    <t>Кравченко Екатерина</t>
  </si>
  <si>
    <t>Открытая (07.11.1987)/34</t>
  </si>
  <si>
    <t>48,00</t>
  </si>
  <si>
    <t>Химушкина Юлия</t>
  </si>
  <si>
    <t>Открытая (12.07.1996)/25</t>
  </si>
  <si>
    <t>Викторова Виктория</t>
  </si>
  <si>
    <t>Открытая (15.09.1999)/22</t>
  </si>
  <si>
    <t>Кинжагулова Лилия</t>
  </si>
  <si>
    <t>Открытая (03.07.1973)/48</t>
  </si>
  <si>
    <t>49,30</t>
  </si>
  <si>
    <t>Родионова Анна</t>
  </si>
  <si>
    <t>Открытая (10.04.1982)/39</t>
  </si>
  <si>
    <t>Тымкив Ирина</t>
  </si>
  <si>
    <t>Открытая (20.02.1992)/29</t>
  </si>
  <si>
    <t>Серова Ольга</t>
  </si>
  <si>
    <t>Открытая (05.11.1987)/34</t>
  </si>
  <si>
    <t>Мякишева Галина</t>
  </si>
  <si>
    <t>Открытая (05.11.1983)/38</t>
  </si>
  <si>
    <t>59,70</t>
  </si>
  <si>
    <t>Егорова Ксения</t>
  </si>
  <si>
    <t>Открытая (04.09.1990)/31</t>
  </si>
  <si>
    <t>Полетаева Светлана</t>
  </si>
  <si>
    <t>Открытая (03.11.1987)/34</t>
  </si>
  <si>
    <t>57,30</t>
  </si>
  <si>
    <t>Калинина Наталия</t>
  </si>
  <si>
    <t>Мастера 50-59 (10.05.1963)/58</t>
  </si>
  <si>
    <t>Логинова Ярослава</t>
  </si>
  <si>
    <t>Девушки 14-16 (26.08.2005)/16</t>
  </si>
  <si>
    <t>64,60</t>
  </si>
  <si>
    <t xml:space="preserve">Мансуров В. </t>
  </si>
  <si>
    <t>Егорова Александра</t>
  </si>
  <si>
    <t>Девушки 17-19 (24.03.2003)/18</t>
  </si>
  <si>
    <t>60,50</t>
  </si>
  <si>
    <t>Арифулина Мария</t>
  </si>
  <si>
    <t>Открытая (17.10.1989)/32</t>
  </si>
  <si>
    <t>Ничкова Анастасия</t>
  </si>
  <si>
    <t>Открытая (24.05.1996)/25</t>
  </si>
  <si>
    <t>65,10</t>
  </si>
  <si>
    <t>Ладогубец Оксана</t>
  </si>
  <si>
    <t>Открытая (24.07.1991)/30</t>
  </si>
  <si>
    <t>61,80</t>
  </si>
  <si>
    <t xml:space="preserve">Бурцев А. </t>
  </si>
  <si>
    <t>Исмаилова Евгения</t>
  </si>
  <si>
    <t>Открытая (31.01.1986)/35</t>
  </si>
  <si>
    <t>64,70</t>
  </si>
  <si>
    <t>Гафиева Екатерина</t>
  </si>
  <si>
    <t>Мастера 40-49 (01.10.1973)/48</t>
  </si>
  <si>
    <t xml:space="preserve">Когадеева Д. </t>
  </si>
  <si>
    <t>Иванцова Татьяна</t>
  </si>
  <si>
    <t>Открытая (22.06.1979)/42</t>
  </si>
  <si>
    <t>Ткачун Елена</t>
  </si>
  <si>
    <t>Мастера 60-69 (10.05.1961)/60</t>
  </si>
  <si>
    <t xml:space="preserve">Съемщиков И. </t>
  </si>
  <si>
    <t>Корнякова Анастасия</t>
  </si>
  <si>
    <t>Открытая (16.11.1989)/32</t>
  </si>
  <si>
    <t>114,50</t>
  </si>
  <si>
    <t xml:space="preserve">Кубышкин Ю. </t>
  </si>
  <si>
    <t>Федоренко Арсений</t>
  </si>
  <si>
    <t>Юноши 14-16 (24.07.2008)/13</t>
  </si>
  <si>
    <t>45,10</t>
  </si>
  <si>
    <t xml:space="preserve">Федоренко А. </t>
  </si>
  <si>
    <t>Юноши 14-16 (15.08.2011)/10</t>
  </si>
  <si>
    <t>26,00</t>
  </si>
  <si>
    <t>Криворучко Никита</t>
  </si>
  <si>
    <t>Юноши 17-19 (21.01.2002)/19</t>
  </si>
  <si>
    <t>Кунашев Аскерби</t>
  </si>
  <si>
    <t>Открытая (09.05.1986)/35</t>
  </si>
  <si>
    <t>64,80</t>
  </si>
  <si>
    <t>Щербаков Дмитрий</t>
  </si>
  <si>
    <t>Открытая (27.04.1984)/37</t>
  </si>
  <si>
    <t>64,00</t>
  </si>
  <si>
    <t>Бориев Амир</t>
  </si>
  <si>
    <t>Беспелюхин Алексей</t>
  </si>
  <si>
    <t>Юноши 17-19 (01.10.2003)/18</t>
  </si>
  <si>
    <t>Макаров Егор</t>
  </si>
  <si>
    <t>Юноши 17-19 (07.06.2002)/19</t>
  </si>
  <si>
    <t>Губин Денис</t>
  </si>
  <si>
    <t>Юниоры (17.07.2001)/20</t>
  </si>
  <si>
    <t>Андропов Андрей</t>
  </si>
  <si>
    <t>Открытая (03.11.1996)/25</t>
  </si>
  <si>
    <t>72,00</t>
  </si>
  <si>
    <t>Гришко Максим</t>
  </si>
  <si>
    <t>Открытая (16.11.1996)/25</t>
  </si>
  <si>
    <t>73,30</t>
  </si>
  <si>
    <t>Котов Алексей</t>
  </si>
  <si>
    <t>Открытая (19.09.1987)/34</t>
  </si>
  <si>
    <t>74,20</t>
  </si>
  <si>
    <t>Брежнев Андрей</t>
  </si>
  <si>
    <t>Открытая (10.06.1984)/37</t>
  </si>
  <si>
    <t xml:space="preserve">Друкер В. </t>
  </si>
  <si>
    <t>Минеев Никита</t>
  </si>
  <si>
    <t>72,80</t>
  </si>
  <si>
    <t xml:space="preserve">Верещагин А. </t>
  </si>
  <si>
    <t>Жидков Дмитрий</t>
  </si>
  <si>
    <t>Мастера 50-59 (07.04.1967)/54</t>
  </si>
  <si>
    <t xml:space="preserve">Банасинский С. </t>
  </si>
  <si>
    <t>Щемелев Владимир</t>
  </si>
  <si>
    <t>Мастера 60-69 (02.04.1961)/60</t>
  </si>
  <si>
    <t>Острянин Артем</t>
  </si>
  <si>
    <t>Юноши 17-19 (14.03.2003)/18</t>
  </si>
  <si>
    <t>Айсаев Мухтар</t>
  </si>
  <si>
    <t>Юниоры (21.01.1998)/23</t>
  </si>
  <si>
    <t>Юниоры (11.10.1999)/22</t>
  </si>
  <si>
    <t>Верещагин Артем</t>
  </si>
  <si>
    <t>Открытая (17.09.1988)/33</t>
  </si>
  <si>
    <t>Ванякин Андрей</t>
  </si>
  <si>
    <t>Открытая (24.05.1995)/26</t>
  </si>
  <si>
    <t>Давтян Давид</t>
  </si>
  <si>
    <t>Открытая (12.09.1986)/35</t>
  </si>
  <si>
    <t>Черный Станислав</t>
  </si>
  <si>
    <t>Открытая (16.12.1992)/29</t>
  </si>
  <si>
    <t>Noureddini Seyed-Mohammad-Hassan</t>
  </si>
  <si>
    <t>Мастера 40-49 (21.09.1980)/41</t>
  </si>
  <si>
    <t xml:space="preserve">IRN/Herat </t>
  </si>
  <si>
    <t>Сивак Сергей</t>
  </si>
  <si>
    <t>Мастера 40-49 (09.08.1979)/42</t>
  </si>
  <si>
    <t>76,20</t>
  </si>
  <si>
    <t>Рыбин Александр</t>
  </si>
  <si>
    <t>Юниоры (31.05.1999)/22</t>
  </si>
  <si>
    <t xml:space="preserve">Тагиев Н. </t>
  </si>
  <si>
    <t>Мансуров Вадуд</t>
  </si>
  <si>
    <t>Открытая (16.11.1993)/28</t>
  </si>
  <si>
    <t>Тубаев Имран</t>
  </si>
  <si>
    <t>Открытая (03.12.1994)/27</t>
  </si>
  <si>
    <t xml:space="preserve">Ингушев Ч. </t>
  </si>
  <si>
    <t>Открытая (08.10.1989)/32</t>
  </si>
  <si>
    <t>Машков Артём</t>
  </si>
  <si>
    <t>Открытая (16.10.1996)/25</t>
  </si>
  <si>
    <t>Павлов Павел</t>
  </si>
  <si>
    <t>Открытая (25.09.1991)/30</t>
  </si>
  <si>
    <t xml:space="preserve">Дольников С. </t>
  </si>
  <si>
    <t>Этезов Вадим</t>
  </si>
  <si>
    <t>Мастера 40-49 (03.03.1979)/42</t>
  </si>
  <si>
    <t>Истратий Сергей</t>
  </si>
  <si>
    <t>Юноши 14-16 (11.10.2006)/15</t>
  </si>
  <si>
    <t>94,80</t>
  </si>
  <si>
    <t>Михеев Сергей</t>
  </si>
  <si>
    <t>Юниоры (17.08.2000)/21</t>
  </si>
  <si>
    <t>97,20</t>
  </si>
  <si>
    <t>Балкизов Руслан</t>
  </si>
  <si>
    <t xml:space="preserve">Тхамитлогов К. </t>
  </si>
  <si>
    <t>Открытая (06.06.1965)/56</t>
  </si>
  <si>
    <t>Дурандин Сергей</t>
  </si>
  <si>
    <t>Открытая (04.05.1974)/47</t>
  </si>
  <si>
    <t>Открытая (20.05.1982)/39</t>
  </si>
  <si>
    <t>Подвижной Денис</t>
  </si>
  <si>
    <t>Мастера 40-49 (29.06.1977)/44</t>
  </si>
  <si>
    <t>Мастера 40-49 (04.05.1974)/47</t>
  </si>
  <si>
    <t>Аванесов Сергей</t>
  </si>
  <si>
    <t>Мастера 40-49 (01.06.1979)/42</t>
  </si>
  <si>
    <t>Мамуладзе Давит</t>
  </si>
  <si>
    <t>Мастера 40-49 (05.08.1976)/45</t>
  </si>
  <si>
    <t>93,10</t>
  </si>
  <si>
    <t>Дадашов Икрам</t>
  </si>
  <si>
    <t>Юноши 14-16 (27.05.2008)/13</t>
  </si>
  <si>
    <t>101,40</t>
  </si>
  <si>
    <t xml:space="preserve">Молчаков А. </t>
  </si>
  <si>
    <t>Кулагин Дмитрий</t>
  </si>
  <si>
    <t>106,80</t>
  </si>
  <si>
    <t>Новицкий Александр</t>
  </si>
  <si>
    <t>Открытая (15.02.1989)/32</t>
  </si>
  <si>
    <t>Открытая (04.06.1994)/27</t>
  </si>
  <si>
    <t>124,20</t>
  </si>
  <si>
    <t xml:space="preserve">BLR/Борисов </t>
  </si>
  <si>
    <t>Березников Александр</t>
  </si>
  <si>
    <t>Мастера 50-59 (26.01.1964)/57</t>
  </si>
  <si>
    <t>112,30</t>
  </si>
  <si>
    <t>Бабин Евгений</t>
  </si>
  <si>
    <t>Мастера 50-59 (17.04.1971)/50</t>
  </si>
  <si>
    <t>112,50</t>
  </si>
  <si>
    <t>Василинич Дмитрий</t>
  </si>
  <si>
    <t>Открытая (09.07.1984)/37</t>
  </si>
  <si>
    <t>136,40</t>
  </si>
  <si>
    <t>212,0940</t>
  </si>
  <si>
    <t>208,1340</t>
  </si>
  <si>
    <t>194,1390</t>
  </si>
  <si>
    <t>163,8120</t>
  </si>
  <si>
    <t>154,6920</t>
  </si>
  <si>
    <t>149,7200</t>
  </si>
  <si>
    <t>178,9480</t>
  </si>
  <si>
    <t>175,3440</t>
  </si>
  <si>
    <t>170,2860</t>
  </si>
  <si>
    <t>193,9810</t>
  </si>
  <si>
    <t>184,9100</t>
  </si>
  <si>
    <t>184,2880</t>
  </si>
  <si>
    <t>231,1375</t>
  </si>
  <si>
    <t>192,7007</t>
  </si>
  <si>
    <t>182,4374</t>
  </si>
  <si>
    <t>Поливанов Владимир</t>
  </si>
  <si>
    <t>Открытая (20.01.1963)/58</t>
  </si>
  <si>
    <t>122,50</t>
  </si>
  <si>
    <t>Мастера 50-59 (20.01.1963)/58</t>
  </si>
  <si>
    <t>Ковтун Евгений</t>
  </si>
  <si>
    <t>Открытая (21.09.1982)/39</t>
  </si>
  <si>
    <t>91,10</t>
  </si>
  <si>
    <t>Гояев Тамерлан</t>
  </si>
  <si>
    <t>Открытая (26.08.1989)/32</t>
  </si>
  <si>
    <t>Барановский Артём</t>
  </si>
  <si>
    <t>Открытая (31.12.1995)/25</t>
  </si>
  <si>
    <t>102,90</t>
  </si>
  <si>
    <t>Открытая (15.12.1983)/38</t>
  </si>
  <si>
    <t>58,80</t>
  </si>
  <si>
    <t>Суховей Наталья</t>
  </si>
  <si>
    <t>Мастера 60-69 (25.11.1960)/61</t>
  </si>
  <si>
    <t>Долбенков Виктор</t>
  </si>
  <si>
    <t>Юноши 17-19 (22.07.2003)/18</t>
  </si>
  <si>
    <t>49,10</t>
  </si>
  <si>
    <t>Сидоровский Сергей</t>
  </si>
  <si>
    <t>Мастера 50-59 (12.05.1971)/50</t>
  </si>
  <si>
    <t xml:space="preserve">Силушин П. </t>
  </si>
  <si>
    <t>Горюнов Владимир</t>
  </si>
  <si>
    <t>Мастера 60-69 (02.02.1953)/68</t>
  </si>
  <si>
    <t>Фомин Андрей</t>
  </si>
  <si>
    <t>Открытая (02.04.1982)/39</t>
  </si>
  <si>
    <t>Скалозубов Сергей</t>
  </si>
  <si>
    <t>Открытая (27.05.1996)/25</t>
  </si>
  <si>
    <t>Кочетков Кирилл</t>
  </si>
  <si>
    <t>Юноши 14-16 (27.12.2006)/14</t>
  </si>
  <si>
    <t>92,20</t>
  </si>
  <si>
    <t>Крят Игорь</t>
  </si>
  <si>
    <t>Открытая (31.05.1988)/33</t>
  </si>
  <si>
    <t>Прошин Алексей</t>
  </si>
  <si>
    <t>Открытая (10.04.1984)/37</t>
  </si>
  <si>
    <t>Маренков Юрий</t>
  </si>
  <si>
    <t>Мастера 40-49 (18.12.1976)/45</t>
  </si>
  <si>
    <t>Трофимов Дмитрий</t>
  </si>
  <si>
    <t xml:space="preserve">Головин А. </t>
  </si>
  <si>
    <t>Горчаков Филипп</t>
  </si>
  <si>
    <t>Открытая (10.01.1985)/36</t>
  </si>
  <si>
    <t>Друкер Владимир</t>
  </si>
  <si>
    <t>Мастера 70-79 (23.04.1950)/71</t>
  </si>
  <si>
    <t>122,70</t>
  </si>
  <si>
    <t>580,0</t>
  </si>
  <si>
    <t>343,5340</t>
  </si>
  <si>
    <t>520,0</t>
  </si>
  <si>
    <t>334,2560</t>
  </si>
  <si>
    <t>497,5</t>
  </si>
  <si>
    <t>334,0215</t>
  </si>
  <si>
    <t>384,7452</t>
  </si>
  <si>
    <t>348,4089</t>
  </si>
  <si>
    <t>345,8870</t>
  </si>
  <si>
    <t>Грудинина Дарья</t>
  </si>
  <si>
    <t>Юниорки (14.09.1998)/23</t>
  </si>
  <si>
    <t>Рунёва Полина</t>
  </si>
  <si>
    <t>Мастера 40-49 (08.08.1981)/40</t>
  </si>
  <si>
    <t>Зиннатуллина Диана</t>
  </si>
  <si>
    <t>Открытая (03.02.1997)/24</t>
  </si>
  <si>
    <t xml:space="preserve">Кузнецов В. </t>
  </si>
  <si>
    <t>Турковская Ольга</t>
  </si>
  <si>
    <t>Мастера 50-59 (05.06.1967)/54</t>
  </si>
  <si>
    <t xml:space="preserve">Лазариди Г. </t>
  </si>
  <si>
    <t>Юноши 14-16 (19.01.2007)/14</t>
  </si>
  <si>
    <t>Равинский Аркадий</t>
  </si>
  <si>
    <t>Открытая (24.05.1994)/27</t>
  </si>
  <si>
    <t>Денисов Денис</t>
  </si>
  <si>
    <t>Открытая (27.10.1993)/28</t>
  </si>
  <si>
    <t>Mantymaki Mikko</t>
  </si>
  <si>
    <t>Открытая (29.09.1971)/50</t>
  </si>
  <si>
    <t xml:space="preserve">FIN/Tampere </t>
  </si>
  <si>
    <t>Самойлов Максим</t>
  </si>
  <si>
    <t>Открытая (04.05.1996)/25</t>
  </si>
  <si>
    <t>Какауллин Егор</t>
  </si>
  <si>
    <t>Открытая (25.10.1997)/24</t>
  </si>
  <si>
    <t>Открытая (22.02.1979)/42</t>
  </si>
  <si>
    <t>Мастера 40-49 (11.07.1980)/41</t>
  </si>
  <si>
    <t>Мастера 50-59 (29.09.1971)/50</t>
  </si>
  <si>
    <t>Киржанов Дмитрий</t>
  </si>
  <si>
    <t>Открытая (28.06.1994)/27</t>
  </si>
  <si>
    <t>86,00</t>
  </si>
  <si>
    <t>Махров Сергей</t>
  </si>
  <si>
    <t>Мастера 60-69 (17.02.1957)/64</t>
  </si>
  <si>
    <t>Открытая (17.05.1990)/31</t>
  </si>
  <si>
    <t>95,30</t>
  </si>
  <si>
    <t xml:space="preserve">MNG/Улан-Батор </t>
  </si>
  <si>
    <t>Вороков Султан</t>
  </si>
  <si>
    <t>Открытая (24.03.1997)/24</t>
  </si>
  <si>
    <t>Еремин Владимир</t>
  </si>
  <si>
    <t>Мастера 40-49 (14.07.1975)/46</t>
  </si>
  <si>
    <t>236,0</t>
  </si>
  <si>
    <t>Стрижков Андрей</t>
  </si>
  <si>
    <t>111,10</t>
  </si>
  <si>
    <t xml:space="preserve">Изюменко В. </t>
  </si>
  <si>
    <t>Кунашев Эдуард</t>
  </si>
  <si>
    <t>Открытая (11.07.1985)/36</t>
  </si>
  <si>
    <t>Олейников Сергей</t>
  </si>
  <si>
    <t>Открытая (01.10.1981)/40</t>
  </si>
  <si>
    <t>121,10</t>
  </si>
  <si>
    <t>Мастера 40-49 (01.10.1981)/40</t>
  </si>
  <si>
    <t>282,4380</t>
  </si>
  <si>
    <t>282,4080</t>
  </si>
  <si>
    <t>435,0</t>
  </si>
  <si>
    <t>279,3135</t>
  </si>
  <si>
    <t>353,0100</t>
  </si>
  <si>
    <t>395,5</t>
  </si>
  <si>
    <t>310,4405</t>
  </si>
  <si>
    <t>279,2206</t>
  </si>
  <si>
    <t>Донских Андрей</t>
  </si>
  <si>
    <t>Открытая (12.06.1986)/35</t>
  </si>
  <si>
    <t>Ржата Артем</t>
  </si>
  <si>
    <t>Открытая (12.01.1991)/30</t>
  </si>
  <si>
    <t>Соколов Евгений</t>
  </si>
  <si>
    <t>Открытая (11.02.1988)/33</t>
  </si>
  <si>
    <t>92,60</t>
  </si>
  <si>
    <t>22,0</t>
  </si>
  <si>
    <t>Мастера 60+ (16.08.1960)/61</t>
  </si>
  <si>
    <t>Апажев Заур</t>
  </si>
  <si>
    <t>Открытая (29.11.1990)/31</t>
  </si>
  <si>
    <t>20,0</t>
  </si>
  <si>
    <t>21,0</t>
  </si>
  <si>
    <t>63,30</t>
  </si>
  <si>
    <t>104,60</t>
  </si>
  <si>
    <t>Фатхрахманова Оксана</t>
  </si>
  <si>
    <t>Открытая (21.01.1984)/37</t>
  </si>
  <si>
    <t xml:space="preserve">Зайнуллин Р. </t>
  </si>
  <si>
    <t>Лукина Ксения</t>
  </si>
  <si>
    <t>30,00</t>
  </si>
  <si>
    <t xml:space="preserve">Лукин М. </t>
  </si>
  <si>
    <t>Крищук Антонина</t>
  </si>
  <si>
    <t xml:space="preserve">Крищук О. </t>
  </si>
  <si>
    <t>Халилова Диана</t>
  </si>
  <si>
    <t>Открытая (24.03.1991)/30</t>
  </si>
  <si>
    <t>Лыткина Алла</t>
  </si>
  <si>
    <t xml:space="preserve">Кушнир В. </t>
  </si>
  <si>
    <t>Подошевкина Инна</t>
  </si>
  <si>
    <t>Открытая (09.01.1981)/40</t>
  </si>
  <si>
    <t>Открытая (17.05.2005)/16</t>
  </si>
  <si>
    <t>Швецова Наталья</t>
  </si>
  <si>
    <t>Открытая (05.02.1984)/37</t>
  </si>
  <si>
    <t>61,70</t>
  </si>
  <si>
    <t xml:space="preserve">Иванов С. </t>
  </si>
  <si>
    <t>Открытая (01.08.1994)/27</t>
  </si>
  <si>
    <t>78,40</t>
  </si>
  <si>
    <t>17,5</t>
  </si>
  <si>
    <t>Пикунов Павел</t>
  </si>
  <si>
    <t>Химченко Данил</t>
  </si>
  <si>
    <t>55,50</t>
  </si>
  <si>
    <t xml:space="preserve">UKR/Алчевск </t>
  </si>
  <si>
    <t xml:space="preserve">Химченко А. </t>
  </si>
  <si>
    <t>Пашалиев Закир</t>
  </si>
  <si>
    <t xml:space="preserve">Никитченко С. </t>
  </si>
  <si>
    <t>Пьянов Антон</t>
  </si>
  <si>
    <t>Открытая (21.02.1991)/30</t>
  </si>
  <si>
    <t>54,00</t>
  </si>
  <si>
    <t>Зацепин Матвей</t>
  </si>
  <si>
    <t>Крищук Олег</t>
  </si>
  <si>
    <t>Открытая (29.05.1975)/46</t>
  </si>
  <si>
    <t>58,90</t>
  </si>
  <si>
    <t>Семенов Валерий</t>
  </si>
  <si>
    <t>Открытая (30.05.1983)/38</t>
  </si>
  <si>
    <t>Савочкин Евгений</t>
  </si>
  <si>
    <t>Шафарук Дмитрий</t>
  </si>
  <si>
    <t>71,0</t>
  </si>
  <si>
    <t>73,0</t>
  </si>
  <si>
    <t>74,0</t>
  </si>
  <si>
    <t>Колесников Василий</t>
  </si>
  <si>
    <t>Открытая (17.02.1994)/27</t>
  </si>
  <si>
    <t>Кирилюк Дмитрий</t>
  </si>
  <si>
    <t>Открытая (25.02.1967)/54</t>
  </si>
  <si>
    <t>Никитченко Сергей</t>
  </si>
  <si>
    <t>63,5</t>
  </si>
  <si>
    <t>Ткачев Никита</t>
  </si>
  <si>
    <t>68,0</t>
  </si>
  <si>
    <t>74,80</t>
  </si>
  <si>
    <t>Киселев Кирилл</t>
  </si>
  <si>
    <t>Качалин Андрей</t>
  </si>
  <si>
    <t>Открытая (14.10.1997)/24</t>
  </si>
  <si>
    <t>Открытая (29.05.1999)/22</t>
  </si>
  <si>
    <t>Намоев Азиз</t>
  </si>
  <si>
    <t>Открытая (21.07.1989)/32</t>
  </si>
  <si>
    <t>73,80</t>
  </si>
  <si>
    <t>Юмшанов Дмитрий</t>
  </si>
  <si>
    <t>Дуров Сергей</t>
  </si>
  <si>
    <t>69,0</t>
  </si>
  <si>
    <t>Колистратов Дмитрий</t>
  </si>
  <si>
    <t>Моргунов Сергей</t>
  </si>
  <si>
    <t>63,0</t>
  </si>
  <si>
    <t>Резвых Анатолий</t>
  </si>
  <si>
    <t>Карев Владимир</t>
  </si>
  <si>
    <t>Мастера 60+ (18.12.1948)/72</t>
  </si>
  <si>
    <t>Бобочонов Умедчон</t>
  </si>
  <si>
    <t>Козупица Константин</t>
  </si>
  <si>
    <t>80,20</t>
  </si>
  <si>
    <t>Сакович Олег</t>
  </si>
  <si>
    <t>Открытая (21.08.1992)/29</t>
  </si>
  <si>
    <t>76,60</t>
  </si>
  <si>
    <t>Чугунов Дмитрий</t>
  </si>
  <si>
    <t>Mammadli Kamal</t>
  </si>
  <si>
    <t>Родин Андрей</t>
  </si>
  <si>
    <t>Открытая (02.09.1971)/50</t>
  </si>
  <si>
    <t>71,5</t>
  </si>
  <si>
    <t>Аюпов Арсен</t>
  </si>
  <si>
    <t>Литвинов Вадим</t>
  </si>
  <si>
    <t xml:space="preserve">Агапов Д. </t>
  </si>
  <si>
    <t>Пенько Константин</t>
  </si>
  <si>
    <t>Тишков Николай</t>
  </si>
  <si>
    <t>Адар Дэниз</t>
  </si>
  <si>
    <t>70,5</t>
  </si>
  <si>
    <t>Старовыборный Антон</t>
  </si>
  <si>
    <t xml:space="preserve">Березников А. </t>
  </si>
  <si>
    <t>Сергеев Андрей</t>
  </si>
  <si>
    <t>Открытая (25.09.1993)/28</t>
  </si>
  <si>
    <t>Shukurov Sanan</t>
  </si>
  <si>
    <t>Открытая (01.08.1989)/32</t>
  </si>
  <si>
    <t>Савостин Александр</t>
  </si>
  <si>
    <t>Открытая (08.09.1995)/26</t>
  </si>
  <si>
    <t>86,50</t>
  </si>
  <si>
    <t>Березовский Степан</t>
  </si>
  <si>
    <t>Открытая (26.08.1988)/33</t>
  </si>
  <si>
    <t>Трускало Алексей</t>
  </si>
  <si>
    <t>Открытая (15.12.1993)/28</t>
  </si>
  <si>
    <t>Мельяновский Александр</t>
  </si>
  <si>
    <t>80,5</t>
  </si>
  <si>
    <t>Смирнов Леонид</t>
  </si>
  <si>
    <t>Мастера 60+ (26.09.1957)/64</t>
  </si>
  <si>
    <t>Лятамбург Тимур</t>
  </si>
  <si>
    <t>Медведев Данила</t>
  </si>
  <si>
    <t>Абдуллин Марат</t>
  </si>
  <si>
    <t>Открытая (21.07.1985)/36</t>
  </si>
  <si>
    <t>Чибисов Степан</t>
  </si>
  <si>
    <t>Открытая (06.03.1989)/32</t>
  </si>
  <si>
    <t>Мусаев Аюб</t>
  </si>
  <si>
    <t>Открытая (01.09.1986)/35</t>
  </si>
  <si>
    <t>Волохо Андрей</t>
  </si>
  <si>
    <t xml:space="preserve">Шерман Д. </t>
  </si>
  <si>
    <t>Хизриев Махтимагомед</t>
  </si>
  <si>
    <t xml:space="preserve">Коробов И. </t>
  </si>
  <si>
    <t>Шмаков Сергей</t>
  </si>
  <si>
    <t>90,60</t>
  </si>
  <si>
    <t>Тагиев Низами</t>
  </si>
  <si>
    <t>Открытая (05.04.1991)/30</t>
  </si>
  <si>
    <t>103,60</t>
  </si>
  <si>
    <t>Захаров Федор</t>
  </si>
  <si>
    <t>Открытая (14.01.1976)/45</t>
  </si>
  <si>
    <t>102,30</t>
  </si>
  <si>
    <t>Мустапаев Хасан</t>
  </si>
  <si>
    <t>86,0</t>
  </si>
  <si>
    <t xml:space="preserve">Огузова Л. </t>
  </si>
  <si>
    <t>Кушнир Владимир</t>
  </si>
  <si>
    <t>101,30</t>
  </si>
  <si>
    <t>106,00</t>
  </si>
  <si>
    <t>Николаев Кирилл</t>
  </si>
  <si>
    <t>Открытая (13.07.1980)/41</t>
  </si>
  <si>
    <t xml:space="preserve">Прохоренко А. </t>
  </si>
  <si>
    <t>Открытая (26.07.1983)/38</t>
  </si>
  <si>
    <t>137,70</t>
  </si>
  <si>
    <t>Открытая (18.02.1990)/31</t>
  </si>
  <si>
    <t>125,30</t>
  </si>
  <si>
    <t>41,8160</t>
  </si>
  <si>
    <t>41,3010</t>
  </si>
  <si>
    <t>39,4785</t>
  </si>
  <si>
    <t>49,5523</t>
  </si>
  <si>
    <t>45,1461</t>
  </si>
  <si>
    <t>44,9625</t>
  </si>
  <si>
    <t>49,9670</t>
  </si>
  <si>
    <t>48,5100</t>
  </si>
  <si>
    <t>46,5075</t>
  </si>
  <si>
    <t>64,4100</t>
  </si>
  <si>
    <t>60,2018</t>
  </si>
  <si>
    <t>57,9556</t>
  </si>
  <si>
    <t>54,3430</t>
  </si>
  <si>
    <t>51,4655</t>
  </si>
  <si>
    <t>51,4256</t>
  </si>
  <si>
    <t xml:space="preserve">Акимов Д. </t>
  </si>
  <si>
    <t>Новикова Лилия</t>
  </si>
  <si>
    <t>Мастера 50-59 (20.08.1964)/57</t>
  </si>
  <si>
    <t xml:space="preserve">Ковалёв С. </t>
  </si>
  <si>
    <t>Одинцова Любовь</t>
  </si>
  <si>
    <t>Мастера 60-69 (24.10.1960)/61</t>
  </si>
  <si>
    <t>Зайцева Таисья</t>
  </si>
  <si>
    <t>Мастера 70-79 (30.08.1947)/74</t>
  </si>
  <si>
    <t>78,30</t>
  </si>
  <si>
    <t>Маева Татьяна</t>
  </si>
  <si>
    <t>Мастера 60-69 (05.07.1958)/63</t>
  </si>
  <si>
    <t>88,0</t>
  </si>
  <si>
    <t xml:space="preserve">Ковалев С. </t>
  </si>
  <si>
    <t>Шишикин Владимир</t>
  </si>
  <si>
    <t>48,90</t>
  </si>
  <si>
    <t>Попов Антон</t>
  </si>
  <si>
    <t>Открытая (11.01.1989)/32</t>
  </si>
  <si>
    <t>Жирнов Никита</t>
  </si>
  <si>
    <t>135,5</t>
  </si>
  <si>
    <t xml:space="preserve">Кашицын Д. </t>
  </si>
  <si>
    <t>Илларионов Иван</t>
  </si>
  <si>
    <t>Открытая (09.03.2003)/18</t>
  </si>
  <si>
    <t>Пачин Алексей</t>
  </si>
  <si>
    <t>Мастера 40-49 (02.03.1979)/42</t>
  </si>
  <si>
    <t>69,60</t>
  </si>
  <si>
    <t>Аркадьев Анатолий</t>
  </si>
  <si>
    <t>Мастера 60-69 (17.08.1954)/67</t>
  </si>
  <si>
    <t>Леднев Александр</t>
  </si>
  <si>
    <t>Мастера 40-49 (02.05.1973)/48</t>
  </si>
  <si>
    <t>Гвоздев Георгий</t>
  </si>
  <si>
    <t>Мастера 60-69 (26.04.1959)/62</t>
  </si>
  <si>
    <t>117,0</t>
  </si>
  <si>
    <t>Аристов Олег</t>
  </si>
  <si>
    <t>Мастера 60-69 (08.03.1954)/67</t>
  </si>
  <si>
    <t>Кузнецов Владимир</t>
  </si>
  <si>
    <t>Мастера 70-79 (04.03.1945)/76</t>
  </si>
  <si>
    <t>93,40</t>
  </si>
  <si>
    <t>Ковалев Сергей</t>
  </si>
  <si>
    <t>Мастера 50-59 (22.05.1969)/52</t>
  </si>
  <si>
    <t>101,90</t>
  </si>
  <si>
    <t>Дробин Дмитрий</t>
  </si>
  <si>
    <t>Мастера 40-49 (13.06.1981)/40</t>
  </si>
  <si>
    <t>138,00</t>
  </si>
  <si>
    <t>104,3323</t>
  </si>
  <si>
    <t>104,1737</t>
  </si>
  <si>
    <t>100,9724</t>
  </si>
  <si>
    <t xml:space="preserve">Григорьев В. </t>
  </si>
  <si>
    <t xml:space="preserve">Бардин В. </t>
  </si>
  <si>
    <t>Весовая категория</t>
  </si>
  <si>
    <t xml:space="preserve">Похватько Р. </t>
  </si>
  <si>
    <t>Юниоры 20-23 (24.03.1999)/22</t>
  </si>
  <si>
    <t>Юноши 13-19 (09.03.2003)/18</t>
  </si>
  <si>
    <t>Юноши 13-19 (11.09.2002)/19</t>
  </si>
  <si>
    <t xml:space="preserve">Юноши 13-19 </t>
  </si>
  <si>
    <t xml:space="preserve">Юниоры 20-23 </t>
  </si>
  <si>
    <t>Девушки 13-19 (28.04.2012)/9</t>
  </si>
  <si>
    <t>Юноши 13-19 (01.12.2004)/17</t>
  </si>
  <si>
    <t>Мастера 50-59 (26.07.1965)/56</t>
  </si>
  <si>
    <t>Мастера 40-49 (22.03.1977)/44</t>
  </si>
  <si>
    <t>Девушки 13-19 (24.02.2003)/18</t>
  </si>
  <si>
    <t>Девушки 13-19 (17.05.2005)/16</t>
  </si>
  <si>
    <t>Девушки 13-19 (23.08.2003)/18</t>
  </si>
  <si>
    <t>Девушки 13-19 (06.01.2004)/17</t>
  </si>
  <si>
    <t>Мастера 40-49 (09.01.1981)/40</t>
  </si>
  <si>
    <t>Юноши 13-19 (14.06.2011)/10</t>
  </si>
  <si>
    <t>Юниоры 20-23 (17.11.1999)/22</t>
  </si>
  <si>
    <t>Юноши 13-19 (30.09.2002)/19</t>
  </si>
  <si>
    <t>Юноши 13-19 (28.08.2004)/17</t>
  </si>
  <si>
    <t>Мастера 40-49 (29.05.1975)/46</t>
  </si>
  <si>
    <t>Юноши 13-19 (23.05.2005)/16</t>
  </si>
  <si>
    <t>Юноши 13-19 (10.09.2004)/17</t>
  </si>
  <si>
    <t>Юниоры 20-23 (28.02.2001)/20</t>
  </si>
  <si>
    <t>Мастера 40-49 (10.09.1978)/43</t>
  </si>
  <si>
    <t>Мастера 50-59 (25.02.1967)/54</t>
  </si>
  <si>
    <t>Юноши 13-19 (12.08.2003)/18</t>
  </si>
  <si>
    <t>Юноши 13-19 (28.09.2002)/19</t>
  </si>
  <si>
    <t>Юниоры 20-23 (29.05.1999)/22</t>
  </si>
  <si>
    <t>Мастера 40-49 (27.02.1980)/41</t>
  </si>
  <si>
    <t>Мастера 40-49 (08.09.1974)/47</t>
  </si>
  <si>
    <t>Мастера 40-49 (08.03.1977)/44</t>
  </si>
  <si>
    <t>Мастера 50-59 (30.05.1968)/53</t>
  </si>
  <si>
    <t>Мастера 50-59 (25.09.1971)/50</t>
  </si>
  <si>
    <t>Юноши 13-19 (26.11.2003)/18</t>
  </si>
  <si>
    <t>Юноши 13-19 (29.08.2002)/19</t>
  </si>
  <si>
    <t>Юноши 13-19 (11.04.2003)/18</t>
  </si>
  <si>
    <t>Юниоры 20-23 (30.12.1999)/21</t>
  </si>
  <si>
    <t>Мастера 40-49 (20.12.1980)/40</t>
  </si>
  <si>
    <t>Мастера 40-49 (01.07.1974)/47</t>
  </si>
  <si>
    <t>Мастера 50-59 (02.09.1971)/50</t>
  </si>
  <si>
    <t>Мастера 50-59 (10.05.1962)/59</t>
  </si>
  <si>
    <t>Юноши 13-19 (22.12.2003)/17</t>
  </si>
  <si>
    <t>Юноши 13-19 (21.04.2004)/17</t>
  </si>
  <si>
    <t>Юниоры 20-23 (06.10.1998)/23</t>
  </si>
  <si>
    <t>Юниоры 20-23 (04.06.1999)/22</t>
  </si>
  <si>
    <t>Юниоры 20-23 (08.01.1999)/22</t>
  </si>
  <si>
    <t>Мастера 40-49 (05.04.1978)/43</t>
  </si>
  <si>
    <t>Юниоры 20-23 (26.02.1998)/23</t>
  </si>
  <si>
    <t>Юниоры 20-23 (13.05.1998)/23</t>
  </si>
  <si>
    <t>Юниоры 20-23 (26.03.2001)/20</t>
  </si>
  <si>
    <t>Мастера 40-49 (06.07.1975)/46</t>
  </si>
  <si>
    <t>Мастера 40-49 (10.03.1973)/48</t>
  </si>
  <si>
    <t>Мастера 50-59 (12.03.1965)/56</t>
  </si>
  <si>
    <t>Мастера 40-49 (01.01.1978)/43</t>
  </si>
  <si>
    <t>Мастера 40-49 (14.01.1976)/45</t>
  </si>
  <si>
    <t>Мастера 50-59 (05.06.1968)/53</t>
  </si>
  <si>
    <t>Мастера 40-49 (13.07.1980)/41</t>
  </si>
  <si>
    <t>VII Чемпионат мира
WRPF Жим лежа СФО
Москва, 16 декабря 2021 года</t>
  </si>
  <si>
    <t xml:space="preserve">Тропин Г. </t>
  </si>
  <si>
    <t>Страна/Город</t>
  </si>
  <si>
    <t>VII Чемпионат мира
WRPF Строгий подъем штанги на бицепс
Москва, 16-19 декабря 2021 года</t>
  </si>
  <si>
    <t>VII Чемпионат мира
WEPF любители Силовое двоеборье в экипировке
Москва, 16-19 декабря 2021 года</t>
  </si>
  <si>
    <t>VII Чемпионат мира
WRPF любители Силовое двоеборье без экипировки ДК
Москва, 16-19 декабря 2021 года</t>
  </si>
  <si>
    <t>VII Чемпионат мира
WRPF любители Силовое двоеборье без экипировки
Москва, 16-19 декабря 2021 года</t>
  </si>
  <si>
    <t>VII Чемпионат мира
WEPF любители Становая тяга в экипировке ДК
Москва, 16-19 декабря 2021 года</t>
  </si>
  <si>
    <t>VII Чемпионат мира
WEPF любители Становая тяга в экипировке
Москва, 16-19 декабря 2021 года</t>
  </si>
  <si>
    <t>VII Чемпионат мира
WRPF любители Становая тяга без экипировки ДК
Москва, 16-19 декабря 2021 года</t>
  </si>
  <si>
    <t>VII Чемпионат мира
WRPF любители Становая тяга без экипировки
Москва, 16-19 декабря 2021 года</t>
  </si>
  <si>
    <t>VII Чемпионат мира
WEPF любители Жим лежа в многослойной экипировке ДК
Москва, 16-19 декабря 2021 года</t>
  </si>
  <si>
    <t>VII Чемпионат мира
WEPF Жим лежа в многопетельной софт экипировке ДК
Москва, 16-19 декабря 2021 года</t>
  </si>
  <si>
    <t>VII Чемпионат мира
WEPF Жим лежа в многопетельной софт экипировке
Москва, 16-19 декабря 2021 года</t>
  </si>
  <si>
    <t>VII Чемпионат мира
WEPF любители Жим лежа в однослойной экипировке ДК
Москва, 16-19 декабря 2021 года</t>
  </si>
  <si>
    <t>VII Чемпионат мира
WEPF любители Жим лежа в однослойной экипировке
Москва, 16-19 декабря 2021 года</t>
  </si>
  <si>
    <t>VII Чемпионат мира
WEPF Жим лежа в однопетельной софт экипировке ДК
Москва, 16-19 декабря 2021 года</t>
  </si>
  <si>
    <t>VII Чемпионат мира
WRPF любители Жим лежа без экипировки ДК
Москва, 16-19 декабря 2021 года</t>
  </si>
  <si>
    <t>VII Чемпионат мира
WRPF любители Жим лежа без экипировки
Москва, 16-19 декабря 2021 года</t>
  </si>
  <si>
    <t>VII Чемпионат мира
WEPF Жим лежа в однопетельной софт экипировке
Москва, 16-19 декабря 2021 года</t>
  </si>
  <si>
    <t>VII Чемпионат мира
WRPF любители Пауэрлифтинг без экипировки ДК
Москва, 16-19 декабря 2021 года</t>
  </si>
  <si>
    <t>VII Чемпионат мира
WRPF любители Пауэрлифтинг без экипировки
Москва, 16-19 декабря 2021 года</t>
  </si>
  <si>
    <t>VII Чемпионат мира
WEPF любители Пауэрлифтинг в однослойной экипировке ДК
Москва, 16-19 декабря 2021 года</t>
  </si>
  <si>
    <t>VII Чемпионат мира
WRPF любители Пауэрлифтинг классический в бинтах ДК
Москва, 16-19 декабря 2021 года</t>
  </si>
  <si>
    <t>VII Чемпионат мира
WRPF любители Пауэрлифтинг классический в бинтах
Москва, 16-19 декабря 2021 года</t>
  </si>
  <si>
    <t xml:space="preserve">Кленин М. </t>
  </si>
  <si>
    <t xml:space="preserve">Андреев Е. </t>
  </si>
  <si>
    <t>Babak Maxim</t>
  </si>
  <si>
    <t>Khimchenko Danil</t>
  </si>
  <si>
    <t xml:space="preserve">Скаржинский И. </t>
  </si>
  <si>
    <t xml:space="preserve">Подошевкин Н. </t>
  </si>
  <si>
    <t xml:space="preserve">Дурандин С. </t>
  </si>
  <si>
    <t xml:space="preserve">Кок Д. </t>
  </si>
  <si>
    <t xml:space="preserve">Тукаев А. </t>
  </si>
  <si>
    <t xml:space="preserve">Симкин А. </t>
  </si>
  <si>
    <t>Krinitskaya Marya</t>
  </si>
  <si>
    <t>Nesterova Darya</t>
  </si>
  <si>
    <t>Manuk Alexandr</t>
  </si>
  <si>
    <t>Chebotar Dmitry</t>
  </si>
  <si>
    <t>Beloborodov Vitaly</t>
  </si>
  <si>
    <t>Pyatov Evgeny</t>
  </si>
  <si>
    <t xml:space="preserve">Sivokon A. </t>
  </si>
  <si>
    <t xml:space="preserve">Khimchenko A. </t>
  </si>
  <si>
    <t xml:space="preserve">Mazur V. </t>
  </si>
  <si>
    <t xml:space="preserve">Харина В. </t>
  </si>
  <si>
    <t xml:space="preserve">Макаричев С. </t>
  </si>
  <si>
    <t>Tray Olga</t>
  </si>
  <si>
    <t>Zhumaev Sirozhiddyn</t>
  </si>
  <si>
    <t>Sadykov Maksat</t>
  </si>
  <si>
    <t xml:space="preserve">Nazimov D. </t>
  </si>
  <si>
    <t xml:space="preserve">Лялин М. </t>
  </si>
  <si>
    <t>BLR/Береза</t>
  </si>
  <si>
    <t xml:space="preserve">Федорец О. </t>
  </si>
  <si>
    <t xml:space="preserve">Абрамов Н. </t>
  </si>
  <si>
    <t xml:space="preserve">Krastev E., Tsvetkov B. </t>
  </si>
  <si>
    <t xml:space="preserve">Маслов Н. </t>
  </si>
  <si>
    <t>Buben Alexandr</t>
  </si>
  <si>
    <t>Sharavdorj Altanbagana</t>
  </si>
  <si>
    <t xml:space="preserve">Strakhalis S. </t>
  </si>
  <si>
    <t xml:space="preserve">Gumbatov A. </t>
  </si>
  <si>
    <t xml:space="preserve">Антонова Ю. </t>
  </si>
  <si>
    <t>Mustafayev A.</t>
  </si>
  <si>
    <t>Verdyev H.</t>
  </si>
  <si>
    <t xml:space="preserve">Бунтов Д. </t>
  </si>
  <si>
    <t>Mamedova Elnara</t>
  </si>
  <si>
    <t>Sattorov Abdusattor</t>
  </si>
  <si>
    <t>Niyazaliev Roman</t>
  </si>
  <si>
    <t>Ganzha Alexey</t>
  </si>
  <si>
    <t>Semenyuk Alexandr</t>
  </si>
  <si>
    <t>Sheikin Alexey</t>
  </si>
  <si>
    <t>Amantai Hamza</t>
  </si>
  <si>
    <t>Tsvetkov Boris</t>
  </si>
  <si>
    <t>Stepanyuk Vladislav</t>
  </si>
  <si>
    <t>AliReza R.</t>
  </si>
  <si>
    <t xml:space="preserve">Shalokha A. </t>
  </si>
  <si>
    <t xml:space="preserve">Nasriddinov M. </t>
  </si>
  <si>
    <t xml:space="preserve">Iliin A. </t>
  </si>
  <si>
    <t xml:space="preserve">Тимофеев Д. </t>
  </si>
  <si>
    <t xml:space="preserve">Кравченко Е. </t>
  </si>
  <si>
    <t xml:space="preserve">Ржановский А. </t>
  </si>
  <si>
    <t xml:space="preserve">Боев В. </t>
  </si>
  <si>
    <t xml:space="preserve">Голубев Е. </t>
  </si>
  <si>
    <t xml:space="preserve">Костарев В. </t>
  </si>
  <si>
    <t xml:space="preserve">Петруньков Д. </t>
  </si>
  <si>
    <t xml:space="preserve">Клычев А. </t>
  </si>
  <si>
    <t xml:space="preserve">Давтян Д. </t>
  </si>
  <si>
    <t xml:space="preserve">Жужнев Ю. </t>
  </si>
  <si>
    <t xml:space="preserve">Петров С. </t>
  </si>
  <si>
    <t xml:space="preserve">Решетников А. </t>
  </si>
  <si>
    <t>Zemlyanskaya Anna</t>
  </si>
  <si>
    <t>Demendeev Pavel</t>
  </si>
  <si>
    <t>Shvets Ivan</t>
  </si>
  <si>
    <t>Rozhkov Mikhail</t>
  </si>
  <si>
    <t>Rakhmonov Ubaydullo</t>
  </si>
  <si>
    <t>Cheraev Ibrohimchon</t>
  </si>
  <si>
    <t>Hamroboev Aziz</t>
  </si>
  <si>
    <t>Bogdanovich Grigory</t>
  </si>
  <si>
    <t>Mehdiev Namik</t>
  </si>
  <si>
    <t>Suleimanov Raif</t>
  </si>
  <si>
    <t>Ziyodullaev Ulugbek</t>
  </si>
  <si>
    <t xml:space="preserve"> UZB/Uzun </t>
  </si>
  <si>
    <t xml:space="preserve">Verdiyev H. </t>
  </si>
  <si>
    <t xml:space="preserve">Телидис К. </t>
  </si>
  <si>
    <t>Jafarov Zaur</t>
  </si>
  <si>
    <t xml:space="preserve"> IRN/Tehran </t>
  </si>
  <si>
    <t>Majidi Bidlogy</t>
  </si>
  <si>
    <t>Khedari Hamed</t>
  </si>
  <si>
    <t>Solovey Alexey</t>
  </si>
  <si>
    <t>Ismailov Akshin</t>
  </si>
  <si>
    <t>Gadimli Turan</t>
  </si>
  <si>
    <t xml:space="preserve">Ismailov A. </t>
  </si>
  <si>
    <t>Jafarov N.</t>
  </si>
  <si>
    <t>Plisko Dmitry</t>
  </si>
  <si>
    <t>Gorbachevsky Victor</t>
  </si>
  <si>
    <t>Cheredin Vladimir</t>
  </si>
  <si>
    <t xml:space="preserve">Белянин Э. </t>
  </si>
  <si>
    <t xml:space="preserve">Чекренев А. </t>
  </si>
  <si>
    <t xml:space="preserve">Талаев К. </t>
  </si>
  <si>
    <t xml:space="preserve">Федин В. </t>
  </si>
  <si>
    <t xml:space="preserve">Кузнецов Е. </t>
  </si>
  <si>
    <t xml:space="preserve">Ефанов А. </t>
  </si>
  <si>
    <t xml:space="preserve">Лукинов Е. </t>
  </si>
  <si>
    <t xml:space="preserve">Мыцев И. </t>
  </si>
  <si>
    <t xml:space="preserve">Солнцев И. </t>
  </si>
  <si>
    <t xml:space="preserve">Бунтарева К. </t>
  </si>
  <si>
    <t xml:space="preserve">Велес Е. </t>
  </si>
  <si>
    <t xml:space="preserve">Орехов В. </t>
  </si>
  <si>
    <t xml:space="preserve">Абдурахманов З. </t>
  </si>
  <si>
    <t xml:space="preserve">Зайкин А., Кокляев М. </t>
  </si>
  <si>
    <t xml:space="preserve">Надин Е., Надин Д.  </t>
  </si>
  <si>
    <t xml:space="preserve">Желтенко Е. </t>
  </si>
  <si>
    <t xml:space="preserve">Кожедуб А. </t>
  </si>
  <si>
    <t xml:space="preserve">Сидоренко А. </t>
  </si>
  <si>
    <t xml:space="preserve">Чепец Ю. </t>
  </si>
  <si>
    <t xml:space="preserve">Калиниченко В. </t>
  </si>
  <si>
    <t xml:space="preserve">Коновалов С. </t>
  </si>
  <si>
    <t xml:space="preserve">Евдокимов И. </t>
  </si>
  <si>
    <t xml:space="preserve">Хупсароков А. </t>
  </si>
  <si>
    <t xml:space="preserve">Цой Ю. </t>
  </si>
  <si>
    <t xml:space="preserve">Корнилов А. </t>
  </si>
  <si>
    <t xml:space="preserve">Решетник К. </t>
  </si>
  <si>
    <t xml:space="preserve">Наумов А. </t>
  </si>
  <si>
    <t xml:space="preserve">Бородин А. </t>
  </si>
  <si>
    <t xml:space="preserve">Лазариди Г., Емельянов Н. </t>
  </si>
  <si>
    <t xml:space="preserve">Гречина И. </t>
  </si>
  <si>
    <t xml:space="preserve">Кондратенко Д. </t>
  </si>
  <si>
    <t>Polyakova Maria</t>
  </si>
  <si>
    <t>Kozlov Yuri</t>
  </si>
  <si>
    <t>Maltsev Igor</t>
  </si>
  <si>
    <t>Ismoilov Jovidon</t>
  </si>
  <si>
    <t>Gosman Dmitry</t>
  </si>
  <si>
    <t xml:space="preserve">Kravchenko A. </t>
  </si>
  <si>
    <t xml:space="preserve">Ilin A. </t>
  </si>
  <si>
    <t>Sapozhonkov A., Sarychev K.</t>
  </si>
  <si>
    <t>Maleeva Lubov</t>
  </si>
  <si>
    <t>Gadimly Turan</t>
  </si>
  <si>
    <t>Ryazantsev Denis</t>
  </si>
  <si>
    <t>Lygach Kirill</t>
  </si>
  <si>
    <t xml:space="preserve">Vinokurov D. </t>
  </si>
  <si>
    <t>Fattahipur Hamed</t>
  </si>
  <si>
    <t>Vinokurov Dmitry</t>
  </si>
  <si>
    <t>Stepanuk Vladislav</t>
  </si>
  <si>
    <t>Kurilenko Vladimir</t>
  </si>
  <si>
    <t xml:space="preserve">Stasevich A. </t>
  </si>
  <si>
    <t xml:space="preserve">Чадаев А. </t>
  </si>
  <si>
    <t xml:space="preserve">Погас М. </t>
  </si>
  <si>
    <t xml:space="preserve">Суриков Д. </t>
  </si>
  <si>
    <t xml:space="preserve">Ахмедов А. </t>
  </si>
  <si>
    <t xml:space="preserve">Кладовщикова С. </t>
  </si>
  <si>
    <t xml:space="preserve">Хованский Д. </t>
  </si>
  <si>
    <t xml:space="preserve">Александров А. </t>
  </si>
  <si>
    <t>Al Hijazin</t>
  </si>
  <si>
    <t xml:space="preserve">Качан С. </t>
  </si>
  <si>
    <t xml:space="preserve">Козлов А. </t>
  </si>
  <si>
    <t xml:space="preserve">Горбачёв Г. </t>
  </si>
  <si>
    <t xml:space="preserve">Смирнова Е. </t>
  </si>
  <si>
    <t xml:space="preserve">Пезиков И. </t>
  </si>
  <si>
    <t xml:space="preserve">Rashidi A. </t>
  </si>
  <si>
    <t xml:space="preserve">Самохвалов Д. </t>
  </si>
  <si>
    <t xml:space="preserve">Леонова А. </t>
  </si>
  <si>
    <t xml:space="preserve">Жабин С. </t>
  </si>
  <si>
    <t xml:space="preserve">Тхамитлоков К. </t>
  </si>
  <si>
    <t xml:space="preserve">Тушин А. </t>
  </si>
  <si>
    <t xml:space="preserve">Пивоваров Е. </t>
  </si>
  <si>
    <t xml:space="preserve">Майоров В. </t>
  </si>
  <si>
    <t xml:space="preserve">Ядрихинская М. </t>
  </si>
  <si>
    <t xml:space="preserve">Мацко И. </t>
  </si>
  <si>
    <t xml:space="preserve">Решетов А. </t>
  </si>
  <si>
    <t xml:space="preserve">Репин К. </t>
  </si>
  <si>
    <t xml:space="preserve">Дементьев А. </t>
  </si>
  <si>
    <t xml:space="preserve">Парфёнов Д. </t>
  </si>
  <si>
    <t>Юниоры (09.05.2000)/21</t>
  </si>
  <si>
    <t>Maleka Vladimir</t>
  </si>
  <si>
    <t xml:space="preserve">Agaev E. </t>
  </si>
  <si>
    <t xml:space="preserve">Анненков Э. </t>
  </si>
  <si>
    <t xml:space="preserve">Лубягин Д. </t>
  </si>
  <si>
    <t xml:space="preserve">Шишикин И. </t>
  </si>
  <si>
    <t xml:space="preserve">Рагимов Г. </t>
  </si>
  <si>
    <t xml:space="preserve">Коспаров В. </t>
  </si>
  <si>
    <t xml:space="preserve">Панферова М. </t>
  </si>
  <si>
    <t>Baltsuk Viacheslav</t>
  </si>
  <si>
    <t>Rybak Boris</t>
  </si>
  <si>
    <t xml:space="preserve">Кононов Д. </t>
  </si>
  <si>
    <t xml:space="preserve">Маренков Ю. </t>
  </si>
  <si>
    <t xml:space="preserve">Рогожкин Р. </t>
  </si>
  <si>
    <t xml:space="preserve">Tray Olga </t>
  </si>
  <si>
    <t>Zhumaev Sirozhiddin</t>
  </si>
  <si>
    <t>Bortnik Artem</t>
  </si>
  <si>
    <t>Khodko Anton</t>
  </si>
  <si>
    <t>Novogolub Oleg</t>
  </si>
  <si>
    <t>Samoyenko Dmitry</t>
  </si>
  <si>
    <t xml:space="preserve"> UZB/Термез</t>
  </si>
  <si>
    <t>Ermolenko Dmitry</t>
  </si>
  <si>
    <t>Rakhmonkulov K.</t>
  </si>
  <si>
    <t>Vinokurov D.</t>
  </si>
  <si>
    <t>Serikov N.</t>
  </si>
  <si>
    <t xml:space="preserve">Oleinik A. </t>
  </si>
  <si>
    <t xml:space="preserve">Verdyev H. </t>
  </si>
  <si>
    <t xml:space="preserve">Утёнышев Н. </t>
  </si>
  <si>
    <t>№</t>
  </si>
  <si>
    <t xml:space="preserve">Зеленоград </t>
  </si>
  <si>
    <t xml:space="preserve">Москва </t>
  </si>
  <si>
    <t xml:space="preserve">Нижний Новгород </t>
  </si>
  <si>
    <t xml:space="preserve">Тюмень </t>
  </si>
  <si>
    <t xml:space="preserve">Пермь </t>
  </si>
  <si>
    <t xml:space="preserve">Пенза </t>
  </si>
  <si>
    <t xml:space="preserve">Надым </t>
  </si>
  <si>
    <t xml:space="preserve">Энгельс </t>
  </si>
  <si>
    <t xml:space="preserve">Подольск </t>
  </si>
  <si>
    <t xml:space="preserve">Пушкино </t>
  </si>
  <si>
    <t xml:space="preserve">Оренбург </t>
  </si>
  <si>
    <t xml:space="preserve">Долгопрудный </t>
  </si>
  <si>
    <t xml:space="preserve">Хабаровск </t>
  </si>
  <si>
    <t xml:space="preserve">Лобня </t>
  </si>
  <si>
    <t xml:space="preserve">Мичуринск </t>
  </si>
  <si>
    <t xml:space="preserve">Санкт-Петербург </t>
  </si>
  <si>
    <t xml:space="preserve">Лабытнанги </t>
  </si>
  <si>
    <t xml:space="preserve">Норильск </t>
  </si>
  <si>
    <t xml:space="preserve">Новочеркасск </t>
  </si>
  <si>
    <t xml:space="preserve">Снежинск </t>
  </si>
  <si>
    <t xml:space="preserve">Брянск </t>
  </si>
  <si>
    <t xml:space="preserve">Саянск </t>
  </si>
  <si>
    <t xml:space="preserve">Ковылкино </t>
  </si>
  <si>
    <t xml:space="preserve">Казань </t>
  </si>
  <si>
    <t xml:space="preserve">Ковров </t>
  </si>
  <si>
    <t xml:space="preserve">Тверь </t>
  </si>
  <si>
    <t xml:space="preserve">Балахна </t>
  </si>
  <si>
    <t xml:space="preserve">Баксан </t>
  </si>
  <si>
    <t xml:space="preserve">Ставрополь </t>
  </si>
  <si>
    <t xml:space="preserve">Одинцово </t>
  </si>
  <si>
    <t xml:space="preserve">Мурманск </t>
  </si>
  <si>
    <t xml:space="preserve">Йошкар-Ола </t>
  </si>
  <si>
    <t xml:space="preserve">Александро-Невский </t>
  </si>
  <si>
    <t xml:space="preserve">Кингисепп </t>
  </si>
  <si>
    <t xml:space="preserve">Дербент </t>
  </si>
  <si>
    <t xml:space="preserve">Рязань </t>
  </si>
  <si>
    <t xml:space="preserve">Киров </t>
  </si>
  <si>
    <t xml:space="preserve">Нальчик </t>
  </si>
  <si>
    <t xml:space="preserve">Сочи </t>
  </si>
  <si>
    <t xml:space="preserve">Дмитриев </t>
  </si>
  <si>
    <t xml:space="preserve">Люберцы </t>
  </si>
  <si>
    <t xml:space="preserve">Набережные Челны </t>
  </si>
  <si>
    <t xml:space="preserve">Железнодорожный </t>
  </si>
  <si>
    <t xml:space="preserve">Обнинск </t>
  </si>
  <si>
    <t xml:space="preserve">Симферополь </t>
  </si>
  <si>
    <t xml:space="preserve">Керчь </t>
  </si>
  <si>
    <t xml:space="preserve">Красноярск </t>
  </si>
  <si>
    <t xml:space="preserve">Черноголовка </t>
  </si>
  <si>
    <t xml:space="preserve">Бор </t>
  </si>
  <si>
    <t xml:space="preserve">Иваново </t>
  </si>
  <si>
    <t xml:space="preserve">Южно-Сахалинск </t>
  </si>
  <si>
    <t xml:space="preserve">Сергиев Посад </t>
  </si>
  <si>
    <t xml:space="preserve">Астрахань </t>
  </si>
  <si>
    <t xml:space="preserve">Моздок </t>
  </si>
  <si>
    <t xml:space="preserve">Новосибирск </t>
  </si>
  <si>
    <t xml:space="preserve">Билибино </t>
  </si>
  <si>
    <t xml:space="preserve">Балашиха </t>
  </si>
  <si>
    <t xml:space="preserve">Кашин </t>
  </si>
  <si>
    <t xml:space="preserve">Санкт Петербург </t>
  </si>
  <si>
    <t xml:space="preserve">Воскресенск </t>
  </si>
  <si>
    <t xml:space="preserve">Славянск-на-Кубани </t>
  </si>
  <si>
    <t xml:space="preserve">Улан-Удэ </t>
  </si>
  <si>
    <t xml:space="preserve">Ефремов </t>
  </si>
  <si>
    <t xml:space="preserve">Саратов </t>
  </si>
  <si>
    <t xml:space="preserve">Ростов-на-Дону </t>
  </si>
  <si>
    <t xml:space="preserve">Армавир </t>
  </si>
  <si>
    <t xml:space="preserve">Протвино </t>
  </si>
  <si>
    <t xml:space="preserve">Ульяновск </t>
  </si>
  <si>
    <t xml:space="preserve">Петрозаводск </t>
  </si>
  <si>
    <t xml:space="preserve">Раменское </t>
  </si>
  <si>
    <t xml:space="preserve">Междуреченский </t>
  </si>
  <si>
    <t xml:space="preserve">Тула </t>
  </si>
  <si>
    <t xml:space="preserve">Находка </t>
  </si>
  <si>
    <t xml:space="preserve">Ярославль </t>
  </si>
  <si>
    <t xml:space="preserve">Махачкала </t>
  </si>
  <si>
    <t xml:space="preserve">Мытищи </t>
  </si>
  <si>
    <t xml:space="preserve">Барнаул </t>
  </si>
  <si>
    <t xml:space="preserve">Каменка </t>
  </si>
  <si>
    <t xml:space="preserve">Куровское </t>
  </si>
  <si>
    <t xml:space="preserve">Красногорск </t>
  </si>
  <si>
    <t xml:space="preserve">Радужный </t>
  </si>
  <si>
    <t xml:space="preserve">Фрязино </t>
  </si>
  <si>
    <t xml:space="preserve">Ангарск </t>
  </si>
  <si>
    <t xml:space="preserve">Самара </t>
  </si>
  <si>
    <t xml:space="preserve">Смоленск </t>
  </si>
  <si>
    <t xml:space="preserve">Терек </t>
  </si>
  <si>
    <t xml:space="preserve">Кострома </t>
  </si>
  <si>
    <t xml:space="preserve">Чита </t>
  </si>
  <si>
    <t xml:space="preserve">Лянтор </t>
  </si>
  <si>
    <t xml:space="preserve">Калининград </t>
  </si>
  <si>
    <t xml:space="preserve">Екатеринбург </t>
  </si>
  <si>
    <t xml:space="preserve">Зеленоградск </t>
  </si>
  <si>
    <t xml:space="preserve">Кизляр </t>
  </si>
  <si>
    <t xml:space="preserve">Волгоград </t>
  </si>
  <si>
    <t xml:space="preserve">Королёв </t>
  </si>
  <si>
    <t xml:space="preserve">Кубинка </t>
  </si>
  <si>
    <t xml:space="preserve">Усинск </t>
  </si>
  <si>
    <t xml:space="preserve">Бердск </t>
  </si>
  <si>
    <t xml:space="preserve">Костерёво </t>
  </si>
  <si>
    <t xml:space="preserve">Гусь-Хрустальный </t>
  </si>
  <si>
    <t xml:space="preserve">Дзержинск </t>
  </si>
  <si>
    <t xml:space="preserve">Ржев </t>
  </si>
  <si>
    <t xml:space="preserve">Владикавказ </t>
  </si>
  <si>
    <t xml:space="preserve">Липецк </t>
  </si>
  <si>
    <t xml:space="preserve">Аксай </t>
  </si>
  <si>
    <t xml:space="preserve">Курск </t>
  </si>
  <si>
    <t xml:space="preserve">Артём </t>
  </si>
  <si>
    <t xml:space="preserve">Фряново </t>
  </si>
  <si>
    <t xml:space="preserve">Тольятти </t>
  </si>
  <si>
    <t xml:space="preserve">Тамбов </t>
  </si>
  <si>
    <t xml:space="preserve">Ивантеевка </t>
  </si>
  <si>
    <t xml:space="preserve">Дмитров </t>
  </si>
  <si>
    <t xml:space="preserve">Томск </t>
  </si>
  <si>
    <t xml:space="preserve">Отрадный </t>
  </si>
  <si>
    <t xml:space="preserve">Гудермес </t>
  </si>
  <si>
    <t xml:space="preserve">Благовещенск </t>
  </si>
  <si>
    <t xml:space="preserve">Зеленодольск </t>
  </si>
  <si>
    <t xml:space="preserve">Щёкино </t>
  </si>
  <si>
    <t xml:space="preserve">Реутов </t>
  </si>
  <si>
    <t xml:space="preserve">Ногинск </t>
  </si>
  <si>
    <t xml:space="preserve">Алтайское </t>
  </si>
  <si>
    <t xml:space="preserve">Сибай </t>
  </si>
  <si>
    <t xml:space="preserve">Владивосток </t>
  </si>
  <si>
    <t xml:space="preserve">Малаховка </t>
  </si>
  <si>
    <t xml:space="preserve">Калуга </t>
  </si>
  <si>
    <t xml:space="preserve">Губкин </t>
  </si>
  <si>
    <t xml:space="preserve">Коломна </t>
  </si>
  <si>
    <t xml:space="preserve">Острогожск </t>
  </si>
  <si>
    <t xml:space="preserve">Светлый Яр </t>
  </si>
  <si>
    <t xml:space="preserve">Электросталь </t>
  </si>
  <si>
    <t xml:space="preserve">Варениковская </t>
  </si>
  <si>
    <t xml:space="preserve">Белгород </t>
  </si>
  <si>
    <t xml:space="preserve">Собинка </t>
  </si>
  <si>
    <t xml:space="preserve">Невинномысск </t>
  </si>
  <si>
    <t xml:space="preserve">Выборг </t>
  </si>
  <si>
    <t xml:space="preserve">Волгодонск </t>
  </si>
  <si>
    <t xml:space="preserve">Хотьково </t>
  </si>
  <si>
    <t xml:space="preserve">Ступино </t>
  </si>
  <si>
    <t xml:space="preserve">Воронеж </t>
  </si>
  <si>
    <t xml:space="preserve">Новый Уренгой </t>
  </si>
  <si>
    <t xml:space="preserve">Чехов </t>
  </si>
  <si>
    <t xml:space="preserve">Котельнич </t>
  </si>
  <si>
    <t xml:space="preserve">Алкадар </t>
  </si>
  <si>
    <t xml:space="preserve">Великие Луки </t>
  </si>
  <si>
    <t xml:space="preserve">Саранск </t>
  </si>
  <si>
    <t xml:space="preserve">станица Северская </t>
  </si>
  <si>
    <t xml:space="preserve">Биробиджан </t>
  </si>
  <si>
    <t xml:space="preserve">Меленки </t>
  </si>
  <si>
    <t xml:space="preserve">Грозный </t>
  </si>
  <si>
    <t xml:space="preserve">Химки </t>
  </si>
  <si>
    <t xml:space="preserve">Серпухов </t>
  </si>
  <si>
    <t xml:space="preserve">Сарапул </t>
  </si>
  <si>
    <t xml:space="preserve">Трубчевск </t>
  </si>
  <si>
    <t xml:space="preserve">Волжск </t>
  </si>
  <si>
    <t xml:space="preserve">Севастополь </t>
  </si>
  <si>
    <t xml:space="preserve">Талдом </t>
  </si>
  <si>
    <t xml:space="preserve">Жуковский </t>
  </si>
  <si>
    <t xml:space="preserve">Монино </t>
  </si>
  <si>
    <t xml:space="preserve">Сыктывкар </t>
  </si>
  <si>
    <t xml:space="preserve">Кимры </t>
  </si>
  <si>
    <t xml:space="preserve">Румянцево </t>
  </si>
  <si>
    <t xml:space="preserve">Большой Камень </t>
  </si>
  <si>
    <t xml:space="preserve">Тында </t>
  </si>
  <si>
    <t xml:space="preserve">Саров </t>
  </si>
  <si>
    <t xml:space="preserve">Майкоп </t>
  </si>
  <si>
    <t xml:space="preserve">Пятигорск </t>
  </si>
  <si>
    <t xml:space="preserve">Руза </t>
  </si>
  <si>
    <t xml:space="preserve">Московский </t>
  </si>
  <si>
    <t xml:space="preserve">Елец </t>
  </si>
  <si>
    <t xml:space="preserve">Орск </t>
  </si>
  <si>
    <t xml:space="preserve">Щёлково </t>
  </si>
  <si>
    <t xml:space="preserve">Шахты </t>
  </si>
  <si>
    <t xml:space="preserve">Перевоз </t>
  </si>
  <si>
    <t xml:space="preserve">Домодедово </t>
  </si>
  <si>
    <t xml:space="preserve">Бологое </t>
  </si>
  <si>
    <t xml:space="preserve">Перелюб </t>
  </si>
  <si>
    <t xml:space="preserve">Ухта </t>
  </si>
  <si>
    <t xml:space="preserve">Ишим </t>
  </si>
  <si>
    <t xml:space="preserve">Архангельск </t>
  </si>
  <si>
    <t xml:space="preserve">Нижний Тагил </t>
  </si>
  <si>
    <t xml:space="preserve">поселок Тельмана </t>
  </si>
  <si>
    <t xml:space="preserve">Красная Горбатка </t>
  </si>
  <si>
    <t xml:space="preserve">Лосино-Петровский </t>
  </si>
  <si>
    <t xml:space="preserve">Салават </t>
  </si>
  <si>
    <t xml:space="preserve">Димитровград </t>
  </si>
  <si>
    <t xml:space="preserve">Азов </t>
  </si>
  <si>
    <t xml:space="preserve">Чебоксары </t>
  </si>
  <si>
    <t xml:space="preserve">Белогорск </t>
  </si>
  <si>
    <t xml:space="preserve">Воткинск </t>
  </si>
  <si>
    <t xml:space="preserve">Анапа </t>
  </si>
  <si>
    <t xml:space="preserve">Климовск </t>
  </si>
  <si>
    <t xml:space="preserve">Всеволожск </t>
  </si>
  <si>
    <t xml:space="preserve">Северск </t>
  </si>
  <si>
    <t xml:space="preserve">Ясногорск </t>
  </si>
  <si>
    <t xml:space="preserve">Рузаевка </t>
  </si>
  <si>
    <t xml:space="preserve">Якутск </t>
  </si>
  <si>
    <t xml:space="preserve">Братск </t>
  </si>
  <si>
    <t xml:space="preserve">Унеча </t>
  </si>
  <si>
    <t xml:space="preserve">Донской </t>
  </si>
  <si>
    <t xml:space="preserve">Ярославский </t>
  </si>
  <si>
    <t xml:space="preserve">Глазов </t>
  </si>
  <si>
    <t xml:space="preserve">Вичуга </t>
  </si>
  <si>
    <t xml:space="preserve">Троицк </t>
  </si>
  <si>
    <t xml:space="preserve"> Орехово-Зуево</t>
  </si>
  <si>
    <t xml:space="preserve">Новокузнецк </t>
  </si>
  <si>
    <t>Магадан</t>
  </si>
  <si>
    <t xml:space="preserve">Новочебоксарск </t>
  </si>
  <si>
    <t xml:space="preserve">Дубна </t>
  </si>
  <si>
    <t xml:space="preserve">Бронницы </t>
  </si>
  <si>
    <t xml:space="preserve">Росляково </t>
  </si>
  <si>
    <t xml:space="preserve">Суворов </t>
  </si>
  <si>
    <t xml:space="preserve">поселок Палатка </t>
  </si>
  <si>
    <t xml:space="preserve">Новокуйбышевск </t>
  </si>
  <si>
    <t xml:space="preserve">Орёл </t>
  </si>
  <si>
    <t xml:space="preserve">Ливны </t>
  </si>
  <si>
    <t xml:space="preserve">Владимир </t>
  </si>
  <si>
    <t xml:space="preserve">Соликамск </t>
  </si>
  <si>
    <t xml:space="preserve">Кашира </t>
  </si>
  <si>
    <t xml:space="preserve">Чайковский </t>
  </si>
  <si>
    <t xml:space="preserve"> Лосино-Петровский </t>
  </si>
  <si>
    <t xml:space="preserve">Родники </t>
  </si>
  <si>
    <t xml:space="preserve">Муром </t>
  </si>
  <si>
    <t xml:space="preserve"> Вичуга </t>
  </si>
  <si>
    <t xml:space="preserve">Кохма </t>
  </si>
  <si>
    <t xml:space="preserve">Омск </t>
  </si>
  <si>
    <t xml:space="preserve">Сафоново </t>
  </si>
  <si>
    <t xml:space="preserve">Солнечногорск </t>
  </si>
  <si>
    <t xml:space="preserve">Амурск </t>
  </si>
  <si>
    <t xml:space="preserve">Клин </t>
  </si>
  <si>
    <t xml:space="preserve">Вязники </t>
  </si>
  <si>
    <t xml:space="preserve">Дзержинский </t>
  </si>
  <si>
    <t xml:space="preserve">Озёрск </t>
  </si>
  <si>
    <t xml:space="preserve">Намцы </t>
  </si>
  <si>
    <t xml:space="preserve">Беслан </t>
  </si>
  <si>
    <t xml:space="preserve">Иркутск </t>
  </si>
  <si>
    <t xml:space="preserve">Борисоглебск </t>
  </si>
  <si>
    <t xml:space="preserve"> Москва </t>
  </si>
  <si>
    <t xml:space="preserve">Гаджиево </t>
  </si>
  <si>
    <t xml:space="preserve">Судогда </t>
  </si>
  <si>
    <t xml:space="preserve">Горячий Ключ </t>
  </si>
  <si>
    <t>Жим</t>
  </si>
  <si>
    <t xml:space="preserve">
Дата рождения/Возраст</t>
  </si>
  <si>
    <t>Возрастная группа</t>
  </si>
  <si>
    <t>O</t>
  </si>
  <si>
    <t>T2</t>
  </si>
  <si>
    <t>M1</t>
  </si>
  <si>
    <t>J</t>
  </si>
  <si>
    <t>T1</t>
  </si>
  <si>
    <t>M2</t>
  </si>
  <si>
    <t>M3</t>
  </si>
  <si>
    <t>M4</t>
  </si>
  <si>
    <t>M5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</si>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</sst>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0" fillId="0" borderId="12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0" fillId="0" borderId="13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0" borderId="21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/>
    </xf>
    <xf numFmtId="49" fontId="1" fillId="0" borderId="23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 vertical="center"/>
    </xf>
    <xf numFmtId="49" fontId="1" fillId="2" borderId="24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1" xfId="0" applyNumberFormat="1" applyFont="1" applyFill="1" applyBorder="1" applyAlignment="1">
      <alignment horizontal="center" vertical="center"/>
    </xf>
    <xf numFmtId="49" fontId="0" fillId="0" borderId="23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165" fontId="1" fillId="0" borderId="22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U251"/>
  <sheetViews>
    <sheetView topLeftCell="A184" workbookViewId="0">
      <selection activeCell="E216" sqref="E216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4.5" style="5" bestFit="1" customWidth="1"/>
    <col min="7" max="9" width="5.5" style="6" customWidth="1"/>
    <col min="10" max="10" width="4.83203125" style="6" customWidth="1"/>
    <col min="11" max="18" width="5.5" style="6" customWidth="1"/>
    <col min="19" max="19" width="7.83203125" style="28" bestFit="1" customWidth="1"/>
    <col min="20" max="20" width="8.5" style="6" bestFit="1" customWidth="1"/>
    <col min="21" max="21" width="30.5" style="5" bestFit="1" customWidth="1"/>
    <col min="22" max="16384" width="9.1640625" style="3"/>
  </cols>
  <sheetData>
    <row r="1" spans="1:21" s="2" customFormat="1" ht="29" customHeight="1">
      <c r="A1" s="68" t="s">
        <v>3308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6</v>
      </c>
      <c r="H3" s="62"/>
      <c r="I3" s="62"/>
      <c r="J3" s="62"/>
      <c r="K3" s="62" t="s">
        <v>7</v>
      </c>
      <c r="L3" s="62"/>
      <c r="M3" s="62"/>
      <c r="N3" s="62"/>
      <c r="O3" s="62" t="s">
        <v>8</v>
      </c>
      <c r="P3" s="62"/>
      <c r="Q3" s="62"/>
      <c r="R3" s="62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851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10" t="s">
        <v>408</v>
      </c>
      <c r="B6" s="9" t="s">
        <v>852</v>
      </c>
      <c r="C6" s="9" t="s">
        <v>853</v>
      </c>
      <c r="D6" s="9" t="s">
        <v>854</v>
      </c>
      <c r="E6" s="9" t="s">
        <v>3751</v>
      </c>
      <c r="F6" s="9" t="s">
        <v>3508</v>
      </c>
      <c r="G6" s="23" t="s">
        <v>79</v>
      </c>
      <c r="H6" s="23" t="s">
        <v>451</v>
      </c>
      <c r="I6" s="23" t="s">
        <v>77</v>
      </c>
      <c r="J6" s="10"/>
      <c r="K6" s="23" t="s">
        <v>855</v>
      </c>
      <c r="L6" s="23" t="s">
        <v>13</v>
      </c>
      <c r="M6" s="22" t="s">
        <v>591</v>
      </c>
      <c r="N6" s="10"/>
      <c r="O6" s="22" t="s">
        <v>35</v>
      </c>
      <c r="P6" s="23" t="s">
        <v>35</v>
      </c>
      <c r="Q6" s="23" t="s">
        <v>46</v>
      </c>
      <c r="R6" s="23" t="s">
        <v>36</v>
      </c>
      <c r="S6" s="30" t="str">
        <f>"345,0"</f>
        <v>345,0</v>
      </c>
      <c r="T6" s="10" t="str">
        <f>"463,2660"</f>
        <v>463,2660</v>
      </c>
      <c r="U6" s="9" t="s">
        <v>856</v>
      </c>
    </row>
    <row r="7" spans="1:21">
      <c r="A7" s="12" t="s">
        <v>410</v>
      </c>
      <c r="B7" s="11" t="s">
        <v>857</v>
      </c>
      <c r="C7" s="11" t="s">
        <v>858</v>
      </c>
      <c r="D7" s="11" t="s">
        <v>859</v>
      </c>
      <c r="E7" s="11" t="s">
        <v>3751</v>
      </c>
      <c r="F7" s="11" t="s">
        <v>3509</v>
      </c>
      <c r="G7" s="24" t="s">
        <v>69</v>
      </c>
      <c r="H7" s="24" t="s">
        <v>39</v>
      </c>
      <c r="I7" s="25" t="s">
        <v>428</v>
      </c>
      <c r="J7" s="12"/>
      <c r="K7" s="24" t="s">
        <v>16</v>
      </c>
      <c r="L7" s="24" t="s">
        <v>440</v>
      </c>
      <c r="M7" s="24" t="s">
        <v>17</v>
      </c>
      <c r="N7" s="12"/>
      <c r="O7" s="25" t="s">
        <v>76</v>
      </c>
      <c r="P7" s="24" t="s">
        <v>77</v>
      </c>
      <c r="Q7" s="24" t="s">
        <v>132</v>
      </c>
      <c r="R7" s="12"/>
      <c r="S7" s="31" t="str">
        <f>"275,0"</f>
        <v>275,0</v>
      </c>
      <c r="T7" s="12" t="str">
        <f>"365,8875"</f>
        <v>365,8875</v>
      </c>
      <c r="U7" s="11" t="s">
        <v>860</v>
      </c>
    </row>
    <row r="8" spans="1:21">
      <c r="A8" s="14" t="s">
        <v>411</v>
      </c>
      <c r="B8" s="13" t="s">
        <v>861</v>
      </c>
      <c r="C8" s="13" t="s">
        <v>862</v>
      </c>
      <c r="D8" s="13" t="s">
        <v>863</v>
      </c>
      <c r="E8" s="13" t="s">
        <v>3751</v>
      </c>
      <c r="F8" s="13" t="s">
        <v>3509</v>
      </c>
      <c r="G8" s="26" t="s">
        <v>435</v>
      </c>
      <c r="H8" s="26" t="s">
        <v>38</v>
      </c>
      <c r="I8" s="26" t="s">
        <v>600</v>
      </c>
      <c r="J8" s="14"/>
      <c r="K8" s="26" t="s">
        <v>864</v>
      </c>
      <c r="L8" s="26" t="s">
        <v>51</v>
      </c>
      <c r="M8" s="27" t="s">
        <v>865</v>
      </c>
      <c r="N8" s="14"/>
      <c r="O8" s="26" t="s">
        <v>69</v>
      </c>
      <c r="P8" s="26" t="s">
        <v>39</v>
      </c>
      <c r="Q8" s="26" t="s">
        <v>54</v>
      </c>
      <c r="R8" s="14"/>
      <c r="S8" s="32" t="str">
        <f>"247,5"</f>
        <v>247,5</v>
      </c>
      <c r="T8" s="14" t="str">
        <f>"332,8628"</f>
        <v>332,8628</v>
      </c>
      <c r="U8" s="13" t="s">
        <v>3460</v>
      </c>
    </row>
    <row r="9" spans="1:21">
      <c r="B9" s="5" t="s">
        <v>409</v>
      </c>
    </row>
    <row r="10" spans="1:21" ht="16">
      <c r="A10" s="57" t="s">
        <v>9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1">
      <c r="A11" s="10" t="s">
        <v>408</v>
      </c>
      <c r="B11" s="9" t="s">
        <v>866</v>
      </c>
      <c r="C11" s="9" t="s">
        <v>867</v>
      </c>
      <c r="D11" s="9" t="s">
        <v>868</v>
      </c>
      <c r="E11" s="9" t="s">
        <v>3752</v>
      </c>
      <c r="F11" s="9" t="s">
        <v>3510</v>
      </c>
      <c r="G11" s="23" t="s">
        <v>18</v>
      </c>
      <c r="H11" s="22" t="s">
        <v>435</v>
      </c>
      <c r="I11" s="23" t="s">
        <v>435</v>
      </c>
      <c r="J11" s="10"/>
      <c r="K11" s="23" t="s">
        <v>869</v>
      </c>
      <c r="L11" s="23" t="s">
        <v>16</v>
      </c>
      <c r="M11" s="22" t="s">
        <v>440</v>
      </c>
      <c r="N11" s="10"/>
      <c r="O11" s="23" t="s">
        <v>38</v>
      </c>
      <c r="P11" s="22" t="s">
        <v>39</v>
      </c>
      <c r="Q11" s="22" t="s">
        <v>39</v>
      </c>
      <c r="R11" s="10"/>
      <c r="S11" s="30" t="str">
        <f>"215,0"</f>
        <v>215,0</v>
      </c>
      <c r="T11" s="10" t="str">
        <f>"269,2230"</f>
        <v>269,2230</v>
      </c>
      <c r="U11" s="9" t="s">
        <v>997</v>
      </c>
    </row>
    <row r="12" spans="1:21">
      <c r="A12" s="12" t="s">
        <v>408</v>
      </c>
      <c r="B12" s="11" t="s">
        <v>870</v>
      </c>
      <c r="C12" s="11" t="s">
        <v>871</v>
      </c>
      <c r="D12" s="11" t="s">
        <v>872</v>
      </c>
      <c r="E12" s="11" t="s">
        <v>3751</v>
      </c>
      <c r="F12" s="11" t="s">
        <v>3511</v>
      </c>
      <c r="G12" s="24" t="s">
        <v>54</v>
      </c>
      <c r="H12" s="24" t="s">
        <v>597</v>
      </c>
      <c r="I12" s="25" t="s">
        <v>78</v>
      </c>
      <c r="J12" s="12"/>
      <c r="K12" s="24" t="s">
        <v>622</v>
      </c>
      <c r="L12" s="24" t="s">
        <v>27</v>
      </c>
      <c r="M12" s="25" t="s">
        <v>18</v>
      </c>
      <c r="N12" s="12"/>
      <c r="O12" s="24" t="s">
        <v>78</v>
      </c>
      <c r="P12" s="24" t="s">
        <v>76</v>
      </c>
      <c r="Q12" s="25" t="s">
        <v>77</v>
      </c>
      <c r="R12" s="12"/>
      <c r="S12" s="31" t="str">
        <f>"310,0"</f>
        <v>310,0</v>
      </c>
      <c r="T12" s="12" t="str">
        <f>"386,4460"</f>
        <v>386,4460</v>
      </c>
      <c r="U12" s="11" t="s">
        <v>587</v>
      </c>
    </row>
    <row r="13" spans="1:21">
      <c r="A13" s="12" t="s">
        <v>410</v>
      </c>
      <c r="B13" s="11" t="s">
        <v>873</v>
      </c>
      <c r="C13" s="11" t="s">
        <v>422</v>
      </c>
      <c r="D13" s="11" t="s">
        <v>874</v>
      </c>
      <c r="E13" s="11" t="s">
        <v>3751</v>
      </c>
      <c r="F13" s="11" t="s">
        <v>3512</v>
      </c>
      <c r="G13" s="25" t="s">
        <v>106</v>
      </c>
      <c r="H13" s="25" t="s">
        <v>106</v>
      </c>
      <c r="I13" s="24" t="s">
        <v>106</v>
      </c>
      <c r="J13" s="12"/>
      <c r="K13" s="24" t="s">
        <v>53</v>
      </c>
      <c r="L13" s="24" t="s">
        <v>855</v>
      </c>
      <c r="M13" s="25" t="s">
        <v>13</v>
      </c>
      <c r="N13" s="12"/>
      <c r="O13" s="24" t="s">
        <v>78</v>
      </c>
      <c r="P13" s="24" t="s">
        <v>76</v>
      </c>
      <c r="Q13" s="24" t="s">
        <v>77</v>
      </c>
      <c r="R13" s="12"/>
      <c r="S13" s="31" t="str">
        <f>"297,5"</f>
        <v>297,5</v>
      </c>
      <c r="T13" s="12" t="str">
        <f>"371,9940"</f>
        <v>371,9940</v>
      </c>
      <c r="U13" s="11" t="s">
        <v>856</v>
      </c>
    </row>
    <row r="14" spans="1:21">
      <c r="A14" s="12" t="s">
        <v>411</v>
      </c>
      <c r="B14" s="11" t="s">
        <v>875</v>
      </c>
      <c r="C14" s="11" t="s">
        <v>876</v>
      </c>
      <c r="D14" s="11" t="s">
        <v>877</v>
      </c>
      <c r="E14" s="11" t="s">
        <v>3751</v>
      </c>
      <c r="F14" s="11" t="s">
        <v>3513</v>
      </c>
      <c r="G14" s="24" t="s">
        <v>435</v>
      </c>
      <c r="H14" s="24" t="s">
        <v>19</v>
      </c>
      <c r="I14" s="24" t="s">
        <v>38</v>
      </c>
      <c r="J14" s="12"/>
      <c r="K14" s="24" t="s">
        <v>51</v>
      </c>
      <c r="L14" s="25" t="s">
        <v>52</v>
      </c>
      <c r="M14" s="25" t="s">
        <v>52</v>
      </c>
      <c r="N14" s="12"/>
      <c r="O14" s="24" t="s">
        <v>106</v>
      </c>
      <c r="P14" s="24" t="s">
        <v>79</v>
      </c>
      <c r="Q14" s="25" t="s">
        <v>451</v>
      </c>
      <c r="R14" s="12"/>
      <c r="S14" s="31" t="str">
        <f>"257,5"</f>
        <v>257,5</v>
      </c>
      <c r="T14" s="12" t="str">
        <f>"326,8190"</f>
        <v>326,8190</v>
      </c>
      <c r="U14" s="11" t="s">
        <v>878</v>
      </c>
    </row>
    <row r="15" spans="1:21">
      <c r="A15" s="12" t="s">
        <v>413</v>
      </c>
      <c r="B15" s="11" t="s">
        <v>879</v>
      </c>
      <c r="C15" s="11" t="s">
        <v>880</v>
      </c>
      <c r="D15" s="11" t="s">
        <v>881</v>
      </c>
      <c r="E15" s="11" t="s">
        <v>3751</v>
      </c>
      <c r="F15" s="11" t="s">
        <v>3509</v>
      </c>
      <c r="G15" s="24" t="s">
        <v>18</v>
      </c>
      <c r="H15" s="25" t="s">
        <v>435</v>
      </c>
      <c r="I15" s="25" t="s">
        <v>435</v>
      </c>
      <c r="J15" s="12"/>
      <c r="K15" s="24" t="s">
        <v>440</v>
      </c>
      <c r="L15" s="25" t="s">
        <v>17</v>
      </c>
      <c r="M15" s="25" t="s">
        <v>17</v>
      </c>
      <c r="N15" s="12"/>
      <c r="O15" s="24" t="s">
        <v>600</v>
      </c>
      <c r="P15" s="25" t="s">
        <v>605</v>
      </c>
      <c r="Q15" s="25" t="s">
        <v>605</v>
      </c>
      <c r="R15" s="12"/>
      <c r="S15" s="31" t="str">
        <f>"215,0"</f>
        <v>215,0</v>
      </c>
      <c r="T15" s="12" t="str">
        <f>"272,4695"</f>
        <v>272,4695</v>
      </c>
      <c r="U15" s="11" t="s">
        <v>3461</v>
      </c>
    </row>
    <row r="16" spans="1:21">
      <c r="A16" s="12" t="s">
        <v>412</v>
      </c>
      <c r="B16" s="11" t="s">
        <v>882</v>
      </c>
      <c r="C16" s="11" t="s">
        <v>883</v>
      </c>
      <c r="D16" s="11" t="s">
        <v>12</v>
      </c>
      <c r="E16" s="11" t="s">
        <v>3751</v>
      </c>
      <c r="F16" s="11" t="s">
        <v>3514</v>
      </c>
      <c r="G16" s="25" t="s">
        <v>435</v>
      </c>
      <c r="H16" s="25" t="s">
        <v>38</v>
      </c>
      <c r="I16" s="25" t="s">
        <v>38</v>
      </c>
      <c r="J16" s="12"/>
      <c r="K16" s="25"/>
      <c r="L16" s="12"/>
      <c r="M16" s="12"/>
      <c r="N16" s="12"/>
      <c r="O16" s="25"/>
      <c r="P16" s="12"/>
      <c r="Q16" s="12"/>
      <c r="R16" s="12"/>
      <c r="S16" s="31">
        <v>0</v>
      </c>
      <c r="T16" s="12" t="str">
        <f>"0,0000"</f>
        <v>0,0000</v>
      </c>
      <c r="U16" s="11" t="s">
        <v>884</v>
      </c>
    </row>
    <row r="17" spans="1:21">
      <c r="A17" s="14" t="s">
        <v>412</v>
      </c>
      <c r="B17" s="13" t="s">
        <v>885</v>
      </c>
      <c r="C17" s="13" t="s">
        <v>886</v>
      </c>
      <c r="D17" s="13" t="s">
        <v>877</v>
      </c>
      <c r="E17" s="13" t="s">
        <v>3753</v>
      </c>
      <c r="F17" s="13" t="s">
        <v>3509</v>
      </c>
      <c r="G17" s="27" t="s">
        <v>13</v>
      </c>
      <c r="H17" s="27" t="s">
        <v>13</v>
      </c>
      <c r="I17" s="27" t="s">
        <v>13</v>
      </c>
      <c r="J17" s="14"/>
      <c r="K17" s="14"/>
      <c r="L17" s="14"/>
      <c r="M17" s="27"/>
      <c r="N17" s="14"/>
      <c r="O17" s="27"/>
      <c r="P17" s="14"/>
      <c r="Q17" s="14"/>
      <c r="R17" s="14"/>
      <c r="S17" s="32">
        <v>0</v>
      </c>
      <c r="T17" s="14" t="str">
        <f>"0,0000"</f>
        <v>0,0000</v>
      </c>
      <c r="U17" s="13"/>
    </row>
    <row r="18" spans="1:21">
      <c r="B18" s="5" t="s">
        <v>409</v>
      </c>
    </row>
    <row r="19" spans="1:21" ht="16">
      <c r="A19" s="57" t="s">
        <v>21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21">
      <c r="A20" s="10" t="s">
        <v>408</v>
      </c>
      <c r="B20" s="9" t="s">
        <v>887</v>
      </c>
      <c r="C20" s="9" t="s">
        <v>888</v>
      </c>
      <c r="D20" s="9" t="s">
        <v>420</v>
      </c>
      <c r="E20" s="9" t="s">
        <v>3754</v>
      </c>
      <c r="F20" s="9" t="s">
        <v>3509</v>
      </c>
      <c r="G20" s="23" t="s">
        <v>605</v>
      </c>
      <c r="H20" s="23" t="s">
        <v>54</v>
      </c>
      <c r="I20" s="23" t="s">
        <v>106</v>
      </c>
      <c r="J20" s="10"/>
      <c r="K20" s="23" t="s">
        <v>865</v>
      </c>
      <c r="L20" s="23" t="s">
        <v>889</v>
      </c>
      <c r="M20" s="22" t="s">
        <v>53</v>
      </c>
      <c r="N20" s="10"/>
      <c r="O20" s="22" t="s">
        <v>39</v>
      </c>
      <c r="P20" s="23" t="s">
        <v>39</v>
      </c>
      <c r="Q20" s="22" t="s">
        <v>78</v>
      </c>
      <c r="R20" s="10"/>
      <c r="S20" s="30" t="str">
        <f>"267,5"</f>
        <v>267,5</v>
      </c>
      <c r="T20" s="10" t="str">
        <f>"318,3250"</f>
        <v>318,3250</v>
      </c>
      <c r="U20" s="9" t="s">
        <v>314</v>
      </c>
    </row>
    <row r="21" spans="1:21">
      <c r="A21" s="12" t="s">
        <v>410</v>
      </c>
      <c r="B21" s="11" t="s">
        <v>890</v>
      </c>
      <c r="C21" s="11" t="s">
        <v>891</v>
      </c>
      <c r="D21" s="11" t="s">
        <v>892</v>
      </c>
      <c r="E21" s="11" t="s">
        <v>3754</v>
      </c>
      <c r="F21" s="11" t="s">
        <v>3515</v>
      </c>
      <c r="G21" s="24" t="s">
        <v>13</v>
      </c>
      <c r="H21" s="24" t="s">
        <v>14</v>
      </c>
      <c r="I21" s="24" t="s">
        <v>27</v>
      </c>
      <c r="J21" s="12"/>
      <c r="K21" s="24" t="s">
        <v>440</v>
      </c>
      <c r="L21" s="24" t="s">
        <v>864</v>
      </c>
      <c r="M21" s="24" t="s">
        <v>51</v>
      </c>
      <c r="N21" s="12"/>
      <c r="O21" s="24" t="s">
        <v>54</v>
      </c>
      <c r="P21" s="24" t="s">
        <v>597</v>
      </c>
      <c r="Q21" s="24" t="s">
        <v>76</v>
      </c>
      <c r="R21" s="12"/>
      <c r="S21" s="31" t="str">
        <f>"247,5"</f>
        <v>247,5</v>
      </c>
      <c r="T21" s="12" t="str">
        <f>"299,1780"</f>
        <v>299,1780</v>
      </c>
      <c r="U21" s="11" t="s">
        <v>3462</v>
      </c>
    </row>
    <row r="22" spans="1:21">
      <c r="A22" s="12" t="s">
        <v>408</v>
      </c>
      <c r="B22" s="11" t="s">
        <v>893</v>
      </c>
      <c r="C22" s="11" t="s">
        <v>894</v>
      </c>
      <c r="D22" s="11" t="s">
        <v>895</v>
      </c>
      <c r="E22" s="11" t="s">
        <v>3751</v>
      </c>
      <c r="F22" s="11" t="s">
        <v>3509</v>
      </c>
      <c r="G22" s="24" t="s">
        <v>428</v>
      </c>
      <c r="H22" s="24" t="s">
        <v>54</v>
      </c>
      <c r="I22" s="24" t="s">
        <v>106</v>
      </c>
      <c r="J22" s="12"/>
      <c r="K22" s="24" t="s">
        <v>13</v>
      </c>
      <c r="L22" s="25" t="s">
        <v>14</v>
      </c>
      <c r="M22" s="25" t="s">
        <v>14</v>
      </c>
      <c r="N22" s="12"/>
      <c r="O22" s="24" t="s">
        <v>36</v>
      </c>
      <c r="P22" s="25" t="s">
        <v>187</v>
      </c>
      <c r="Q22" s="25" t="s">
        <v>187</v>
      </c>
      <c r="R22" s="12"/>
      <c r="S22" s="31" t="str">
        <f>"335,0"</f>
        <v>335,0</v>
      </c>
      <c r="T22" s="12" t="str">
        <f>"400,3250"</f>
        <v>400,3250</v>
      </c>
      <c r="U22" s="11" t="s">
        <v>188</v>
      </c>
    </row>
    <row r="23" spans="1:21">
      <c r="A23" s="12" t="s">
        <v>410</v>
      </c>
      <c r="B23" s="11" t="s">
        <v>896</v>
      </c>
      <c r="C23" s="11" t="s">
        <v>897</v>
      </c>
      <c r="D23" s="11" t="s">
        <v>898</v>
      </c>
      <c r="E23" s="11" t="s">
        <v>3751</v>
      </c>
      <c r="F23" s="11" t="s">
        <v>3509</v>
      </c>
      <c r="G23" s="25" t="s">
        <v>69</v>
      </c>
      <c r="H23" s="24" t="s">
        <v>39</v>
      </c>
      <c r="I23" s="25" t="s">
        <v>586</v>
      </c>
      <c r="J23" s="12"/>
      <c r="K23" s="24" t="s">
        <v>855</v>
      </c>
      <c r="L23" s="24" t="s">
        <v>591</v>
      </c>
      <c r="M23" s="25" t="s">
        <v>14</v>
      </c>
      <c r="N23" s="12"/>
      <c r="O23" s="24" t="s">
        <v>77</v>
      </c>
      <c r="P23" s="24" t="s">
        <v>85</v>
      </c>
      <c r="Q23" s="25" t="s">
        <v>25</v>
      </c>
      <c r="R23" s="12"/>
      <c r="S23" s="31" t="str">
        <f>"302,5"</f>
        <v>302,5</v>
      </c>
      <c r="T23" s="12" t="str">
        <f>"360,4590"</f>
        <v>360,4590</v>
      </c>
      <c r="U23" s="11" t="s">
        <v>2809</v>
      </c>
    </row>
    <row r="24" spans="1:21">
      <c r="A24" s="12" t="s">
        <v>411</v>
      </c>
      <c r="B24" s="11" t="s">
        <v>899</v>
      </c>
      <c r="C24" s="11" t="s">
        <v>167</v>
      </c>
      <c r="D24" s="11" t="s">
        <v>24</v>
      </c>
      <c r="E24" s="11" t="s">
        <v>3751</v>
      </c>
      <c r="F24" s="11" t="s">
        <v>3516</v>
      </c>
      <c r="G24" s="24" t="s">
        <v>69</v>
      </c>
      <c r="H24" s="25" t="s">
        <v>54</v>
      </c>
      <c r="I24" s="25" t="s">
        <v>54</v>
      </c>
      <c r="J24" s="12"/>
      <c r="K24" s="24" t="s">
        <v>53</v>
      </c>
      <c r="L24" s="25" t="s">
        <v>13</v>
      </c>
      <c r="M24" s="25" t="s">
        <v>13</v>
      </c>
      <c r="N24" s="12"/>
      <c r="O24" s="24" t="s">
        <v>76</v>
      </c>
      <c r="P24" s="25" t="s">
        <v>84</v>
      </c>
      <c r="Q24" s="25" t="s">
        <v>84</v>
      </c>
      <c r="R24" s="12"/>
      <c r="S24" s="31" t="str">
        <f>"275,0"</f>
        <v>275,0</v>
      </c>
      <c r="T24" s="12" t="str">
        <f>"330,9900"</f>
        <v>330,9900</v>
      </c>
      <c r="U24" s="11"/>
    </row>
    <row r="25" spans="1:21">
      <c r="A25" s="12" t="s">
        <v>413</v>
      </c>
      <c r="B25" s="11" t="s">
        <v>900</v>
      </c>
      <c r="C25" s="11" t="s">
        <v>901</v>
      </c>
      <c r="D25" s="11" t="s">
        <v>420</v>
      </c>
      <c r="E25" s="11" t="s">
        <v>3751</v>
      </c>
      <c r="F25" s="11" t="s">
        <v>3517</v>
      </c>
      <c r="G25" s="24" t="s">
        <v>54</v>
      </c>
      <c r="H25" s="25" t="s">
        <v>106</v>
      </c>
      <c r="I25" s="25" t="s">
        <v>106</v>
      </c>
      <c r="J25" s="12"/>
      <c r="K25" s="24" t="s">
        <v>865</v>
      </c>
      <c r="L25" s="24" t="s">
        <v>52</v>
      </c>
      <c r="M25" s="24" t="s">
        <v>889</v>
      </c>
      <c r="N25" s="12"/>
      <c r="O25" s="25" t="s">
        <v>586</v>
      </c>
      <c r="P25" s="24" t="s">
        <v>586</v>
      </c>
      <c r="Q25" s="25" t="s">
        <v>78</v>
      </c>
      <c r="R25" s="12"/>
      <c r="S25" s="31" t="str">
        <f>"270,0"</f>
        <v>270,0</v>
      </c>
      <c r="T25" s="12" t="str">
        <f>"321,3000"</f>
        <v>321,3000</v>
      </c>
      <c r="U25" s="11"/>
    </row>
    <row r="26" spans="1:21">
      <c r="A26" s="12" t="s">
        <v>414</v>
      </c>
      <c r="B26" s="11" t="s">
        <v>902</v>
      </c>
      <c r="C26" s="11" t="s">
        <v>903</v>
      </c>
      <c r="D26" s="11" t="s">
        <v>590</v>
      </c>
      <c r="E26" s="11" t="s">
        <v>3751</v>
      </c>
      <c r="F26" s="11" t="s">
        <v>3509</v>
      </c>
      <c r="G26" s="24" t="s">
        <v>39</v>
      </c>
      <c r="H26" s="25" t="s">
        <v>428</v>
      </c>
      <c r="I26" s="24" t="s">
        <v>54</v>
      </c>
      <c r="J26" s="12"/>
      <c r="K26" s="24" t="s">
        <v>864</v>
      </c>
      <c r="L26" s="24" t="s">
        <v>51</v>
      </c>
      <c r="M26" s="25" t="s">
        <v>52</v>
      </c>
      <c r="N26" s="12"/>
      <c r="O26" s="24" t="s">
        <v>39</v>
      </c>
      <c r="P26" s="24" t="s">
        <v>54</v>
      </c>
      <c r="Q26" s="25" t="s">
        <v>106</v>
      </c>
      <c r="R26" s="12"/>
      <c r="S26" s="31" t="str">
        <f>"260,0"</f>
        <v>260,0</v>
      </c>
      <c r="T26" s="12" t="str">
        <f>"308,9580"</f>
        <v>308,9580</v>
      </c>
      <c r="U26" s="11" t="s">
        <v>3463</v>
      </c>
    </row>
    <row r="27" spans="1:21">
      <c r="A27" s="12" t="s">
        <v>415</v>
      </c>
      <c r="B27" s="11" t="s">
        <v>904</v>
      </c>
      <c r="C27" s="11" t="s">
        <v>905</v>
      </c>
      <c r="D27" s="11" t="s">
        <v>906</v>
      </c>
      <c r="E27" s="11" t="s">
        <v>3751</v>
      </c>
      <c r="F27" s="11" t="s">
        <v>3518</v>
      </c>
      <c r="G27" s="24" t="s">
        <v>15</v>
      </c>
      <c r="H27" s="24" t="s">
        <v>18</v>
      </c>
      <c r="I27" s="24" t="s">
        <v>435</v>
      </c>
      <c r="J27" s="12"/>
      <c r="K27" s="24" t="s">
        <v>16</v>
      </c>
      <c r="L27" s="24" t="s">
        <v>440</v>
      </c>
      <c r="M27" s="24" t="s">
        <v>17</v>
      </c>
      <c r="N27" s="12"/>
      <c r="O27" s="24" t="s">
        <v>435</v>
      </c>
      <c r="P27" s="24" t="s">
        <v>69</v>
      </c>
      <c r="Q27" s="24" t="s">
        <v>39</v>
      </c>
      <c r="R27" s="12"/>
      <c r="S27" s="31" t="str">
        <f>"230,0"</f>
        <v>230,0</v>
      </c>
      <c r="T27" s="12" t="str">
        <f>"284,6020"</f>
        <v>284,6020</v>
      </c>
      <c r="U27" s="11" t="s">
        <v>860</v>
      </c>
    </row>
    <row r="28" spans="1:21">
      <c r="A28" s="14" t="s">
        <v>416</v>
      </c>
      <c r="B28" s="13" t="s">
        <v>907</v>
      </c>
      <c r="C28" s="13" t="s">
        <v>908</v>
      </c>
      <c r="D28" s="13" t="s">
        <v>909</v>
      </c>
      <c r="E28" s="13" t="s">
        <v>3751</v>
      </c>
      <c r="F28" s="13" t="s">
        <v>3509</v>
      </c>
      <c r="G28" s="26" t="s">
        <v>27</v>
      </c>
      <c r="H28" s="26" t="s">
        <v>435</v>
      </c>
      <c r="I28" s="27" t="s">
        <v>38</v>
      </c>
      <c r="J28" s="14"/>
      <c r="K28" s="26" t="s">
        <v>865</v>
      </c>
      <c r="L28" s="26" t="s">
        <v>52</v>
      </c>
      <c r="M28" s="27" t="s">
        <v>889</v>
      </c>
      <c r="N28" s="14"/>
      <c r="O28" s="27" t="s">
        <v>19</v>
      </c>
      <c r="P28" s="26" t="s">
        <v>19</v>
      </c>
      <c r="Q28" s="26" t="s">
        <v>38</v>
      </c>
      <c r="R28" s="14"/>
      <c r="S28" s="32" t="str">
        <f>"230,0"</f>
        <v>230,0</v>
      </c>
      <c r="T28" s="14" t="str">
        <f>"275,6550"</f>
        <v>275,6550</v>
      </c>
      <c r="U28" s="13" t="s">
        <v>3464</v>
      </c>
    </row>
    <row r="29" spans="1:21">
      <c r="B29" s="5" t="s">
        <v>409</v>
      </c>
    </row>
    <row r="30" spans="1:21" ht="16">
      <c r="A30" s="57" t="s">
        <v>31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21">
      <c r="A31" s="10" t="s">
        <v>408</v>
      </c>
      <c r="B31" s="9" t="s">
        <v>910</v>
      </c>
      <c r="C31" s="9" t="s">
        <v>911</v>
      </c>
      <c r="D31" s="9" t="s">
        <v>912</v>
      </c>
      <c r="E31" s="9" t="s">
        <v>3755</v>
      </c>
      <c r="F31" s="9" t="s">
        <v>75</v>
      </c>
      <c r="G31" s="23" t="s">
        <v>913</v>
      </c>
      <c r="H31" s="23" t="s">
        <v>914</v>
      </c>
      <c r="I31" s="23" t="s">
        <v>915</v>
      </c>
      <c r="J31" s="10"/>
      <c r="K31" s="23" t="s">
        <v>913</v>
      </c>
      <c r="L31" s="22" t="s">
        <v>916</v>
      </c>
      <c r="M31" s="22" t="s">
        <v>916</v>
      </c>
      <c r="N31" s="10"/>
      <c r="O31" s="23" t="s">
        <v>51</v>
      </c>
      <c r="P31" s="23" t="s">
        <v>889</v>
      </c>
      <c r="Q31" s="23" t="s">
        <v>53</v>
      </c>
      <c r="R31" s="10"/>
      <c r="S31" s="30" t="str">
        <f>"112,5"</f>
        <v>112,5</v>
      </c>
      <c r="T31" s="10" t="str">
        <f>"130,5450"</f>
        <v>130,5450</v>
      </c>
      <c r="U31" s="9" t="s">
        <v>3465</v>
      </c>
    </row>
    <row r="32" spans="1:21">
      <c r="A32" s="12" t="s">
        <v>412</v>
      </c>
      <c r="B32" s="11" t="s">
        <v>917</v>
      </c>
      <c r="C32" s="11" t="s">
        <v>918</v>
      </c>
      <c r="D32" s="11" t="s">
        <v>919</v>
      </c>
      <c r="E32" s="11" t="s">
        <v>3752</v>
      </c>
      <c r="F32" s="11" t="s">
        <v>3509</v>
      </c>
      <c r="G32" s="25" t="s">
        <v>38</v>
      </c>
      <c r="H32" s="25" t="s">
        <v>38</v>
      </c>
      <c r="I32" s="25" t="s">
        <v>38</v>
      </c>
      <c r="J32" s="12"/>
      <c r="K32" s="25"/>
      <c r="L32" s="12"/>
      <c r="M32" s="12"/>
      <c r="N32" s="12"/>
      <c r="O32" s="25"/>
      <c r="P32" s="12"/>
      <c r="Q32" s="12"/>
      <c r="R32" s="12"/>
      <c r="S32" s="31">
        <v>0</v>
      </c>
      <c r="T32" s="12" t="str">
        <f>"0,0000"</f>
        <v>0,0000</v>
      </c>
      <c r="U32" s="11"/>
    </row>
    <row r="33" spans="1:21">
      <c r="A33" s="12" t="s">
        <v>408</v>
      </c>
      <c r="B33" s="11" t="s">
        <v>920</v>
      </c>
      <c r="C33" s="11" t="s">
        <v>921</v>
      </c>
      <c r="D33" s="11" t="s">
        <v>922</v>
      </c>
      <c r="E33" s="11" t="s">
        <v>3754</v>
      </c>
      <c r="F33" s="11" t="s">
        <v>3519</v>
      </c>
      <c r="G33" s="24" t="s">
        <v>106</v>
      </c>
      <c r="H33" s="25" t="s">
        <v>76</v>
      </c>
      <c r="I33" s="25" t="s">
        <v>76</v>
      </c>
      <c r="J33" s="12"/>
      <c r="K33" s="25" t="s">
        <v>855</v>
      </c>
      <c r="L33" s="24" t="s">
        <v>855</v>
      </c>
      <c r="M33" s="25" t="s">
        <v>13</v>
      </c>
      <c r="N33" s="12"/>
      <c r="O33" s="24" t="s">
        <v>132</v>
      </c>
      <c r="P33" s="24" t="s">
        <v>45</v>
      </c>
      <c r="Q33" s="25" t="s">
        <v>253</v>
      </c>
      <c r="R33" s="12"/>
      <c r="S33" s="31" t="str">
        <f>"312,5"</f>
        <v>312,5</v>
      </c>
      <c r="T33" s="12" t="str">
        <f>"350,2188"</f>
        <v>350,2188</v>
      </c>
      <c r="U33" s="11" t="s">
        <v>923</v>
      </c>
    </row>
    <row r="34" spans="1:21">
      <c r="A34" s="12" t="s">
        <v>408</v>
      </c>
      <c r="B34" s="11" t="s">
        <v>3377</v>
      </c>
      <c r="C34" s="11" t="s">
        <v>924</v>
      </c>
      <c r="D34" s="11" t="s">
        <v>925</v>
      </c>
      <c r="E34" s="11" t="s">
        <v>3751</v>
      </c>
      <c r="F34" s="11" t="s">
        <v>926</v>
      </c>
      <c r="G34" s="24" t="s">
        <v>77</v>
      </c>
      <c r="H34" s="24" t="s">
        <v>132</v>
      </c>
      <c r="I34" s="24" t="s">
        <v>85</v>
      </c>
      <c r="J34" s="12"/>
      <c r="K34" s="24" t="s">
        <v>15</v>
      </c>
      <c r="L34" s="24" t="s">
        <v>18</v>
      </c>
      <c r="M34" s="25" t="s">
        <v>435</v>
      </c>
      <c r="N34" s="12"/>
      <c r="O34" s="24" t="s">
        <v>494</v>
      </c>
      <c r="P34" s="24" t="s">
        <v>59</v>
      </c>
      <c r="Q34" s="25" t="s">
        <v>37</v>
      </c>
      <c r="R34" s="12"/>
      <c r="S34" s="31" t="str">
        <f>"380,0"</f>
        <v>380,0</v>
      </c>
      <c r="T34" s="12" t="str">
        <f>"432,6680"</f>
        <v>432,6680</v>
      </c>
      <c r="U34" s="11" t="s">
        <v>3362</v>
      </c>
    </row>
    <row r="35" spans="1:21">
      <c r="A35" s="12" t="s">
        <v>410</v>
      </c>
      <c r="B35" s="11" t="s">
        <v>927</v>
      </c>
      <c r="C35" s="11" t="s">
        <v>928</v>
      </c>
      <c r="D35" s="11" t="s">
        <v>50</v>
      </c>
      <c r="E35" s="11" t="s">
        <v>3751</v>
      </c>
      <c r="F35" s="11" t="s">
        <v>3511</v>
      </c>
      <c r="G35" s="24" t="s">
        <v>78</v>
      </c>
      <c r="H35" s="24" t="s">
        <v>76</v>
      </c>
      <c r="I35" s="24" t="s">
        <v>451</v>
      </c>
      <c r="J35" s="12"/>
      <c r="K35" s="24" t="s">
        <v>60</v>
      </c>
      <c r="L35" s="24" t="s">
        <v>435</v>
      </c>
      <c r="M35" s="25" t="s">
        <v>19</v>
      </c>
      <c r="N35" s="12"/>
      <c r="O35" s="24" t="s">
        <v>45</v>
      </c>
      <c r="P35" s="25" t="s">
        <v>253</v>
      </c>
      <c r="Q35" s="24" t="s">
        <v>35</v>
      </c>
      <c r="R35" s="12"/>
      <c r="S35" s="31" t="str">
        <f>"357,5"</f>
        <v>357,5</v>
      </c>
      <c r="T35" s="12" t="str">
        <f>"402,7595"</f>
        <v>402,7595</v>
      </c>
      <c r="U35" s="11" t="s">
        <v>587</v>
      </c>
    </row>
    <row r="36" spans="1:21">
      <c r="A36" s="12" t="s">
        <v>411</v>
      </c>
      <c r="B36" s="11" t="s">
        <v>929</v>
      </c>
      <c r="C36" s="11" t="s">
        <v>930</v>
      </c>
      <c r="D36" s="11" t="s">
        <v>460</v>
      </c>
      <c r="E36" s="11" t="s">
        <v>3751</v>
      </c>
      <c r="F36" s="11" t="s">
        <v>3511</v>
      </c>
      <c r="G36" s="24" t="s">
        <v>597</v>
      </c>
      <c r="H36" s="24" t="s">
        <v>76</v>
      </c>
      <c r="I36" s="25" t="s">
        <v>451</v>
      </c>
      <c r="J36" s="12"/>
      <c r="K36" s="25" t="s">
        <v>18</v>
      </c>
      <c r="L36" s="24" t="s">
        <v>18</v>
      </c>
      <c r="M36" s="25" t="s">
        <v>435</v>
      </c>
      <c r="N36" s="12"/>
      <c r="O36" s="25" t="s">
        <v>85</v>
      </c>
      <c r="P36" s="24" t="s">
        <v>85</v>
      </c>
      <c r="Q36" s="25" t="s">
        <v>25</v>
      </c>
      <c r="R36" s="12"/>
      <c r="S36" s="31" t="str">
        <f>"335,0"</f>
        <v>335,0</v>
      </c>
      <c r="T36" s="12" t="str">
        <f>"375,9035"</f>
        <v>375,9035</v>
      </c>
      <c r="U36" s="11" t="s">
        <v>587</v>
      </c>
    </row>
    <row r="37" spans="1:21">
      <c r="A37" s="12" t="s">
        <v>413</v>
      </c>
      <c r="B37" s="11" t="s">
        <v>931</v>
      </c>
      <c r="C37" s="11" t="s">
        <v>932</v>
      </c>
      <c r="D37" s="11" t="s">
        <v>933</v>
      </c>
      <c r="E37" s="11" t="s">
        <v>3751</v>
      </c>
      <c r="F37" s="11" t="s">
        <v>3509</v>
      </c>
      <c r="G37" s="24" t="s">
        <v>586</v>
      </c>
      <c r="H37" s="24" t="s">
        <v>78</v>
      </c>
      <c r="I37" s="24" t="s">
        <v>79</v>
      </c>
      <c r="J37" s="12"/>
      <c r="K37" s="24" t="s">
        <v>13</v>
      </c>
      <c r="L37" s="24" t="s">
        <v>591</v>
      </c>
      <c r="M37" s="25" t="s">
        <v>14</v>
      </c>
      <c r="N37" s="12"/>
      <c r="O37" s="24" t="s">
        <v>76</v>
      </c>
      <c r="P37" s="24" t="s">
        <v>132</v>
      </c>
      <c r="Q37" s="25" t="s">
        <v>521</v>
      </c>
      <c r="R37" s="12"/>
      <c r="S37" s="31" t="str">
        <f>"315,0"</f>
        <v>315,0</v>
      </c>
      <c r="T37" s="12" t="str">
        <f>"355,3515"</f>
        <v>355,3515</v>
      </c>
      <c r="U37" s="11" t="s">
        <v>228</v>
      </c>
    </row>
    <row r="38" spans="1:21">
      <c r="A38" s="12" t="s">
        <v>414</v>
      </c>
      <c r="B38" s="11" t="s">
        <v>934</v>
      </c>
      <c r="C38" s="11" t="s">
        <v>117</v>
      </c>
      <c r="D38" s="11" t="s">
        <v>935</v>
      </c>
      <c r="E38" s="11" t="s">
        <v>3751</v>
      </c>
      <c r="F38" s="11" t="s">
        <v>3520</v>
      </c>
      <c r="G38" s="25" t="s">
        <v>77</v>
      </c>
      <c r="H38" s="24" t="s">
        <v>77</v>
      </c>
      <c r="I38" s="25" t="s">
        <v>132</v>
      </c>
      <c r="J38" s="12"/>
      <c r="K38" s="24" t="s">
        <v>53</v>
      </c>
      <c r="L38" s="25" t="s">
        <v>13</v>
      </c>
      <c r="M38" s="24" t="s">
        <v>13</v>
      </c>
      <c r="N38" s="12"/>
      <c r="O38" s="24" t="s">
        <v>77</v>
      </c>
      <c r="P38" s="25" t="s">
        <v>85</v>
      </c>
      <c r="Q38" s="25" t="s">
        <v>85</v>
      </c>
      <c r="R38" s="12"/>
      <c r="S38" s="31" t="str">
        <f>"315,0"</f>
        <v>315,0</v>
      </c>
      <c r="T38" s="12" t="str">
        <f>"351,6345"</f>
        <v>351,6345</v>
      </c>
      <c r="U38" s="11"/>
    </row>
    <row r="39" spans="1:21">
      <c r="A39" s="12" t="s">
        <v>415</v>
      </c>
      <c r="B39" s="11" t="s">
        <v>936</v>
      </c>
      <c r="C39" s="11" t="s">
        <v>937</v>
      </c>
      <c r="D39" s="11" t="s">
        <v>938</v>
      </c>
      <c r="E39" s="11" t="s">
        <v>3751</v>
      </c>
      <c r="F39" s="11" t="s">
        <v>3521</v>
      </c>
      <c r="G39" s="24" t="s">
        <v>54</v>
      </c>
      <c r="H39" s="24" t="s">
        <v>106</v>
      </c>
      <c r="I39" s="24" t="s">
        <v>78</v>
      </c>
      <c r="J39" s="12"/>
      <c r="K39" s="24" t="s">
        <v>17</v>
      </c>
      <c r="L39" s="25" t="s">
        <v>51</v>
      </c>
      <c r="M39" s="24" t="s">
        <v>51</v>
      </c>
      <c r="N39" s="12"/>
      <c r="O39" s="24" t="s">
        <v>78</v>
      </c>
      <c r="P39" s="24" t="s">
        <v>451</v>
      </c>
      <c r="Q39" s="25" t="s">
        <v>132</v>
      </c>
      <c r="R39" s="12"/>
      <c r="S39" s="31" t="str">
        <f>"287,5"</f>
        <v>287,5</v>
      </c>
      <c r="T39" s="12" t="str">
        <f>"323,0350"</f>
        <v>323,0350</v>
      </c>
      <c r="U39" s="11" t="s">
        <v>939</v>
      </c>
    </row>
    <row r="40" spans="1:21">
      <c r="A40" s="12" t="s">
        <v>412</v>
      </c>
      <c r="B40" s="11" t="s">
        <v>940</v>
      </c>
      <c r="C40" s="11" t="s">
        <v>941</v>
      </c>
      <c r="D40" s="11" t="s">
        <v>942</v>
      </c>
      <c r="E40" s="11" t="s">
        <v>3751</v>
      </c>
      <c r="F40" s="11" t="s">
        <v>3509</v>
      </c>
      <c r="G40" s="25" t="s">
        <v>15</v>
      </c>
      <c r="H40" s="25" t="s">
        <v>15</v>
      </c>
      <c r="I40" s="25" t="s">
        <v>15</v>
      </c>
      <c r="J40" s="12"/>
      <c r="K40" s="12"/>
      <c r="L40" s="12"/>
      <c r="M40" s="12"/>
      <c r="N40" s="12"/>
      <c r="O40" s="12"/>
      <c r="P40" s="12"/>
      <c r="Q40" s="12"/>
      <c r="R40" s="12"/>
      <c r="S40" s="31">
        <v>0</v>
      </c>
      <c r="T40" s="12" t="str">
        <f>"0,0000"</f>
        <v>0,0000</v>
      </c>
      <c r="U40" s="11" t="s">
        <v>2967</v>
      </c>
    </row>
    <row r="41" spans="1:21">
      <c r="A41" s="12" t="s">
        <v>412</v>
      </c>
      <c r="B41" s="11" t="s">
        <v>943</v>
      </c>
      <c r="C41" s="11" t="s">
        <v>944</v>
      </c>
      <c r="D41" s="11" t="s">
        <v>34</v>
      </c>
      <c r="E41" s="11" t="s">
        <v>3751</v>
      </c>
      <c r="F41" s="11" t="s">
        <v>3522</v>
      </c>
      <c r="G41" s="25" t="s">
        <v>78</v>
      </c>
      <c r="H41" s="25" t="s">
        <v>78</v>
      </c>
      <c r="I41" s="25" t="s">
        <v>78</v>
      </c>
      <c r="J41" s="12"/>
      <c r="K41" s="12"/>
      <c r="L41" s="12"/>
      <c r="M41" s="25"/>
      <c r="N41" s="12"/>
      <c r="O41" s="12"/>
      <c r="P41" s="12"/>
      <c r="Q41" s="12"/>
      <c r="R41" s="12"/>
      <c r="S41" s="31">
        <v>0</v>
      </c>
      <c r="T41" s="12" t="str">
        <f>"0,0000"</f>
        <v>0,0000</v>
      </c>
      <c r="U41" s="11" t="s">
        <v>945</v>
      </c>
    </row>
    <row r="42" spans="1:21">
      <c r="A42" s="12" t="s">
        <v>408</v>
      </c>
      <c r="B42" s="11" t="s">
        <v>946</v>
      </c>
      <c r="C42" s="11" t="s">
        <v>947</v>
      </c>
      <c r="D42" s="11" t="s">
        <v>34</v>
      </c>
      <c r="E42" s="11" t="s">
        <v>3753</v>
      </c>
      <c r="F42" s="11" t="s">
        <v>3509</v>
      </c>
      <c r="G42" s="24" t="s">
        <v>69</v>
      </c>
      <c r="H42" s="24" t="s">
        <v>428</v>
      </c>
      <c r="I42" s="24" t="s">
        <v>106</v>
      </c>
      <c r="J42" s="12"/>
      <c r="K42" s="24" t="s">
        <v>865</v>
      </c>
      <c r="L42" s="24" t="s">
        <v>889</v>
      </c>
      <c r="M42" s="25" t="s">
        <v>53</v>
      </c>
      <c r="N42" s="12"/>
      <c r="O42" s="24" t="s">
        <v>78</v>
      </c>
      <c r="P42" s="24" t="s">
        <v>77</v>
      </c>
      <c r="Q42" s="25" t="s">
        <v>521</v>
      </c>
      <c r="R42" s="12"/>
      <c r="S42" s="31" t="str">
        <f>"292,5"</f>
        <v>292,5</v>
      </c>
      <c r="T42" s="12" t="str">
        <f>"330,6738"</f>
        <v>330,6738</v>
      </c>
      <c r="U42" s="11"/>
    </row>
    <row r="43" spans="1:21">
      <c r="A43" s="14" t="s">
        <v>412</v>
      </c>
      <c r="B43" s="13" t="s">
        <v>948</v>
      </c>
      <c r="C43" s="13" t="s">
        <v>949</v>
      </c>
      <c r="D43" s="13" t="s">
        <v>950</v>
      </c>
      <c r="E43" s="13" t="s">
        <v>3756</v>
      </c>
      <c r="F43" s="13" t="s">
        <v>3509</v>
      </c>
      <c r="G43" s="27" t="s">
        <v>18</v>
      </c>
      <c r="H43" s="27" t="s">
        <v>18</v>
      </c>
      <c r="I43" s="27" t="s">
        <v>18</v>
      </c>
      <c r="J43" s="14"/>
      <c r="K43" s="27"/>
      <c r="L43" s="14"/>
      <c r="M43" s="14"/>
      <c r="N43" s="14"/>
      <c r="O43" s="27"/>
      <c r="P43" s="14"/>
      <c r="Q43" s="14"/>
      <c r="R43" s="14"/>
      <c r="S43" s="32">
        <v>0</v>
      </c>
      <c r="T43" s="14" t="str">
        <f>"0,0000"</f>
        <v>0,0000</v>
      </c>
      <c r="U43" s="13" t="s">
        <v>3466</v>
      </c>
    </row>
    <row r="44" spans="1:21">
      <c r="B44" s="5" t="s">
        <v>409</v>
      </c>
    </row>
    <row r="45" spans="1:21" ht="16">
      <c r="A45" s="57" t="s">
        <v>55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21">
      <c r="A46" s="10" t="s">
        <v>408</v>
      </c>
      <c r="B46" s="9" t="s">
        <v>951</v>
      </c>
      <c r="C46" s="9" t="s">
        <v>952</v>
      </c>
      <c r="D46" s="9" t="s">
        <v>631</v>
      </c>
      <c r="E46" s="9" t="s">
        <v>3752</v>
      </c>
      <c r="F46" s="9" t="s">
        <v>3509</v>
      </c>
      <c r="G46" s="22" t="s">
        <v>591</v>
      </c>
      <c r="H46" s="23" t="s">
        <v>591</v>
      </c>
      <c r="I46" s="22" t="s">
        <v>14</v>
      </c>
      <c r="J46" s="10"/>
      <c r="K46" s="22" t="s">
        <v>440</v>
      </c>
      <c r="L46" s="23" t="s">
        <v>440</v>
      </c>
      <c r="M46" s="22" t="s">
        <v>17</v>
      </c>
      <c r="N46" s="10"/>
      <c r="O46" s="23" t="s">
        <v>435</v>
      </c>
      <c r="P46" s="23" t="s">
        <v>38</v>
      </c>
      <c r="Q46" s="23" t="s">
        <v>605</v>
      </c>
      <c r="R46" s="10"/>
      <c r="S46" s="30" t="str">
        <f>"207,5"</f>
        <v>207,5</v>
      </c>
      <c r="T46" s="10" t="str">
        <f>"215,2605"</f>
        <v>215,2605</v>
      </c>
      <c r="U46" s="9"/>
    </row>
    <row r="47" spans="1:21">
      <c r="A47" s="12" t="s">
        <v>412</v>
      </c>
      <c r="B47" s="11" t="s">
        <v>953</v>
      </c>
      <c r="C47" s="11" t="s">
        <v>954</v>
      </c>
      <c r="D47" s="11" t="s">
        <v>955</v>
      </c>
      <c r="E47" s="11" t="s">
        <v>3752</v>
      </c>
      <c r="F47" s="11" t="s">
        <v>3523</v>
      </c>
      <c r="G47" s="25" t="s">
        <v>76</v>
      </c>
      <c r="H47" s="24" t="s">
        <v>76</v>
      </c>
      <c r="I47" s="25" t="s">
        <v>77</v>
      </c>
      <c r="J47" s="12"/>
      <c r="K47" s="25" t="s">
        <v>14</v>
      </c>
      <c r="L47" s="25" t="s">
        <v>622</v>
      </c>
      <c r="M47" s="25" t="s">
        <v>622</v>
      </c>
      <c r="N47" s="12"/>
      <c r="O47" s="12"/>
      <c r="P47" s="12"/>
      <c r="Q47" s="12"/>
      <c r="R47" s="12"/>
      <c r="S47" s="31">
        <v>0</v>
      </c>
      <c r="T47" s="12" t="str">
        <f>"0,0000"</f>
        <v>0,0000</v>
      </c>
      <c r="U47" s="11" t="s">
        <v>3314</v>
      </c>
    </row>
    <row r="48" spans="1:21">
      <c r="A48" s="12" t="s">
        <v>408</v>
      </c>
      <c r="B48" s="11" t="s">
        <v>956</v>
      </c>
      <c r="C48" s="11" t="s">
        <v>957</v>
      </c>
      <c r="D48" s="11" t="s">
        <v>958</v>
      </c>
      <c r="E48" s="11" t="s">
        <v>3754</v>
      </c>
      <c r="F48" s="11" t="s">
        <v>3524</v>
      </c>
      <c r="G48" s="24" t="s">
        <v>69</v>
      </c>
      <c r="H48" s="24" t="s">
        <v>39</v>
      </c>
      <c r="I48" s="24" t="s">
        <v>54</v>
      </c>
      <c r="J48" s="12"/>
      <c r="K48" s="24" t="s">
        <v>855</v>
      </c>
      <c r="L48" s="24" t="s">
        <v>13</v>
      </c>
      <c r="M48" s="25" t="s">
        <v>591</v>
      </c>
      <c r="N48" s="12"/>
      <c r="O48" s="25" t="s">
        <v>132</v>
      </c>
      <c r="P48" s="24" t="s">
        <v>85</v>
      </c>
      <c r="Q48" s="24" t="s">
        <v>45</v>
      </c>
      <c r="R48" s="12"/>
      <c r="S48" s="31" t="str">
        <f>"310,0"</f>
        <v>310,0</v>
      </c>
      <c r="T48" s="12" t="str">
        <f>"320,1680"</f>
        <v>320,1680</v>
      </c>
      <c r="U48" s="11" t="s">
        <v>72</v>
      </c>
    </row>
    <row r="49" spans="1:21">
      <c r="A49" s="12" t="s">
        <v>412</v>
      </c>
      <c r="B49" s="11" t="s">
        <v>959</v>
      </c>
      <c r="C49" s="11" t="s">
        <v>960</v>
      </c>
      <c r="D49" s="11" t="s">
        <v>961</v>
      </c>
      <c r="E49" s="11" t="s">
        <v>3754</v>
      </c>
      <c r="F49" s="11" t="s">
        <v>3508</v>
      </c>
      <c r="G49" s="24" t="s">
        <v>132</v>
      </c>
      <c r="H49" s="24" t="s">
        <v>85</v>
      </c>
      <c r="I49" s="25" t="s">
        <v>45</v>
      </c>
      <c r="J49" s="12"/>
      <c r="K49" s="25" t="s">
        <v>38</v>
      </c>
      <c r="L49" s="25" t="s">
        <v>38</v>
      </c>
      <c r="M49" s="25" t="s">
        <v>38</v>
      </c>
      <c r="N49" s="12"/>
      <c r="O49" s="25"/>
      <c r="P49" s="12"/>
      <c r="Q49" s="12"/>
      <c r="R49" s="12"/>
      <c r="S49" s="31">
        <v>0</v>
      </c>
      <c r="T49" s="12" t="str">
        <f>"0,0000"</f>
        <v>0,0000</v>
      </c>
      <c r="U49" s="11" t="s">
        <v>72</v>
      </c>
    </row>
    <row r="50" spans="1:21">
      <c r="A50" s="12" t="s">
        <v>408</v>
      </c>
      <c r="B50" s="11" t="s">
        <v>962</v>
      </c>
      <c r="C50" s="11" t="s">
        <v>963</v>
      </c>
      <c r="D50" s="11" t="s">
        <v>964</v>
      </c>
      <c r="E50" s="11" t="s">
        <v>3751</v>
      </c>
      <c r="F50" s="11" t="s">
        <v>3525</v>
      </c>
      <c r="G50" s="24" t="s">
        <v>85</v>
      </c>
      <c r="H50" s="25" t="s">
        <v>25</v>
      </c>
      <c r="I50" s="24" t="s">
        <v>25</v>
      </c>
      <c r="J50" s="12"/>
      <c r="K50" s="24" t="s">
        <v>60</v>
      </c>
      <c r="L50" s="24" t="s">
        <v>19</v>
      </c>
      <c r="M50" s="24" t="s">
        <v>38</v>
      </c>
      <c r="N50" s="12"/>
      <c r="O50" s="24" t="s">
        <v>35</v>
      </c>
      <c r="P50" s="24" t="s">
        <v>36</v>
      </c>
      <c r="Q50" s="25" t="s">
        <v>37</v>
      </c>
      <c r="R50" s="12"/>
      <c r="S50" s="31" t="str">
        <f>"395,0"</f>
        <v>395,0</v>
      </c>
      <c r="T50" s="12" t="str">
        <f>"404,4405"</f>
        <v>404,4405</v>
      </c>
      <c r="U50" s="11" t="s">
        <v>965</v>
      </c>
    </row>
    <row r="51" spans="1:21">
      <c r="A51" s="12" t="s">
        <v>410</v>
      </c>
      <c r="B51" s="11" t="s">
        <v>966</v>
      </c>
      <c r="C51" s="11" t="s">
        <v>967</v>
      </c>
      <c r="D51" s="11" t="s">
        <v>968</v>
      </c>
      <c r="E51" s="11" t="s">
        <v>3751</v>
      </c>
      <c r="F51" s="11" t="s">
        <v>3509</v>
      </c>
      <c r="G51" s="24" t="s">
        <v>78</v>
      </c>
      <c r="H51" s="24" t="s">
        <v>132</v>
      </c>
      <c r="I51" s="24" t="s">
        <v>85</v>
      </c>
      <c r="J51" s="12"/>
      <c r="K51" s="24" t="s">
        <v>27</v>
      </c>
      <c r="L51" s="24" t="s">
        <v>60</v>
      </c>
      <c r="M51" s="24" t="s">
        <v>19</v>
      </c>
      <c r="N51" s="12"/>
      <c r="O51" s="24" t="s">
        <v>45</v>
      </c>
      <c r="P51" s="24" t="s">
        <v>253</v>
      </c>
      <c r="Q51" s="24" t="s">
        <v>494</v>
      </c>
      <c r="R51" s="12"/>
      <c r="S51" s="31" t="str">
        <f>"380,0"</f>
        <v>380,0</v>
      </c>
      <c r="T51" s="12" t="str">
        <f>"390,7540"</f>
        <v>390,7540</v>
      </c>
      <c r="U51" s="11"/>
    </row>
    <row r="52" spans="1:21">
      <c r="A52" s="12" t="s">
        <v>411</v>
      </c>
      <c r="B52" s="11" t="s">
        <v>969</v>
      </c>
      <c r="C52" s="11" t="s">
        <v>970</v>
      </c>
      <c r="D52" s="11" t="s">
        <v>971</v>
      </c>
      <c r="E52" s="11" t="s">
        <v>3751</v>
      </c>
      <c r="F52" s="11" t="s">
        <v>3526</v>
      </c>
      <c r="G52" s="24" t="s">
        <v>106</v>
      </c>
      <c r="H52" s="25" t="s">
        <v>76</v>
      </c>
      <c r="I52" s="25" t="s">
        <v>76</v>
      </c>
      <c r="J52" s="12"/>
      <c r="K52" s="24" t="s">
        <v>13</v>
      </c>
      <c r="L52" s="24" t="s">
        <v>14</v>
      </c>
      <c r="M52" s="25" t="s">
        <v>15</v>
      </c>
      <c r="N52" s="12"/>
      <c r="O52" s="24" t="s">
        <v>28</v>
      </c>
      <c r="P52" s="24" t="s">
        <v>29</v>
      </c>
      <c r="Q52" s="25" t="s">
        <v>70</v>
      </c>
      <c r="R52" s="12"/>
      <c r="S52" s="31" t="str">
        <f>"365,0"</f>
        <v>365,0</v>
      </c>
      <c r="T52" s="12" t="str">
        <f>"376,5705"</f>
        <v>376,5705</v>
      </c>
      <c r="U52" s="11" t="s">
        <v>424</v>
      </c>
    </row>
    <row r="53" spans="1:21">
      <c r="A53" s="12" t="s">
        <v>413</v>
      </c>
      <c r="B53" s="11" t="s">
        <v>972</v>
      </c>
      <c r="C53" s="11" t="s">
        <v>973</v>
      </c>
      <c r="D53" s="11" t="s">
        <v>974</v>
      </c>
      <c r="E53" s="11" t="s">
        <v>3751</v>
      </c>
      <c r="F53" s="11" t="s">
        <v>3527</v>
      </c>
      <c r="G53" s="25" t="s">
        <v>77</v>
      </c>
      <c r="H53" s="25" t="s">
        <v>132</v>
      </c>
      <c r="I53" s="24" t="s">
        <v>132</v>
      </c>
      <c r="J53" s="12"/>
      <c r="K53" s="25" t="s">
        <v>591</v>
      </c>
      <c r="L53" s="24" t="s">
        <v>591</v>
      </c>
      <c r="M53" s="25" t="s">
        <v>14</v>
      </c>
      <c r="N53" s="12"/>
      <c r="O53" s="24" t="s">
        <v>77</v>
      </c>
      <c r="P53" s="24" t="s">
        <v>85</v>
      </c>
      <c r="Q53" s="25" t="s">
        <v>248</v>
      </c>
      <c r="R53" s="12"/>
      <c r="S53" s="31" t="str">
        <f>"332,5"</f>
        <v>332,5</v>
      </c>
      <c r="T53" s="12" t="str">
        <f>"344,1707"</f>
        <v>344,1707</v>
      </c>
      <c r="U53" s="11"/>
    </row>
    <row r="54" spans="1:21">
      <c r="A54" s="12" t="s">
        <v>414</v>
      </c>
      <c r="B54" s="11" t="s">
        <v>975</v>
      </c>
      <c r="C54" s="11" t="s">
        <v>976</v>
      </c>
      <c r="D54" s="11" t="s">
        <v>977</v>
      </c>
      <c r="E54" s="11" t="s">
        <v>3751</v>
      </c>
      <c r="F54" s="11" t="s">
        <v>3528</v>
      </c>
      <c r="G54" s="24" t="s">
        <v>435</v>
      </c>
      <c r="H54" s="25" t="s">
        <v>69</v>
      </c>
      <c r="I54" s="24" t="s">
        <v>69</v>
      </c>
      <c r="J54" s="12"/>
      <c r="K54" s="25" t="s">
        <v>53</v>
      </c>
      <c r="L54" s="25" t="s">
        <v>855</v>
      </c>
      <c r="M54" s="24" t="s">
        <v>855</v>
      </c>
      <c r="N54" s="12"/>
      <c r="O54" s="24" t="s">
        <v>494</v>
      </c>
      <c r="P54" s="24" t="s">
        <v>187</v>
      </c>
      <c r="Q54" s="24" t="s">
        <v>226</v>
      </c>
      <c r="R54" s="12"/>
      <c r="S54" s="31" t="str">
        <f>"330,0"</f>
        <v>330,0</v>
      </c>
      <c r="T54" s="12" t="str">
        <f>"353,5620"</f>
        <v>353,5620</v>
      </c>
      <c r="U54" s="11" t="s">
        <v>192</v>
      </c>
    </row>
    <row r="55" spans="1:21">
      <c r="A55" s="12" t="s">
        <v>415</v>
      </c>
      <c r="B55" s="11" t="s">
        <v>978</v>
      </c>
      <c r="C55" s="11" t="s">
        <v>979</v>
      </c>
      <c r="D55" s="11" t="s">
        <v>81</v>
      </c>
      <c r="E55" s="11" t="s">
        <v>3751</v>
      </c>
      <c r="F55" s="11" t="s">
        <v>3509</v>
      </c>
      <c r="G55" s="24" t="s">
        <v>54</v>
      </c>
      <c r="H55" s="24" t="s">
        <v>106</v>
      </c>
      <c r="I55" s="24" t="s">
        <v>78</v>
      </c>
      <c r="J55" s="12"/>
      <c r="K55" s="24" t="s">
        <v>855</v>
      </c>
      <c r="L55" s="24" t="s">
        <v>13</v>
      </c>
      <c r="M55" s="24" t="s">
        <v>591</v>
      </c>
      <c r="N55" s="12"/>
      <c r="O55" s="24" t="s">
        <v>77</v>
      </c>
      <c r="P55" s="24" t="s">
        <v>85</v>
      </c>
      <c r="Q55" s="24" t="s">
        <v>248</v>
      </c>
      <c r="R55" s="12"/>
      <c r="S55" s="31" t="str">
        <f>"325,0"</f>
        <v>325,0</v>
      </c>
      <c r="T55" s="12" t="str">
        <f>"334,5550"</f>
        <v>334,5550</v>
      </c>
      <c r="U55" s="11" t="s">
        <v>980</v>
      </c>
    </row>
    <row r="56" spans="1:21">
      <c r="A56" s="12" t="s">
        <v>416</v>
      </c>
      <c r="B56" s="11" t="s">
        <v>981</v>
      </c>
      <c r="C56" s="11" t="s">
        <v>982</v>
      </c>
      <c r="D56" s="11" t="s">
        <v>961</v>
      </c>
      <c r="E56" s="11" t="s">
        <v>3751</v>
      </c>
      <c r="F56" s="11" t="s">
        <v>3529</v>
      </c>
      <c r="G56" s="24" t="s">
        <v>54</v>
      </c>
      <c r="H56" s="25" t="s">
        <v>78</v>
      </c>
      <c r="I56" s="25" t="s">
        <v>78</v>
      </c>
      <c r="J56" s="12"/>
      <c r="K56" s="24" t="s">
        <v>18</v>
      </c>
      <c r="L56" s="25" t="s">
        <v>435</v>
      </c>
      <c r="M56" s="25" t="s">
        <v>435</v>
      </c>
      <c r="N56" s="12"/>
      <c r="O56" s="24" t="s">
        <v>106</v>
      </c>
      <c r="P56" s="24" t="s">
        <v>76</v>
      </c>
      <c r="Q56" s="24" t="s">
        <v>132</v>
      </c>
      <c r="R56" s="12"/>
      <c r="S56" s="31" t="str">
        <f>"315,0"</f>
        <v>315,0</v>
      </c>
      <c r="T56" s="12" t="str">
        <f>"328,2300"</f>
        <v>328,2300</v>
      </c>
      <c r="U56" s="11" t="s">
        <v>983</v>
      </c>
    </row>
    <row r="57" spans="1:21">
      <c r="A57" s="12" t="s">
        <v>417</v>
      </c>
      <c r="B57" s="11" t="s">
        <v>984</v>
      </c>
      <c r="C57" s="11" t="s">
        <v>985</v>
      </c>
      <c r="D57" s="11" t="s">
        <v>450</v>
      </c>
      <c r="E57" s="11" t="s">
        <v>3751</v>
      </c>
      <c r="F57" s="11" t="s">
        <v>3509</v>
      </c>
      <c r="G57" s="24" t="s">
        <v>54</v>
      </c>
      <c r="H57" s="25" t="s">
        <v>106</v>
      </c>
      <c r="I57" s="25" t="s">
        <v>106</v>
      </c>
      <c r="J57" s="12"/>
      <c r="K57" s="24" t="s">
        <v>51</v>
      </c>
      <c r="L57" s="24" t="s">
        <v>52</v>
      </c>
      <c r="M57" s="25" t="s">
        <v>53</v>
      </c>
      <c r="N57" s="12"/>
      <c r="O57" s="24" t="s">
        <v>76</v>
      </c>
      <c r="P57" s="24" t="s">
        <v>132</v>
      </c>
      <c r="Q57" s="24" t="s">
        <v>45</v>
      </c>
      <c r="R57" s="12"/>
      <c r="S57" s="31" t="str">
        <f>"300,0"</f>
        <v>300,0</v>
      </c>
      <c r="T57" s="12" t="str">
        <f>"322,2000"</f>
        <v>322,2000</v>
      </c>
      <c r="U57" s="11" t="s">
        <v>3467</v>
      </c>
    </row>
    <row r="58" spans="1:21">
      <c r="A58" s="12" t="s">
        <v>1364</v>
      </c>
      <c r="B58" s="11" t="s">
        <v>986</v>
      </c>
      <c r="C58" s="11" t="s">
        <v>987</v>
      </c>
      <c r="D58" s="11" t="s">
        <v>971</v>
      </c>
      <c r="E58" s="11" t="s">
        <v>3751</v>
      </c>
      <c r="F58" s="11" t="s">
        <v>3509</v>
      </c>
      <c r="G58" s="24" t="s">
        <v>38</v>
      </c>
      <c r="H58" s="24" t="s">
        <v>39</v>
      </c>
      <c r="I58" s="24" t="s">
        <v>54</v>
      </c>
      <c r="J58" s="12"/>
      <c r="K58" s="24" t="s">
        <v>13</v>
      </c>
      <c r="L58" s="24" t="s">
        <v>14</v>
      </c>
      <c r="M58" s="25" t="s">
        <v>15</v>
      </c>
      <c r="N58" s="12"/>
      <c r="O58" s="24" t="s">
        <v>54</v>
      </c>
      <c r="P58" s="24" t="s">
        <v>78</v>
      </c>
      <c r="Q58" s="24" t="s">
        <v>76</v>
      </c>
      <c r="R58" s="12"/>
      <c r="S58" s="31" t="str">
        <f>"295,0"</f>
        <v>295,0</v>
      </c>
      <c r="T58" s="12" t="str">
        <f>"304,3515"</f>
        <v>304,3515</v>
      </c>
      <c r="U58" s="11" t="s">
        <v>3332</v>
      </c>
    </row>
    <row r="59" spans="1:21">
      <c r="A59" s="12" t="s">
        <v>1365</v>
      </c>
      <c r="B59" s="11" t="s">
        <v>988</v>
      </c>
      <c r="C59" s="11" t="s">
        <v>989</v>
      </c>
      <c r="D59" s="11" t="s">
        <v>990</v>
      </c>
      <c r="E59" s="11" t="s">
        <v>3751</v>
      </c>
      <c r="F59" s="11" t="s">
        <v>3530</v>
      </c>
      <c r="G59" s="24" t="s">
        <v>18</v>
      </c>
      <c r="H59" s="24" t="s">
        <v>435</v>
      </c>
      <c r="I59" s="24" t="s">
        <v>38</v>
      </c>
      <c r="J59" s="12"/>
      <c r="K59" s="24" t="s">
        <v>51</v>
      </c>
      <c r="L59" s="24" t="s">
        <v>52</v>
      </c>
      <c r="M59" s="25" t="s">
        <v>855</v>
      </c>
      <c r="N59" s="12"/>
      <c r="O59" s="24" t="s">
        <v>54</v>
      </c>
      <c r="P59" s="24" t="s">
        <v>78</v>
      </c>
      <c r="Q59" s="24" t="s">
        <v>451</v>
      </c>
      <c r="R59" s="12"/>
      <c r="S59" s="31" t="str">
        <f>"267,5"</f>
        <v>267,5</v>
      </c>
      <c r="T59" s="12" t="str">
        <f>"292,6182"</f>
        <v>292,6182</v>
      </c>
      <c r="U59" s="11" t="s">
        <v>860</v>
      </c>
    </row>
    <row r="60" spans="1:21">
      <c r="A60" s="12" t="s">
        <v>1366</v>
      </c>
      <c r="B60" s="11" t="s">
        <v>991</v>
      </c>
      <c r="C60" s="11" t="s">
        <v>992</v>
      </c>
      <c r="D60" s="11" t="s">
        <v>993</v>
      </c>
      <c r="E60" s="11" t="s">
        <v>3751</v>
      </c>
      <c r="F60" s="11" t="s">
        <v>3509</v>
      </c>
      <c r="G60" s="24" t="s">
        <v>15</v>
      </c>
      <c r="H60" s="24" t="s">
        <v>435</v>
      </c>
      <c r="I60" s="24" t="s">
        <v>600</v>
      </c>
      <c r="J60" s="12"/>
      <c r="K60" s="24" t="s">
        <v>864</v>
      </c>
      <c r="L60" s="25" t="s">
        <v>52</v>
      </c>
      <c r="M60" s="24" t="s">
        <v>53</v>
      </c>
      <c r="N60" s="12"/>
      <c r="O60" s="24" t="s">
        <v>435</v>
      </c>
      <c r="P60" s="24" t="s">
        <v>39</v>
      </c>
      <c r="Q60" s="24" t="s">
        <v>106</v>
      </c>
      <c r="R60" s="12"/>
      <c r="S60" s="31" t="str">
        <f>"262,5"</f>
        <v>262,5</v>
      </c>
      <c r="T60" s="12" t="str">
        <f>"278,9063"</f>
        <v>278,9063</v>
      </c>
      <c r="U60" s="11" t="s">
        <v>779</v>
      </c>
    </row>
    <row r="61" spans="1:21">
      <c r="A61" s="12" t="s">
        <v>1367</v>
      </c>
      <c r="B61" s="11" t="s">
        <v>994</v>
      </c>
      <c r="C61" s="11" t="s">
        <v>995</v>
      </c>
      <c r="D61" s="11" t="s">
        <v>996</v>
      </c>
      <c r="E61" s="11" t="s">
        <v>3751</v>
      </c>
      <c r="F61" s="11" t="s">
        <v>3510</v>
      </c>
      <c r="G61" s="25" t="s">
        <v>435</v>
      </c>
      <c r="H61" s="25" t="s">
        <v>435</v>
      </c>
      <c r="I61" s="24" t="s">
        <v>600</v>
      </c>
      <c r="J61" s="12"/>
      <c r="K61" s="24" t="s">
        <v>17</v>
      </c>
      <c r="L61" s="25" t="s">
        <v>51</v>
      </c>
      <c r="M61" s="24" t="s">
        <v>51</v>
      </c>
      <c r="N61" s="12"/>
      <c r="O61" s="24" t="s">
        <v>106</v>
      </c>
      <c r="P61" s="24" t="s">
        <v>76</v>
      </c>
      <c r="Q61" s="25" t="s">
        <v>451</v>
      </c>
      <c r="R61" s="12"/>
      <c r="S61" s="31" t="str">
        <f>"262,5"</f>
        <v>262,5</v>
      </c>
      <c r="T61" s="12" t="str">
        <f>"274,7588"</f>
        <v>274,7588</v>
      </c>
      <c r="U61" s="11" t="s">
        <v>997</v>
      </c>
    </row>
    <row r="62" spans="1:21">
      <c r="A62" s="12" t="s">
        <v>412</v>
      </c>
      <c r="B62" s="11" t="s">
        <v>998</v>
      </c>
      <c r="C62" s="11" t="s">
        <v>999</v>
      </c>
      <c r="D62" s="11" t="s">
        <v>450</v>
      </c>
      <c r="E62" s="11" t="s">
        <v>3751</v>
      </c>
      <c r="F62" s="11" t="s">
        <v>3509</v>
      </c>
      <c r="G62" s="25" t="s">
        <v>77</v>
      </c>
      <c r="H62" s="25" t="s">
        <v>77</v>
      </c>
      <c r="I62" s="25" t="s">
        <v>77</v>
      </c>
      <c r="J62" s="12"/>
      <c r="K62" s="25"/>
      <c r="L62" s="12"/>
      <c r="M62" s="12"/>
      <c r="N62" s="12"/>
      <c r="O62" s="25"/>
      <c r="P62" s="12"/>
      <c r="Q62" s="12"/>
      <c r="R62" s="12"/>
      <c r="S62" s="31">
        <v>0</v>
      </c>
      <c r="T62" s="12" t="str">
        <f>"0,0000"</f>
        <v>0,0000</v>
      </c>
      <c r="U62" s="11" t="s">
        <v>1000</v>
      </c>
    </row>
    <row r="63" spans="1:21">
      <c r="A63" s="14" t="s">
        <v>412</v>
      </c>
      <c r="B63" s="13" t="s">
        <v>1001</v>
      </c>
      <c r="C63" s="13" t="s">
        <v>455</v>
      </c>
      <c r="D63" s="13" t="s">
        <v>1002</v>
      </c>
      <c r="E63" s="11" t="s">
        <v>3751</v>
      </c>
      <c r="F63" s="13" t="s">
        <v>3509</v>
      </c>
      <c r="G63" s="27" t="s">
        <v>39</v>
      </c>
      <c r="H63" s="26" t="s">
        <v>39</v>
      </c>
      <c r="I63" s="27" t="s">
        <v>54</v>
      </c>
      <c r="J63" s="14"/>
      <c r="K63" s="27" t="s">
        <v>52</v>
      </c>
      <c r="L63" s="27" t="s">
        <v>52</v>
      </c>
      <c r="M63" s="27" t="s">
        <v>53</v>
      </c>
      <c r="N63" s="14"/>
      <c r="O63" s="27"/>
      <c r="P63" s="14"/>
      <c r="Q63" s="14"/>
      <c r="R63" s="14"/>
      <c r="S63" s="32">
        <v>0</v>
      </c>
      <c r="T63" s="14" t="str">
        <f>"0,0000"</f>
        <v>0,0000</v>
      </c>
      <c r="U63" s="13" t="s">
        <v>3468</v>
      </c>
    </row>
    <row r="64" spans="1:21">
      <c r="B64" s="5" t="s">
        <v>409</v>
      </c>
    </row>
    <row r="65" spans="1:21" ht="16">
      <c r="A65" s="57" t="s">
        <v>93</v>
      </c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</row>
    <row r="66" spans="1:21">
      <c r="A66" s="10" t="s">
        <v>408</v>
      </c>
      <c r="B66" s="9" t="s">
        <v>1003</v>
      </c>
      <c r="C66" s="9" t="s">
        <v>1004</v>
      </c>
      <c r="D66" s="9" t="s">
        <v>1005</v>
      </c>
      <c r="E66" s="9" t="s">
        <v>3751</v>
      </c>
      <c r="F66" s="9" t="s">
        <v>3531</v>
      </c>
      <c r="G66" s="23" t="s">
        <v>586</v>
      </c>
      <c r="H66" s="23" t="s">
        <v>597</v>
      </c>
      <c r="I66" s="22" t="s">
        <v>79</v>
      </c>
      <c r="J66" s="10"/>
      <c r="K66" s="23" t="s">
        <v>51</v>
      </c>
      <c r="L66" s="23" t="s">
        <v>52</v>
      </c>
      <c r="M66" s="23" t="s">
        <v>889</v>
      </c>
      <c r="N66" s="10"/>
      <c r="O66" s="23" t="s">
        <v>76</v>
      </c>
      <c r="P66" s="22" t="s">
        <v>84</v>
      </c>
      <c r="Q66" s="23" t="s">
        <v>132</v>
      </c>
      <c r="R66" s="10"/>
      <c r="S66" s="30" t="str">
        <f>"300,0"</f>
        <v>300,0</v>
      </c>
      <c r="T66" s="10" t="str">
        <f>"298,7400"</f>
        <v>298,7400</v>
      </c>
      <c r="U66" s="9" t="s">
        <v>1006</v>
      </c>
    </row>
    <row r="67" spans="1:21">
      <c r="A67" s="12" t="s">
        <v>412</v>
      </c>
      <c r="B67" s="11" t="s">
        <v>1007</v>
      </c>
      <c r="C67" s="11" t="s">
        <v>1008</v>
      </c>
      <c r="D67" s="11" t="s">
        <v>636</v>
      </c>
      <c r="E67" s="11" t="s">
        <v>3751</v>
      </c>
      <c r="F67" s="11" t="s">
        <v>3532</v>
      </c>
      <c r="G67" s="25" t="s">
        <v>622</v>
      </c>
      <c r="H67" s="25" t="s">
        <v>15</v>
      </c>
      <c r="I67" s="25" t="s">
        <v>15</v>
      </c>
      <c r="J67" s="12"/>
      <c r="K67" s="12"/>
      <c r="L67" s="25"/>
      <c r="M67" s="25"/>
      <c r="N67" s="12"/>
      <c r="O67" s="25"/>
      <c r="P67" s="12"/>
      <c r="Q67" s="12"/>
      <c r="R67" s="12"/>
      <c r="S67" s="31">
        <v>0</v>
      </c>
      <c r="T67" s="12" t="str">
        <f>"0,0000"</f>
        <v>0,0000</v>
      </c>
      <c r="U67" s="11" t="s">
        <v>1010</v>
      </c>
    </row>
    <row r="68" spans="1:21">
      <c r="A68" s="12" t="s">
        <v>408</v>
      </c>
      <c r="B68" s="11" t="s">
        <v>1011</v>
      </c>
      <c r="C68" s="11" t="s">
        <v>1012</v>
      </c>
      <c r="D68" s="11" t="s">
        <v>636</v>
      </c>
      <c r="E68" s="11" t="s">
        <v>3753</v>
      </c>
      <c r="F68" s="11" t="s">
        <v>3533</v>
      </c>
      <c r="G68" s="24" t="s">
        <v>76</v>
      </c>
      <c r="H68" s="24" t="s">
        <v>77</v>
      </c>
      <c r="I68" s="24" t="s">
        <v>132</v>
      </c>
      <c r="J68" s="12"/>
      <c r="K68" s="24" t="s">
        <v>15</v>
      </c>
      <c r="L68" s="25" t="s">
        <v>60</v>
      </c>
      <c r="M68" s="25" t="s">
        <v>435</v>
      </c>
      <c r="N68" s="12"/>
      <c r="O68" s="25" t="s">
        <v>85</v>
      </c>
      <c r="P68" s="24" t="s">
        <v>85</v>
      </c>
      <c r="Q68" s="24" t="s">
        <v>25</v>
      </c>
      <c r="R68" s="12"/>
      <c r="S68" s="31" t="str">
        <f>"350,0"</f>
        <v>350,0</v>
      </c>
      <c r="T68" s="12" t="str">
        <f>"332,7100"</f>
        <v>332,7100</v>
      </c>
      <c r="U68" s="11" t="s">
        <v>3332</v>
      </c>
    </row>
    <row r="69" spans="1:21">
      <c r="A69" s="14" t="s">
        <v>408</v>
      </c>
      <c r="B69" s="13" t="s">
        <v>1013</v>
      </c>
      <c r="C69" s="13" t="s">
        <v>1014</v>
      </c>
      <c r="D69" s="13" t="s">
        <v>1015</v>
      </c>
      <c r="E69" s="13" t="s">
        <v>3757</v>
      </c>
      <c r="F69" s="13" t="s">
        <v>3534</v>
      </c>
      <c r="G69" s="27" t="s">
        <v>38</v>
      </c>
      <c r="H69" s="26" t="s">
        <v>39</v>
      </c>
      <c r="I69" s="27" t="s">
        <v>106</v>
      </c>
      <c r="J69" s="14"/>
      <c r="K69" s="26" t="s">
        <v>51</v>
      </c>
      <c r="L69" s="26" t="s">
        <v>52</v>
      </c>
      <c r="M69" s="27" t="s">
        <v>53</v>
      </c>
      <c r="N69" s="14"/>
      <c r="O69" s="26" t="s">
        <v>39</v>
      </c>
      <c r="P69" s="26" t="s">
        <v>106</v>
      </c>
      <c r="Q69" s="27" t="s">
        <v>76</v>
      </c>
      <c r="R69" s="14"/>
      <c r="S69" s="32" t="str">
        <f>"265,0"</f>
        <v>265,0</v>
      </c>
      <c r="T69" s="14" t="str">
        <f>"395,3386"</f>
        <v>395,3386</v>
      </c>
      <c r="U69" s="13" t="s">
        <v>1016</v>
      </c>
    </row>
    <row r="70" spans="1:21">
      <c r="B70" s="5" t="s">
        <v>409</v>
      </c>
    </row>
    <row r="71" spans="1:21" ht="16">
      <c r="A71" s="57" t="s">
        <v>62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21">
      <c r="A72" s="8" t="s">
        <v>408</v>
      </c>
      <c r="B72" s="7" t="s">
        <v>1017</v>
      </c>
      <c r="C72" s="7" t="s">
        <v>1018</v>
      </c>
      <c r="D72" s="7" t="s">
        <v>1019</v>
      </c>
      <c r="E72" s="7" t="s">
        <v>3753</v>
      </c>
      <c r="F72" s="7" t="s">
        <v>3509</v>
      </c>
      <c r="G72" s="21" t="s">
        <v>39</v>
      </c>
      <c r="H72" s="20" t="s">
        <v>39</v>
      </c>
      <c r="I72" s="21" t="s">
        <v>54</v>
      </c>
      <c r="J72" s="8"/>
      <c r="K72" s="20" t="s">
        <v>52</v>
      </c>
      <c r="L72" s="21" t="s">
        <v>53</v>
      </c>
      <c r="M72" s="21" t="s">
        <v>53</v>
      </c>
      <c r="N72" s="8"/>
      <c r="O72" s="20" t="s">
        <v>78</v>
      </c>
      <c r="P72" s="20" t="s">
        <v>77</v>
      </c>
      <c r="Q72" s="21" t="s">
        <v>85</v>
      </c>
      <c r="R72" s="8"/>
      <c r="S72" s="29" t="str">
        <f>"280,0"</f>
        <v>280,0</v>
      </c>
      <c r="T72" s="8" t="str">
        <f>"277,9645"</f>
        <v>277,9645</v>
      </c>
      <c r="U72" s="7" t="s">
        <v>623</v>
      </c>
    </row>
    <row r="73" spans="1:21">
      <c r="B73" s="5" t="s">
        <v>409</v>
      </c>
    </row>
    <row r="74" spans="1:21" ht="16">
      <c r="A74" s="57" t="s">
        <v>150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21">
      <c r="A75" s="8" t="s">
        <v>412</v>
      </c>
      <c r="B75" s="7" t="s">
        <v>1020</v>
      </c>
      <c r="C75" s="7" t="s">
        <v>1021</v>
      </c>
      <c r="D75" s="7" t="s">
        <v>683</v>
      </c>
      <c r="E75" s="7" t="s">
        <v>3751</v>
      </c>
      <c r="F75" s="7" t="s">
        <v>3509</v>
      </c>
      <c r="G75" s="21" t="s">
        <v>69</v>
      </c>
      <c r="H75" s="21" t="s">
        <v>69</v>
      </c>
      <c r="I75" s="21" t="s">
        <v>69</v>
      </c>
      <c r="J75" s="8"/>
      <c r="K75" s="21"/>
      <c r="L75" s="8"/>
      <c r="M75" s="8"/>
      <c r="N75" s="8"/>
      <c r="O75" s="21"/>
      <c r="P75" s="8"/>
      <c r="Q75" s="8"/>
      <c r="R75" s="8"/>
      <c r="S75" s="29">
        <v>0</v>
      </c>
      <c r="T75" s="8" t="str">
        <f>"0,0000"</f>
        <v>0,0000</v>
      </c>
      <c r="U75" s="7"/>
    </row>
    <row r="76" spans="1:21">
      <c r="B76" s="5" t="s">
        <v>409</v>
      </c>
    </row>
    <row r="77" spans="1:21" ht="16">
      <c r="A77" s="57" t="s">
        <v>9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</row>
    <row r="78" spans="1:21">
      <c r="A78" s="8" t="s">
        <v>408</v>
      </c>
      <c r="B78" s="7" t="s">
        <v>1022</v>
      </c>
      <c r="C78" s="7" t="s">
        <v>1023</v>
      </c>
      <c r="D78" s="7" t="s">
        <v>1024</v>
      </c>
      <c r="E78" s="7" t="s">
        <v>3754</v>
      </c>
      <c r="F78" s="7" t="s">
        <v>199</v>
      </c>
      <c r="G78" s="20" t="s">
        <v>106</v>
      </c>
      <c r="H78" s="20" t="s">
        <v>76</v>
      </c>
      <c r="I78" s="21" t="s">
        <v>84</v>
      </c>
      <c r="J78" s="8"/>
      <c r="K78" s="21" t="s">
        <v>54</v>
      </c>
      <c r="L78" s="21" t="s">
        <v>54</v>
      </c>
      <c r="M78" s="20" t="s">
        <v>54</v>
      </c>
      <c r="N78" s="8"/>
      <c r="O78" s="20" t="s">
        <v>106</v>
      </c>
      <c r="P78" s="20" t="s">
        <v>132</v>
      </c>
      <c r="Q78" s="21" t="s">
        <v>25</v>
      </c>
      <c r="R78" s="8"/>
      <c r="S78" s="29" t="str">
        <f>"355,0"</f>
        <v>355,0</v>
      </c>
      <c r="T78" s="8" t="str">
        <f>"349,0715"</f>
        <v>349,0715</v>
      </c>
      <c r="U78" s="7" t="s">
        <v>2685</v>
      </c>
    </row>
    <row r="79" spans="1:21">
      <c r="B79" s="5" t="s">
        <v>409</v>
      </c>
    </row>
    <row r="80" spans="1:21" ht="16">
      <c r="A80" s="57" t="s">
        <v>21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</row>
    <row r="81" spans="1:21">
      <c r="A81" s="8" t="s">
        <v>408</v>
      </c>
      <c r="B81" s="7" t="s">
        <v>1025</v>
      </c>
      <c r="C81" s="7" t="s">
        <v>1026</v>
      </c>
      <c r="D81" s="7" t="s">
        <v>1027</v>
      </c>
      <c r="E81" s="7" t="s">
        <v>3755</v>
      </c>
      <c r="F81" s="7" t="s">
        <v>3529</v>
      </c>
      <c r="G81" s="20" t="s">
        <v>13</v>
      </c>
      <c r="H81" s="21" t="s">
        <v>622</v>
      </c>
      <c r="I81" s="20" t="s">
        <v>622</v>
      </c>
      <c r="J81" s="8"/>
      <c r="K81" s="20" t="s">
        <v>869</v>
      </c>
      <c r="L81" s="21" t="s">
        <v>16</v>
      </c>
      <c r="M81" s="21" t="s">
        <v>16</v>
      </c>
      <c r="N81" s="8"/>
      <c r="O81" s="20" t="s">
        <v>15</v>
      </c>
      <c r="P81" s="21" t="s">
        <v>435</v>
      </c>
      <c r="Q81" s="20" t="s">
        <v>435</v>
      </c>
      <c r="R81" s="8"/>
      <c r="S81" s="29" t="str">
        <f>"192,5"</f>
        <v>192,5</v>
      </c>
      <c r="T81" s="8" t="str">
        <f>"178,3897"</f>
        <v>178,3897</v>
      </c>
      <c r="U81" s="7" t="s">
        <v>983</v>
      </c>
    </row>
    <row r="82" spans="1:21">
      <c r="B82" s="5" t="s">
        <v>409</v>
      </c>
    </row>
    <row r="83" spans="1:21" ht="16">
      <c r="A83" s="57" t="s">
        <v>31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</row>
    <row r="84" spans="1:21">
      <c r="A84" s="10" t="s">
        <v>408</v>
      </c>
      <c r="B84" s="9" t="s">
        <v>1028</v>
      </c>
      <c r="C84" s="9" t="s">
        <v>1029</v>
      </c>
      <c r="D84" s="9" t="s">
        <v>1030</v>
      </c>
      <c r="E84" s="9" t="s">
        <v>3755</v>
      </c>
      <c r="F84" s="9" t="s">
        <v>3535</v>
      </c>
      <c r="G84" s="23" t="s">
        <v>54</v>
      </c>
      <c r="H84" s="23" t="s">
        <v>106</v>
      </c>
      <c r="I84" s="23" t="s">
        <v>78</v>
      </c>
      <c r="J84" s="10"/>
      <c r="K84" s="23" t="s">
        <v>53</v>
      </c>
      <c r="L84" s="22" t="s">
        <v>591</v>
      </c>
      <c r="M84" s="10"/>
      <c r="N84" s="10"/>
      <c r="O84" s="23" t="s">
        <v>45</v>
      </c>
      <c r="P84" s="23" t="s">
        <v>46</v>
      </c>
      <c r="Q84" s="22" t="s">
        <v>36</v>
      </c>
      <c r="R84" s="10"/>
      <c r="S84" s="30" t="str">
        <f>"330,0"</f>
        <v>330,0</v>
      </c>
      <c r="T84" s="10" t="str">
        <f>"296,3070"</f>
        <v>296,3070</v>
      </c>
      <c r="U84" s="9" t="s">
        <v>3469</v>
      </c>
    </row>
    <row r="85" spans="1:21">
      <c r="A85" s="12" t="s">
        <v>410</v>
      </c>
      <c r="B85" s="11" t="s">
        <v>1031</v>
      </c>
      <c r="C85" s="11" t="s">
        <v>1032</v>
      </c>
      <c r="D85" s="11" t="s">
        <v>43</v>
      </c>
      <c r="E85" s="11" t="s">
        <v>3755</v>
      </c>
      <c r="F85" s="11" t="s">
        <v>3536</v>
      </c>
      <c r="G85" s="24" t="s">
        <v>435</v>
      </c>
      <c r="H85" s="24" t="s">
        <v>38</v>
      </c>
      <c r="I85" s="24" t="s">
        <v>600</v>
      </c>
      <c r="J85" s="12"/>
      <c r="K85" s="24" t="s">
        <v>622</v>
      </c>
      <c r="L85" s="25" t="s">
        <v>1033</v>
      </c>
      <c r="M85" s="25" t="s">
        <v>1033</v>
      </c>
      <c r="N85" s="12"/>
      <c r="O85" s="24" t="s">
        <v>79</v>
      </c>
      <c r="P85" s="24" t="s">
        <v>77</v>
      </c>
      <c r="Q85" s="24" t="s">
        <v>132</v>
      </c>
      <c r="R85" s="12"/>
      <c r="S85" s="31" t="str">
        <f>"295,0"</f>
        <v>295,0</v>
      </c>
      <c r="T85" s="12" t="str">
        <f>"259,6590"</f>
        <v>259,6590</v>
      </c>
      <c r="U85" s="11" t="s">
        <v>1034</v>
      </c>
    </row>
    <row r="86" spans="1:21">
      <c r="A86" s="12" t="s">
        <v>408</v>
      </c>
      <c r="B86" s="11" t="s">
        <v>1035</v>
      </c>
      <c r="C86" s="11" t="s">
        <v>1036</v>
      </c>
      <c r="D86" s="11" t="s">
        <v>1037</v>
      </c>
      <c r="E86" s="11" t="s">
        <v>3751</v>
      </c>
      <c r="F86" s="11" t="s">
        <v>199</v>
      </c>
      <c r="G86" s="24" t="s">
        <v>36</v>
      </c>
      <c r="H86" s="25" t="s">
        <v>1038</v>
      </c>
      <c r="I86" s="25" t="s">
        <v>1038</v>
      </c>
      <c r="J86" s="12"/>
      <c r="K86" s="24" t="s">
        <v>54</v>
      </c>
      <c r="L86" s="24" t="s">
        <v>1039</v>
      </c>
      <c r="M86" s="25" t="s">
        <v>76</v>
      </c>
      <c r="N86" s="12"/>
      <c r="O86" s="24" t="s">
        <v>70</v>
      </c>
      <c r="P86" s="24" t="s">
        <v>1040</v>
      </c>
      <c r="Q86" s="12"/>
      <c r="R86" s="12"/>
      <c r="S86" s="31" t="str">
        <f>"482,0"</f>
        <v>482,0</v>
      </c>
      <c r="T86" s="12" t="str">
        <f>"417,5084"</f>
        <v>417,5084</v>
      </c>
      <c r="U86" s="11" t="s">
        <v>486</v>
      </c>
    </row>
    <row r="87" spans="1:21">
      <c r="A87" s="14" t="s">
        <v>410</v>
      </c>
      <c r="B87" s="13" t="s">
        <v>1028</v>
      </c>
      <c r="C87" s="13" t="s">
        <v>1041</v>
      </c>
      <c r="D87" s="13" t="s">
        <v>1030</v>
      </c>
      <c r="E87" s="13" t="s">
        <v>3751</v>
      </c>
      <c r="F87" s="13" t="s">
        <v>3535</v>
      </c>
      <c r="G87" s="26" t="s">
        <v>54</v>
      </c>
      <c r="H87" s="26" t="s">
        <v>106</v>
      </c>
      <c r="I87" s="26" t="s">
        <v>78</v>
      </c>
      <c r="J87" s="14"/>
      <c r="K87" s="26" t="s">
        <v>53</v>
      </c>
      <c r="L87" s="27" t="s">
        <v>591</v>
      </c>
      <c r="M87" s="14"/>
      <c r="N87" s="14"/>
      <c r="O87" s="26" t="s">
        <v>45</v>
      </c>
      <c r="P87" s="26" t="s">
        <v>46</v>
      </c>
      <c r="Q87" s="27" t="s">
        <v>36</v>
      </c>
      <c r="R87" s="14"/>
      <c r="S87" s="32" t="str">
        <f>"330,0"</f>
        <v>330,0</v>
      </c>
      <c r="T87" s="14" t="str">
        <f>"296,3070"</f>
        <v>296,3070</v>
      </c>
      <c r="U87" s="13" t="s">
        <v>3469</v>
      </c>
    </row>
    <row r="88" spans="1:21">
      <c r="B88" s="5" t="s">
        <v>409</v>
      </c>
    </row>
    <row r="89" spans="1:21" ht="16">
      <c r="A89" s="57" t="s">
        <v>55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</row>
    <row r="90" spans="1:21">
      <c r="A90" s="10" t="s">
        <v>408</v>
      </c>
      <c r="B90" s="9" t="s">
        <v>1042</v>
      </c>
      <c r="C90" s="9" t="s">
        <v>1043</v>
      </c>
      <c r="D90" s="9" t="s">
        <v>1044</v>
      </c>
      <c r="E90" s="9" t="s">
        <v>3755</v>
      </c>
      <c r="F90" s="9" t="s">
        <v>3537</v>
      </c>
      <c r="G90" s="23" t="s">
        <v>38</v>
      </c>
      <c r="H90" s="22" t="s">
        <v>106</v>
      </c>
      <c r="I90" s="23" t="s">
        <v>76</v>
      </c>
      <c r="J90" s="10"/>
      <c r="K90" s="23" t="s">
        <v>14</v>
      </c>
      <c r="L90" s="22" t="s">
        <v>435</v>
      </c>
      <c r="M90" s="23" t="s">
        <v>38</v>
      </c>
      <c r="N90" s="10"/>
      <c r="O90" s="23" t="s">
        <v>69</v>
      </c>
      <c r="P90" s="23" t="s">
        <v>78</v>
      </c>
      <c r="Q90" s="22" t="s">
        <v>77</v>
      </c>
      <c r="R90" s="10"/>
      <c r="S90" s="30" t="str">
        <f>"325,0"</f>
        <v>325,0</v>
      </c>
      <c r="T90" s="10" t="str">
        <f>"254,8650"</f>
        <v>254,8650</v>
      </c>
      <c r="U90" s="9" t="s">
        <v>1045</v>
      </c>
    </row>
    <row r="91" spans="1:21">
      <c r="A91" s="12" t="s">
        <v>408</v>
      </c>
      <c r="B91" s="11" t="s">
        <v>1046</v>
      </c>
      <c r="C91" s="11" t="s">
        <v>1047</v>
      </c>
      <c r="D91" s="11" t="s">
        <v>1048</v>
      </c>
      <c r="E91" s="11" t="s">
        <v>3752</v>
      </c>
      <c r="F91" s="11" t="s">
        <v>3538</v>
      </c>
      <c r="G91" s="25" t="s">
        <v>46</v>
      </c>
      <c r="H91" s="24" t="s">
        <v>46</v>
      </c>
      <c r="I91" s="25" t="s">
        <v>187</v>
      </c>
      <c r="J91" s="12"/>
      <c r="K91" s="24" t="s">
        <v>600</v>
      </c>
      <c r="L91" s="25" t="s">
        <v>39</v>
      </c>
      <c r="M91" s="25" t="s">
        <v>39</v>
      </c>
      <c r="N91" s="12"/>
      <c r="O91" s="24" t="s">
        <v>46</v>
      </c>
      <c r="P91" s="24" t="s">
        <v>47</v>
      </c>
      <c r="Q91" s="25" t="s">
        <v>37</v>
      </c>
      <c r="R91" s="12"/>
      <c r="S91" s="31" t="str">
        <f>"410,0"</f>
        <v>410,0</v>
      </c>
      <c r="T91" s="12" t="str">
        <f>"317,6270"</f>
        <v>317,6270</v>
      </c>
      <c r="U91" s="11" t="s">
        <v>1049</v>
      </c>
    </row>
    <row r="92" spans="1:21">
      <c r="A92" s="12" t="s">
        <v>408</v>
      </c>
      <c r="B92" s="11" t="s">
        <v>1050</v>
      </c>
      <c r="C92" s="11" t="s">
        <v>1051</v>
      </c>
      <c r="D92" s="11" t="s">
        <v>81</v>
      </c>
      <c r="E92" s="11" t="s">
        <v>3754</v>
      </c>
      <c r="F92" s="11" t="s">
        <v>3509</v>
      </c>
      <c r="G92" s="24" t="s">
        <v>113</v>
      </c>
      <c r="H92" s="24" t="s">
        <v>180</v>
      </c>
      <c r="I92" s="24" t="s">
        <v>71</v>
      </c>
      <c r="J92" s="12"/>
      <c r="K92" s="24" t="s">
        <v>77</v>
      </c>
      <c r="L92" s="24" t="s">
        <v>521</v>
      </c>
      <c r="M92" s="25" t="s">
        <v>474</v>
      </c>
      <c r="N92" s="12"/>
      <c r="O92" s="24" t="s">
        <v>40</v>
      </c>
      <c r="P92" s="24" t="s">
        <v>70</v>
      </c>
      <c r="Q92" s="24" t="s">
        <v>71</v>
      </c>
      <c r="R92" s="12"/>
      <c r="S92" s="31" t="str">
        <f>"532,5"</f>
        <v>532,5</v>
      </c>
      <c r="T92" s="12" t="str">
        <f>"414,5513"</f>
        <v>414,5513</v>
      </c>
      <c r="U92" s="11"/>
    </row>
    <row r="93" spans="1:21">
      <c r="A93" s="12" t="s">
        <v>410</v>
      </c>
      <c r="B93" s="11" t="s">
        <v>1052</v>
      </c>
      <c r="C93" s="11" t="s">
        <v>1053</v>
      </c>
      <c r="D93" s="11" t="s">
        <v>968</v>
      </c>
      <c r="E93" s="11" t="s">
        <v>3754</v>
      </c>
      <c r="F93" s="11" t="s">
        <v>3539</v>
      </c>
      <c r="G93" s="24" t="s">
        <v>45</v>
      </c>
      <c r="H93" s="24" t="s">
        <v>35</v>
      </c>
      <c r="I93" s="25" t="s">
        <v>36</v>
      </c>
      <c r="J93" s="12"/>
      <c r="K93" s="25" t="s">
        <v>76</v>
      </c>
      <c r="L93" s="25" t="s">
        <v>76</v>
      </c>
      <c r="M93" s="24" t="s">
        <v>76</v>
      </c>
      <c r="N93" s="12"/>
      <c r="O93" s="24" t="s">
        <v>36</v>
      </c>
      <c r="P93" s="24" t="s">
        <v>37</v>
      </c>
      <c r="Q93" s="25" t="s">
        <v>40</v>
      </c>
      <c r="R93" s="12"/>
      <c r="S93" s="31" t="str">
        <f>"440,0"</f>
        <v>440,0</v>
      </c>
      <c r="T93" s="12" t="str">
        <f>"342,1000"</f>
        <v>342,1000</v>
      </c>
      <c r="U93" s="11" t="s">
        <v>314</v>
      </c>
    </row>
    <row r="94" spans="1:21">
      <c r="A94" s="12" t="s">
        <v>411</v>
      </c>
      <c r="B94" s="11" t="s">
        <v>1054</v>
      </c>
      <c r="C94" s="11" t="s">
        <v>1055</v>
      </c>
      <c r="D94" s="11" t="s">
        <v>1056</v>
      </c>
      <c r="E94" s="11" t="s">
        <v>3754</v>
      </c>
      <c r="F94" s="11" t="s">
        <v>3509</v>
      </c>
      <c r="G94" s="24" t="s">
        <v>106</v>
      </c>
      <c r="H94" s="24" t="s">
        <v>76</v>
      </c>
      <c r="I94" s="24" t="s">
        <v>132</v>
      </c>
      <c r="J94" s="12"/>
      <c r="K94" s="24" t="s">
        <v>18</v>
      </c>
      <c r="L94" s="24" t="s">
        <v>38</v>
      </c>
      <c r="M94" s="25" t="s">
        <v>39</v>
      </c>
      <c r="N94" s="12"/>
      <c r="O94" s="24" t="s">
        <v>78</v>
      </c>
      <c r="P94" s="24" t="s">
        <v>77</v>
      </c>
      <c r="Q94" s="25" t="s">
        <v>132</v>
      </c>
      <c r="R94" s="12"/>
      <c r="S94" s="31" t="str">
        <f>"345,0"</f>
        <v>345,0</v>
      </c>
      <c r="T94" s="12" t="str">
        <f>"267,9270"</f>
        <v>267,9270</v>
      </c>
      <c r="U94" s="11" t="s">
        <v>2237</v>
      </c>
    </row>
    <row r="95" spans="1:21">
      <c r="A95" s="12" t="s">
        <v>408</v>
      </c>
      <c r="B95" s="11" t="s">
        <v>1057</v>
      </c>
      <c r="C95" s="11" t="s">
        <v>1058</v>
      </c>
      <c r="D95" s="11" t="s">
        <v>595</v>
      </c>
      <c r="E95" s="11" t="s">
        <v>3751</v>
      </c>
      <c r="F95" s="11" t="s">
        <v>3509</v>
      </c>
      <c r="G95" s="24" t="s">
        <v>226</v>
      </c>
      <c r="H95" s="24" t="s">
        <v>180</v>
      </c>
      <c r="I95" s="25" t="s">
        <v>92</v>
      </c>
      <c r="J95" s="12"/>
      <c r="K95" s="24" t="s">
        <v>77</v>
      </c>
      <c r="L95" s="25" t="s">
        <v>45</v>
      </c>
      <c r="M95" s="25" t="s">
        <v>45</v>
      </c>
      <c r="N95" s="12"/>
      <c r="O95" s="24" t="s">
        <v>309</v>
      </c>
      <c r="P95" s="25" t="s">
        <v>97</v>
      </c>
      <c r="Q95" s="24" t="s">
        <v>97</v>
      </c>
      <c r="R95" s="12"/>
      <c r="S95" s="31" t="str">
        <f>"537,5"</f>
        <v>537,5</v>
      </c>
      <c r="T95" s="12" t="str">
        <f>"427,9575"</f>
        <v>427,9575</v>
      </c>
      <c r="U95" s="11"/>
    </row>
    <row r="96" spans="1:21">
      <c r="A96" s="12" t="s">
        <v>410</v>
      </c>
      <c r="B96" s="11" t="s">
        <v>1050</v>
      </c>
      <c r="C96" s="11" t="s">
        <v>1059</v>
      </c>
      <c r="D96" s="11" t="s">
        <v>81</v>
      </c>
      <c r="E96" s="11" t="s">
        <v>3751</v>
      </c>
      <c r="F96" s="11" t="s">
        <v>3509</v>
      </c>
      <c r="G96" s="24" t="s">
        <v>113</v>
      </c>
      <c r="H96" s="24" t="s">
        <v>180</v>
      </c>
      <c r="I96" s="24" t="s">
        <v>71</v>
      </c>
      <c r="J96" s="12"/>
      <c r="K96" s="24" t="s">
        <v>77</v>
      </c>
      <c r="L96" s="24" t="s">
        <v>521</v>
      </c>
      <c r="M96" s="25" t="s">
        <v>474</v>
      </c>
      <c r="N96" s="12"/>
      <c r="O96" s="24" t="s">
        <v>40</v>
      </c>
      <c r="P96" s="24" t="s">
        <v>70</v>
      </c>
      <c r="Q96" s="24" t="s">
        <v>71</v>
      </c>
      <c r="R96" s="12"/>
      <c r="S96" s="31" t="str">
        <f>"532,5"</f>
        <v>532,5</v>
      </c>
      <c r="T96" s="12" t="str">
        <f>"414,5513"</f>
        <v>414,5513</v>
      </c>
      <c r="U96" s="11"/>
    </row>
    <row r="97" spans="1:21">
      <c r="A97" s="12" t="s">
        <v>411</v>
      </c>
      <c r="B97" s="11" t="s">
        <v>1060</v>
      </c>
      <c r="C97" s="11" t="s">
        <v>1061</v>
      </c>
      <c r="D97" s="11" t="s">
        <v>446</v>
      </c>
      <c r="E97" s="11" t="s">
        <v>3751</v>
      </c>
      <c r="F97" s="11" t="s">
        <v>3509</v>
      </c>
      <c r="G97" s="24" t="s">
        <v>248</v>
      </c>
      <c r="H97" s="25" t="s">
        <v>35</v>
      </c>
      <c r="I97" s="24" t="s">
        <v>36</v>
      </c>
      <c r="J97" s="12"/>
      <c r="K97" s="24" t="s">
        <v>38</v>
      </c>
      <c r="L97" s="25" t="s">
        <v>69</v>
      </c>
      <c r="M97" s="25" t="s">
        <v>39</v>
      </c>
      <c r="N97" s="12"/>
      <c r="O97" s="24" t="s">
        <v>37</v>
      </c>
      <c r="P97" s="25" t="s">
        <v>40</v>
      </c>
      <c r="Q97" s="25" t="s">
        <v>40</v>
      </c>
      <c r="R97" s="12"/>
      <c r="S97" s="31" t="str">
        <f>"420,0"</f>
        <v>420,0</v>
      </c>
      <c r="T97" s="12" t="str">
        <f>"324,6180"</f>
        <v>324,6180</v>
      </c>
      <c r="U97" s="11" t="s">
        <v>3373</v>
      </c>
    </row>
    <row r="98" spans="1:21">
      <c r="A98" s="14" t="s">
        <v>413</v>
      </c>
      <c r="B98" s="13" t="s">
        <v>1062</v>
      </c>
      <c r="C98" s="13" t="s">
        <v>1063</v>
      </c>
      <c r="D98" s="13" t="s">
        <v>968</v>
      </c>
      <c r="E98" s="13" t="s">
        <v>3751</v>
      </c>
      <c r="F98" s="13" t="s">
        <v>3540</v>
      </c>
      <c r="G98" s="27" t="s">
        <v>76</v>
      </c>
      <c r="H98" s="26" t="s">
        <v>76</v>
      </c>
      <c r="I98" s="26" t="s">
        <v>84</v>
      </c>
      <c r="J98" s="14"/>
      <c r="K98" s="26" t="s">
        <v>38</v>
      </c>
      <c r="L98" s="26" t="s">
        <v>69</v>
      </c>
      <c r="M98" s="26" t="s">
        <v>39</v>
      </c>
      <c r="N98" s="14"/>
      <c r="O98" s="26" t="s">
        <v>37</v>
      </c>
      <c r="P98" s="14"/>
      <c r="Q98" s="14"/>
      <c r="R98" s="14"/>
      <c r="S98" s="32" t="str">
        <f>"397,5"</f>
        <v>397,5</v>
      </c>
      <c r="T98" s="14" t="str">
        <f>"309,0562"</f>
        <v>309,0562</v>
      </c>
      <c r="U98" s="13"/>
    </row>
    <row r="99" spans="1:21">
      <c r="B99" s="5" t="s">
        <v>409</v>
      </c>
    </row>
    <row r="100" spans="1:21" ht="16">
      <c r="A100" s="57" t="s">
        <v>93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</row>
    <row r="101" spans="1:21">
      <c r="A101" s="10" t="s">
        <v>408</v>
      </c>
      <c r="B101" s="9" t="s">
        <v>1064</v>
      </c>
      <c r="C101" s="9" t="s">
        <v>1065</v>
      </c>
      <c r="D101" s="9" t="s">
        <v>1066</v>
      </c>
      <c r="E101" s="9" t="s">
        <v>3755</v>
      </c>
      <c r="F101" s="9" t="s">
        <v>3509</v>
      </c>
      <c r="G101" s="23" t="s">
        <v>39</v>
      </c>
      <c r="H101" s="23" t="s">
        <v>106</v>
      </c>
      <c r="I101" s="22" t="s">
        <v>78</v>
      </c>
      <c r="J101" s="10"/>
      <c r="K101" s="23" t="s">
        <v>38</v>
      </c>
      <c r="L101" s="22" t="s">
        <v>69</v>
      </c>
      <c r="M101" s="22" t="s">
        <v>69</v>
      </c>
      <c r="N101" s="10"/>
      <c r="O101" s="23" t="s">
        <v>132</v>
      </c>
      <c r="P101" s="23" t="s">
        <v>45</v>
      </c>
      <c r="Q101" s="22" t="s">
        <v>253</v>
      </c>
      <c r="R101" s="10"/>
      <c r="S101" s="30" t="str">
        <f>"340,0"</f>
        <v>340,0</v>
      </c>
      <c r="T101" s="10" t="str">
        <f>"258,2300"</f>
        <v>258,2300</v>
      </c>
      <c r="U101" s="9" t="s">
        <v>3470</v>
      </c>
    </row>
    <row r="102" spans="1:21">
      <c r="A102" s="12" t="s">
        <v>408</v>
      </c>
      <c r="B102" s="11" t="s">
        <v>1067</v>
      </c>
      <c r="C102" s="11" t="s">
        <v>1068</v>
      </c>
      <c r="D102" s="11" t="s">
        <v>1069</v>
      </c>
      <c r="E102" s="11" t="s">
        <v>3752</v>
      </c>
      <c r="F102" s="11" t="s">
        <v>3541</v>
      </c>
      <c r="G102" s="24" t="s">
        <v>77</v>
      </c>
      <c r="H102" s="25" t="s">
        <v>521</v>
      </c>
      <c r="I102" s="25" t="s">
        <v>85</v>
      </c>
      <c r="J102" s="12"/>
      <c r="K102" s="24" t="s">
        <v>435</v>
      </c>
      <c r="L102" s="24" t="s">
        <v>38</v>
      </c>
      <c r="M102" s="25" t="s">
        <v>600</v>
      </c>
      <c r="N102" s="12"/>
      <c r="O102" s="24" t="s">
        <v>35</v>
      </c>
      <c r="P102" s="24" t="s">
        <v>36</v>
      </c>
      <c r="Q102" s="25" t="s">
        <v>59</v>
      </c>
      <c r="R102" s="12"/>
      <c r="S102" s="31" t="str">
        <f>"375,0"</f>
        <v>375,0</v>
      </c>
      <c r="T102" s="12" t="str">
        <f>"270,7875"</f>
        <v>270,7875</v>
      </c>
      <c r="U102" s="11" t="s">
        <v>1070</v>
      </c>
    </row>
    <row r="103" spans="1:21">
      <c r="A103" s="12" t="s">
        <v>408</v>
      </c>
      <c r="B103" s="11" t="s">
        <v>1071</v>
      </c>
      <c r="C103" s="11" t="s">
        <v>1072</v>
      </c>
      <c r="D103" s="11" t="s">
        <v>1073</v>
      </c>
      <c r="E103" s="11" t="s">
        <v>3751</v>
      </c>
      <c r="F103" s="11" t="s">
        <v>3542</v>
      </c>
      <c r="G103" s="24" t="s">
        <v>70</v>
      </c>
      <c r="H103" s="25" t="s">
        <v>67</v>
      </c>
      <c r="I103" s="24" t="s">
        <v>67</v>
      </c>
      <c r="J103" s="12"/>
      <c r="K103" s="24" t="s">
        <v>132</v>
      </c>
      <c r="L103" s="24" t="s">
        <v>45</v>
      </c>
      <c r="M103" s="25" t="s">
        <v>25</v>
      </c>
      <c r="N103" s="12"/>
      <c r="O103" s="24" t="s">
        <v>71</v>
      </c>
      <c r="P103" s="24" t="s">
        <v>68</v>
      </c>
      <c r="Q103" s="24" t="s">
        <v>98</v>
      </c>
      <c r="R103" s="12"/>
      <c r="S103" s="31" t="str">
        <f>"575,0"</f>
        <v>575,0</v>
      </c>
      <c r="T103" s="12" t="str">
        <f>"413,1950"</f>
        <v>413,1950</v>
      </c>
      <c r="U103" s="11" t="s">
        <v>305</v>
      </c>
    </row>
    <row r="104" spans="1:21">
      <c r="A104" s="12" t="s">
        <v>410</v>
      </c>
      <c r="B104" s="11" t="s">
        <v>1074</v>
      </c>
      <c r="C104" s="11" t="s">
        <v>1075</v>
      </c>
      <c r="D104" s="11" t="s">
        <v>96</v>
      </c>
      <c r="E104" s="11" t="s">
        <v>3751</v>
      </c>
      <c r="F104" s="11" t="s">
        <v>3514</v>
      </c>
      <c r="G104" s="24" t="s">
        <v>40</v>
      </c>
      <c r="H104" s="24" t="s">
        <v>70</v>
      </c>
      <c r="I104" s="24" t="s">
        <v>71</v>
      </c>
      <c r="J104" s="12"/>
      <c r="K104" s="24" t="s">
        <v>132</v>
      </c>
      <c r="L104" s="25" t="s">
        <v>474</v>
      </c>
      <c r="M104" s="24" t="s">
        <v>474</v>
      </c>
      <c r="N104" s="12"/>
      <c r="O104" s="24" t="s">
        <v>70</v>
      </c>
      <c r="P104" s="24" t="s">
        <v>83</v>
      </c>
      <c r="Q104" s="24" t="s">
        <v>289</v>
      </c>
      <c r="R104" s="12"/>
      <c r="S104" s="31" t="str">
        <f>"560,0"</f>
        <v>560,0</v>
      </c>
      <c r="T104" s="12" t="str">
        <f>"403,2000"</f>
        <v>403,2000</v>
      </c>
      <c r="U104" s="11" t="s">
        <v>779</v>
      </c>
    </row>
    <row r="105" spans="1:21">
      <c r="A105" s="12" t="s">
        <v>411</v>
      </c>
      <c r="B105" s="11" t="s">
        <v>1076</v>
      </c>
      <c r="C105" s="11" t="s">
        <v>1077</v>
      </c>
      <c r="D105" s="11" t="s">
        <v>104</v>
      </c>
      <c r="E105" s="11" t="s">
        <v>3751</v>
      </c>
      <c r="F105" s="11" t="s">
        <v>1078</v>
      </c>
      <c r="G105" s="24" t="s">
        <v>37</v>
      </c>
      <c r="H105" s="25" t="s">
        <v>29</v>
      </c>
      <c r="I105" s="25" t="s">
        <v>29</v>
      </c>
      <c r="J105" s="12"/>
      <c r="K105" s="24" t="s">
        <v>78</v>
      </c>
      <c r="L105" s="25" t="s">
        <v>77</v>
      </c>
      <c r="M105" s="24" t="s">
        <v>77</v>
      </c>
      <c r="N105" s="12"/>
      <c r="O105" s="24" t="s">
        <v>87</v>
      </c>
      <c r="P105" s="24" t="s">
        <v>134</v>
      </c>
      <c r="Q105" s="24" t="s">
        <v>561</v>
      </c>
      <c r="R105" s="12"/>
      <c r="S105" s="31" t="str">
        <f>"552,5"</f>
        <v>552,5</v>
      </c>
      <c r="T105" s="12" t="str">
        <f>"397,4132"</f>
        <v>397,4132</v>
      </c>
      <c r="U105" s="11"/>
    </row>
    <row r="106" spans="1:21">
      <c r="A106" s="12" t="s">
        <v>413</v>
      </c>
      <c r="B106" s="11" t="s">
        <v>1079</v>
      </c>
      <c r="C106" s="11" t="s">
        <v>1080</v>
      </c>
      <c r="D106" s="11" t="s">
        <v>1081</v>
      </c>
      <c r="E106" s="11" t="s">
        <v>3751</v>
      </c>
      <c r="F106" s="11" t="s">
        <v>3510</v>
      </c>
      <c r="G106" s="25" t="s">
        <v>40</v>
      </c>
      <c r="H106" s="24" t="s">
        <v>40</v>
      </c>
      <c r="I106" s="25" t="s">
        <v>29</v>
      </c>
      <c r="J106" s="12"/>
      <c r="K106" s="24" t="s">
        <v>85</v>
      </c>
      <c r="L106" s="24" t="s">
        <v>45</v>
      </c>
      <c r="M106" s="25" t="s">
        <v>248</v>
      </c>
      <c r="N106" s="12"/>
      <c r="O106" s="24" t="s">
        <v>83</v>
      </c>
      <c r="P106" s="24" t="s">
        <v>289</v>
      </c>
      <c r="Q106" s="24" t="s">
        <v>98</v>
      </c>
      <c r="R106" s="12"/>
      <c r="S106" s="31" t="str">
        <f>"550,0"</f>
        <v>550,0</v>
      </c>
      <c r="T106" s="12" t="str">
        <f>"397,9250"</f>
        <v>397,9250</v>
      </c>
      <c r="U106" s="11" t="s">
        <v>1016</v>
      </c>
    </row>
    <row r="107" spans="1:21">
      <c r="A107" s="12" t="s">
        <v>414</v>
      </c>
      <c r="B107" s="11" t="s">
        <v>1082</v>
      </c>
      <c r="C107" s="11" t="s">
        <v>1083</v>
      </c>
      <c r="D107" s="11" t="s">
        <v>1084</v>
      </c>
      <c r="E107" s="11" t="s">
        <v>3751</v>
      </c>
      <c r="F107" s="11" t="s">
        <v>3523</v>
      </c>
      <c r="G107" s="25" t="s">
        <v>40</v>
      </c>
      <c r="H107" s="24" t="s">
        <v>70</v>
      </c>
      <c r="I107" s="25" t="s">
        <v>71</v>
      </c>
      <c r="J107" s="12"/>
      <c r="K107" s="24" t="s">
        <v>106</v>
      </c>
      <c r="L107" s="25" t="s">
        <v>78</v>
      </c>
      <c r="M107" s="25" t="s">
        <v>78</v>
      </c>
      <c r="N107" s="12"/>
      <c r="O107" s="24" t="s">
        <v>97</v>
      </c>
      <c r="P107" s="24" t="s">
        <v>98</v>
      </c>
      <c r="Q107" s="24" t="s">
        <v>133</v>
      </c>
      <c r="R107" s="12"/>
      <c r="S107" s="31" t="str">
        <f>"540,0"</f>
        <v>540,0</v>
      </c>
      <c r="T107" s="12" t="str">
        <f>"399,9240"</f>
        <v>399,9240</v>
      </c>
      <c r="U107" s="11" t="s">
        <v>1085</v>
      </c>
    </row>
    <row r="108" spans="1:21">
      <c r="A108" s="14" t="s">
        <v>412</v>
      </c>
      <c r="B108" s="13" t="s">
        <v>1086</v>
      </c>
      <c r="C108" s="13" t="s">
        <v>1087</v>
      </c>
      <c r="D108" s="13" t="s">
        <v>467</v>
      </c>
      <c r="E108" s="13" t="s">
        <v>3751</v>
      </c>
      <c r="F108" s="13" t="s">
        <v>3543</v>
      </c>
      <c r="G108" s="26" t="s">
        <v>47</v>
      </c>
      <c r="H108" s="26" t="s">
        <v>187</v>
      </c>
      <c r="I108" s="27" t="s">
        <v>37</v>
      </c>
      <c r="J108" s="14"/>
      <c r="K108" s="26" t="s">
        <v>85</v>
      </c>
      <c r="L108" s="27" t="s">
        <v>474</v>
      </c>
      <c r="M108" s="27" t="s">
        <v>474</v>
      </c>
      <c r="N108" s="14"/>
      <c r="O108" s="27" t="s">
        <v>66</v>
      </c>
      <c r="P108" s="27" t="s">
        <v>66</v>
      </c>
      <c r="Q108" s="27" t="s">
        <v>66</v>
      </c>
      <c r="R108" s="14"/>
      <c r="S108" s="32">
        <v>0</v>
      </c>
      <c r="T108" s="14" t="str">
        <f>"0,0000"</f>
        <v>0,0000</v>
      </c>
      <c r="U108" s="13" t="s">
        <v>1088</v>
      </c>
    </row>
    <row r="109" spans="1:21">
      <c r="B109" s="5" t="s">
        <v>409</v>
      </c>
    </row>
    <row r="110" spans="1:21" ht="16">
      <c r="A110" s="57" t="s">
        <v>62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</row>
    <row r="111" spans="1:21">
      <c r="A111" s="10" t="s">
        <v>408</v>
      </c>
      <c r="B111" s="9" t="s">
        <v>1089</v>
      </c>
      <c r="C111" s="9" t="s">
        <v>1090</v>
      </c>
      <c r="D111" s="9" t="s">
        <v>1091</v>
      </c>
      <c r="E111" s="9" t="s">
        <v>3755</v>
      </c>
      <c r="F111" s="9" t="s">
        <v>3544</v>
      </c>
      <c r="G111" s="23" t="s">
        <v>69</v>
      </c>
      <c r="H111" s="23" t="s">
        <v>54</v>
      </c>
      <c r="I111" s="23" t="s">
        <v>106</v>
      </c>
      <c r="J111" s="10"/>
      <c r="K111" s="23" t="s">
        <v>13</v>
      </c>
      <c r="L111" s="23" t="s">
        <v>14</v>
      </c>
      <c r="M111" s="23" t="s">
        <v>15</v>
      </c>
      <c r="N111" s="10"/>
      <c r="O111" s="23" t="s">
        <v>132</v>
      </c>
      <c r="P111" s="23" t="s">
        <v>45</v>
      </c>
      <c r="Q111" s="23" t="s">
        <v>35</v>
      </c>
      <c r="R111" s="10"/>
      <c r="S111" s="30" t="str">
        <f>"335,0"</f>
        <v>335,0</v>
      </c>
      <c r="T111" s="10" t="str">
        <f>"233,8635"</f>
        <v>233,8635</v>
      </c>
      <c r="U111" s="9" t="s">
        <v>3376</v>
      </c>
    </row>
    <row r="112" spans="1:21">
      <c r="A112" s="12" t="s">
        <v>412</v>
      </c>
      <c r="B112" s="11" t="s">
        <v>1092</v>
      </c>
      <c r="C112" s="11" t="s">
        <v>1093</v>
      </c>
      <c r="D112" s="11" t="s">
        <v>1094</v>
      </c>
      <c r="E112" s="11" t="s">
        <v>3755</v>
      </c>
      <c r="F112" s="11" t="s">
        <v>3509</v>
      </c>
      <c r="G112" s="25" t="s">
        <v>45</v>
      </c>
      <c r="H112" s="25" t="s">
        <v>25</v>
      </c>
      <c r="I112" s="25" t="s">
        <v>25</v>
      </c>
      <c r="J112" s="12"/>
      <c r="K112" s="12"/>
      <c r="L112" s="25"/>
      <c r="M112" s="25"/>
      <c r="N112" s="12"/>
      <c r="O112" s="12"/>
      <c r="P112" s="25"/>
      <c r="Q112" s="25"/>
      <c r="R112" s="12"/>
      <c r="S112" s="31">
        <v>0</v>
      </c>
      <c r="T112" s="12" t="str">
        <f>"0,0000"</f>
        <v>0,0000</v>
      </c>
      <c r="U112" s="11" t="s">
        <v>1095</v>
      </c>
    </row>
    <row r="113" spans="1:21">
      <c r="A113" s="12" t="s">
        <v>408</v>
      </c>
      <c r="B113" s="11" t="s">
        <v>1096</v>
      </c>
      <c r="C113" s="11" t="s">
        <v>1097</v>
      </c>
      <c r="D113" s="11" t="s">
        <v>145</v>
      </c>
      <c r="E113" s="11" t="s">
        <v>3752</v>
      </c>
      <c r="F113" s="11" t="s">
        <v>3545</v>
      </c>
      <c r="G113" s="24" t="s">
        <v>37</v>
      </c>
      <c r="H113" s="24" t="s">
        <v>40</v>
      </c>
      <c r="I113" s="24" t="s">
        <v>29</v>
      </c>
      <c r="J113" s="12"/>
      <c r="K113" s="24" t="s">
        <v>76</v>
      </c>
      <c r="L113" s="24" t="s">
        <v>77</v>
      </c>
      <c r="M113" s="24" t="s">
        <v>132</v>
      </c>
      <c r="N113" s="12"/>
      <c r="O113" s="24" t="s">
        <v>71</v>
      </c>
      <c r="P113" s="24" t="s">
        <v>97</v>
      </c>
      <c r="Q113" s="25" t="s">
        <v>86</v>
      </c>
      <c r="R113" s="12"/>
      <c r="S113" s="31" t="str">
        <f>"535,0"</f>
        <v>535,0</v>
      </c>
      <c r="T113" s="12" t="str">
        <f>"359,7340"</f>
        <v>359,7340</v>
      </c>
      <c r="U113" s="11" t="s">
        <v>1098</v>
      </c>
    </row>
    <row r="114" spans="1:21">
      <c r="A114" s="12" t="s">
        <v>410</v>
      </c>
      <c r="B114" s="11" t="s">
        <v>1100</v>
      </c>
      <c r="C114" s="11" t="s">
        <v>1101</v>
      </c>
      <c r="D114" s="11" t="s">
        <v>1102</v>
      </c>
      <c r="E114" s="11" t="s">
        <v>3752</v>
      </c>
      <c r="F114" s="11" t="s">
        <v>3546</v>
      </c>
      <c r="G114" s="24" t="s">
        <v>76</v>
      </c>
      <c r="H114" s="24" t="s">
        <v>132</v>
      </c>
      <c r="I114" s="24" t="s">
        <v>45</v>
      </c>
      <c r="J114" s="12"/>
      <c r="K114" s="24" t="s">
        <v>38</v>
      </c>
      <c r="L114" s="24" t="s">
        <v>69</v>
      </c>
      <c r="M114" s="25" t="s">
        <v>39</v>
      </c>
      <c r="N114" s="12"/>
      <c r="O114" s="24" t="s">
        <v>37</v>
      </c>
      <c r="P114" s="24" t="s">
        <v>40</v>
      </c>
      <c r="Q114" s="24" t="s">
        <v>70</v>
      </c>
      <c r="R114" s="12"/>
      <c r="S114" s="31" t="str">
        <f>"425,0"</f>
        <v>425,0</v>
      </c>
      <c r="T114" s="12" t="str">
        <f>"290,6150"</f>
        <v>290,6150</v>
      </c>
      <c r="U114" s="11" t="s">
        <v>3471</v>
      </c>
    </row>
    <row r="115" spans="1:21">
      <c r="A115" s="12" t="s">
        <v>412</v>
      </c>
      <c r="B115" s="11" t="s">
        <v>1103</v>
      </c>
      <c r="C115" s="11" t="s">
        <v>1104</v>
      </c>
      <c r="D115" s="11" t="s">
        <v>131</v>
      </c>
      <c r="E115" s="11" t="s">
        <v>3752</v>
      </c>
      <c r="F115" s="11" t="s">
        <v>545</v>
      </c>
      <c r="G115" s="25" t="s">
        <v>78</v>
      </c>
      <c r="H115" s="24" t="s">
        <v>78</v>
      </c>
      <c r="I115" s="24" t="s">
        <v>77</v>
      </c>
      <c r="J115" s="12"/>
      <c r="K115" s="25" t="s">
        <v>39</v>
      </c>
      <c r="L115" s="25" t="s">
        <v>39</v>
      </c>
      <c r="M115" s="25" t="s">
        <v>39</v>
      </c>
      <c r="N115" s="12"/>
      <c r="O115" s="25"/>
      <c r="P115" s="12"/>
      <c r="Q115" s="12"/>
      <c r="R115" s="12"/>
      <c r="S115" s="31">
        <v>0</v>
      </c>
      <c r="T115" s="12" t="str">
        <f>"0,0000"</f>
        <v>0,0000</v>
      </c>
      <c r="U115" s="11"/>
    </row>
    <row r="116" spans="1:21">
      <c r="A116" s="12" t="s">
        <v>408</v>
      </c>
      <c r="B116" s="11" t="s">
        <v>1105</v>
      </c>
      <c r="C116" s="11" t="s">
        <v>1106</v>
      </c>
      <c r="D116" s="11" t="s">
        <v>1107</v>
      </c>
      <c r="E116" s="11" t="s">
        <v>3754</v>
      </c>
      <c r="F116" s="11" t="s">
        <v>199</v>
      </c>
      <c r="G116" s="25" t="s">
        <v>71</v>
      </c>
      <c r="H116" s="24" t="s">
        <v>71</v>
      </c>
      <c r="I116" s="25" t="s">
        <v>309</v>
      </c>
      <c r="J116" s="12"/>
      <c r="K116" s="24" t="s">
        <v>106</v>
      </c>
      <c r="L116" s="24" t="s">
        <v>76</v>
      </c>
      <c r="M116" s="25" t="s">
        <v>132</v>
      </c>
      <c r="N116" s="12"/>
      <c r="O116" s="24" t="s">
        <v>97</v>
      </c>
      <c r="P116" s="24" t="s">
        <v>98</v>
      </c>
      <c r="Q116" s="25" t="s">
        <v>99</v>
      </c>
      <c r="R116" s="12"/>
      <c r="S116" s="31" t="str">
        <f>"550,0"</f>
        <v>550,0</v>
      </c>
      <c r="T116" s="12" t="str">
        <f>"371,1950"</f>
        <v>371,1950</v>
      </c>
      <c r="U116" s="11" t="s">
        <v>1108</v>
      </c>
    </row>
    <row r="117" spans="1:21">
      <c r="A117" s="12" t="s">
        <v>410</v>
      </c>
      <c r="B117" s="11" t="s">
        <v>1109</v>
      </c>
      <c r="C117" s="11" t="s">
        <v>1110</v>
      </c>
      <c r="D117" s="11" t="s">
        <v>145</v>
      </c>
      <c r="E117" s="11" t="s">
        <v>3754</v>
      </c>
      <c r="F117" s="11" t="s">
        <v>3544</v>
      </c>
      <c r="G117" s="24" t="s">
        <v>59</v>
      </c>
      <c r="H117" s="24" t="s">
        <v>28</v>
      </c>
      <c r="I117" s="24" t="s">
        <v>113</v>
      </c>
      <c r="J117" s="12"/>
      <c r="K117" s="24" t="s">
        <v>106</v>
      </c>
      <c r="L117" s="24" t="s">
        <v>79</v>
      </c>
      <c r="M117" s="25" t="s">
        <v>451</v>
      </c>
      <c r="N117" s="12"/>
      <c r="O117" s="25" t="s">
        <v>97</v>
      </c>
      <c r="P117" s="24" t="s">
        <v>97</v>
      </c>
      <c r="Q117" s="25" t="s">
        <v>98</v>
      </c>
      <c r="R117" s="12"/>
      <c r="S117" s="31" t="str">
        <f>"520,0"</f>
        <v>520,0</v>
      </c>
      <c r="T117" s="12" t="str">
        <f>"349,6480"</f>
        <v>349,6480</v>
      </c>
      <c r="U117" s="11" t="s">
        <v>277</v>
      </c>
    </row>
    <row r="118" spans="1:21">
      <c r="A118" s="12" t="s">
        <v>411</v>
      </c>
      <c r="B118" s="11" t="s">
        <v>1111</v>
      </c>
      <c r="C118" s="11" t="s">
        <v>1112</v>
      </c>
      <c r="D118" s="11" t="s">
        <v>1113</v>
      </c>
      <c r="E118" s="11" t="s">
        <v>3754</v>
      </c>
      <c r="F118" s="11" t="s">
        <v>3534</v>
      </c>
      <c r="G118" s="25" t="s">
        <v>37</v>
      </c>
      <c r="H118" s="24" t="s">
        <v>37</v>
      </c>
      <c r="I118" s="25" t="s">
        <v>70</v>
      </c>
      <c r="J118" s="12"/>
      <c r="K118" s="24" t="s">
        <v>106</v>
      </c>
      <c r="L118" s="24" t="s">
        <v>76</v>
      </c>
      <c r="M118" s="24" t="s">
        <v>77</v>
      </c>
      <c r="N118" s="12"/>
      <c r="O118" s="24" t="s">
        <v>70</v>
      </c>
      <c r="P118" s="24" t="s">
        <v>71</v>
      </c>
      <c r="Q118" s="25" t="s">
        <v>68</v>
      </c>
      <c r="R118" s="12"/>
      <c r="S118" s="31" t="str">
        <f>"495,0"</f>
        <v>495,0</v>
      </c>
      <c r="T118" s="12" t="str">
        <f>"334,3230"</f>
        <v>334,3230</v>
      </c>
      <c r="U118" s="11"/>
    </row>
    <row r="119" spans="1:21">
      <c r="A119" s="12" t="s">
        <v>413</v>
      </c>
      <c r="B119" s="11" t="s">
        <v>1099</v>
      </c>
      <c r="C119" s="11" t="s">
        <v>3479</v>
      </c>
      <c r="D119" s="11" t="s">
        <v>65</v>
      </c>
      <c r="E119" s="11" t="s">
        <v>3754</v>
      </c>
      <c r="F119" s="11" t="s">
        <v>3508</v>
      </c>
      <c r="G119" s="24" t="s">
        <v>59</v>
      </c>
      <c r="H119" s="25" t="s">
        <v>28</v>
      </c>
      <c r="I119" s="25" t="s">
        <v>28</v>
      </c>
      <c r="J119" s="12"/>
      <c r="K119" s="24" t="s">
        <v>597</v>
      </c>
      <c r="L119" s="24" t="s">
        <v>79</v>
      </c>
      <c r="M119" s="25" t="s">
        <v>451</v>
      </c>
      <c r="N119" s="12"/>
      <c r="O119" s="24" t="s">
        <v>28</v>
      </c>
      <c r="P119" s="24" t="s">
        <v>29</v>
      </c>
      <c r="Q119" s="24" t="s">
        <v>70</v>
      </c>
      <c r="R119" s="12"/>
      <c r="S119" s="31" t="str">
        <f>"472,5"</f>
        <v>472,5</v>
      </c>
      <c r="T119" s="12" t="str">
        <f>"321,3000"</f>
        <v>321,3000</v>
      </c>
      <c r="U119" s="11"/>
    </row>
    <row r="120" spans="1:21">
      <c r="A120" s="12" t="s">
        <v>414</v>
      </c>
      <c r="B120" s="11" t="s">
        <v>1114</v>
      </c>
      <c r="C120" s="11" t="s">
        <v>1115</v>
      </c>
      <c r="D120" s="11" t="s">
        <v>1116</v>
      </c>
      <c r="E120" s="11" t="s">
        <v>3754</v>
      </c>
      <c r="F120" s="11" t="s">
        <v>3509</v>
      </c>
      <c r="G120" s="24" t="s">
        <v>76</v>
      </c>
      <c r="H120" s="25" t="s">
        <v>77</v>
      </c>
      <c r="I120" s="24" t="s">
        <v>77</v>
      </c>
      <c r="J120" s="12"/>
      <c r="K120" s="24" t="s">
        <v>19</v>
      </c>
      <c r="L120" s="24" t="s">
        <v>38</v>
      </c>
      <c r="M120" s="24" t="s">
        <v>69</v>
      </c>
      <c r="N120" s="12"/>
      <c r="O120" s="24" t="s">
        <v>132</v>
      </c>
      <c r="P120" s="24" t="s">
        <v>45</v>
      </c>
      <c r="Q120" s="24" t="s">
        <v>35</v>
      </c>
      <c r="R120" s="12"/>
      <c r="S120" s="31" t="str">
        <f>"370,0"</f>
        <v>370,0</v>
      </c>
      <c r="T120" s="12" t="str">
        <f>"254,8560"</f>
        <v>254,8560</v>
      </c>
      <c r="U120" s="11" t="s">
        <v>3472</v>
      </c>
    </row>
    <row r="121" spans="1:21">
      <c r="A121" s="12" t="s">
        <v>415</v>
      </c>
      <c r="B121" s="11" t="s">
        <v>1117</v>
      </c>
      <c r="C121" s="11" t="s">
        <v>1118</v>
      </c>
      <c r="D121" s="11" t="s">
        <v>477</v>
      </c>
      <c r="E121" s="11" t="s">
        <v>3754</v>
      </c>
      <c r="F121" s="11" t="s">
        <v>3520</v>
      </c>
      <c r="G121" s="25" t="s">
        <v>106</v>
      </c>
      <c r="H121" s="24" t="s">
        <v>106</v>
      </c>
      <c r="I121" s="24" t="s">
        <v>78</v>
      </c>
      <c r="J121" s="12"/>
      <c r="K121" s="24" t="s">
        <v>27</v>
      </c>
      <c r="L121" s="24" t="s">
        <v>18</v>
      </c>
      <c r="M121" s="25" t="s">
        <v>60</v>
      </c>
      <c r="N121" s="12"/>
      <c r="O121" s="24" t="s">
        <v>35</v>
      </c>
      <c r="P121" s="24" t="s">
        <v>46</v>
      </c>
      <c r="Q121" s="24" t="s">
        <v>494</v>
      </c>
      <c r="R121" s="12"/>
      <c r="S121" s="31" t="str">
        <f>"352,5"</f>
        <v>352,5</v>
      </c>
      <c r="T121" s="12" t="str">
        <f>"245,4458"</f>
        <v>245,4458</v>
      </c>
      <c r="U121" s="11"/>
    </row>
    <row r="122" spans="1:21">
      <c r="A122" s="12" t="s">
        <v>412</v>
      </c>
      <c r="B122" s="11" t="s">
        <v>1119</v>
      </c>
      <c r="C122" s="11" t="s">
        <v>1120</v>
      </c>
      <c r="D122" s="11" t="s">
        <v>676</v>
      </c>
      <c r="E122" s="11" t="s">
        <v>3754</v>
      </c>
      <c r="F122" s="11" t="s">
        <v>3547</v>
      </c>
      <c r="G122" s="25" t="s">
        <v>70</v>
      </c>
      <c r="H122" s="25" t="s">
        <v>66</v>
      </c>
      <c r="I122" s="25" t="s">
        <v>71</v>
      </c>
      <c r="J122" s="12"/>
      <c r="K122" s="25"/>
      <c r="L122" s="12"/>
      <c r="M122" s="12"/>
      <c r="N122" s="12"/>
      <c r="O122" s="25"/>
      <c r="P122" s="12"/>
      <c r="Q122" s="12"/>
      <c r="R122" s="12"/>
      <c r="S122" s="31">
        <v>0</v>
      </c>
      <c r="T122" s="12" t="str">
        <f>"0,0000"</f>
        <v>0,0000</v>
      </c>
      <c r="U122" s="11"/>
    </row>
    <row r="123" spans="1:21">
      <c r="A123" s="12" t="s">
        <v>408</v>
      </c>
      <c r="B123" s="11" t="s">
        <v>1121</v>
      </c>
      <c r="C123" s="11" t="s">
        <v>1122</v>
      </c>
      <c r="D123" s="11" t="s">
        <v>145</v>
      </c>
      <c r="E123" s="11" t="s">
        <v>3751</v>
      </c>
      <c r="F123" s="11" t="s">
        <v>3339</v>
      </c>
      <c r="G123" s="25" t="s">
        <v>83</v>
      </c>
      <c r="H123" s="24" t="s">
        <v>68</v>
      </c>
      <c r="I123" s="25" t="s">
        <v>86</v>
      </c>
      <c r="J123" s="12"/>
      <c r="K123" s="24" t="s">
        <v>85</v>
      </c>
      <c r="L123" s="24" t="s">
        <v>45</v>
      </c>
      <c r="M123" s="24" t="s">
        <v>25</v>
      </c>
      <c r="N123" s="12"/>
      <c r="O123" s="24" t="s">
        <v>119</v>
      </c>
      <c r="P123" s="24" t="s">
        <v>110</v>
      </c>
      <c r="Q123" s="25" t="s">
        <v>121</v>
      </c>
      <c r="R123" s="12"/>
      <c r="S123" s="31" t="str">
        <f>"635,0"</f>
        <v>635,0</v>
      </c>
      <c r="T123" s="12" t="str">
        <f>"426,9740"</f>
        <v>426,9740</v>
      </c>
      <c r="U123" s="11"/>
    </row>
    <row r="124" spans="1:21">
      <c r="A124" s="12" t="s">
        <v>410</v>
      </c>
      <c r="B124" s="11" t="s">
        <v>1124</v>
      </c>
      <c r="C124" s="11" t="s">
        <v>1125</v>
      </c>
      <c r="D124" s="11" t="s">
        <v>1126</v>
      </c>
      <c r="E124" s="11" t="s">
        <v>3751</v>
      </c>
      <c r="F124" s="11" t="s">
        <v>1127</v>
      </c>
      <c r="G124" s="24" t="s">
        <v>83</v>
      </c>
      <c r="H124" s="24" t="s">
        <v>97</v>
      </c>
      <c r="I124" s="25" t="s">
        <v>86</v>
      </c>
      <c r="J124" s="12"/>
      <c r="K124" s="24" t="s">
        <v>84</v>
      </c>
      <c r="L124" s="25" t="s">
        <v>521</v>
      </c>
      <c r="M124" s="25" t="s">
        <v>521</v>
      </c>
      <c r="N124" s="12"/>
      <c r="O124" s="24" t="s">
        <v>133</v>
      </c>
      <c r="P124" s="24" t="s">
        <v>134</v>
      </c>
      <c r="Q124" s="24" t="s">
        <v>205</v>
      </c>
      <c r="R124" s="12"/>
      <c r="S124" s="31" t="str">
        <f>"602,5"</f>
        <v>602,5</v>
      </c>
      <c r="T124" s="12" t="str">
        <f>"423,9190"</f>
        <v>423,9190</v>
      </c>
      <c r="U124" s="11"/>
    </row>
    <row r="125" spans="1:21">
      <c r="A125" s="12" t="s">
        <v>411</v>
      </c>
      <c r="B125" s="11" t="s">
        <v>1128</v>
      </c>
      <c r="C125" s="11" t="s">
        <v>1129</v>
      </c>
      <c r="D125" s="11" t="s">
        <v>1107</v>
      </c>
      <c r="E125" s="11" t="s">
        <v>3751</v>
      </c>
      <c r="F125" s="11" t="s">
        <v>3517</v>
      </c>
      <c r="G125" s="24" t="s">
        <v>97</v>
      </c>
      <c r="H125" s="24" t="s">
        <v>98</v>
      </c>
      <c r="I125" s="25" t="s">
        <v>133</v>
      </c>
      <c r="J125" s="12"/>
      <c r="K125" s="24" t="s">
        <v>25</v>
      </c>
      <c r="L125" s="24" t="s">
        <v>35</v>
      </c>
      <c r="M125" s="24" t="s">
        <v>26</v>
      </c>
      <c r="N125" s="12"/>
      <c r="O125" s="25" t="s">
        <v>68</v>
      </c>
      <c r="P125" s="24" t="s">
        <v>97</v>
      </c>
      <c r="Q125" s="25" t="s">
        <v>98</v>
      </c>
      <c r="R125" s="12"/>
      <c r="S125" s="31" t="str">
        <f>"602,5"</f>
        <v>602,5</v>
      </c>
      <c r="T125" s="12" t="str">
        <f>"406,6272"</f>
        <v>406,6272</v>
      </c>
      <c r="U125" s="11"/>
    </row>
    <row r="126" spans="1:21">
      <c r="A126" s="12" t="s">
        <v>413</v>
      </c>
      <c r="B126" s="11" t="s">
        <v>1130</v>
      </c>
      <c r="C126" s="11" t="s">
        <v>1131</v>
      </c>
      <c r="D126" s="11" t="s">
        <v>473</v>
      </c>
      <c r="E126" s="11" t="s">
        <v>3751</v>
      </c>
      <c r="F126" s="11" t="s">
        <v>3548</v>
      </c>
      <c r="G126" s="24" t="s">
        <v>70</v>
      </c>
      <c r="H126" s="24" t="s">
        <v>92</v>
      </c>
      <c r="I126" s="24" t="s">
        <v>67</v>
      </c>
      <c r="J126" s="12"/>
      <c r="K126" s="24" t="s">
        <v>84</v>
      </c>
      <c r="L126" s="24" t="s">
        <v>474</v>
      </c>
      <c r="M126" s="24" t="s">
        <v>45</v>
      </c>
      <c r="N126" s="12"/>
      <c r="O126" s="24" t="s">
        <v>86</v>
      </c>
      <c r="P126" s="25" t="s">
        <v>133</v>
      </c>
      <c r="Q126" s="24" t="s">
        <v>133</v>
      </c>
      <c r="R126" s="12"/>
      <c r="S126" s="31" t="str">
        <f>"585,0"</f>
        <v>585,0</v>
      </c>
      <c r="T126" s="12" t="str">
        <f>"392,7690"</f>
        <v>392,7690</v>
      </c>
      <c r="U126" s="11"/>
    </row>
    <row r="127" spans="1:21">
      <c r="A127" s="12" t="s">
        <v>414</v>
      </c>
      <c r="B127" s="11" t="s">
        <v>1132</v>
      </c>
      <c r="C127" s="11" t="s">
        <v>1133</v>
      </c>
      <c r="D127" s="11" t="s">
        <v>123</v>
      </c>
      <c r="E127" s="11" t="s">
        <v>3751</v>
      </c>
      <c r="F127" s="11" t="s">
        <v>199</v>
      </c>
      <c r="G127" s="24" t="s">
        <v>40</v>
      </c>
      <c r="H127" s="24" t="s">
        <v>70</v>
      </c>
      <c r="I127" s="24" t="s">
        <v>66</v>
      </c>
      <c r="J127" s="12"/>
      <c r="K127" s="24" t="s">
        <v>77</v>
      </c>
      <c r="L127" s="24" t="s">
        <v>132</v>
      </c>
      <c r="M127" s="25" t="s">
        <v>85</v>
      </c>
      <c r="N127" s="12"/>
      <c r="O127" s="24" t="s">
        <v>119</v>
      </c>
      <c r="P127" s="25" t="s">
        <v>501</v>
      </c>
      <c r="Q127" s="25" t="s">
        <v>110</v>
      </c>
      <c r="R127" s="12"/>
      <c r="S127" s="31" t="str">
        <f>"585,0"</f>
        <v>585,0</v>
      </c>
      <c r="T127" s="12" t="str">
        <f>"391,8915"</f>
        <v>391,8915</v>
      </c>
      <c r="U127" s="11" t="s">
        <v>2685</v>
      </c>
    </row>
    <row r="128" spans="1:21">
      <c r="A128" s="12" t="s">
        <v>415</v>
      </c>
      <c r="B128" s="11" t="s">
        <v>1134</v>
      </c>
      <c r="C128" s="11" t="s">
        <v>1135</v>
      </c>
      <c r="D128" s="11" t="s">
        <v>1136</v>
      </c>
      <c r="E128" s="11" t="s">
        <v>3751</v>
      </c>
      <c r="F128" s="11" t="s">
        <v>3549</v>
      </c>
      <c r="G128" s="24" t="s">
        <v>40</v>
      </c>
      <c r="H128" s="24" t="s">
        <v>70</v>
      </c>
      <c r="I128" s="25" t="s">
        <v>67</v>
      </c>
      <c r="J128" s="12"/>
      <c r="K128" s="24" t="s">
        <v>132</v>
      </c>
      <c r="L128" s="24" t="s">
        <v>85</v>
      </c>
      <c r="M128" s="25" t="s">
        <v>474</v>
      </c>
      <c r="N128" s="12"/>
      <c r="O128" s="24" t="s">
        <v>133</v>
      </c>
      <c r="P128" s="24" t="s">
        <v>134</v>
      </c>
      <c r="Q128" s="24" t="s">
        <v>205</v>
      </c>
      <c r="R128" s="12"/>
      <c r="S128" s="31" t="str">
        <f>"580,0"</f>
        <v>580,0</v>
      </c>
      <c r="T128" s="12" t="str">
        <f>"388,8320"</f>
        <v>388,8320</v>
      </c>
      <c r="U128" s="11" t="s">
        <v>1137</v>
      </c>
    </row>
    <row r="129" spans="1:21">
      <c r="A129" s="12" t="s">
        <v>416</v>
      </c>
      <c r="B129" s="11" t="s">
        <v>1138</v>
      </c>
      <c r="C129" s="11" t="s">
        <v>1139</v>
      </c>
      <c r="D129" s="11" t="s">
        <v>1140</v>
      </c>
      <c r="E129" s="11" t="s">
        <v>3751</v>
      </c>
      <c r="F129" s="11" t="s">
        <v>3550</v>
      </c>
      <c r="G129" s="25" t="s">
        <v>70</v>
      </c>
      <c r="H129" s="24" t="s">
        <v>70</v>
      </c>
      <c r="I129" s="24" t="s">
        <v>67</v>
      </c>
      <c r="J129" s="12"/>
      <c r="K129" s="24" t="s">
        <v>77</v>
      </c>
      <c r="L129" s="25" t="s">
        <v>521</v>
      </c>
      <c r="M129" s="25" t="s">
        <v>521</v>
      </c>
      <c r="N129" s="12"/>
      <c r="O129" s="24" t="s">
        <v>97</v>
      </c>
      <c r="P129" s="25" t="s">
        <v>549</v>
      </c>
      <c r="Q129" s="25" t="s">
        <v>549</v>
      </c>
      <c r="R129" s="12"/>
      <c r="S129" s="31" t="str">
        <f>"550,0"</f>
        <v>550,0</v>
      </c>
      <c r="T129" s="12" t="str">
        <f>"373,4500"</f>
        <v>373,4500</v>
      </c>
      <c r="U129" s="11" t="s">
        <v>1141</v>
      </c>
    </row>
    <row r="130" spans="1:21">
      <c r="A130" s="12" t="s">
        <v>417</v>
      </c>
      <c r="B130" s="11" t="s">
        <v>1142</v>
      </c>
      <c r="C130" s="11" t="s">
        <v>1143</v>
      </c>
      <c r="D130" s="11" t="s">
        <v>1144</v>
      </c>
      <c r="E130" s="11" t="s">
        <v>3751</v>
      </c>
      <c r="F130" s="11" t="s">
        <v>3509</v>
      </c>
      <c r="G130" s="24" t="s">
        <v>37</v>
      </c>
      <c r="H130" s="24" t="s">
        <v>40</v>
      </c>
      <c r="I130" s="25" t="s">
        <v>29</v>
      </c>
      <c r="J130" s="12"/>
      <c r="K130" s="24" t="s">
        <v>85</v>
      </c>
      <c r="L130" s="25" t="s">
        <v>45</v>
      </c>
      <c r="M130" s="25" t="s">
        <v>45</v>
      </c>
      <c r="N130" s="12"/>
      <c r="O130" s="24" t="s">
        <v>67</v>
      </c>
      <c r="P130" s="25" t="s">
        <v>83</v>
      </c>
      <c r="Q130" s="25" t="s">
        <v>83</v>
      </c>
      <c r="R130" s="12"/>
      <c r="S130" s="31" t="str">
        <f>"520,0"</f>
        <v>520,0</v>
      </c>
      <c r="T130" s="12" t="str">
        <f>"348,8680"</f>
        <v>348,8680</v>
      </c>
      <c r="U130" s="11"/>
    </row>
    <row r="131" spans="1:21">
      <c r="A131" s="12" t="s">
        <v>1364</v>
      </c>
      <c r="B131" s="11" t="s">
        <v>3459</v>
      </c>
      <c r="C131" s="11" t="s">
        <v>1145</v>
      </c>
      <c r="D131" s="11" t="s">
        <v>470</v>
      </c>
      <c r="E131" s="11" t="s">
        <v>3751</v>
      </c>
      <c r="F131" s="11" t="s">
        <v>1146</v>
      </c>
      <c r="G131" s="24" t="s">
        <v>59</v>
      </c>
      <c r="H131" s="24" t="s">
        <v>28</v>
      </c>
      <c r="I131" s="24" t="s">
        <v>29</v>
      </c>
      <c r="J131" s="12"/>
      <c r="K131" s="24" t="s">
        <v>84</v>
      </c>
      <c r="L131" s="25" t="s">
        <v>521</v>
      </c>
      <c r="M131" s="25" t="s">
        <v>521</v>
      </c>
      <c r="N131" s="12"/>
      <c r="O131" s="24" t="s">
        <v>29</v>
      </c>
      <c r="P131" s="24" t="s">
        <v>66</v>
      </c>
      <c r="Q131" s="25" t="s">
        <v>92</v>
      </c>
      <c r="R131" s="12"/>
      <c r="S131" s="31" t="str">
        <f>"507,5"</f>
        <v>507,5</v>
      </c>
      <c r="T131" s="12" t="str">
        <f>"342,2580"</f>
        <v>342,2580</v>
      </c>
      <c r="U131" s="11" t="s">
        <v>3473</v>
      </c>
    </row>
    <row r="132" spans="1:21">
      <c r="A132" s="12" t="s">
        <v>412</v>
      </c>
      <c r="B132" s="11" t="s">
        <v>1147</v>
      </c>
      <c r="C132" s="11" t="s">
        <v>1148</v>
      </c>
      <c r="D132" s="11" t="s">
        <v>1149</v>
      </c>
      <c r="E132" s="11" t="s">
        <v>3751</v>
      </c>
      <c r="F132" s="11" t="s">
        <v>3551</v>
      </c>
      <c r="G132" s="25" t="s">
        <v>39</v>
      </c>
      <c r="H132" s="24" t="s">
        <v>76</v>
      </c>
      <c r="I132" s="25" t="s">
        <v>45</v>
      </c>
      <c r="J132" s="12"/>
      <c r="K132" s="25" t="s">
        <v>39</v>
      </c>
      <c r="L132" s="25" t="s">
        <v>39</v>
      </c>
      <c r="M132" s="24" t="s">
        <v>39</v>
      </c>
      <c r="N132" s="12"/>
      <c r="O132" s="25" t="s">
        <v>45</v>
      </c>
      <c r="P132" s="25" t="s">
        <v>45</v>
      </c>
      <c r="Q132" s="25" t="s">
        <v>35</v>
      </c>
      <c r="R132" s="12"/>
      <c r="S132" s="31">
        <v>0</v>
      </c>
      <c r="T132" s="12" t="str">
        <f>"0,0000"</f>
        <v>0,0000</v>
      </c>
      <c r="U132" s="11"/>
    </row>
    <row r="133" spans="1:21">
      <c r="A133" s="12" t="s">
        <v>408</v>
      </c>
      <c r="B133" s="11" t="s">
        <v>1150</v>
      </c>
      <c r="C133" s="11" t="s">
        <v>1151</v>
      </c>
      <c r="D133" s="11" t="s">
        <v>473</v>
      </c>
      <c r="E133" s="11" t="s">
        <v>3753</v>
      </c>
      <c r="F133" s="11" t="s">
        <v>3543</v>
      </c>
      <c r="G133" s="24" t="s">
        <v>132</v>
      </c>
      <c r="H133" s="24" t="s">
        <v>85</v>
      </c>
      <c r="I133" s="24" t="s">
        <v>45</v>
      </c>
      <c r="J133" s="12"/>
      <c r="K133" s="24" t="s">
        <v>76</v>
      </c>
      <c r="L133" s="24" t="s">
        <v>451</v>
      </c>
      <c r="M133" s="25" t="s">
        <v>77</v>
      </c>
      <c r="N133" s="12"/>
      <c r="O133" s="25" t="s">
        <v>29</v>
      </c>
      <c r="P133" s="25" t="s">
        <v>29</v>
      </c>
      <c r="Q133" s="24" t="s">
        <v>29</v>
      </c>
      <c r="R133" s="12"/>
      <c r="S133" s="31" t="str">
        <f>"447,5"</f>
        <v>447,5</v>
      </c>
      <c r="T133" s="12" t="str">
        <f>"304,6578"</f>
        <v>304,6578</v>
      </c>
      <c r="U133" s="11" t="s">
        <v>1088</v>
      </c>
    </row>
    <row r="134" spans="1:21">
      <c r="A134" s="12" t="s">
        <v>408</v>
      </c>
      <c r="B134" s="11" t="s">
        <v>1121</v>
      </c>
      <c r="C134" s="11" t="s">
        <v>1152</v>
      </c>
      <c r="D134" s="11" t="s">
        <v>145</v>
      </c>
      <c r="E134" s="11" t="s">
        <v>3756</v>
      </c>
      <c r="F134" s="11" t="s">
        <v>3339</v>
      </c>
      <c r="G134" s="25" t="s">
        <v>83</v>
      </c>
      <c r="H134" s="24" t="s">
        <v>68</v>
      </c>
      <c r="I134" s="25" t="s">
        <v>86</v>
      </c>
      <c r="J134" s="12"/>
      <c r="K134" s="24" t="s">
        <v>85</v>
      </c>
      <c r="L134" s="24" t="s">
        <v>45</v>
      </c>
      <c r="M134" s="24" t="s">
        <v>25</v>
      </c>
      <c r="N134" s="12"/>
      <c r="O134" s="24" t="s">
        <v>119</v>
      </c>
      <c r="P134" s="24" t="s">
        <v>110</v>
      </c>
      <c r="Q134" s="25" t="s">
        <v>121</v>
      </c>
      <c r="R134" s="12"/>
      <c r="S134" s="31" t="str">
        <f>"635,0"</f>
        <v>635,0</v>
      </c>
      <c r="T134" s="12" t="str">
        <f>"533,7175"</f>
        <v>533,7175</v>
      </c>
      <c r="U134" s="11"/>
    </row>
    <row r="135" spans="1:21">
      <c r="A135" s="14" t="s">
        <v>408</v>
      </c>
      <c r="B135" s="13" t="s">
        <v>1153</v>
      </c>
      <c r="C135" s="13" t="s">
        <v>1154</v>
      </c>
      <c r="D135" s="13" t="s">
        <v>1155</v>
      </c>
      <c r="E135" s="13" t="s">
        <v>3758</v>
      </c>
      <c r="F135" s="13" t="s">
        <v>3552</v>
      </c>
      <c r="G135" s="26" t="s">
        <v>69</v>
      </c>
      <c r="H135" s="27" t="s">
        <v>54</v>
      </c>
      <c r="I135" s="27" t="s">
        <v>106</v>
      </c>
      <c r="J135" s="14"/>
      <c r="K135" s="26" t="s">
        <v>52</v>
      </c>
      <c r="L135" s="26" t="s">
        <v>53</v>
      </c>
      <c r="M135" s="14"/>
      <c r="N135" s="14"/>
      <c r="O135" s="26" t="s">
        <v>132</v>
      </c>
      <c r="P135" s="26" t="s">
        <v>521</v>
      </c>
      <c r="Q135" s="27" t="s">
        <v>25</v>
      </c>
      <c r="R135" s="14"/>
      <c r="S135" s="32" t="str">
        <f>"287,5"</f>
        <v>287,5</v>
      </c>
      <c r="T135" s="14" t="str">
        <f>"359,5251"</f>
        <v>359,5251</v>
      </c>
      <c r="U135" s="13"/>
    </row>
    <row r="136" spans="1:21">
      <c r="B136" s="5" t="s">
        <v>409</v>
      </c>
    </row>
    <row r="137" spans="1:21" ht="16">
      <c r="A137" s="57" t="s">
        <v>150</v>
      </c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</row>
    <row r="138" spans="1:21">
      <c r="A138" s="10" t="s">
        <v>408</v>
      </c>
      <c r="B138" s="9" t="s">
        <v>1156</v>
      </c>
      <c r="C138" s="9" t="s">
        <v>1157</v>
      </c>
      <c r="D138" s="9" t="s">
        <v>152</v>
      </c>
      <c r="E138" s="9" t="s">
        <v>3752</v>
      </c>
      <c r="F138" s="9" t="s">
        <v>3552</v>
      </c>
      <c r="G138" s="23" t="s">
        <v>68</v>
      </c>
      <c r="H138" s="23" t="s">
        <v>663</v>
      </c>
      <c r="I138" s="22" t="s">
        <v>133</v>
      </c>
      <c r="J138" s="10"/>
      <c r="K138" s="22" t="s">
        <v>248</v>
      </c>
      <c r="L138" s="23" t="s">
        <v>248</v>
      </c>
      <c r="M138" s="22" t="s">
        <v>26</v>
      </c>
      <c r="N138" s="10"/>
      <c r="O138" s="23" t="s">
        <v>87</v>
      </c>
      <c r="P138" s="22" t="s">
        <v>134</v>
      </c>
      <c r="Q138" s="23" t="s">
        <v>134</v>
      </c>
      <c r="R138" s="10"/>
      <c r="S138" s="30" t="str">
        <f>"625,0"</f>
        <v>625,0</v>
      </c>
      <c r="T138" s="10" t="str">
        <f>"399,0000"</f>
        <v>399,0000</v>
      </c>
      <c r="U138" s="9" t="s">
        <v>3231</v>
      </c>
    </row>
    <row r="139" spans="1:21">
      <c r="A139" s="12" t="s">
        <v>410</v>
      </c>
      <c r="B139" s="11" t="s">
        <v>1158</v>
      </c>
      <c r="C139" s="11" t="s">
        <v>1159</v>
      </c>
      <c r="D139" s="11" t="s">
        <v>1160</v>
      </c>
      <c r="E139" s="11" t="s">
        <v>3752</v>
      </c>
      <c r="F139" s="11" t="s">
        <v>3511</v>
      </c>
      <c r="G139" s="25" t="s">
        <v>35</v>
      </c>
      <c r="H139" s="25" t="s">
        <v>494</v>
      </c>
      <c r="I139" s="24" t="s">
        <v>494</v>
      </c>
      <c r="J139" s="12"/>
      <c r="K139" s="25" t="s">
        <v>78</v>
      </c>
      <c r="L139" s="24" t="s">
        <v>78</v>
      </c>
      <c r="M139" s="24" t="s">
        <v>76</v>
      </c>
      <c r="N139" s="12"/>
      <c r="O139" s="24" t="s">
        <v>97</v>
      </c>
      <c r="P139" s="24" t="s">
        <v>98</v>
      </c>
      <c r="Q139" s="24" t="s">
        <v>133</v>
      </c>
      <c r="R139" s="12"/>
      <c r="S139" s="31" t="str">
        <f>"517,5"</f>
        <v>517,5</v>
      </c>
      <c r="T139" s="12" t="str">
        <f>"339,3248"</f>
        <v>339,3248</v>
      </c>
      <c r="U139" s="11" t="s">
        <v>3474</v>
      </c>
    </row>
    <row r="140" spans="1:21">
      <c r="A140" s="12" t="s">
        <v>411</v>
      </c>
      <c r="B140" s="11" t="s">
        <v>1161</v>
      </c>
      <c r="C140" s="11" t="s">
        <v>1162</v>
      </c>
      <c r="D140" s="11" t="s">
        <v>1163</v>
      </c>
      <c r="E140" s="11" t="s">
        <v>3752</v>
      </c>
      <c r="F140" s="11" t="s">
        <v>3553</v>
      </c>
      <c r="G140" s="25" t="s">
        <v>46</v>
      </c>
      <c r="H140" s="24" t="s">
        <v>46</v>
      </c>
      <c r="I140" s="24" t="s">
        <v>36</v>
      </c>
      <c r="J140" s="12"/>
      <c r="K140" s="24" t="s">
        <v>106</v>
      </c>
      <c r="L140" s="24" t="s">
        <v>78</v>
      </c>
      <c r="M140" s="25" t="s">
        <v>76</v>
      </c>
      <c r="N140" s="12"/>
      <c r="O140" s="24" t="s">
        <v>36</v>
      </c>
      <c r="P140" s="24" t="s">
        <v>37</v>
      </c>
      <c r="Q140" s="24" t="s">
        <v>40</v>
      </c>
      <c r="R140" s="12"/>
      <c r="S140" s="31" t="str">
        <f>"455,0"</f>
        <v>455,0</v>
      </c>
      <c r="T140" s="12" t="str">
        <f>"302,4385"</f>
        <v>302,4385</v>
      </c>
      <c r="U140" s="11" t="s">
        <v>3348</v>
      </c>
    </row>
    <row r="141" spans="1:21">
      <c r="A141" s="12" t="s">
        <v>408</v>
      </c>
      <c r="B141" s="11" t="s">
        <v>1164</v>
      </c>
      <c r="C141" s="11" t="s">
        <v>1165</v>
      </c>
      <c r="D141" s="11" t="s">
        <v>155</v>
      </c>
      <c r="E141" s="11" t="s">
        <v>3754</v>
      </c>
      <c r="F141" s="11" t="s">
        <v>3534</v>
      </c>
      <c r="G141" s="25" t="s">
        <v>71</v>
      </c>
      <c r="H141" s="24" t="s">
        <v>71</v>
      </c>
      <c r="I141" s="25" t="s">
        <v>83</v>
      </c>
      <c r="J141" s="12"/>
      <c r="K141" s="24" t="s">
        <v>76</v>
      </c>
      <c r="L141" s="24" t="s">
        <v>132</v>
      </c>
      <c r="M141" s="25" t="s">
        <v>85</v>
      </c>
      <c r="N141" s="12"/>
      <c r="O141" s="24" t="s">
        <v>70</v>
      </c>
      <c r="P141" s="25" t="s">
        <v>71</v>
      </c>
      <c r="Q141" s="24" t="s">
        <v>309</v>
      </c>
      <c r="R141" s="12"/>
      <c r="S141" s="31" t="str">
        <f>"537,5"</f>
        <v>537,5</v>
      </c>
      <c r="T141" s="12" t="str">
        <f>"345,1287"</f>
        <v>345,1287</v>
      </c>
      <c r="U141" s="11" t="s">
        <v>1016</v>
      </c>
    </row>
    <row r="142" spans="1:21">
      <c r="A142" s="12" t="s">
        <v>410</v>
      </c>
      <c r="B142" s="11" t="s">
        <v>1166</v>
      </c>
      <c r="C142" s="11" t="s">
        <v>1167</v>
      </c>
      <c r="D142" s="11" t="s">
        <v>1168</v>
      </c>
      <c r="E142" s="11" t="s">
        <v>3754</v>
      </c>
      <c r="F142" s="11" t="s">
        <v>3509</v>
      </c>
      <c r="G142" s="24" t="s">
        <v>46</v>
      </c>
      <c r="H142" s="24" t="s">
        <v>59</v>
      </c>
      <c r="I142" s="24" t="s">
        <v>226</v>
      </c>
      <c r="J142" s="12"/>
      <c r="K142" s="24" t="s">
        <v>45</v>
      </c>
      <c r="L142" s="24" t="s">
        <v>35</v>
      </c>
      <c r="M142" s="24" t="s">
        <v>1169</v>
      </c>
      <c r="N142" s="12"/>
      <c r="O142" s="25" t="s">
        <v>70</v>
      </c>
      <c r="P142" s="24" t="s">
        <v>71</v>
      </c>
      <c r="Q142" s="25" t="s">
        <v>67</v>
      </c>
      <c r="R142" s="12"/>
      <c r="S142" s="31" t="str">
        <f>"528,5"</f>
        <v>528,5</v>
      </c>
      <c r="T142" s="12" t="str">
        <f>"340,7239"</f>
        <v>340,7239</v>
      </c>
      <c r="U142" s="11" t="s">
        <v>188</v>
      </c>
    </row>
    <row r="143" spans="1:21">
      <c r="A143" s="12" t="s">
        <v>411</v>
      </c>
      <c r="B143" s="11" t="s">
        <v>1170</v>
      </c>
      <c r="C143" s="11" t="s">
        <v>1171</v>
      </c>
      <c r="D143" s="11" t="s">
        <v>1172</v>
      </c>
      <c r="E143" s="11" t="s">
        <v>3754</v>
      </c>
      <c r="F143" s="11" t="s">
        <v>3509</v>
      </c>
      <c r="G143" s="24" t="s">
        <v>37</v>
      </c>
      <c r="H143" s="24" t="s">
        <v>596</v>
      </c>
      <c r="I143" s="25" t="s">
        <v>180</v>
      </c>
      <c r="J143" s="12"/>
      <c r="K143" s="24" t="s">
        <v>54</v>
      </c>
      <c r="L143" s="25" t="s">
        <v>84</v>
      </c>
      <c r="M143" s="25" t="s">
        <v>84</v>
      </c>
      <c r="N143" s="12"/>
      <c r="O143" s="24" t="s">
        <v>40</v>
      </c>
      <c r="P143" s="25" t="s">
        <v>66</v>
      </c>
      <c r="Q143" s="24" t="s">
        <v>71</v>
      </c>
      <c r="R143" s="12"/>
      <c r="S143" s="31" t="str">
        <f>"492,5"</f>
        <v>492,5</v>
      </c>
      <c r="T143" s="12" t="str">
        <f>"317,7117"</f>
        <v>317,7117</v>
      </c>
      <c r="U143" s="11"/>
    </row>
    <row r="144" spans="1:21">
      <c r="A144" s="12" t="s">
        <v>413</v>
      </c>
      <c r="B144" s="11" t="s">
        <v>1173</v>
      </c>
      <c r="C144" s="11" t="s">
        <v>469</v>
      </c>
      <c r="D144" s="11" t="s">
        <v>1174</v>
      </c>
      <c r="E144" s="11" t="s">
        <v>3754</v>
      </c>
      <c r="F144" s="11" t="s">
        <v>3509</v>
      </c>
      <c r="G144" s="24" t="s">
        <v>46</v>
      </c>
      <c r="H144" s="24" t="s">
        <v>36</v>
      </c>
      <c r="I144" s="24" t="s">
        <v>59</v>
      </c>
      <c r="J144" s="12"/>
      <c r="K144" s="24" t="s">
        <v>54</v>
      </c>
      <c r="L144" s="24" t="s">
        <v>106</v>
      </c>
      <c r="M144" s="24" t="s">
        <v>78</v>
      </c>
      <c r="N144" s="12"/>
      <c r="O144" s="24" t="s">
        <v>66</v>
      </c>
      <c r="P144" s="24" t="s">
        <v>67</v>
      </c>
      <c r="Q144" s="24" t="s">
        <v>83</v>
      </c>
      <c r="R144" s="12"/>
      <c r="S144" s="31" t="str">
        <f>"490,0"</f>
        <v>490,0</v>
      </c>
      <c r="T144" s="12" t="str">
        <f>"314,2370"</f>
        <v>314,2370</v>
      </c>
      <c r="U144" s="11" t="s">
        <v>2967</v>
      </c>
    </row>
    <row r="145" spans="1:21">
      <c r="A145" s="12" t="s">
        <v>414</v>
      </c>
      <c r="B145" s="11" t="s">
        <v>1175</v>
      </c>
      <c r="C145" s="11" t="s">
        <v>1176</v>
      </c>
      <c r="D145" s="11" t="s">
        <v>690</v>
      </c>
      <c r="E145" s="11" t="s">
        <v>3754</v>
      </c>
      <c r="F145" s="11" t="s">
        <v>3554</v>
      </c>
      <c r="G145" s="24" t="s">
        <v>45</v>
      </c>
      <c r="H145" s="25" t="s">
        <v>36</v>
      </c>
      <c r="I145" s="24" t="s">
        <v>59</v>
      </c>
      <c r="J145" s="12"/>
      <c r="K145" s="24" t="s">
        <v>38</v>
      </c>
      <c r="L145" s="25" t="s">
        <v>54</v>
      </c>
      <c r="M145" s="24" t="s">
        <v>106</v>
      </c>
      <c r="N145" s="12"/>
      <c r="O145" s="24" t="s">
        <v>40</v>
      </c>
      <c r="P145" s="24" t="s">
        <v>71</v>
      </c>
      <c r="Q145" s="25" t="s">
        <v>83</v>
      </c>
      <c r="R145" s="12"/>
      <c r="S145" s="31" t="str">
        <f>"475,0"</f>
        <v>475,0</v>
      </c>
      <c r="T145" s="12" t="str">
        <f>"307,7525"</f>
        <v>307,7525</v>
      </c>
      <c r="U145" s="11" t="s">
        <v>711</v>
      </c>
    </row>
    <row r="146" spans="1:21">
      <c r="A146" s="12" t="s">
        <v>415</v>
      </c>
      <c r="B146" s="11" t="s">
        <v>1052</v>
      </c>
      <c r="C146" s="11" t="s">
        <v>1177</v>
      </c>
      <c r="D146" s="11" t="s">
        <v>1178</v>
      </c>
      <c r="E146" s="11" t="s">
        <v>3754</v>
      </c>
      <c r="F146" s="11" t="s">
        <v>3509</v>
      </c>
      <c r="G146" s="24" t="s">
        <v>36</v>
      </c>
      <c r="H146" s="24" t="s">
        <v>28</v>
      </c>
      <c r="I146" s="25" t="s">
        <v>113</v>
      </c>
      <c r="J146" s="12"/>
      <c r="K146" s="25" t="s">
        <v>435</v>
      </c>
      <c r="L146" s="24" t="s">
        <v>38</v>
      </c>
      <c r="M146" s="24" t="s">
        <v>605</v>
      </c>
      <c r="N146" s="12"/>
      <c r="O146" s="24" t="s">
        <v>59</v>
      </c>
      <c r="P146" s="24" t="s">
        <v>40</v>
      </c>
      <c r="Q146" s="24" t="s">
        <v>70</v>
      </c>
      <c r="R146" s="12"/>
      <c r="S146" s="31" t="str">
        <f>"462,5"</f>
        <v>462,5</v>
      </c>
      <c r="T146" s="12" t="str">
        <f>"298,5438"</f>
        <v>298,5438</v>
      </c>
      <c r="U146" s="11"/>
    </row>
    <row r="147" spans="1:21">
      <c r="A147" s="12" t="s">
        <v>408</v>
      </c>
      <c r="B147" s="11" t="s">
        <v>1179</v>
      </c>
      <c r="C147" s="11" t="s">
        <v>1180</v>
      </c>
      <c r="D147" s="11" t="s">
        <v>683</v>
      </c>
      <c r="E147" s="11" t="s">
        <v>3751</v>
      </c>
      <c r="F147" s="11" t="s">
        <v>3555</v>
      </c>
      <c r="G147" s="24" t="s">
        <v>133</v>
      </c>
      <c r="H147" s="24" t="s">
        <v>134</v>
      </c>
      <c r="I147" s="25" t="s">
        <v>561</v>
      </c>
      <c r="J147" s="12"/>
      <c r="K147" s="24" t="s">
        <v>35</v>
      </c>
      <c r="L147" s="24" t="s">
        <v>36</v>
      </c>
      <c r="M147" s="24" t="s">
        <v>59</v>
      </c>
      <c r="N147" s="12"/>
      <c r="O147" s="24" t="s">
        <v>133</v>
      </c>
      <c r="P147" s="24" t="s">
        <v>134</v>
      </c>
      <c r="Q147" s="24" t="s">
        <v>205</v>
      </c>
      <c r="R147" s="12"/>
      <c r="S147" s="31" t="str">
        <f>"670,0"</f>
        <v>670,0</v>
      </c>
      <c r="T147" s="12" t="str">
        <f>"431,2120"</f>
        <v>431,2120</v>
      </c>
      <c r="U147" s="11" t="s">
        <v>1181</v>
      </c>
    </row>
    <row r="148" spans="1:21">
      <c r="A148" s="12" t="s">
        <v>410</v>
      </c>
      <c r="B148" s="11" t="s">
        <v>491</v>
      </c>
      <c r="C148" s="11" t="s">
        <v>492</v>
      </c>
      <c r="D148" s="11" t="s">
        <v>155</v>
      </c>
      <c r="E148" s="11" t="s">
        <v>3751</v>
      </c>
      <c r="F148" s="11" t="s">
        <v>493</v>
      </c>
      <c r="G148" s="24" t="s">
        <v>67</v>
      </c>
      <c r="H148" s="24" t="s">
        <v>210</v>
      </c>
      <c r="I148" s="24" t="s">
        <v>97</v>
      </c>
      <c r="J148" s="12"/>
      <c r="K148" s="24" t="s">
        <v>35</v>
      </c>
      <c r="L148" s="24" t="s">
        <v>46</v>
      </c>
      <c r="M148" s="25" t="s">
        <v>494</v>
      </c>
      <c r="N148" s="12"/>
      <c r="O148" s="24" t="s">
        <v>119</v>
      </c>
      <c r="P148" s="24" t="s">
        <v>120</v>
      </c>
      <c r="Q148" s="24" t="s">
        <v>121</v>
      </c>
      <c r="R148" s="12"/>
      <c r="S148" s="31" t="str">
        <f>"655,0"</f>
        <v>655,0</v>
      </c>
      <c r="T148" s="12" t="str">
        <f>"420,5755"</f>
        <v>420,5755</v>
      </c>
      <c r="U148" s="11"/>
    </row>
    <row r="149" spans="1:21">
      <c r="A149" s="12" t="s">
        <v>411</v>
      </c>
      <c r="B149" s="11" t="s">
        <v>1182</v>
      </c>
      <c r="C149" s="11" t="s">
        <v>1183</v>
      </c>
      <c r="D149" s="11" t="s">
        <v>1168</v>
      </c>
      <c r="E149" s="11" t="s">
        <v>3751</v>
      </c>
      <c r="F149" s="11" t="s">
        <v>3556</v>
      </c>
      <c r="G149" s="24" t="s">
        <v>68</v>
      </c>
      <c r="H149" s="25" t="s">
        <v>98</v>
      </c>
      <c r="I149" s="25" t="s">
        <v>98</v>
      </c>
      <c r="J149" s="12"/>
      <c r="K149" s="24" t="s">
        <v>25</v>
      </c>
      <c r="L149" s="24" t="s">
        <v>35</v>
      </c>
      <c r="M149" s="25" t="s">
        <v>26</v>
      </c>
      <c r="N149" s="12"/>
      <c r="O149" s="24" t="s">
        <v>119</v>
      </c>
      <c r="P149" s="24" t="s">
        <v>121</v>
      </c>
      <c r="Q149" s="25" t="s">
        <v>111</v>
      </c>
      <c r="R149" s="12"/>
      <c r="S149" s="31" t="str">
        <f>"645,0"</f>
        <v>645,0</v>
      </c>
      <c r="T149" s="12" t="str">
        <f>"415,8315"</f>
        <v>415,8315</v>
      </c>
      <c r="U149" s="11"/>
    </row>
    <row r="150" spans="1:21">
      <c r="A150" s="12" t="s">
        <v>413</v>
      </c>
      <c r="B150" s="11" t="s">
        <v>1184</v>
      </c>
      <c r="C150" s="11" t="s">
        <v>1185</v>
      </c>
      <c r="D150" s="11" t="s">
        <v>1186</v>
      </c>
      <c r="E150" s="11" t="s">
        <v>3751</v>
      </c>
      <c r="F150" s="11" t="s">
        <v>3557</v>
      </c>
      <c r="G150" s="24" t="s">
        <v>68</v>
      </c>
      <c r="H150" s="24" t="s">
        <v>97</v>
      </c>
      <c r="I150" s="25" t="s">
        <v>86</v>
      </c>
      <c r="J150" s="12"/>
      <c r="K150" s="24" t="s">
        <v>35</v>
      </c>
      <c r="L150" s="25" t="s">
        <v>26</v>
      </c>
      <c r="M150" s="25" t="s">
        <v>26</v>
      </c>
      <c r="N150" s="12"/>
      <c r="O150" s="24" t="s">
        <v>120</v>
      </c>
      <c r="P150" s="25" t="s">
        <v>110</v>
      </c>
      <c r="Q150" s="25" t="s">
        <v>110</v>
      </c>
      <c r="R150" s="12"/>
      <c r="S150" s="31" t="str">
        <f>"640,0"</f>
        <v>640,0</v>
      </c>
      <c r="T150" s="12" t="str">
        <f>"420,8000"</f>
        <v>420,8000</v>
      </c>
      <c r="U150" s="11"/>
    </row>
    <row r="151" spans="1:21">
      <c r="A151" s="12" t="s">
        <v>414</v>
      </c>
      <c r="B151" s="11" t="s">
        <v>1187</v>
      </c>
      <c r="C151" s="11" t="s">
        <v>1188</v>
      </c>
      <c r="D151" s="11" t="s">
        <v>1189</v>
      </c>
      <c r="E151" s="11" t="s">
        <v>3751</v>
      </c>
      <c r="F151" s="11" t="s">
        <v>3517</v>
      </c>
      <c r="G151" s="24" t="s">
        <v>67</v>
      </c>
      <c r="H151" s="24" t="s">
        <v>97</v>
      </c>
      <c r="I151" s="24" t="s">
        <v>87</v>
      </c>
      <c r="J151" s="12"/>
      <c r="K151" s="24" t="s">
        <v>25</v>
      </c>
      <c r="L151" s="24" t="s">
        <v>46</v>
      </c>
      <c r="M151" s="25" t="s">
        <v>36</v>
      </c>
      <c r="N151" s="12"/>
      <c r="O151" s="24" t="s">
        <v>97</v>
      </c>
      <c r="P151" s="24" t="s">
        <v>133</v>
      </c>
      <c r="Q151" s="24" t="s">
        <v>134</v>
      </c>
      <c r="R151" s="12"/>
      <c r="S151" s="31" t="str">
        <f>"640,0"</f>
        <v>640,0</v>
      </c>
      <c r="T151" s="12" t="str">
        <f>"409,0240"</f>
        <v>409,0240</v>
      </c>
      <c r="U151" s="11" t="s">
        <v>779</v>
      </c>
    </row>
    <row r="152" spans="1:21">
      <c r="A152" s="12" t="s">
        <v>415</v>
      </c>
      <c r="B152" s="11" t="s">
        <v>1190</v>
      </c>
      <c r="C152" s="11" t="s">
        <v>1191</v>
      </c>
      <c r="D152" s="11" t="s">
        <v>1192</v>
      </c>
      <c r="E152" s="11" t="s">
        <v>3751</v>
      </c>
      <c r="F152" s="11" t="s">
        <v>3513</v>
      </c>
      <c r="G152" s="24" t="s">
        <v>68</v>
      </c>
      <c r="H152" s="24" t="s">
        <v>98</v>
      </c>
      <c r="I152" s="25" t="s">
        <v>133</v>
      </c>
      <c r="J152" s="12"/>
      <c r="K152" s="25" t="s">
        <v>45</v>
      </c>
      <c r="L152" s="24" t="s">
        <v>248</v>
      </c>
      <c r="M152" s="24" t="s">
        <v>253</v>
      </c>
      <c r="N152" s="12"/>
      <c r="O152" s="24" t="s">
        <v>98</v>
      </c>
      <c r="P152" s="24" t="s">
        <v>134</v>
      </c>
      <c r="Q152" s="24" t="s">
        <v>119</v>
      </c>
      <c r="R152" s="12"/>
      <c r="S152" s="31" t="str">
        <f>"637,5"</f>
        <v>637,5</v>
      </c>
      <c r="T152" s="12" t="str">
        <f>"410,0400"</f>
        <v>410,0400</v>
      </c>
      <c r="U152" s="11" t="s">
        <v>72</v>
      </c>
    </row>
    <row r="153" spans="1:21">
      <c r="A153" s="12" t="s">
        <v>416</v>
      </c>
      <c r="B153" s="11" t="s">
        <v>1193</v>
      </c>
      <c r="C153" s="11" t="s">
        <v>1194</v>
      </c>
      <c r="D153" s="11" t="s">
        <v>1195</v>
      </c>
      <c r="E153" s="11" t="s">
        <v>3751</v>
      </c>
      <c r="F153" s="11" t="s">
        <v>3509</v>
      </c>
      <c r="G153" s="24" t="s">
        <v>288</v>
      </c>
      <c r="H153" s="24" t="s">
        <v>289</v>
      </c>
      <c r="I153" s="24" t="s">
        <v>317</v>
      </c>
      <c r="J153" s="12"/>
      <c r="K153" s="24" t="s">
        <v>47</v>
      </c>
      <c r="L153" s="24" t="s">
        <v>187</v>
      </c>
      <c r="M153" s="25" t="s">
        <v>37</v>
      </c>
      <c r="N153" s="12"/>
      <c r="O153" s="24" t="s">
        <v>68</v>
      </c>
      <c r="P153" s="24" t="s">
        <v>289</v>
      </c>
      <c r="Q153" s="24" t="s">
        <v>98</v>
      </c>
      <c r="R153" s="12"/>
      <c r="S153" s="31" t="str">
        <f>"625,0"</f>
        <v>625,0</v>
      </c>
      <c r="T153" s="12" t="str">
        <f>"399,6875"</f>
        <v>399,6875</v>
      </c>
      <c r="U153" s="11" t="s">
        <v>1196</v>
      </c>
    </row>
    <row r="154" spans="1:21">
      <c r="A154" s="12" t="s">
        <v>417</v>
      </c>
      <c r="B154" s="11" t="s">
        <v>1197</v>
      </c>
      <c r="C154" s="11" t="s">
        <v>1198</v>
      </c>
      <c r="D154" s="11" t="s">
        <v>1199</v>
      </c>
      <c r="E154" s="11" t="s">
        <v>3751</v>
      </c>
      <c r="F154" s="11" t="s">
        <v>3558</v>
      </c>
      <c r="G154" s="25" t="s">
        <v>71</v>
      </c>
      <c r="H154" s="25" t="s">
        <v>83</v>
      </c>
      <c r="I154" s="24" t="s">
        <v>68</v>
      </c>
      <c r="J154" s="12"/>
      <c r="K154" s="24" t="s">
        <v>85</v>
      </c>
      <c r="L154" s="24" t="s">
        <v>248</v>
      </c>
      <c r="M154" s="25" t="s">
        <v>253</v>
      </c>
      <c r="N154" s="12"/>
      <c r="O154" s="24" t="s">
        <v>133</v>
      </c>
      <c r="P154" s="25" t="s">
        <v>561</v>
      </c>
      <c r="Q154" s="24" t="s">
        <v>119</v>
      </c>
      <c r="R154" s="12"/>
      <c r="S154" s="31" t="str">
        <f>"617,5"</f>
        <v>617,5</v>
      </c>
      <c r="T154" s="12" t="str">
        <f>"396,2498"</f>
        <v>396,2498</v>
      </c>
      <c r="U154" s="11" t="s">
        <v>779</v>
      </c>
    </row>
    <row r="155" spans="1:21">
      <c r="A155" s="12" t="s">
        <v>1364</v>
      </c>
      <c r="B155" s="11" t="s">
        <v>1200</v>
      </c>
      <c r="C155" s="11" t="s">
        <v>1201</v>
      </c>
      <c r="D155" s="11" t="s">
        <v>1202</v>
      </c>
      <c r="E155" s="11" t="s">
        <v>3751</v>
      </c>
      <c r="F155" s="11" t="s">
        <v>3554</v>
      </c>
      <c r="G155" s="24" t="s">
        <v>70</v>
      </c>
      <c r="H155" s="24" t="s">
        <v>71</v>
      </c>
      <c r="I155" s="24" t="s">
        <v>67</v>
      </c>
      <c r="J155" s="12"/>
      <c r="K155" s="24" t="s">
        <v>253</v>
      </c>
      <c r="L155" s="24" t="s">
        <v>46</v>
      </c>
      <c r="M155" s="12"/>
      <c r="N155" s="12"/>
      <c r="O155" s="24" t="s">
        <v>154</v>
      </c>
      <c r="P155" s="25" t="s">
        <v>205</v>
      </c>
      <c r="Q155" s="24" t="s">
        <v>205</v>
      </c>
      <c r="R155" s="12"/>
      <c r="S155" s="31" t="str">
        <f>"615,0"</f>
        <v>615,0</v>
      </c>
      <c r="T155" s="12" t="str">
        <f>"398,9505"</f>
        <v>398,9505</v>
      </c>
      <c r="U155" s="11"/>
    </row>
    <row r="156" spans="1:21">
      <c r="A156" s="12" t="s">
        <v>1365</v>
      </c>
      <c r="B156" s="11" t="s">
        <v>1203</v>
      </c>
      <c r="C156" s="11" t="s">
        <v>1204</v>
      </c>
      <c r="D156" s="11" t="s">
        <v>1192</v>
      </c>
      <c r="E156" s="11" t="s">
        <v>3751</v>
      </c>
      <c r="F156" s="11" t="s">
        <v>3509</v>
      </c>
      <c r="G156" s="24" t="s">
        <v>70</v>
      </c>
      <c r="H156" s="25" t="s">
        <v>67</v>
      </c>
      <c r="I156" s="24" t="s">
        <v>83</v>
      </c>
      <c r="J156" s="12"/>
      <c r="K156" s="24" t="s">
        <v>85</v>
      </c>
      <c r="L156" s="25" t="s">
        <v>25</v>
      </c>
      <c r="M156" s="25" t="s">
        <v>25</v>
      </c>
      <c r="N156" s="12"/>
      <c r="O156" s="24" t="s">
        <v>97</v>
      </c>
      <c r="P156" s="24" t="s">
        <v>87</v>
      </c>
      <c r="Q156" s="25" t="s">
        <v>154</v>
      </c>
      <c r="R156" s="12"/>
      <c r="S156" s="31" t="str">
        <f>"580,0"</f>
        <v>580,0</v>
      </c>
      <c r="T156" s="12" t="str">
        <f>"373,0560"</f>
        <v>373,0560</v>
      </c>
      <c r="U156" s="11" t="s">
        <v>3340</v>
      </c>
    </row>
    <row r="157" spans="1:21">
      <c r="A157" s="12" t="s">
        <v>1366</v>
      </c>
      <c r="B157" s="11" t="s">
        <v>1205</v>
      </c>
      <c r="C157" s="11" t="s">
        <v>1206</v>
      </c>
      <c r="D157" s="11" t="s">
        <v>683</v>
      </c>
      <c r="E157" s="11" t="s">
        <v>3751</v>
      </c>
      <c r="F157" s="11" t="s">
        <v>3509</v>
      </c>
      <c r="G157" s="24" t="s">
        <v>70</v>
      </c>
      <c r="H157" s="25" t="s">
        <v>71</v>
      </c>
      <c r="I157" s="25" t="s">
        <v>71</v>
      </c>
      <c r="J157" s="12"/>
      <c r="K157" s="24" t="s">
        <v>77</v>
      </c>
      <c r="L157" s="24" t="s">
        <v>521</v>
      </c>
      <c r="M157" s="25" t="s">
        <v>85</v>
      </c>
      <c r="N157" s="12"/>
      <c r="O157" s="24" t="s">
        <v>133</v>
      </c>
      <c r="P157" s="24" t="s">
        <v>691</v>
      </c>
      <c r="Q157" s="25" t="s">
        <v>170</v>
      </c>
      <c r="R157" s="12"/>
      <c r="S157" s="31" t="str">
        <f>"565,0"</f>
        <v>565,0</v>
      </c>
      <c r="T157" s="12" t="str">
        <f>"363,6340"</f>
        <v>363,6340</v>
      </c>
      <c r="U157" s="11" t="s">
        <v>1207</v>
      </c>
    </row>
    <row r="158" spans="1:21">
      <c r="A158" s="12" t="s">
        <v>1367</v>
      </c>
      <c r="B158" s="11" t="s">
        <v>1208</v>
      </c>
      <c r="C158" s="11" t="s">
        <v>1209</v>
      </c>
      <c r="D158" s="11" t="s">
        <v>1210</v>
      </c>
      <c r="E158" s="11" t="s">
        <v>3751</v>
      </c>
      <c r="F158" s="11" t="s">
        <v>3548</v>
      </c>
      <c r="G158" s="24" t="s">
        <v>40</v>
      </c>
      <c r="H158" s="24" t="s">
        <v>596</v>
      </c>
      <c r="I158" s="25" t="s">
        <v>70</v>
      </c>
      <c r="J158" s="12"/>
      <c r="K158" s="24" t="s">
        <v>132</v>
      </c>
      <c r="L158" s="24" t="s">
        <v>521</v>
      </c>
      <c r="M158" s="25" t="s">
        <v>85</v>
      </c>
      <c r="N158" s="12"/>
      <c r="O158" s="24" t="s">
        <v>97</v>
      </c>
      <c r="P158" s="24" t="s">
        <v>317</v>
      </c>
      <c r="Q158" s="24" t="s">
        <v>663</v>
      </c>
      <c r="R158" s="12"/>
      <c r="S158" s="31" t="str">
        <f>"552,5"</f>
        <v>552,5</v>
      </c>
      <c r="T158" s="12" t="str">
        <f>"355,8100"</f>
        <v>355,8100</v>
      </c>
      <c r="U158" s="11"/>
    </row>
    <row r="159" spans="1:21">
      <c r="A159" s="12" t="s">
        <v>1368</v>
      </c>
      <c r="B159" s="11" t="s">
        <v>1211</v>
      </c>
      <c r="C159" s="11" t="s">
        <v>1212</v>
      </c>
      <c r="D159" s="11" t="s">
        <v>152</v>
      </c>
      <c r="E159" s="11" t="s">
        <v>3751</v>
      </c>
      <c r="F159" s="11" t="s">
        <v>3543</v>
      </c>
      <c r="G159" s="24" t="s">
        <v>40</v>
      </c>
      <c r="H159" s="24" t="s">
        <v>70</v>
      </c>
      <c r="I159" s="25" t="s">
        <v>181</v>
      </c>
      <c r="J159" s="12"/>
      <c r="K159" s="25" t="s">
        <v>25</v>
      </c>
      <c r="L159" s="24" t="s">
        <v>25</v>
      </c>
      <c r="M159" s="25" t="s">
        <v>35</v>
      </c>
      <c r="N159" s="12"/>
      <c r="O159" s="24" t="s">
        <v>68</v>
      </c>
      <c r="P159" s="25" t="s">
        <v>86</v>
      </c>
      <c r="Q159" s="25" t="s">
        <v>86</v>
      </c>
      <c r="R159" s="12"/>
      <c r="S159" s="31" t="str">
        <f>"550,0"</f>
        <v>550,0</v>
      </c>
      <c r="T159" s="12" t="str">
        <f>"351,1200"</f>
        <v>351,1200</v>
      </c>
      <c r="U159" s="11" t="s">
        <v>1088</v>
      </c>
    </row>
    <row r="160" spans="1:21">
      <c r="A160" s="12" t="s">
        <v>1369</v>
      </c>
      <c r="B160" s="11" t="s">
        <v>1213</v>
      </c>
      <c r="C160" s="11" t="s">
        <v>1214</v>
      </c>
      <c r="D160" s="11" t="s">
        <v>690</v>
      </c>
      <c r="E160" s="11" t="s">
        <v>3751</v>
      </c>
      <c r="F160" s="11" t="s">
        <v>3509</v>
      </c>
      <c r="G160" s="25" t="s">
        <v>40</v>
      </c>
      <c r="H160" s="25" t="s">
        <v>40</v>
      </c>
      <c r="I160" s="24" t="s">
        <v>40</v>
      </c>
      <c r="J160" s="12"/>
      <c r="K160" s="24" t="s">
        <v>77</v>
      </c>
      <c r="L160" s="24" t="s">
        <v>132</v>
      </c>
      <c r="M160" s="24" t="s">
        <v>85</v>
      </c>
      <c r="N160" s="12"/>
      <c r="O160" s="24" t="s">
        <v>71</v>
      </c>
      <c r="P160" s="24" t="s">
        <v>83</v>
      </c>
      <c r="Q160" s="24" t="s">
        <v>97</v>
      </c>
      <c r="R160" s="12"/>
      <c r="S160" s="31" t="str">
        <f>"535,0"</f>
        <v>535,0</v>
      </c>
      <c r="T160" s="12" t="str">
        <f>"346,6265"</f>
        <v>346,6265</v>
      </c>
      <c r="U160" s="11" t="s">
        <v>2636</v>
      </c>
    </row>
    <row r="161" spans="1:21">
      <c r="A161" s="12" t="s">
        <v>1370</v>
      </c>
      <c r="B161" s="11" t="s">
        <v>1215</v>
      </c>
      <c r="C161" s="11" t="s">
        <v>538</v>
      </c>
      <c r="D161" s="11" t="s">
        <v>1216</v>
      </c>
      <c r="E161" s="11" t="s">
        <v>3751</v>
      </c>
      <c r="F161" s="11" t="s">
        <v>3509</v>
      </c>
      <c r="G161" s="24" t="s">
        <v>40</v>
      </c>
      <c r="H161" s="25" t="s">
        <v>70</v>
      </c>
      <c r="I161" s="25" t="s">
        <v>70</v>
      </c>
      <c r="J161" s="12"/>
      <c r="K161" s="25" t="s">
        <v>77</v>
      </c>
      <c r="L161" s="24" t="s">
        <v>77</v>
      </c>
      <c r="M161" s="24" t="s">
        <v>84</v>
      </c>
      <c r="N161" s="12"/>
      <c r="O161" s="24" t="s">
        <v>28</v>
      </c>
      <c r="P161" s="24" t="s">
        <v>29</v>
      </c>
      <c r="Q161" s="25" t="s">
        <v>70</v>
      </c>
      <c r="R161" s="12"/>
      <c r="S161" s="31" t="str">
        <f>"492,5"</f>
        <v>492,5</v>
      </c>
      <c r="T161" s="12" t="str">
        <f>"317,3670"</f>
        <v>317,3670</v>
      </c>
      <c r="U161" s="11"/>
    </row>
    <row r="162" spans="1:21">
      <c r="A162" s="12" t="s">
        <v>1371</v>
      </c>
      <c r="B162" s="11" t="s">
        <v>1217</v>
      </c>
      <c r="C162" s="11" t="s">
        <v>1218</v>
      </c>
      <c r="D162" s="11" t="s">
        <v>1219</v>
      </c>
      <c r="E162" s="11" t="s">
        <v>3751</v>
      </c>
      <c r="F162" s="11" t="s">
        <v>3559</v>
      </c>
      <c r="G162" s="24" t="s">
        <v>25</v>
      </c>
      <c r="H162" s="24" t="s">
        <v>46</v>
      </c>
      <c r="I162" s="24" t="s">
        <v>59</v>
      </c>
      <c r="J162" s="12"/>
      <c r="K162" s="24" t="s">
        <v>54</v>
      </c>
      <c r="L162" s="24" t="s">
        <v>78</v>
      </c>
      <c r="M162" s="25" t="s">
        <v>451</v>
      </c>
      <c r="N162" s="12"/>
      <c r="O162" s="24" t="s">
        <v>28</v>
      </c>
      <c r="P162" s="24" t="s">
        <v>70</v>
      </c>
      <c r="Q162" s="24" t="s">
        <v>71</v>
      </c>
      <c r="R162" s="12"/>
      <c r="S162" s="31" t="str">
        <f>"480,0"</f>
        <v>480,0</v>
      </c>
      <c r="T162" s="12" t="str">
        <f>"320,6400"</f>
        <v>320,6400</v>
      </c>
      <c r="U162" s="11" t="s">
        <v>779</v>
      </c>
    </row>
    <row r="163" spans="1:21">
      <c r="A163" s="12" t="s">
        <v>1372</v>
      </c>
      <c r="B163" s="11" t="s">
        <v>1220</v>
      </c>
      <c r="C163" s="11" t="s">
        <v>1221</v>
      </c>
      <c r="D163" s="11" t="s">
        <v>1210</v>
      </c>
      <c r="E163" s="11" t="s">
        <v>3751</v>
      </c>
      <c r="F163" s="11" t="s">
        <v>3509</v>
      </c>
      <c r="G163" s="25" t="s">
        <v>45</v>
      </c>
      <c r="H163" s="24" t="s">
        <v>35</v>
      </c>
      <c r="I163" s="25" t="s">
        <v>36</v>
      </c>
      <c r="J163" s="12"/>
      <c r="K163" s="24" t="s">
        <v>39</v>
      </c>
      <c r="L163" s="24" t="s">
        <v>54</v>
      </c>
      <c r="M163" s="24" t="s">
        <v>586</v>
      </c>
      <c r="N163" s="12"/>
      <c r="O163" s="24" t="s">
        <v>36</v>
      </c>
      <c r="P163" s="24" t="s">
        <v>61</v>
      </c>
      <c r="Q163" s="25" t="s">
        <v>70</v>
      </c>
      <c r="R163" s="12"/>
      <c r="S163" s="31" t="str">
        <f>"435,0"</f>
        <v>435,0</v>
      </c>
      <c r="T163" s="12" t="str">
        <f>"280,1400"</f>
        <v>280,1400</v>
      </c>
      <c r="U163" s="11" t="s">
        <v>3373</v>
      </c>
    </row>
    <row r="164" spans="1:21">
      <c r="A164" s="12" t="s">
        <v>1373</v>
      </c>
      <c r="B164" s="11" t="s">
        <v>1222</v>
      </c>
      <c r="C164" s="11" t="s">
        <v>1223</v>
      </c>
      <c r="D164" s="11" t="s">
        <v>1224</v>
      </c>
      <c r="E164" s="11" t="s">
        <v>3751</v>
      </c>
      <c r="F164" s="11" t="s">
        <v>3509</v>
      </c>
      <c r="G164" s="24" t="s">
        <v>132</v>
      </c>
      <c r="H164" s="24" t="s">
        <v>85</v>
      </c>
      <c r="I164" s="24" t="s">
        <v>45</v>
      </c>
      <c r="J164" s="12"/>
      <c r="K164" s="24" t="s">
        <v>38</v>
      </c>
      <c r="L164" s="25" t="s">
        <v>600</v>
      </c>
      <c r="M164" s="12"/>
      <c r="N164" s="12"/>
      <c r="O164" s="24" t="s">
        <v>70</v>
      </c>
      <c r="P164" s="25" t="s">
        <v>71</v>
      </c>
      <c r="Q164" s="25" t="s">
        <v>71</v>
      </c>
      <c r="R164" s="12"/>
      <c r="S164" s="31" t="str">
        <f>"420,0"</f>
        <v>420,0</v>
      </c>
      <c r="T164" s="12" t="str">
        <f>"277,0740"</f>
        <v>277,0740</v>
      </c>
      <c r="U164" s="11" t="s">
        <v>1225</v>
      </c>
    </row>
    <row r="165" spans="1:21">
      <c r="A165" s="12" t="s">
        <v>412</v>
      </c>
      <c r="B165" s="11" t="s">
        <v>1226</v>
      </c>
      <c r="C165" s="11" t="s">
        <v>1227</v>
      </c>
      <c r="D165" s="11" t="s">
        <v>704</v>
      </c>
      <c r="E165" s="11" t="s">
        <v>3751</v>
      </c>
      <c r="F165" s="11" t="s">
        <v>3509</v>
      </c>
      <c r="G165" s="25" t="s">
        <v>36</v>
      </c>
      <c r="H165" s="25" t="s">
        <v>36</v>
      </c>
      <c r="I165" s="25" t="s">
        <v>36</v>
      </c>
      <c r="J165" s="12"/>
      <c r="K165" s="25"/>
      <c r="L165" s="12"/>
      <c r="M165" s="12"/>
      <c r="N165" s="12"/>
      <c r="O165" s="25"/>
      <c r="P165" s="12"/>
      <c r="Q165" s="12"/>
      <c r="R165" s="12"/>
      <c r="S165" s="31">
        <v>0</v>
      </c>
      <c r="T165" s="12" t="str">
        <f>"0,0000"</f>
        <v>0,0000</v>
      </c>
      <c r="U165" s="11"/>
    </row>
    <row r="166" spans="1:21">
      <c r="A166" s="12" t="s">
        <v>408</v>
      </c>
      <c r="B166" s="11" t="s">
        <v>1228</v>
      </c>
      <c r="C166" s="11" t="s">
        <v>1229</v>
      </c>
      <c r="D166" s="11" t="s">
        <v>1192</v>
      </c>
      <c r="E166" s="11" t="s">
        <v>3753</v>
      </c>
      <c r="F166" s="11" t="s">
        <v>3543</v>
      </c>
      <c r="G166" s="24" t="s">
        <v>68</v>
      </c>
      <c r="H166" s="24" t="s">
        <v>317</v>
      </c>
      <c r="I166" s="24" t="s">
        <v>99</v>
      </c>
      <c r="J166" s="12"/>
      <c r="K166" s="24" t="s">
        <v>46</v>
      </c>
      <c r="L166" s="24" t="s">
        <v>59</v>
      </c>
      <c r="M166" s="24" t="s">
        <v>37</v>
      </c>
      <c r="N166" s="12"/>
      <c r="O166" s="24" t="s">
        <v>68</v>
      </c>
      <c r="P166" s="24" t="s">
        <v>98</v>
      </c>
      <c r="Q166" s="24" t="s">
        <v>133</v>
      </c>
      <c r="R166" s="12"/>
      <c r="S166" s="31" t="str">
        <f>"647,5"</f>
        <v>647,5</v>
      </c>
      <c r="T166" s="12" t="str">
        <f>"448,9568"</f>
        <v>448,9568</v>
      </c>
      <c r="U166" s="11" t="s">
        <v>3475</v>
      </c>
    </row>
    <row r="167" spans="1:21">
      <c r="A167" s="12" t="s">
        <v>410</v>
      </c>
      <c r="B167" s="11" t="s">
        <v>1197</v>
      </c>
      <c r="C167" s="11" t="s">
        <v>1230</v>
      </c>
      <c r="D167" s="11" t="s">
        <v>1199</v>
      </c>
      <c r="E167" s="11" t="s">
        <v>3753</v>
      </c>
      <c r="F167" s="11" t="s">
        <v>3558</v>
      </c>
      <c r="G167" s="25" t="s">
        <v>71</v>
      </c>
      <c r="H167" s="25" t="s">
        <v>83</v>
      </c>
      <c r="I167" s="24" t="s">
        <v>68</v>
      </c>
      <c r="J167" s="12"/>
      <c r="K167" s="24" t="s">
        <v>85</v>
      </c>
      <c r="L167" s="24" t="s">
        <v>248</v>
      </c>
      <c r="M167" s="25" t="s">
        <v>253</v>
      </c>
      <c r="N167" s="12"/>
      <c r="O167" s="24" t="s">
        <v>133</v>
      </c>
      <c r="P167" s="25" t="s">
        <v>561</v>
      </c>
      <c r="Q167" s="24" t="s">
        <v>119</v>
      </c>
      <c r="R167" s="12"/>
      <c r="S167" s="31" t="str">
        <f>"617,5"</f>
        <v>617,5</v>
      </c>
      <c r="T167" s="12" t="str">
        <f>"407,3448"</f>
        <v>407,3448</v>
      </c>
      <c r="U167" s="11" t="s">
        <v>779</v>
      </c>
    </row>
    <row r="168" spans="1:21">
      <c r="A168" s="12" t="s">
        <v>411</v>
      </c>
      <c r="B168" s="11" t="s">
        <v>1231</v>
      </c>
      <c r="C168" s="11" t="s">
        <v>1232</v>
      </c>
      <c r="D168" s="11" t="s">
        <v>1233</v>
      </c>
      <c r="E168" s="11" t="s">
        <v>3753</v>
      </c>
      <c r="F168" s="11" t="s">
        <v>3523</v>
      </c>
      <c r="G168" s="24" t="s">
        <v>46</v>
      </c>
      <c r="H168" s="24" t="s">
        <v>47</v>
      </c>
      <c r="I168" s="24" t="s">
        <v>28</v>
      </c>
      <c r="J168" s="12"/>
      <c r="K168" s="24" t="s">
        <v>76</v>
      </c>
      <c r="L168" s="25" t="s">
        <v>77</v>
      </c>
      <c r="M168" s="24" t="s">
        <v>77</v>
      </c>
      <c r="N168" s="12"/>
      <c r="O168" s="24" t="s">
        <v>71</v>
      </c>
      <c r="P168" s="24" t="s">
        <v>83</v>
      </c>
      <c r="Q168" s="25" t="s">
        <v>288</v>
      </c>
      <c r="R168" s="12"/>
      <c r="S168" s="31" t="str">
        <f>"510,0"</f>
        <v>510,0</v>
      </c>
      <c r="T168" s="12" t="str">
        <f>"339,0519"</f>
        <v>339,0519</v>
      </c>
      <c r="U168" s="11" t="s">
        <v>779</v>
      </c>
    </row>
    <row r="169" spans="1:21">
      <c r="A169" s="12" t="s">
        <v>413</v>
      </c>
      <c r="B169" s="11" t="s">
        <v>1234</v>
      </c>
      <c r="C169" s="11" t="s">
        <v>1235</v>
      </c>
      <c r="D169" s="11" t="s">
        <v>152</v>
      </c>
      <c r="E169" s="11" t="s">
        <v>3753</v>
      </c>
      <c r="F169" s="11" t="s">
        <v>3509</v>
      </c>
      <c r="G169" s="24" t="s">
        <v>36</v>
      </c>
      <c r="H169" s="25" t="s">
        <v>37</v>
      </c>
      <c r="I169" s="24" t="s">
        <v>37</v>
      </c>
      <c r="J169" s="12"/>
      <c r="K169" s="25" t="s">
        <v>78</v>
      </c>
      <c r="L169" s="24" t="s">
        <v>78</v>
      </c>
      <c r="M169" s="25" t="s">
        <v>77</v>
      </c>
      <c r="N169" s="12"/>
      <c r="O169" s="24" t="s">
        <v>37</v>
      </c>
      <c r="P169" s="24" t="s">
        <v>29</v>
      </c>
      <c r="Q169" s="24" t="s">
        <v>71</v>
      </c>
      <c r="R169" s="12"/>
      <c r="S169" s="31" t="str">
        <f>"485,0"</f>
        <v>485,0</v>
      </c>
      <c r="T169" s="12" t="str">
        <f>"328,2014"</f>
        <v>328,2014</v>
      </c>
      <c r="U169" s="11" t="s">
        <v>1236</v>
      </c>
    </row>
    <row r="170" spans="1:21">
      <c r="A170" s="12" t="s">
        <v>414</v>
      </c>
      <c r="B170" s="11" t="s">
        <v>1237</v>
      </c>
      <c r="C170" s="11" t="s">
        <v>1238</v>
      </c>
      <c r="D170" s="11" t="s">
        <v>683</v>
      </c>
      <c r="E170" s="11" t="s">
        <v>3753</v>
      </c>
      <c r="F170" s="11" t="s">
        <v>3510</v>
      </c>
      <c r="G170" s="25" t="s">
        <v>45</v>
      </c>
      <c r="H170" s="24" t="s">
        <v>25</v>
      </c>
      <c r="I170" s="25" t="s">
        <v>35</v>
      </c>
      <c r="J170" s="12"/>
      <c r="K170" s="24" t="s">
        <v>38</v>
      </c>
      <c r="L170" s="24" t="s">
        <v>39</v>
      </c>
      <c r="M170" s="25" t="s">
        <v>54</v>
      </c>
      <c r="N170" s="12"/>
      <c r="O170" s="24" t="s">
        <v>35</v>
      </c>
      <c r="P170" s="24" t="s">
        <v>36</v>
      </c>
      <c r="Q170" s="24" t="s">
        <v>59</v>
      </c>
      <c r="R170" s="12"/>
      <c r="S170" s="31" t="str">
        <f>"410,0"</f>
        <v>410,0</v>
      </c>
      <c r="T170" s="12" t="str">
        <f>"265,1954"</f>
        <v>265,1954</v>
      </c>
      <c r="U170" s="11" t="s">
        <v>997</v>
      </c>
    </row>
    <row r="171" spans="1:21">
      <c r="A171" s="12" t="s">
        <v>412</v>
      </c>
      <c r="B171" s="11" t="s">
        <v>1239</v>
      </c>
      <c r="C171" s="11" t="s">
        <v>1240</v>
      </c>
      <c r="D171" s="11" t="s">
        <v>152</v>
      </c>
      <c r="E171" s="11" t="s">
        <v>3753</v>
      </c>
      <c r="F171" s="11" t="s">
        <v>3560</v>
      </c>
      <c r="G171" s="25" t="s">
        <v>70</v>
      </c>
      <c r="H171" s="25" t="s">
        <v>70</v>
      </c>
      <c r="I171" s="25" t="s">
        <v>70</v>
      </c>
      <c r="J171" s="12"/>
      <c r="K171" s="12"/>
      <c r="L171" s="25"/>
      <c r="M171" s="25"/>
      <c r="N171" s="12"/>
      <c r="O171" s="25"/>
      <c r="P171" s="12"/>
      <c r="Q171" s="12"/>
      <c r="R171" s="12"/>
      <c r="S171" s="31">
        <v>0</v>
      </c>
      <c r="T171" s="12" t="str">
        <f>"0,0000"</f>
        <v>0,0000</v>
      </c>
      <c r="U171" s="11" t="s">
        <v>1241</v>
      </c>
    </row>
    <row r="172" spans="1:21">
      <c r="A172" s="12" t="s">
        <v>408</v>
      </c>
      <c r="B172" s="11" t="s">
        <v>1179</v>
      </c>
      <c r="C172" s="11" t="s">
        <v>1242</v>
      </c>
      <c r="D172" s="11" t="s">
        <v>683</v>
      </c>
      <c r="E172" s="11" t="s">
        <v>3756</v>
      </c>
      <c r="F172" s="11" t="s">
        <v>3555</v>
      </c>
      <c r="G172" s="24" t="s">
        <v>133</v>
      </c>
      <c r="H172" s="24" t="s">
        <v>134</v>
      </c>
      <c r="I172" s="25" t="s">
        <v>561</v>
      </c>
      <c r="J172" s="12"/>
      <c r="K172" s="24" t="s">
        <v>35</v>
      </c>
      <c r="L172" s="24" t="s">
        <v>36</v>
      </c>
      <c r="M172" s="24" t="s">
        <v>59</v>
      </c>
      <c r="N172" s="12"/>
      <c r="O172" s="24" t="s">
        <v>133</v>
      </c>
      <c r="P172" s="24" t="s">
        <v>134</v>
      </c>
      <c r="Q172" s="24" t="s">
        <v>205</v>
      </c>
      <c r="R172" s="12"/>
      <c r="S172" s="31" t="str">
        <f>"670,0"</f>
        <v>670,0</v>
      </c>
      <c r="T172" s="12" t="str">
        <f>"559,2820"</f>
        <v>559,2820</v>
      </c>
      <c r="U172" s="11" t="s">
        <v>1181</v>
      </c>
    </row>
    <row r="173" spans="1:21">
      <c r="A173" s="12" t="s">
        <v>410</v>
      </c>
      <c r="B173" s="11" t="s">
        <v>1243</v>
      </c>
      <c r="C173" s="11" t="s">
        <v>1244</v>
      </c>
      <c r="D173" s="11" t="s">
        <v>1245</v>
      </c>
      <c r="E173" s="11" t="s">
        <v>3756</v>
      </c>
      <c r="F173" s="11" t="s">
        <v>3509</v>
      </c>
      <c r="G173" s="25" t="s">
        <v>40</v>
      </c>
      <c r="H173" s="24" t="s">
        <v>40</v>
      </c>
      <c r="I173" s="25" t="s">
        <v>70</v>
      </c>
      <c r="J173" s="12"/>
      <c r="K173" s="24" t="s">
        <v>76</v>
      </c>
      <c r="L173" s="25" t="s">
        <v>77</v>
      </c>
      <c r="M173" s="25" t="s">
        <v>77</v>
      </c>
      <c r="N173" s="12"/>
      <c r="O173" s="24" t="s">
        <v>67</v>
      </c>
      <c r="P173" s="24" t="s">
        <v>68</v>
      </c>
      <c r="Q173" s="25" t="s">
        <v>97</v>
      </c>
      <c r="R173" s="12"/>
      <c r="S173" s="31" t="str">
        <f>"515,0"</f>
        <v>515,0</v>
      </c>
      <c r="T173" s="12" t="str">
        <f>"398,2652"</f>
        <v>398,2652</v>
      </c>
      <c r="U173" s="11"/>
    </row>
    <row r="174" spans="1:21">
      <c r="A174" s="12" t="s">
        <v>408</v>
      </c>
      <c r="B174" s="11" t="s">
        <v>1246</v>
      </c>
      <c r="C174" s="11" t="s">
        <v>1247</v>
      </c>
      <c r="D174" s="11" t="s">
        <v>1189</v>
      </c>
      <c r="E174" s="11" t="s">
        <v>3757</v>
      </c>
      <c r="F174" s="11" t="s">
        <v>3509</v>
      </c>
      <c r="G174" s="25" t="s">
        <v>248</v>
      </c>
      <c r="H174" s="25" t="s">
        <v>248</v>
      </c>
      <c r="I174" s="24" t="s">
        <v>248</v>
      </c>
      <c r="J174" s="12"/>
      <c r="K174" s="24" t="s">
        <v>60</v>
      </c>
      <c r="L174" s="24" t="s">
        <v>19</v>
      </c>
      <c r="M174" s="12"/>
      <c r="N174" s="12"/>
      <c r="O174" s="24" t="s">
        <v>46</v>
      </c>
      <c r="P174" s="24" t="s">
        <v>36</v>
      </c>
      <c r="Q174" s="24" t="s">
        <v>59</v>
      </c>
      <c r="R174" s="12"/>
      <c r="S174" s="31" t="str">
        <f>"395,0"</f>
        <v>395,0</v>
      </c>
      <c r="T174" s="12" t="str">
        <f>"363,5201"</f>
        <v>363,5201</v>
      </c>
      <c r="U174" s="11" t="s">
        <v>1248</v>
      </c>
    </row>
    <row r="175" spans="1:21">
      <c r="A175" s="14" t="s">
        <v>410</v>
      </c>
      <c r="B175" s="13" t="s">
        <v>1249</v>
      </c>
      <c r="C175" s="13" t="s">
        <v>1250</v>
      </c>
      <c r="D175" s="13" t="s">
        <v>1251</v>
      </c>
      <c r="E175" s="13" t="s">
        <v>3757</v>
      </c>
      <c r="F175" s="13" t="s">
        <v>3535</v>
      </c>
      <c r="G175" s="26" t="s">
        <v>53</v>
      </c>
      <c r="H175" s="26" t="s">
        <v>14</v>
      </c>
      <c r="I175" s="26" t="s">
        <v>15</v>
      </c>
      <c r="J175" s="14"/>
      <c r="K175" s="26" t="s">
        <v>865</v>
      </c>
      <c r="L175" s="26" t="s">
        <v>53</v>
      </c>
      <c r="M175" s="26" t="s">
        <v>855</v>
      </c>
      <c r="N175" s="14"/>
      <c r="O175" s="26" t="s">
        <v>76</v>
      </c>
      <c r="P175" s="26" t="s">
        <v>132</v>
      </c>
      <c r="Q175" s="26" t="s">
        <v>45</v>
      </c>
      <c r="R175" s="14"/>
      <c r="S175" s="32" t="str">
        <f>"277,5"</f>
        <v>277,5</v>
      </c>
      <c r="T175" s="14" t="str">
        <f>"276,8126"</f>
        <v>276,8126</v>
      </c>
      <c r="U175" s="13" t="s">
        <v>509</v>
      </c>
    </row>
    <row r="176" spans="1:21">
      <c r="B176" s="5" t="s">
        <v>409</v>
      </c>
    </row>
    <row r="177" spans="1:21" ht="16">
      <c r="A177" s="57" t="s">
        <v>195</v>
      </c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</row>
    <row r="178" spans="1:21">
      <c r="A178" s="10" t="s">
        <v>408</v>
      </c>
      <c r="B178" s="9" t="s">
        <v>1252</v>
      </c>
      <c r="C178" s="9" t="s">
        <v>1253</v>
      </c>
      <c r="D178" s="9" t="s">
        <v>209</v>
      </c>
      <c r="E178" s="9" t="s">
        <v>3752</v>
      </c>
      <c r="F178" s="9" t="s">
        <v>3509</v>
      </c>
      <c r="G178" s="23" t="s">
        <v>85</v>
      </c>
      <c r="H178" s="23" t="s">
        <v>248</v>
      </c>
      <c r="I178" s="23" t="s">
        <v>35</v>
      </c>
      <c r="J178" s="10"/>
      <c r="K178" s="23" t="s">
        <v>39</v>
      </c>
      <c r="L178" s="23" t="s">
        <v>586</v>
      </c>
      <c r="M178" s="22" t="s">
        <v>78</v>
      </c>
      <c r="N178" s="10"/>
      <c r="O178" s="23" t="s">
        <v>37</v>
      </c>
      <c r="P178" s="23" t="s">
        <v>40</v>
      </c>
      <c r="Q178" s="23" t="s">
        <v>180</v>
      </c>
      <c r="R178" s="10"/>
      <c r="S178" s="30" t="str">
        <f>"450,0"</f>
        <v>450,0</v>
      </c>
      <c r="T178" s="10" t="str">
        <f>"275,4450"</f>
        <v>275,4450</v>
      </c>
      <c r="U178" s="9" t="s">
        <v>2237</v>
      </c>
    </row>
    <row r="179" spans="1:21">
      <c r="A179" s="12" t="s">
        <v>408</v>
      </c>
      <c r="B179" s="11" t="s">
        <v>1254</v>
      </c>
      <c r="C179" s="11" t="s">
        <v>1255</v>
      </c>
      <c r="D179" s="11" t="s">
        <v>1256</v>
      </c>
      <c r="E179" s="11" t="s">
        <v>3754</v>
      </c>
      <c r="F179" s="11" t="s">
        <v>3509</v>
      </c>
      <c r="G179" s="24" t="s">
        <v>59</v>
      </c>
      <c r="H179" s="24" t="s">
        <v>40</v>
      </c>
      <c r="I179" s="24" t="s">
        <v>596</v>
      </c>
      <c r="J179" s="12"/>
      <c r="K179" s="24" t="s">
        <v>77</v>
      </c>
      <c r="L179" s="24" t="s">
        <v>521</v>
      </c>
      <c r="M179" s="24" t="s">
        <v>474</v>
      </c>
      <c r="N179" s="12"/>
      <c r="O179" s="24" t="s">
        <v>83</v>
      </c>
      <c r="P179" s="24" t="s">
        <v>86</v>
      </c>
      <c r="Q179" s="24" t="s">
        <v>691</v>
      </c>
      <c r="R179" s="12"/>
      <c r="S179" s="31" t="str">
        <f>"567,5"</f>
        <v>567,5</v>
      </c>
      <c r="T179" s="12" t="str">
        <f>"348,3883"</f>
        <v>348,3883</v>
      </c>
      <c r="U179" s="11"/>
    </row>
    <row r="180" spans="1:21">
      <c r="A180" s="12" t="s">
        <v>408</v>
      </c>
      <c r="B180" s="11" t="s">
        <v>1257</v>
      </c>
      <c r="C180" s="11" t="s">
        <v>1258</v>
      </c>
      <c r="D180" s="11" t="s">
        <v>1259</v>
      </c>
      <c r="E180" s="11" t="s">
        <v>3751</v>
      </c>
      <c r="F180" s="11" t="s">
        <v>3561</v>
      </c>
      <c r="G180" s="24" t="s">
        <v>154</v>
      </c>
      <c r="H180" s="24" t="s">
        <v>119</v>
      </c>
      <c r="I180" s="24" t="s">
        <v>120</v>
      </c>
      <c r="J180" s="12"/>
      <c r="K180" s="24" t="s">
        <v>35</v>
      </c>
      <c r="L180" s="24" t="s">
        <v>36</v>
      </c>
      <c r="M180" s="25" t="s">
        <v>59</v>
      </c>
      <c r="N180" s="12"/>
      <c r="O180" s="24" t="s">
        <v>128</v>
      </c>
      <c r="P180" s="24" t="s">
        <v>160</v>
      </c>
      <c r="Q180" s="24" t="s">
        <v>161</v>
      </c>
      <c r="R180" s="12"/>
      <c r="S180" s="31" t="str">
        <f>"755,0"</f>
        <v>755,0</v>
      </c>
      <c r="T180" s="12" t="str">
        <f>"463,8720"</f>
        <v>463,8720</v>
      </c>
      <c r="U180" s="11"/>
    </row>
    <row r="181" spans="1:21">
      <c r="A181" s="12" t="s">
        <v>410</v>
      </c>
      <c r="B181" s="11" t="s">
        <v>1260</v>
      </c>
      <c r="C181" s="11" t="s">
        <v>1261</v>
      </c>
      <c r="D181" s="11" t="s">
        <v>512</v>
      </c>
      <c r="E181" s="11" t="s">
        <v>3751</v>
      </c>
      <c r="F181" s="11" t="s">
        <v>262</v>
      </c>
      <c r="G181" s="24" t="s">
        <v>205</v>
      </c>
      <c r="H181" s="25" t="s">
        <v>182</v>
      </c>
      <c r="I181" s="24" t="s">
        <v>182</v>
      </c>
      <c r="J181" s="12"/>
      <c r="K181" s="24" t="s">
        <v>187</v>
      </c>
      <c r="L181" s="24" t="s">
        <v>28</v>
      </c>
      <c r="M181" s="25" t="s">
        <v>113</v>
      </c>
      <c r="N181" s="12"/>
      <c r="O181" s="24" t="s">
        <v>205</v>
      </c>
      <c r="P181" s="24" t="s">
        <v>110</v>
      </c>
      <c r="Q181" s="25" t="s">
        <v>767</v>
      </c>
      <c r="R181" s="12"/>
      <c r="S181" s="31" t="str">
        <f>"715,0"</f>
        <v>715,0</v>
      </c>
      <c r="T181" s="12" t="str">
        <f>"435,2920"</f>
        <v>435,2920</v>
      </c>
      <c r="U181" s="11" t="s">
        <v>3342</v>
      </c>
    </row>
    <row r="182" spans="1:21">
      <c r="A182" s="12" t="s">
        <v>411</v>
      </c>
      <c r="B182" s="11" t="s">
        <v>1262</v>
      </c>
      <c r="C182" s="11" t="s">
        <v>1263</v>
      </c>
      <c r="D182" s="11" t="s">
        <v>1264</v>
      </c>
      <c r="E182" s="11" t="s">
        <v>3751</v>
      </c>
      <c r="F182" s="11" t="s">
        <v>3562</v>
      </c>
      <c r="G182" s="24" t="s">
        <v>133</v>
      </c>
      <c r="H182" s="25" t="s">
        <v>119</v>
      </c>
      <c r="I182" s="25" t="s">
        <v>119</v>
      </c>
      <c r="J182" s="12"/>
      <c r="K182" s="24" t="s">
        <v>45</v>
      </c>
      <c r="L182" s="24" t="s">
        <v>35</v>
      </c>
      <c r="M182" s="25" t="s">
        <v>36</v>
      </c>
      <c r="N182" s="12"/>
      <c r="O182" s="24" t="s">
        <v>119</v>
      </c>
      <c r="P182" s="24" t="s">
        <v>120</v>
      </c>
      <c r="Q182" s="24" t="s">
        <v>111</v>
      </c>
      <c r="R182" s="12"/>
      <c r="S182" s="31" t="str">
        <f>"675,0"</f>
        <v>675,0</v>
      </c>
      <c r="T182" s="12" t="str">
        <f>"414,5850"</f>
        <v>414,5850</v>
      </c>
      <c r="U182" s="11" t="s">
        <v>3476</v>
      </c>
    </row>
    <row r="183" spans="1:21">
      <c r="A183" s="12" t="s">
        <v>413</v>
      </c>
      <c r="B183" s="11" t="s">
        <v>1265</v>
      </c>
      <c r="C183" s="11" t="s">
        <v>1266</v>
      </c>
      <c r="D183" s="11" t="s">
        <v>234</v>
      </c>
      <c r="E183" s="11" t="s">
        <v>3751</v>
      </c>
      <c r="F183" s="11" t="s">
        <v>3508</v>
      </c>
      <c r="G183" s="24" t="s">
        <v>97</v>
      </c>
      <c r="H183" s="24" t="s">
        <v>98</v>
      </c>
      <c r="I183" s="24" t="s">
        <v>87</v>
      </c>
      <c r="J183" s="12"/>
      <c r="K183" s="24" t="s">
        <v>37</v>
      </c>
      <c r="L183" s="25" t="s">
        <v>28</v>
      </c>
      <c r="M183" s="25" t="s">
        <v>28</v>
      </c>
      <c r="N183" s="12"/>
      <c r="O183" s="24" t="s">
        <v>154</v>
      </c>
      <c r="P183" s="24" t="s">
        <v>119</v>
      </c>
      <c r="Q183" s="25" t="s">
        <v>169</v>
      </c>
      <c r="R183" s="12"/>
      <c r="S183" s="31" t="str">
        <f>"665,0"</f>
        <v>665,0</v>
      </c>
      <c r="T183" s="12" t="str">
        <f>"404,7190"</f>
        <v>404,7190</v>
      </c>
      <c r="U183" s="11" t="s">
        <v>1267</v>
      </c>
    </row>
    <row r="184" spans="1:21">
      <c r="A184" s="12" t="s">
        <v>414</v>
      </c>
      <c r="B184" s="11" t="s">
        <v>1268</v>
      </c>
      <c r="C184" s="11" t="s">
        <v>1269</v>
      </c>
      <c r="D184" s="11" t="s">
        <v>244</v>
      </c>
      <c r="E184" s="11" t="s">
        <v>3751</v>
      </c>
      <c r="F184" s="11" t="s">
        <v>3509</v>
      </c>
      <c r="G184" s="24" t="s">
        <v>596</v>
      </c>
      <c r="H184" s="24" t="s">
        <v>66</v>
      </c>
      <c r="I184" s="24" t="s">
        <v>83</v>
      </c>
      <c r="J184" s="12"/>
      <c r="K184" s="24" t="s">
        <v>26</v>
      </c>
      <c r="L184" s="24" t="s">
        <v>36</v>
      </c>
      <c r="M184" s="24" t="s">
        <v>59</v>
      </c>
      <c r="N184" s="12"/>
      <c r="O184" s="24" t="s">
        <v>317</v>
      </c>
      <c r="P184" s="24" t="s">
        <v>549</v>
      </c>
      <c r="Q184" s="24" t="s">
        <v>205</v>
      </c>
      <c r="R184" s="12"/>
      <c r="S184" s="31" t="str">
        <f>"630,0"</f>
        <v>630,0</v>
      </c>
      <c r="T184" s="12" t="str">
        <f>"385,3080"</f>
        <v>385,3080</v>
      </c>
      <c r="U184" s="11"/>
    </row>
    <row r="185" spans="1:21">
      <c r="A185" s="12" t="s">
        <v>415</v>
      </c>
      <c r="B185" s="11" t="s">
        <v>1270</v>
      </c>
      <c r="C185" s="11" t="s">
        <v>1271</v>
      </c>
      <c r="D185" s="11" t="s">
        <v>735</v>
      </c>
      <c r="E185" s="11" t="s">
        <v>3751</v>
      </c>
      <c r="F185" s="11" t="s">
        <v>3563</v>
      </c>
      <c r="G185" s="24" t="s">
        <v>86</v>
      </c>
      <c r="H185" s="25" t="s">
        <v>663</v>
      </c>
      <c r="I185" s="25" t="s">
        <v>663</v>
      </c>
      <c r="J185" s="12"/>
      <c r="K185" s="24" t="s">
        <v>25</v>
      </c>
      <c r="L185" s="24" t="s">
        <v>35</v>
      </c>
      <c r="M185" s="25" t="s">
        <v>26</v>
      </c>
      <c r="N185" s="12"/>
      <c r="O185" s="24" t="s">
        <v>133</v>
      </c>
      <c r="P185" s="25" t="s">
        <v>134</v>
      </c>
      <c r="Q185" s="24" t="s">
        <v>134</v>
      </c>
      <c r="R185" s="12"/>
      <c r="S185" s="31" t="str">
        <f>"625,0"</f>
        <v>625,0</v>
      </c>
      <c r="T185" s="12" t="str">
        <f>"383,1875"</f>
        <v>383,1875</v>
      </c>
      <c r="U185" s="11" t="s">
        <v>72</v>
      </c>
    </row>
    <row r="186" spans="1:21">
      <c r="A186" s="12" t="s">
        <v>416</v>
      </c>
      <c r="B186" s="11" t="s">
        <v>1272</v>
      </c>
      <c r="C186" s="11" t="s">
        <v>1273</v>
      </c>
      <c r="D186" s="11" t="s">
        <v>241</v>
      </c>
      <c r="E186" s="11" t="s">
        <v>3751</v>
      </c>
      <c r="F186" s="11" t="s">
        <v>3564</v>
      </c>
      <c r="G186" s="25" t="s">
        <v>71</v>
      </c>
      <c r="H186" s="25" t="s">
        <v>71</v>
      </c>
      <c r="I186" s="24" t="s">
        <v>71</v>
      </c>
      <c r="J186" s="12"/>
      <c r="K186" s="24" t="s">
        <v>35</v>
      </c>
      <c r="L186" s="24" t="s">
        <v>494</v>
      </c>
      <c r="M186" s="24" t="s">
        <v>47</v>
      </c>
      <c r="N186" s="12"/>
      <c r="O186" s="25" t="s">
        <v>97</v>
      </c>
      <c r="P186" s="25" t="s">
        <v>97</v>
      </c>
      <c r="Q186" s="24" t="s">
        <v>97</v>
      </c>
      <c r="R186" s="12"/>
      <c r="S186" s="31" t="str">
        <f>"582,5"</f>
        <v>582,5</v>
      </c>
      <c r="T186" s="12" t="str">
        <f>"358,5287"</f>
        <v>358,5287</v>
      </c>
      <c r="U186" s="11" t="s">
        <v>1274</v>
      </c>
    </row>
    <row r="187" spans="1:21">
      <c r="A187" s="12" t="s">
        <v>412</v>
      </c>
      <c r="B187" s="11" t="s">
        <v>1275</v>
      </c>
      <c r="C187" s="11" t="s">
        <v>1276</v>
      </c>
      <c r="D187" s="11" t="s">
        <v>524</v>
      </c>
      <c r="E187" s="11" t="s">
        <v>3751</v>
      </c>
      <c r="F187" s="11" t="s">
        <v>3509</v>
      </c>
      <c r="G187" s="25" t="s">
        <v>66</v>
      </c>
      <c r="H187" s="25" t="s">
        <v>83</v>
      </c>
      <c r="I187" s="25" t="s">
        <v>83</v>
      </c>
      <c r="J187" s="12"/>
      <c r="K187" s="12"/>
      <c r="L187" s="12"/>
      <c r="M187" s="12"/>
      <c r="N187" s="12"/>
      <c r="O187" s="12"/>
      <c r="P187" s="12"/>
      <c r="Q187" s="12"/>
      <c r="R187" s="12"/>
      <c r="S187" s="31">
        <v>0</v>
      </c>
      <c r="T187" s="12" t="str">
        <f>"0,0000"</f>
        <v>0,0000</v>
      </c>
      <c r="U187" s="11"/>
    </row>
    <row r="188" spans="1:21">
      <c r="A188" s="12" t="s">
        <v>412</v>
      </c>
      <c r="B188" s="11" t="s">
        <v>1277</v>
      </c>
      <c r="C188" s="11" t="s">
        <v>1278</v>
      </c>
      <c r="D188" s="11" t="s">
        <v>220</v>
      </c>
      <c r="E188" s="11" t="s">
        <v>3751</v>
      </c>
      <c r="F188" s="11" t="s">
        <v>3509</v>
      </c>
      <c r="G188" s="25" t="s">
        <v>36</v>
      </c>
      <c r="H188" s="25" t="s">
        <v>36</v>
      </c>
      <c r="I188" s="25" t="s">
        <v>36</v>
      </c>
      <c r="J188" s="12"/>
      <c r="K188" s="25"/>
      <c r="L188" s="12"/>
      <c r="M188" s="12"/>
      <c r="N188" s="12"/>
      <c r="O188" s="12"/>
      <c r="P188" s="12"/>
      <c r="Q188" s="25"/>
      <c r="R188" s="12"/>
      <c r="S188" s="31">
        <v>0</v>
      </c>
      <c r="T188" s="12" t="str">
        <f>"0,0000"</f>
        <v>0,0000</v>
      </c>
      <c r="U188" s="11"/>
    </row>
    <row r="189" spans="1:21">
      <c r="A189" s="12" t="s">
        <v>408</v>
      </c>
      <c r="B189" s="11" t="s">
        <v>1279</v>
      </c>
      <c r="C189" s="11" t="s">
        <v>1280</v>
      </c>
      <c r="D189" s="11" t="s">
        <v>244</v>
      </c>
      <c r="E189" s="11" t="s">
        <v>3753</v>
      </c>
      <c r="F189" s="11" t="s">
        <v>3542</v>
      </c>
      <c r="G189" s="24" t="s">
        <v>83</v>
      </c>
      <c r="H189" s="24" t="s">
        <v>97</v>
      </c>
      <c r="I189" s="25" t="s">
        <v>86</v>
      </c>
      <c r="J189" s="12"/>
      <c r="K189" s="24" t="s">
        <v>36</v>
      </c>
      <c r="L189" s="24" t="s">
        <v>37</v>
      </c>
      <c r="M189" s="25" t="s">
        <v>28</v>
      </c>
      <c r="N189" s="12"/>
      <c r="O189" s="24" t="s">
        <v>97</v>
      </c>
      <c r="P189" s="24" t="s">
        <v>133</v>
      </c>
      <c r="Q189" s="24" t="s">
        <v>134</v>
      </c>
      <c r="R189" s="12"/>
      <c r="S189" s="31" t="str">
        <f>"640,0"</f>
        <v>640,0</v>
      </c>
      <c r="T189" s="12" t="str">
        <f>"396,9039"</f>
        <v>396,9039</v>
      </c>
      <c r="U189" s="11" t="s">
        <v>305</v>
      </c>
    </row>
    <row r="190" spans="1:21">
      <c r="A190" s="14" t="s">
        <v>410</v>
      </c>
      <c r="B190" s="13" t="s">
        <v>1281</v>
      </c>
      <c r="C190" s="13" t="s">
        <v>1282</v>
      </c>
      <c r="D190" s="13" t="s">
        <v>234</v>
      </c>
      <c r="E190" s="13" t="s">
        <v>3753</v>
      </c>
      <c r="F190" s="13" t="s">
        <v>3565</v>
      </c>
      <c r="G190" s="26" t="s">
        <v>40</v>
      </c>
      <c r="H190" s="26" t="s">
        <v>70</v>
      </c>
      <c r="I190" s="27" t="s">
        <v>71</v>
      </c>
      <c r="J190" s="14"/>
      <c r="K190" s="26" t="s">
        <v>37</v>
      </c>
      <c r="L190" s="26" t="s">
        <v>40</v>
      </c>
      <c r="M190" s="26" t="s">
        <v>70</v>
      </c>
      <c r="N190" s="14"/>
      <c r="O190" s="26" t="s">
        <v>83</v>
      </c>
      <c r="P190" s="26" t="s">
        <v>97</v>
      </c>
      <c r="Q190" s="27" t="s">
        <v>98</v>
      </c>
      <c r="R190" s="14"/>
      <c r="S190" s="32" t="str">
        <f>"600,0"</f>
        <v>600,0</v>
      </c>
      <c r="T190" s="14" t="str">
        <f>"370,2723"</f>
        <v>370,2723</v>
      </c>
      <c r="U190" s="13"/>
    </row>
    <row r="191" spans="1:21">
      <c r="B191" s="5" t="s">
        <v>409</v>
      </c>
    </row>
    <row r="192" spans="1:21" ht="16">
      <c r="A192" s="57" t="s">
        <v>258</v>
      </c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</row>
    <row r="193" spans="1:21">
      <c r="A193" s="10" t="s">
        <v>408</v>
      </c>
      <c r="B193" s="9" t="s">
        <v>1283</v>
      </c>
      <c r="C193" s="9" t="s">
        <v>1284</v>
      </c>
      <c r="D193" s="9" t="s">
        <v>544</v>
      </c>
      <c r="E193" s="9" t="s">
        <v>3754</v>
      </c>
      <c r="F193" s="9" t="s">
        <v>3566</v>
      </c>
      <c r="G193" s="22" t="s">
        <v>98</v>
      </c>
      <c r="H193" s="23" t="s">
        <v>98</v>
      </c>
      <c r="I193" s="22" t="s">
        <v>134</v>
      </c>
      <c r="J193" s="10"/>
      <c r="K193" s="23" t="s">
        <v>40</v>
      </c>
      <c r="L193" s="23" t="s">
        <v>70</v>
      </c>
      <c r="M193" s="22" t="s">
        <v>71</v>
      </c>
      <c r="N193" s="10"/>
      <c r="O193" s="23" t="s">
        <v>119</v>
      </c>
      <c r="P193" s="23" t="s">
        <v>120</v>
      </c>
      <c r="Q193" s="23" t="s">
        <v>225</v>
      </c>
      <c r="R193" s="10"/>
      <c r="S193" s="30" t="str">
        <f>"702,5"</f>
        <v>702,5</v>
      </c>
      <c r="T193" s="10" t="str">
        <f>"413,7725"</f>
        <v>413,7725</v>
      </c>
      <c r="U193" s="9"/>
    </row>
    <row r="194" spans="1:21">
      <c r="A194" s="12" t="s">
        <v>408</v>
      </c>
      <c r="B194" s="11" t="s">
        <v>1285</v>
      </c>
      <c r="C194" s="11" t="s">
        <v>1286</v>
      </c>
      <c r="D194" s="11" t="s">
        <v>1287</v>
      </c>
      <c r="E194" s="11" t="s">
        <v>3751</v>
      </c>
      <c r="F194" s="11" t="s">
        <v>3509</v>
      </c>
      <c r="G194" s="25" t="s">
        <v>562</v>
      </c>
      <c r="H194" s="24" t="s">
        <v>562</v>
      </c>
      <c r="I194" s="25" t="s">
        <v>182</v>
      </c>
      <c r="J194" s="12"/>
      <c r="K194" s="24" t="s">
        <v>40</v>
      </c>
      <c r="L194" s="25" t="s">
        <v>29</v>
      </c>
      <c r="M194" s="25" t="s">
        <v>29</v>
      </c>
      <c r="N194" s="12"/>
      <c r="O194" s="24" t="s">
        <v>205</v>
      </c>
      <c r="P194" s="24" t="s">
        <v>182</v>
      </c>
      <c r="Q194" s="24" t="s">
        <v>120</v>
      </c>
      <c r="R194" s="12"/>
      <c r="S194" s="31" t="str">
        <f>"702,5"</f>
        <v>702,5</v>
      </c>
      <c r="T194" s="12" t="str">
        <f>"422,1322"</f>
        <v>422,1322</v>
      </c>
      <c r="U194" s="11" t="s">
        <v>218</v>
      </c>
    </row>
    <row r="195" spans="1:21">
      <c r="A195" s="12" t="s">
        <v>410</v>
      </c>
      <c r="B195" s="11" t="s">
        <v>1288</v>
      </c>
      <c r="C195" s="11" t="s">
        <v>1289</v>
      </c>
      <c r="D195" s="11" t="s">
        <v>1290</v>
      </c>
      <c r="E195" s="11" t="s">
        <v>3751</v>
      </c>
      <c r="F195" s="11" t="s">
        <v>545</v>
      </c>
      <c r="G195" s="24" t="s">
        <v>71</v>
      </c>
      <c r="H195" s="24" t="s">
        <v>83</v>
      </c>
      <c r="I195" s="24" t="s">
        <v>97</v>
      </c>
      <c r="J195" s="12"/>
      <c r="K195" s="24" t="s">
        <v>40</v>
      </c>
      <c r="L195" s="24" t="s">
        <v>29</v>
      </c>
      <c r="M195" s="24" t="s">
        <v>596</v>
      </c>
      <c r="N195" s="12"/>
      <c r="O195" s="24" t="s">
        <v>98</v>
      </c>
      <c r="P195" s="25" t="s">
        <v>134</v>
      </c>
      <c r="Q195" s="24" t="s">
        <v>134</v>
      </c>
      <c r="R195" s="12"/>
      <c r="S195" s="31" t="str">
        <f>"657,5"</f>
        <v>657,5</v>
      </c>
      <c r="T195" s="12" t="str">
        <f>"388,5825"</f>
        <v>388,5825</v>
      </c>
      <c r="U195" s="11"/>
    </row>
    <row r="196" spans="1:21">
      <c r="A196" s="12" t="s">
        <v>411</v>
      </c>
      <c r="B196" s="11" t="s">
        <v>1291</v>
      </c>
      <c r="C196" s="11" t="s">
        <v>1292</v>
      </c>
      <c r="D196" s="11" t="s">
        <v>276</v>
      </c>
      <c r="E196" s="11" t="s">
        <v>3751</v>
      </c>
      <c r="F196" s="11" t="s">
        <v>3567</v>
      </c>
      <c r="G196" s="25" t="s">
        <v>71</v>
      </c>
      <c r="H196" s="24" t="s">
        <v>67</v>
      </c>
      <c r="I196" s="24" t="s">
        <v>86</v>
      </c>
      <c r="J196" s="12"/>
      <c r="K196" s="24" t="s">
        <v>45</v>
      </c>
      <c r="L196" s="24" t="s">
        <v>35</v>
      </c>
      <c r="M196" s="25" t="s">
        <v>36</v>
      </c>
      <c r="N196" s="12"/>
      <c r="O196" s="24" t="s">
        <v>120</v>
      </c>
      <c r="P196" s="24" t="s">
        <v>121</v>
      </c>
      <c r="Q196" s="25" t="s">
        <v>767</v>
      </c>
      <c r="R196" s="12"/>
      <c r="S196" s="31" t="str">
        <f>"655,0"</f>
        <v>655,0</v>
      </c>
      <c r="T196" s="12" t="str">
        <f>"387,0395"</f>
        <v>387,0395</v>
      </c>
      <c r="U196" s="11" t="s">
        <v>1293</v>
      </c>
    </row>
    <row r="197" spans="1:21">
      <c r="A197" s="12" t="s">
        <v>413</v>
      </c>
      <c r="B197" s="11" t="s">
        <v>1294</v>
      </c>
      <c r="C197" s="11" t="s">
        <v>1295</v>
      </c>
      <c r="D197" s="11" t="s">
        <v>1296</v>
      </c>
      <c r="E197" s="11" t="s">
        <v>3751</v>
      </c>
      <c r="F197" s="11" t="s">
        <v>3568</v>
      </c>
      <c r="G197" s="25" t="s">
        <v>70</v>
      </c>
      <c r="H197" s="24" t="s">
        <v>92</v>
      </c>
      <c r="I197" s="25" t="s">
        <v>83</v>
      </c>
      <c r="J197" s="12"/>
      <c r="K197" s="24" t="s">
        <v>226</v>
      </c>
      <c r="L197" s="24" t="s">
        <v>40</v>
      </c>
      <c r="M197" s="25" t="s">
        <v>596</v>
      </c>
      <c r="N197" s="12"/>
      <c r="O197" s="24" t="s">
        <v>562</v>
      </c>
      <c r="P197" s="24" t="s">
        <v>170</v>
      </c>
      <c r="Q197" s="24" t="s">
        <v>120</v>
      </c>
      <c r="R197" s="12"/>
      <c r="S197" s="31" t="str">
        <f>"652,5"</f>
        <v>652,5</v>
      </c>
      <c r="T197" s="12" t="str">
        <f>"389,5425"</f>
        <v>389,5425</v>
      </c>
      <c r="U197" s="11" t="s">
        <v>1297</v>
      </c>
    </row>
    <row r="198" spans="1:21">
      <c r="A198" s="12" t="s">
        <v>414</v>
      </c>
      <c r="B198" s="11" t="s">
        <v>1298</v>
      </c>
      <c r="C198" s="11" t="s">
        <v>1299</v>
      </c>
      <c r="D198" s="11" t="s">
        <v>1300</v>
      </c>
      <c r="E198" s="11" t="s">
        <v>3751</v>
      </c>
      <c r="F198" s="11" t="s">
        <v>3569</v>
      </c>
      <c r="G198" s="24" t="s">
        <v>71</v>
      </c>
      <c r="H198" s="25" t="s">
        <v>83</v>
      </c>
      <c r="I198" s="24" t="s">
        <v>68</v>
      </c>
      <c r="J198" s="12"/>
      <c r="K198" s="24" t="s">
        <v>36</v>
      </c>
      <c r="L198" s="24" t="s">
        <v>37</v>
      </c>
      <c r="M198" s="25" t="s">
        <v>28</v>
      </c>
      <c r="N198" s="12"/>
      <c r="O198" s="24" t="s">
        <v>97</v>
      </c>
      <c r="P198" s="24" t="s">
        <v>98</v>
      </c>
      <c r="Q198" s="12"/>
      <c r="R198" s="12"/>
      <c r="S198" s="31" t="str">
        <f>"615,0"</f>
        <v>615,0</v>
      </c>
      <c r="T198" s="12" t="str">
        <f>"366,9090"</f>
        <v>366,9090</v>
      </c>
      <c r="U198" s="11" t="s">
        <v>1301</v>
      </c>
    </row>
    <row r="199" spans="1:21">
      <c r="A199" s="12" t="s">
        <v>415</v>
      </c>
      <c r="B199" s="11" t="s">
        <v>1302</v>
      </c>
      <c r="C199" s="11" t="s">
        <v>1303</v>
      </c>
      <c r="D199" s="11" t="s">
        <v>1304</v>
      </c>
      <c r="E199" s="11" t="s">
        <v>3751</v>
      </c>
      <c r="F199" s="11" t="s">
        <v>3562</v>
      </c>
      <c r="G199" s="24" t="s">
        <v>40</v>
      </c>
      <c r="H199" s="24" t="s">
        <v>66</v>
      </c>
      <c r="I199" s="24" t="s">
        <v>67</v>
      </c>
      <c r="J199" s="12"/>
      <c r="K199" s="24" t="s">
        <v>474</v>
      </c>
      <c r="L199" s="24" t="s">
        <v>248</v>
      </c>
      <c r="M199" s="25" t="s">
        <v>35</v>
      </c>
      <c r="N199" s="12"/>
      <c r="O199" s="24" t="s">
        <v>70</v>
      </c>
      <c r="P199" s="24" t="s">
        <v>83</v>
      </c>
      <c r="Q199" s="24" t="s">
        <v>86</v>
      </c>
      <c r="R199" s="12"/>
      <c r="S199" s="31" t="str">
        <f>"572,5"</f>
        <v>572,5</v>
      </c>
      <c r="T199" s="12" t="str">
        <f>"339,8932"</f>
        <v>339,8932</v>
      </c>
      <c r="U199" s="11" t="s">
        <v>3477</v>
      </c>
    </row>
    <row r="200" spans="1:21">
      <c r="A200" s="12" t="s">
        <v>416</v>
      </c>
      <c r="B200" s="11" t="s">
        <v>1305</v>
      </c>
      <c r="C200" s="11" t="s">
        <v>1306</v>
      </c>
      <c r="D200" s="11" t="s">
        <v>1287</v>
      </c>
      <c r="E200" s="11" t="s">
        <v>3751</v>
      </c>
      <c r="F200" s="11" t="s">
        <v>3509</v>
      </c>
      <c r="G200" s="24" t="s">
        <v>106</v>
      </c>
      <c r="H200" s="25" t="s">
        <v>76</v>
      </c>
      <c r="I200" s="25" t="s">
        <v>76</v>
      </c>
      <c r="J200" s="12"/>
      <c r="K200" s="24" t="s">
        <v>14</v>
      </c>
      <c r="L200" s="24" t="s">
        <v>18</v>
      </c>
      <c r="M200" s="25" t="s">
        <v>60</v>
      </c>
      <c r="N200" s="12"/>
      <c r="O200" s="24" t="s">
        <v>78</v>
      </c>
      <c r="P200" s="24" t="s">
        <v>85</v>
      </c>
      <c r="Q200" s="24" t="s">
        <v>46</v>
      </c>
      <c r="R200" s="12"/>
      <c r="S200" s="31" t="str">
        <f>"345,0"</f>
        <v>345,0</v>
      </c>
      <c r="T200" s="12" t="str">
        <f>"207,3105"</f>
        <v>207,3105</v>
      </c>
      <c r="U200" s="11" t="s">
        <v>1307</v>
      </c>
    </row>
    <row r="201" spans="1:21">
      <c r="A201" s="14" t="s">
        <v>412</v>
      </c>
      <c r="B201" s="13" t="s">
        <v>1308</v>
      </c>
      <c r="C201" s="13" t="s">
        <v>1309</v>
      </c>
      <c r="D201" s="13" t="s">
        <v>1310</v>
      </c>
      <c r="E201" s="11" t="s">
        <v>3751</v>
      </c>
      <c r="F201" s="13" t="s">
        <v>3534</v>
      </c>
      <c r="G201" s="27" t="s">
        <v>71</v>
      </c>
      <c r="H201" s="27" t="s">
        <v>71</v>
      </c>
      <c r="I201" s="27" t="s">
        <v>71</v>
      </c>
      <c r="J201" s="14"/>
      <c r="K201" s="27"/>
      <c r="L201" s="14"/>
      <c r="M201" s="14"/>
      <c r="N201" s="14"/>
      <c r="O201" s="14"/>
      <c r="P201" s="14"/>
      <c r="Q201" s="27"/>
      <c r="R201" s="14"/>
      <c r="S201" s="32">
        <v>0</v>
      </c>
      <c r="T201" s="14" t="str">
        <f>"0,0000"</f>
        <v>0,0000</v>
      </c>
      <c r="U201" s="13"/>
    </row>
    <row r="202" spans="1:21">
      <c r="B202" s="5" t="s">
        <v>409</v>
      </c>
    </row>
    <row r="203" spans="1:21" ht="16">
      <c r="A203" s="57" t="s">
        <v>280</v>
      </c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</row>
    <row r="204" spans="1:21">
      <c r="A204" s="10" t="s">
        <v>408</v>
      </c>
      <c r="B204" s="9" t="s">
        <v>1311</v>
      </c>
      <c r="C204" s="9" t="s">
        <v>1312</v>
      </c>
      <c r="D204" s="9" t="s">
        <v>1313</v>
      </c>
      <c r="E204" s="9" t="s">
        <v>3751</v>
      </c>
      <c r="F204" s="9" t="s">
        <v>3535</v>
      </c>
      <c r="G204" s="23" t="s">
        <v>97</v>
      </c>
      <c r="H204" s="23" t="s">
        <v>98</v>
      </c>
      <c r="I204" s="23" t="s">
        <v>87</v>
      </c>
      <c r="J204" s="10"/>
      <c r="K204" s="23" t="s">
        <v>35</v>
      </c>
      <c r="L204" s="23" t="s">
        <v>47</v>
      </c>
      <c r="M204" s="23" t="s">
        <v>37</v>
      </c>
      <c r="N204" s="10"/>
      <c r="O204" s="23" t="s">
        <v>134</v>
      </c>
      <c r="P204" s="23" t="s">
        <v>120</v>
      </c>
      <c r="Q204" s="23" t="s">
        <v>121</v>
      </c>
      <c r="R204" s="10"/>
      <c r="S204" s="30" t="str">
        <f>"685,0"</f>
        <v>685,0</v>
      </c>
      <c r="T204" s="10" t="str">
        <f>"395,9300"</f>
        <v>395,9300</v>
      </c>
      <c r="U204" s="9"/>
    </row>
    <row r="205" spans="1:21">
      <c r="A205" s="12" t="s">
        <v>410</v>
      </c>
      <c r="B205" s="11" t="s">
        <v>1314</v>
      </c>
      <c r="C205" s="11" t="s">
        <v>1315</v>
      </c>
      <c r="D205" s="11" t="s">
        <v>1316</v>
      </c>
      <c r="E205" s="11" t="s">
        <v>3751</v>
      </c>
      <c r="F205" s="11" t="s">
        <v>3509</v>
      </c>
      <c r="G205" s="24" t="s">
        <v>86</v>
      </c>
      <c r="H205" s="25" t="s">
        <v>87</v>
      </c>
      <c r="I205" s="24" t="s">
        <v>87</v>
      </c>
      <c r="J205" s="12"/>
      <c r="K205" s="24" t="s">
        <v>70</v>
      </c>
      <c r="L205" s="24" t="s">
        <v>71</v>
      </c>
      <c r="M205" s="25" t="s">
        <v>67</v>
      </c>
      <c r="N205" s="12"/>
      <c r="O205" s="25" t="s">
        <v>86</v>
      </c>
      <c r="P205" s="24" t="s">
        <v>86</v>
      </c>
      <c r="Q205" s="24" t="s">
        <v>87</v>
      </c>
      <c r="R205" s="12"/>
      <c r="S205" s="31" t="str">
        <f>"670,0"</f>
        <v>670,0</v>
      </c>
      <c r="T205" s="12" t="str">
        <f>"383,5750"</f>
        <v>383,5750</v>
      </c>
      <c r="U205" s="11" t="s">
        <v>3478</v>
      </c>
    </row>
    <row r="206" spans="1:21">
      <c r="A206" s="12" t="s">
        <v>412</v>
      </c>
      <c r="B206" s="11" t="s">
        <v>1317</v>
      </c>
      <c r="C206" s="11" t="s">
        <v>1318</v>
      </c>
      <c r="D206" s="11" t="s">
        <v>1319</v>
      </c>
      <c r="E206" s="11" t="s">
        <v>3751</v>
      </c>
      <c r="F206" s="11" t="s">
        <v>3564</v>
      </c>
      <c r="G206" s="25" t="s">
        <v>98</v>
      </c>
      <c r="H206" s="25" t="s">
        <v>98</v>
      </c>
      <c r="I206" s="25" t="s">
        <v>98</v>
      </c>
      <c r="J206" s="12"/>
      <c r="K206" s="25"/>
      <c r="L206" s="12"/>
      <c r="M206" s="12"/>
      <c r="N206" s="12"/>
      <c r="O206" s="25"/>
      <c r="P206" s="12"/>
      <c r="Q206" s="12"/>
      <c r="R206" s="12"/>
      <c r="S206" s="31">
        <v>0</v>
      </c>
      <c r="T206" s="12" t="str">
        <f>"0,0000"</f>
        <v>0,0000</v>
      </c>
      <c r="U206" s="11" t="s">
        <v>1274</v>
      </c>
    </row>
    <row r="207" spans="1:21">
      <c r="A207" s="14" t="s">
        <v>408</v>
      </c>
      <c r="B207" s="13" t="s">
        <v>1320</v>
      </c>
      <c r="C207" s="13" t="s">
        <v>1321</v>
      </c>
      <c r="D207" s="13" t="s">
        <v>1322</v>
      </c>
      <c r="E207" s="13" t="s">
        <v>3756</v>
      </c>
      <c r="F207" s="13" t="s">
        <v>3509</v>
      </c>
      <c r="G207" s="26" t="s">
        <v>36</v>
      </c>
      <c r="H207" s="26" t="s">
        <v>37</v>
      </c>
      <c r="I207" s="26" t="s">
        <v>40</v>
      </c>
      <c r="J207" s="14"/>
      <c r="K207" s="26" t="s">
        <v>76</v>
      </c>
      <c r="L207" s="26" t="s">
        <v>132</v>
      </c>
      <c r="M207" s="27" t="s">
        <v>85</v>
      </c>
      <c r="N207" s="14"/>
      <c r="O207" s="26" t="s">
        <v>37</v>
      </c>
      <c r="P207" s="26" t="s">
        <v>29</v>
      </c>
      <c r="Q207" s="26" t="s">
        <v>71</v>
      </c>
      <c r="R207" s="14"/>
      <c r="S207" s="32" t="str">
        <f>"510,0"</f>
        <v>510,0</v>
      </c>
      <c r="T207" s="14" t="str">
        <f>"355,4917"</f>
        <v>355,4917</v>
      </c>
      <c r="U207" s="13" t="s">
        <v>3332</v>
      </c>
    </row>
    <row r="208" spans="1:21">
      <c r="B208" s="5" t="s">
        <v>409</v>
      </c>
    </row>
    <row r="209" spans="1:21" ht="16">
      <c r="A209" s="57" t="s">
        <v>328</v>
      </c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</row>
    <row r="210" spans="1:21">
      <c r="A210" s="10" t="s">
        <v>408</v>
      </c>
      <c r="B210" s="9" t="s">
        <v>1323</v>
      </c>
      <c r="C210" s="9" t="s">
        <v>1324</v>
      </c>
      <c r="D210" s="9" t="s">
        <v>1325</v>
      </c>
      <c r="E210" s="9" t="s">
        <v>3754</v>
      </c>
      <c r="F210" s="9" t="s">
        <v>3509</v>
      </c>
      <c r="G210" s="22" t="s">
        <v>182</v>
      </c>
      <c r="H210" s="23" t="s">
        <v>110</v>
      </c>
      <c r="I210" s="23" t="s">
        <v>111</v>
      </c>
      <c r="J210" s="10"/>
      <c r="K210" s="23" t="s">
        <v>37</v>
      </c>
      <c r="L210" s="23" t="s">
        <v>40</v>
      </c>
      <c r="M210" s="23" t="s">
        <v>29</v>
      </c>
      <c r="N210" s="10"/>
      <c r="O210" s="23" t="s">
        <v>182</v>
      </c>
      <c r="P210" s="23" t="s">
        <v>121</v>
      </c>
      <c r="Q210" s="23" t="s">
        <v>114</v>
      </c>
      <c r="R210" s="10"/>
      <c r="S210" s="30" t="str">
        <f>"760,0"</f>
        <v>760,0</v>
      </c>
      <c r="T210" s="10" t="str">
        <f>"425,4480"</f>
        <v>425,4480</v>
      </c>
      <c r="U210" s="9" t="s">
        <v>188</v>
      </c>
    </row>
    <row r="211" spans="1:21">
      <c r="A211" s="14" t="s">
        <v>408</v>
      </c>
      <c r="B211" s="13" t="s">
        <v>1326</v>
      </c>
      <c r="C211" s="13" t="s">
        <v>1327</v>
      </c>
      <c r="D211" s="13" t="s">
        <v>1328</v>
      </c>
      <c r="E211" s="13" t="s">
        <v>3751</v>
      </c>
      <c r="F211" s="13" t="s">
        <v>3523</v>
      </c>
      <c r="G211" s="26" t="s">
        <v>134</v>
      </c>
      <c r="H211" s="27" t="s">
        <v>119</v>
      </c>
      <c r="I211" s="26" t="s">
        <v>119</v>
      </c>
      <c r="J211" s="14"/>
      <c r="K211" s="26" t="s">
        <v>36</v>
      </c>
      <c r="L211" s="26" t="s">
        <v>37</v>
      </c>
      <c r="M211" s="14"/>
      <c r="N211" s="14"/>
      <c r="O211" s="26" t="s">
        <v>133</v>
      </c>
      <c r="P211" s="26" t="s">
        <v>134</v>
      </c>
      <c r="Q211" s="14"/>
      <c r="R211" s="14"/>
      <c r="S211" s="32" t="str">
        <f>"680,0"</f>
        <v>680,0</v>
      </c>
      <c r="T211" s="14" t="str">
        <f>"387,4640"</f>
        <v>387,4640</v>
      </c>
      <c r="U211" s="13" t="s">
        <v>1329</v>
      </c>
    </row>
    <row r="212" spans="1:21">
      <c r="B212" s="5" t="s">
        <v>409</v>
      </c>
    </row>
    <row r="213" spans="1:21" ht="16">
      <c r="A213" s="57" t="s">
        <v>346</v>
      </c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</row>
    <row r="214" spans="1:21">
      <c r="A214" s="10" t="s">
        <v>412</v>
      </c>
      <c r="B214" s="9" t="s">
        <v>352</v>
      </c>
      <c r="C214" s="9" t="s">
        <v>353</v>
      </c>
      <c r="D214" s="9" t="s">
        <v>1330</v>
      </c>
      <c r="E214" s="9" t="s">
        <v>3754</v>
      </c>
      <c r="F214" s="9" t="s">
        <v>75</v>
      </c>
      <c r="G214" s="22" t="s">
        <v>154</v>
      </c>
      <c r="H214" s="22" t="s">
        <v>154</v>
      </c>
      <c r="I214" s="10"/>
      <c r="J214" s="10"/>
      <c r="K214" s="22"/>
      <c r="L214" s="10"/>
      <c r="M214" s="10"/>
      <c r="N214" s="10"/>
      <c r="O214" s="22"/>
      <c r="P214" s="10"/>
      <c r="Q214" s="10"/>
      <c r="R214" s="10"/>
      <c r="S214" s="30">
        <v>0</v>
      </c>
      <c r="T214" s="10" t="str">
        <f>"0,0000"</f>
        <v>0,0000</v>
      </c>
      <c r="U214" s="9"/>
    </row>
    <row r="215" spans="1:21">
      <c r="A215" s="14" t="s">
        <v>412</v>
      </c>
      <c r="B215" s="13" t="s">
        <v>352</v>
      </c>
      <c r="C215" s="13" t="s">
        <v>1331</v>
      </c>
      <c r="D215" s="13" t="s">
        <v>1330</v>
      </c>
      <c r="E215" s="13" t="s">
        <v>3751</v>
      </c>
      <c r="F215" s="13" t="s">
        <v>75</v>
      </c>
      <c r="G215" s="27" t="s">
        <v>154</v>
      </c>
      <c r="H215" s="27" t="s">
        <v>154</v>
      </c>
      <c r="I215" s="14"/>
      <c r="J215" s="14"/>
      <c r="K215" s="27"/>
      <c r="L215" s="14"/>
      <c r="M215" s="14"/>
      <c r="N215" s="14"/>
      <c r="O215" s="27"/>
      <c r="P215" s="14"/>
      <c r="Q215" s="14"/>
      <c r="R215" s="14"/>
      <c r="S215" s="32">
        <v>0</v>
      </c>
      <c r="T215" s="14" t="str">
        <f>"0,0000"</f>
        <v>0,0000</v>
      </c>
      <c r="U215" s="13"/>
    </row>
    <row r="216" spans="1:21">
      <c r="B216" s="5" t="s">
        <v>409</v>
      </c>
    </row>
    <row r="217" spans="1:21">
      <c r="B217" s="5" t="s">
        <v>409</v>
      </c>
    </row>
    <row r="218" spans="1:21">
      <c r="B218" s="5" t="s">
        <v>409</v>
      </c>
    </row>
    <row r="219" spans="1:21" ht="18">
      <c r="B219" s="15" t="s">
        <v>365</v>
      </c>
      <c r="C219" s="15"/>
      <c r="F219" s="3"/>
    </row>
    <row r="220" spans="1:21" ht="16">
      <c r="B220" s="16" t="s">
        <v>366</v>
      </c>
      <c r="C220" s="16"/>
      <c r="F220" s="3"/>
    </row>
    <row r="221" spans="1:21" ht="14">
      <c r="B221" s="17"/>
      <c r="C221" s="18" t="s">
        <v>367</v>
      </c>
      <c r="F221" s="3"/>
    </row>
    <row r="222" spans="1:21" ht="14">
      <c r="B222" s="19" t="s">
        <v>368</v>
      </c>
      <c r="C222" s="19" t="s">
        <v>369</v>
      </c>
      <c r="D222" s="19" t="s">
        <v>3230</v>
      </c>
      <c r="E222" s="19" t="s">
        <v>371</v>
      </c>
      <c r="F222" s="19" t="s">
        <v>372</v>
      </c>
    </row>
    <row r="223" spans="1:21">
      <c r="B223" s="5" t="s">
        <v>852</v>
      </c>
      <c r="C223" s="5" t="s">
        <v>367</v>
      </c>
      <c r="D223" s="6" t="s">
        <v>1335</v>
      </c>
      <c r="E223" s="6" t="s">
        <v>759</v>
      </c>
      <c r="F223" s="6" t="s">
        <v>1336</v>
      </c>
    </row>
    <row r="224" spans="1:21">
      <c r="B224" s="5" t="s">
        <v>3377</v>
      </c>
      <c r="C224" s="5" t="s">
        <v>367</v>
      </c>
      <c r="D224" s="6" t="s">
        <v>376</v>
      </c>
      <c r="E224" s="6" t="s">
        <v>1337</v>
      </c>
      <c r="F224" s="6" t="s">
        <v>1338</v>
      </c>
    </row>
    <row r="225" spans="2:6">
      <c r="B225" s="5" t="s">
        <v>962</v>
      </c>
      <c r="C225" s="5" t="s">
        <v>367</v>
      </c>
      <c r="D225" s="6" t="s">
        <v>379</v>
      </c>
      <c r="E225" s="6" t="s">
        <v>1339</v>
      </c>
      <c r="F225" s="6" t="s">
        <v>1340</v>
      </c>
    </row>
    <row r="227" spans="2:6" ht="16">
      <c r="B227" s="16" t="s">
        <v>385</v>
      </c>
      <c r="C227" s="16"/>
    </row>
    <row r="228" spans="2:6" ht="14">
      <c r="B228" s="17"/>
      <c r="C228" s="18" t="s">
        <v>386</v>
      </c>
    </row>
    <row r="229" spans="2:6" ht="14">
      <c r="B229" s="19" t="s">
        <v>368</v>
      </c>
      <c r="C229" s="19" t="s">
        <v>369</v>
      </c>
      <c r="D229" s="19" t="s">
        <v>3230</v>
      </c>
      <c r="E229" s="19" t="s">
        <v>371</v>
      </c>
      <c r="F229" s="19" t="s">
        <v>372</v>
      </c>
    </row>
    <row r="230" spans="2:6">
      <c r="B230" s="5" t="s">
        <v>1156</v>
      </c>
      <c r="C230" s="5" t="s">
        <v>387</v>
      </c>
      <c r="D230" s="6" t="s">
        <v>394</v>
      </c>
      <c r="E230" s="6" t="s">
        <v>1341</v>
      </c>
      <c r="F230" s="6" t="s">
        <v>1342</v>
      </c>
    </row>
    <row r="231" spans="2:6">
      <c r="B231" s="5" t="s">
        <v>1096</v>
      </c>
      <c r="C231" s="5" t="s">
        <v>387</v>
      </c>
      <c r="D231" s="6" t="s">
        <v>373</v>
      </c>
      <c r="E231" s="6" t="s">
        <v>1343</v>
      </c>
      <c r="F231" s="6" t="s">
        <v>1344</v>
      </c>
    </row>
    <row r="232" spans="2:6">
      <c r="B232" s="5" t="s">
        <v>1158</v>
      </c>
      <c r="C232" s="5" t="s">
        <v>387</v>
      </c>
      <c r="D232" s="6" t="s">
        <v>394</v>
      </c>
      <c r="E232" s="6" t="s">
        <v>1345</v>
      </c>
      <c r="F232" s="6" t="s">
        <v>1346</v>
      </c>
    </row>
    <row r="234" spans="2:6" ht="14">
      <c r="B234" s="17"/>
      <c r="C234" s="18" t="s">
        <v>388</v>
      </c>
    </row>
    <row r="235" spans="2:6" ht="14">
      <c r="B235" s="19" t="s">
        <v>368</v>
      </c>
      <c r="C235" s="19" t="s">
        <v>369</v>
      </c>
      <c r="D235" s="19" t="s">
        <v>3230</v>
      </c>
      <c r="E235" s="19" t="s">
        <v>371</v>
      </c>
      <c r="F235" s="19" t="s">
        <v>372</v>
      </c>
    </row>
    <row r="236" spans="2:6">
      <c r="B236" s="5" t="s">
        <v>1323</v>
      </c>
      <c r="C236" s="5" t="s">
        <v>388</v>
      </c>
      <c r="D236" s="6" t="s">
        <v>389</v>
      </c>
      <c r="E236" s="6" t="s">
        <v>1347</v>
      </c>
      <c r="F236" s="6" t="s">
        <v>1348</v>
      </c>
    </row>
    <row r="237" spans="2:6">
      <c r="B237" s="5" t="s">
        <v>1050</v>
      </c>
      <c r="C237" s="5" t="s">
        <v>388</v>
      </c>
      <c r="D237" s="6" t="s">
        <v>379</v>
      </c>
      <c r="E237" s="6" t="s">
        <v>837</v>
      </c>
      <c r="F237" s="6" t="s">
        <v>1349</v>
      </c>
    </row>
    <row r="238" spans="2:6">
      <c r="B238" s="5" t="s">
        <v>1283</v>
      </c>
      <c r="C238" s="5" t="s">
        <v>388</v>
      </c>
      <c r="D238" s="6" t="s">
        <v>391</v>
      </c>
      <c r="E238" s="6" t="s">
        <v>1350</v>
      </c>
      <c r="F238" s="6" t="s">
        <v>1351</v>
      </c>
    </row>
    <row r="240" spans="2:6" ht="14">
      <c r="B240" s="17"/>
      <c r="C240" s="18" t="s">
        <v>367</v>
      </c>
    </row>
    <row r="241" spans="2:6" ht="14">
      <c r="B241" s="19" t="s">
        <v>368</v>
      </c>
      <c r="C241" s="19" t="s">
        <v>369</v>
      </c>
      <c r="D241" s="19" t="s">
        <v>3230</v>
      </c>
      <c r="E241" s="19" t="s">
        <v>371</v>
      </c>
      <c r="F241" s="19" t="s">
        <v>372</v>
      </c>
    </row>
    <row r="242" spans="2:6">
      <c r="B242" s="5" t="s">
        <v>1257</v>
      </c>
      <c r="C242" s="5" t="s">
        <v>367</v>
      </c>
      <c r="D242" s="6" t="s">
        <v>390</v>
      </c>
      <c r="E242" s="6" t="s">
        <v>1352</v>
      </c>
      <c r="F242" s="6" t="s">
        <v>1353</v>
      </c>
    </row>
    <row r="243" spans="2:6">
      <c r="B243" s="5" t="s">
        <v>1260</v>
      </c>
      <c r="C243" s="5" t="s">
        <v>367</v>
      </c>
      <c r="D243" s="6" t="s">
        <v>390</v>
      </c>
      <c r="E243" s="6" t="s">
        <v>1354</v>
      </c>
      <c r="F243" s="6" t="s">
        <v>1355</v>
      </c>
    </row>
    <row r="244" spans="2:6">
      <c r="B244" s="5" t="s">
        <v>1179</v>
      </c>
      <c r="C244" s="5" t="s">
        <v>367</v>
      </c>
      <c r="D244" s="6" t="s">
        <v>394</v>
      </c>
      <c r="E244" s="6" t="s">
        <v>1356</v>
      </c>
      <c r="F244" s="6" t="s">
        <v>1357</v>
      </c>
    </row>
    <row r="246" spans="2:6" ht="14">
      <c r="B246" s="17"/>
      <c r="C246" s="18" t="s">
        <v>382</v>
      </c>
    </row>
    <row r="247" spans="2:6" ht="14">
      <c r="B247" s="19" t="s">
        <v>368</v>
      </c>
      <c r="C247" s="19" t="s">
        <v>369</v>
      </c>
      <c r="D247" s="19" t="s">
        <v>3230</v>
      </c>
      <c r="E247" s="19" t="s">
        <v>371</v>
      </c>
      <c r="F247" s="19" t="s">
        <v>372</v>
      </c>
    </row>
    <row r="248" spans="2:6">
      <c r="B248" s="5" t="s">
        <v>1179</v>
      </c>
      <c r="C248" s="5" t="s">
        <v>1358</v>
      </c>
      <c r="D248" s="6" t="s">
        <v>394</v>
      </c>
      <c r="E248" s="6" t="s">
        <v>1356</v>
      </c>
      <c r="F248" s="6" t="s">
        <v>1359</v>
      </c>
    </row>
    <row r="249" spans="2:6">
      <c r="B249" s="5" t="s">
        <v>1121</v>
      </c>
      <c r="C249" s="5" t="s">
        <v>1358</v>
      </c>
      <c r="D249" s="6" t="s">
        <v>373</v>
      </c>
      <c r="E249" s="6" t="s">
        <v>1360</v>
      </c>
      <c r="F249" s="6" t="s">
        <v>1361</v>
      </c>
    </row>
    <row r="250" spans="2:6">
      <c r="B250" s="5" t="s">
        <v>1228</v>
      </c>
      <c r="C250" s="5" t="s">
        <v>383</v>
      </c>
      <c r="D250" s="6" t="s">
        <v>394</v>
      </c>
      <c r="E250" s="6" t="s">
        <v>1362</v>
      </c>
      <c r="F250" s="6" t="s">
        <v>1363</v>
      </c>
    </row>
    <row r="251" spans="2:6">
      <c r="B251" s="5" t="s">
        <v>409</v>
      </c>
    </row>
  </sheetData>
  <mergeCells count="33"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30:R30"/>
    <mergeCell ref="A45:R45"/>
    <mergeCell ref="A65:R65"/>
    <mergeCell ref="A71:R71"/>
    <mergeCell ref="S3:S4"/>
    <mergeCell ref="A213:R213"/>
    <mergeCell ref="B3:B4"/>
    <mergeCell ref="A110:R110"/>
    <mergeCell ref="A137:R137"/>
    <mergeCell ref="A177:R177"/>
    <mergeCell ref="A192:R192"/>
    <mergeCell ref="A203:R203"/>
    <mergeCell ref="A209:R209"/>
    <mergeCell ref="A74:R74"/>
    <mergeCell ref="A77:R77"/>
    <mergeCell ref="A80:R80"/>
    <mergeCell ref="A83:R83"/>
    <mergeCell ref="A89:R89"/>
    <mergeCell ref="A100:R100"/>
    <mergeCell ref="A10:R10"/>
    <mergeCell ref="A19:R19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212"/>
  <sheetViews>
    <sheetView topLeftCell="A152" workbookViewId="0">
      <selection activeCell="E189" sqref="E189"/>
    </sheetView>
  </sheetViews>
  <sheetFormatPr baseColWidth="10" defaultColWidth="9.1640625" defaultRowHeight="13"/>
  <cols>
    <col min="1" max="1" width="7.5" style="5" bestFit="1" customWidth="1"/>
    <col min="2" max="2" width="23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164062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31" style="5" bestFit="1" customWidth="1"/>
    <col min="14" max="16384" width="9.1640625" style="3"/>
  </cols>
  <sheetData>
    <row r="1" spans="1:13" s="2" customFormat="1" ht="29" customHeight="1">
      <c r="A1" s="68" t="s">
        <v>3306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851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408</v>
      </c>
      <c r="B6" s="9" t="s">
        <v>1374</v>
      </c>
      <c r="C6" s="9" t="s">
        <v>1375</v>
      </c>
      <c r="D6" s="9" t="s">
        <v>1376</v>
      </c>
      <c r="E6" s="9" t="s">
        <v>3751</v>
      </c>
      <c r="F6" s="9" t="s">
        <v>3509</v>
      </c>
      <c r="G6" s="23" t="s">
        <v>60</v>
      </c>
      <c r="H6" s="22" t="s">
        <v>19</v>
      </c>
      <c r="I6" s="22" t="s">
        <v>19</v>
      </c>
      <c r="J6" s="10"/>
      <c r="K6" s="30" t="str">
        <f>"82,5"</f>
        <v>82,5</v>
      </c>
      <c r="L6" s="10" t="str">
        <f>"110,1045"</f>
        <v>110,1045</v>
      </c>
      <c r="M6" s="9" t="s">
        <v>1377</v>
      </c>
    </row>
    <row r="7" spans="1:13">
      <c r="A7" s="14" t="s">
        <v>410</v>
      </c>
      <c r="B7" s="13" t="s">
        <v>1463</v>
      </c>
      <c r="C7" s="13" t="s">
        <v>1464</v>
      </c>
      <c r="D7" s="13" t="s">
        <v>1465</v>
      </c>
      <c r="E7" s="13" t="s">
        <v>3751</v>
      </c>
      <c r="F7" s="13" t="s">
        <v>3649</v>
      </c>
      <c r="G7" s="26" t="s">
        <v>13</v>
      </c>
      <c r="H7" s="27" t="s">
        <v>14</v>
      </c>
      <c r="I7" s="27" t="s">
        <v>14</v>
      </c>
      <c r="J7" s="14"/>
      <c r="K7" s="32" t="str">
        <f>"65,0"</f>
        <v>65,0</v>
      </c>
      <c r="L7" s="14" t="str">
        <f>"87,6850"</f>
        <v>87,6850</v>
      </c>
      <c r="M7" s="13" t="s">
        <v>3338</v>
      </c>
    </row>
    <row r="8" spans="1:13">
      <c r="B8" s="5" t="s">
        <v>409</v>
      </c>
    </row>
    <row r="9" spans="1:13" ht="16">
      <c r="A9" s="57" t="s">
        <v>31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10" t="s">
        <v>408</v>
      </c>
      <c r="B10" s="9" t="s">
        <v>1466</v>
      </c>
      <c r="C10" s="9" t="s">
        <v>1467</v>
      </c>
      <c r="D10" s="9" t="s">
        <v>938</v>
      </c>
      <c r="E10" s="9" t="s">
        <v>3751</v>
      </c>
      <c r="F10" s="9" t="s">
        <v>3694</v>
      </c>
      <c r="G10" s="22" t="s">
        <v>435</v>
      </c>
      <c r="H10" s="22" t="s">
        <v>435</v>
      </c>
      <c r="I10" s="23" t="s">
        <v>435</v>
      </c>
      <c r="J10" s="10"/>
      <c r="K10" s="30" t="str">
        <f>"85,0"</f>
        <v>85,0</v>
      </c>
      <c r="L10" s="10" t="str">
        <f>"95,5060"</f>
        <v>95,5060</v>
      </c>
      <c r="M10" s="9" t="s">
        <v>3452</v>
      </c>
    </row>
    <row r="11" spans="1:13">
      <c r="A11" s="14" t="s">
        <v>410</v>
      </c>
      <c r="B11" s="13" t="s">
        <v>1468</v>
      </c>
      <c r="C11" s="13" t="s">
        <v>1469</v>
      </c>
      <c r="D11" s="13" t="s">
        <v>460</v>
      </c>
      <c r="E11" s="13" t="s">
        <v>3751</v>
      </c>
      <c r="F11" s="13" t="s">
        <v>3695</v>
      </c>
      <c r="G11" s="27" t="s">
        <v>435</v>
      </c>
      <c r="H11" s="26" t="s">
        <v>435</v>
      </c>
      <c r="I11" s="27" t="s">
        <v>38</v>
      </c>
      <c r="J11" s="14"/>
      <c r="K11" s="32" t="str">
        <f>"85,0"</f>
        <v>85,0</v>
      </c>
      <c r="L11" s="14" t="str">
        <f>"95,3785"</f>
        <v>95,3785</v>
      </c>
      <c r="M11" s="13" t="s">
        <v>1470</v>
      </c>
    </row>
    <row r="12" spans="1:13">
      <c r="B12" s="5" t="s">
        <v>409</v>
      </c>
    </row>
    <row r="13" spans="1:13" ht="16">
      <c r="A13" s="57" t="s">
        <v>55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3">
      <c r="A14" s="10" t="s">
        <v>408</v>
      </c>
      <c r="B14" s="9" t="s">
        <v>1471</v>
      </c>
      <c r="C14" s="9" t="s">
        <v>1472</v>
      </c>
      <c r="D14" s="9" t="s">
        <v>1473</v>
      </c>
      <c r="E14" s="9" t="s">
        <v>3753</v>
      </c>
      <c r="F14" s="9" t="s">
        <v>3658</v>
      </c>
      <c r="G14" s="22" t="s">
        <v>19</v>
      </c>
      <c r="H14" s="23" t="s">
        <v>19</v>
      </c>
      <c r="I14" s="23" t="s">
        <v>69</v>
      </c>
      <c r="J14" s="10"/>
      <c r="K14" s="30" t="str">
        <f>"95,0"</f>
        <v>95,0</v>
      </c>
      <c r="L14" s="10" t="str">
        <f>"100,6484"</f>
        <v>100,6484</v>
      </c>
      <c r="M14" s="9"/>
    </row>
    <row r="15" spans="1:13">
      <c r="A15" s="14" t="s">
        <v>408</v>
      </c>
      <c r="B15" s="13" t="s">
        <v>1474</v>
      </c>
      <c r="C15" s="13" t="s">
        <v>1475</v>
      </c>
      <c r="D15" s="13" t="s">
        <v>1476</v>
      </c>
      <c r="E15" s="13" t="s">
        <v>3758</v>
      </c>
      <c r="F15" s="13" t="s">
        <v>3681</v>
      </c>
      <c r="G15" s="26" t="s">
        <v>16</v>
      </c>
      <c r="H15" s="26" t="s">
        <v>17</v>
      </c>
      <c r="I15" s="26" t="s">
        <v>864</v>
      </c>
      <c r="J15" s="14"/>
      <c r="K15" s="32" t="str">
        <f>"47,5"</f>
        <v>47,5</v>
      </c>
      <c r="L15" s="14" t="str">
        <f>"96,5047"</f>
        <v>96,5047</v>
      </c>
      <c r="M15" s="13" t="s">
        <v>1477</v>
      </c>
    </row>
    <row r="16" spans="1:13">
      <c r="B16" s="5" t="s">
        <v>409</v>
      </c>
    </row>
    <row r="17" spans="1:13" ht="16">
      <c r="A17" s="57" t="s">
        <v>93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3">
      <c r="A18" s="10" t="s">
        <v>408</v>
      </c>
      <c r="B18" s="9" t="s">
        <v>3442</v>
      </c>
      <c r="C18" s="9" t="s">
        <v>1479</v>
      </c>
      <c r="D18" s="9" t="s">
        <v>604</v>
      </c>
      <c r="E18" s="9" t="s">
        <v>3751</v>
      </c>
      <c r="F18" s="9" t="s">
        <v>1480</v>
      </c>
      <c r="G18" s="23" t="s">
        <v>132</v>
      </c>
      <c r="H18" s="22" t="s">
        <v>85</v>
      </c>
      <c r="I18" s="22" t="s">
        <v>85</v>
      </c>
      <c r="J18" s="10"/>
      <c r="K18" s="30" t="str">
        <f>"130,0"</f>
        <v>130,0</v>
      </c>
      <c r="L18" s="10" t="str">
        <f>"124,3190"</f>
        <v>124,3190</v>
      </c>
      <c r="M18" s="9"/>
    </row>
    <row r="19" spans="1:13">
      <c r="A19" s="12" t="s">
        <v>410</v>
      </c>
      <c r="B19" s="11" t="s">
        <v>1481</v>
      </c>
      <c r="C19" s="11" t="s">
        <v>1482</v>
      </c>
      <c r="D19" s="11" t="s">
        <v>1483</v>
      </c>
      <c r="E19" s="11" t="s">
        <v>3751</v>
      </c>
      <c r="F19" s="11" t="s">
        <v>3509</v>
      </c>
      <c r="G19" s="24" t="s">
        <v>78</v>
      </c>
      <c r="H19" s="24" t="s">
        <v>76</v>
      </c>
      <c r="I19" s="25" t="s">
        <v>77</v>
      </c>
      <c r="J19" s="12"/>
      <c r="K19" s="31" t="str">
        <f>"120,0"</f>
        <v>120,0</v>
      </c>
      <c r="L19" s="12" t="str">
        <f>"116,5920"</f>
        <v>116,5920</v>
      </c>
      <c r="M19" s="11" t="s">
        <v>1484</v>
      </c>
    </row>
    <row r="20" spans="1:13">
      <c r="A20" s="12" t="s">
        <v>411</v>
      </c>
      <c r="B20" s="11" t="s">
        <v>1485</v>
      </c>
      <c r="C20" s="11" t="s">
        <v>1486</v>
      </c>
      <c r="D20" s="11" t="s">
        <v>96</v>
      </c>
      <c r="E20" s="11" t="s">
        <v>3751</v>
      </c>
      <c r="F20" s="11" t="s">
        <v>3591</v>
      </c>
      <c r="G20" s="24" t="s">
        <v>54</v>
      </c>
      <c r="H20" s="24" t="s">
        <v>106</v>
      </c>
      <c r="I20" s="25" t="s">
        <v>76</v>
      </c>
      <c r="J20" s="12"/>
      <c r="K20" s="31" t="str">
        <f>"110,0"</f>
        <v>110,0</v>
      </c>
      <c r="L20" s="12" t="str">
        <f>"105,5560"</f>
        <v>105,5560</v>
      </c>
      <c r="M20" s="11" t="s">
        <v>72</v>
      </c>
    </row>
    <row r="21" spans="1:13">
      <c r="A21" s="12" t="s">
        <v>413</v>
      </c>
      <c r="B21" s="11" t="s">
        <v>1487</v>
      </c>
      <c r="C21" s="11" t="s">
        <v>1488</v>
      </c>
      <c r="D21" s="11" t="s">
        <v>1489</v>
      </c>
      <c r="E21" s="11" t="s">
        <v>3751</v>
      </c>
      <c r="F21" s="11" t="s">
        <v>3552</v>
      </c>
      <c r="G21" s="24" t="s">
        <v>605</v>
      </c>
      <c r="H21" s="24" t="s">
        <v>1490</v>
      </c>
      <c r="I21" s="24" t="s">
        <v>54</v>
      </c>
      <c r="J21" s="24" t="s">
        <v>106</v>
      </c>
      <c r="K21" s="31" t="str">
        <f>"105,0"</f>
        <v>105,0</v>
      </c>
      <c r="L21" s="12" t="str">
        <f>"102,2910"</f>
        <v>102,2910</v>
      </c>
      <c r="M21" s="11" t="s">
        <v>3453</v>
      </c>
    </row>
    <row r="22" spans="1:13">
      <c r="A22" s="12" t="s">
        <v>408</v>
      </c>
      <c r="B22" s="11" t="s">
        <v>3442</v>
      </c>
      <c r="C22" s="11" t="s">
        <v>1491</v>
      </c>
      <c r="D22" s="11" t="s">
        <v>604</v>
      </c>
      <c r="E22" s="11" t="s">
        <v>3753</v>
      </c>
      <c r="F22" s="11" t="s">
        <v>1480</v>
      </c>
      <c r="G22" s="24" t="s">
        <v>132</v>
      </c>
      <c r="H22" s="25" t="s">
        <v>85</v>
      </c>
      <c r="I22" s="25" t="s">
        <v>85</v>
      </c>
      <c r="J22" s="12"/>
      <c r="K22" s="31" t="str">
        <f>"130,0"</f>
        <v>130,0</v>
      </c>
      <c r="L22" s="12" t="str">
        <f>"129,7890"</f>
        <v>129,7890</v>
      </c>
      <c r="M22" s="11"/>
    </row>
    <row r="23" spans="1:13">
      <c r="A23" s="12" t="s">
        <v>410</v>
      </c>
      <c r="B23" s="11" t="s">
        <v>1487</v>
      </c>
      <c r="C23" s="11" t="s">
        <v>1492</v>
      </c>
      <c r="D23" s="11" t="s">
        <v>1489</v>
      </c>
      <c r="E23" s="11" t="s">
        <v>3753</v>
      </c>
      <c r="F23" s="11" t="s">
        <v>3552</v>
      </c>
      <c r="G23" s="24" t="s">
        <v>605</v>
      </c>
      <c r="H23" s="24" t="s">
        <v>1490</v>
      </c>
      <c r="I23" s="24" t="s">
        <v>54</v>
      </c>
      <c r="J23" s="24" t="s">
        <v>106</v>
      </c>
      <c r="K23" s="31" t="str">
        <f>"105,0"</f>
        <v>105,0</v>
      </c>
      <c r="L23" s="12" t="str">
        <f>"102,8025"</f>
        <v>102,8025</v>
      </c>
      <c r="M23" s="11" t="s">
        <v>3453</v>
      </c>
    </row>
    <row r="24" spans="1:13">
      <c r="A24" s="14" t="s">
        <v>411</v>
      </c>
      <c r="B24" s="13" t="s">
        <v>611</v>
      </c>
      <c r="C24" s="13" t="s">
        <v>612</v>
      </c>
      <c r="D24" s="13" t="s">
        <v>96</v>
      </c>
      <c r="E24" s="13" t="s">
        <v>3753</v>
      </c>
      <c r="F24" s="13" t="s">
        <v>3573</v>
      </c>
      <c r="G24" s="26" t="s">
        <v>19</v>
      </c>
      <c r="H24" s="26" t="s">
        <v>38</v>
      </c>
      <c r="I24" s="26" t="s">
        <v>600</v>
      </c>
      <c r="J24" s="14"/>
      <c r="K24" s="32" t="str">
        <f>"92,5"</f>
        <v>92,5</v>
      </c>
      <c r="L24" s="14" t="str">
        <f>"91,2484"</f>
        <v>91,2484</v>
      </c>
      <c r="M24" s="13" t="s">
        <v>613</v>
      </c>
    </row>
    <row r="25" spans="1:13">
      <c r="B25" s="5" t="s">
        <v>409</v>
      </c>
    </row>
    <row r="26" spans="1:13" ht="16">
      <c r="A26" s="57" t="s">
        <v>62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3">
      <c r="A27" s="8" t="s">
        <v>408</v>
      </c>
      <c r="B27" s="7" t="s">
        <v>1832</v>
      </c>
      <c r="C27" s="7" t="s">
        <v>1493</v>
      </c>
      <c r="D27" s="7" t="s">
        <v>1494</v>
      </c>
      <c r="E27" s="7" t="s">
        <v>3751</v>
      </c>
      <c r="F27" s="7" t="s">
        <v>1495</v>
      </c>
      <c r="G27" s="20" t="s">
        <v>16</v>
      </c>
      <c r="H27" s="20" t="s">
        <v>17</v>
      </c>
      <c r="I27" s="21" t="s">
        <v>864</v>
      </c>
      <c r="J27" s="8"/>
      <c r="K27" s="29" t="str">
        <f>"45,0"</f>
        <v>45,0</v>
      </c>
      <c r="L27" s="8" t="str">
        <f>"42,5655"</f>
        <v>42,5655</v>
      </c>
      <c r="M27" s="7"/>
    </row>
    <row r="28" spans="1:13">
      <c r="B28" s="5" t="s">
        <v>409</v>
      </c>
    </row>
    <row r="29" spans="1:13" ht="16">
      <c r="A29" s="57" t="s">
        <v>21</v>
      </c>
      <c r="B29" s="57"/>
      <c r="C29" s="57"/>
      <c r="D29" s="57"/>
      <c r="E29" s="57"/>
      <c r="F29" s="57"/>
      <c r="G29" s="57"/>
      <c r="H29" s="57"/>
      <c r="I29" s="57"/>
      <c r="J29" s="57"/>
    </row>
    <row r="30" spans="1:13">
      <c r="A30" s="8" t="s">
        <v>408</v>
      </c>
      <c r="B30" s="7" t="s">
        <v>1496</v>
      </c>
      <c r="C30" s="7" t="s">
        <v>1497</v>
      </c>
      <c r="D30" s="7" t="s">
        <v>906</v>
      </c>
      <c r="E30" s="7" t="s">
        <v>3755</v>
      </c>
      <c r="F30" s="7" t="s">
        <v>3537</v>
      </c>
      <c r="G30" s="20" t="s">
        <v>440</v>
      </c>
      <c r="H30" s="21" t="s">
        <v>864</v>
      </c>
      <c r="I30" s="21" t="s">
        <v>864</v>
      </c>
      <c r="J30" s="8"/>
      <c r="K30" s="29" t="str">
        <f>"42,5"</f>
        <v>42,5</v>
      </c>
      <c r="L30" s="8" t="str">
        <f>"41,2887"</f>
        <v>41,2887</v>
      </c>
      <c r="M30" s="7"/>
    </row>
    <row r="31" spans="1:13">
      <c r="B31" s="5" t="s">
        <v>409</v>
      </c>
    </row>
    <row r="32" spans="1:13" ht="16">
      <c r="A32" s="57" t="s">
        <v>31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3">
      <c r="A33" s="10" t="s">
        <v>408</v>
      </c>
      <c r="B33" s="9" t="s">
        <v>577</v>
      </c>
      <c r="C33" s="9" t="s">
        <v>578</v>
      </c>
      <c r="D33" s="9" t="s">
        <v>933</v>
      </c>
      <c r="E33" s="9" t="s">
        <v>3754</v>
      </c>
      <c r="F33" s="9" t="s">
        <v>579</v>
      </c>
      <c r="G33" s="23" t="s">
        <v>54</v>
      </c>
      <c r="H33" s="22" t="s">
        <v>106</v>
      </c>
      <c r="I33" s="22" t="s">
        <v>106</v>
      </c>
      <c r="J33" s="10"/>
      <c r="K33" s="30" t="str">
        <f>"105,0"</f>
        <v>105,0</v>
      </c>
      <c r="L33" s="10" t="str">
        <f>"90,8040"</f>
        <v>90,8040</v>
      </c>
      <c r="M33" s="9"/>
    </row>
    <row r="34" spans="1:13">
      <c r="A34" s="14" t="s">
        <v>408</v>
      </c>
      <c r="B34" s="13" t="s">
        <v>1498</v>
      </c>
      <c r="C34" s="13" t="s">
        <v>1499</v>
      </c>
      <c r="D34" s="13" t="s">
        <v>34</v>
      </c>
      <c r="E34" s="13" t="s">
        <v>3751</v>
      </c>
      <c r="F34" s="13" t="s">
        <v>75</v>
      </c>
      <c r="G34" s="27" t="s">
        <v>46</v>
      </c>
      <c r="H34" s="26" t="s">
        <v>46</v>
      </c>
      <c r="I34" s="26" t="s">
        <v>1169</v>
      </c>
      <c r="J34" s="14"/>
      <c r="K34" s="32" t="str">
        <f>"156,0"</f>
        <v>156,0</v>
      </c>
      <c r="L34" s="14" t="str">
        <f>"133,0524"</f>
        <v>133,0524</v>
      </c>
      <c r="M34" s="13"/>
    </row>
    <row r="35" spans="1:13">
      <c r="B35" s="5" t="s">
        <v>409</v>
      </c>
    </row>
    <row r="36" spans="1:13" ht="16">
      <c r="A36" s="57" t="s">
        <v>55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3">
      <c r="A37" s="10" t="s">
        <v>408</v>
      </c>
      <c r="B37" s="9" t="s">
        <v>1500</v>
      </c>
      <c r="C37" s="9" t="s">
        <v>1501</v>
      </c>
      <c r="D37" s="9" t="s">
        <v>1502</v>
      </c>
      <c r="E37" s="9" t="s">
        <v>3752</v>
      </c>
      <c r="F37" s="9" t="s">
        <v>3696</v>
      </c>
      <c r="G37" s="23" t="s">
        <v>19</v>
      </c>
      <c r="H37" s="22" t="s">
        <v>69</v>
      </c>
      <c r="I37" s="22" t="s">
        <v>39</v>
      </c>
      <c r="J37" s="10"/>
      <c r="K37" s="30" t="str">
        <f>"87,5"</f>
        <v>87,5</v>
      </c>
      <c r="L37" s="10" t="str">
        <f>"70,0350"</f>
        <v>70,0350</v>
      </c>
      <c r="M37" s="9"/>
    </row>
    <row r="38" spans="1:13">
      <c r="A38" s="12" t="s">
        <v>408</v>
      </c>
      <c r="B38" s="11" t="s">
        <v>89</v>
      </c>
      <c r="C38" s="11" t="s">
        <v>90</v>
      </c>
      <c r="D38" s="11" t="s">
        <v>91</v>
      </c>
      <c r="E38" s="11" t="s">
        <v>3751</v>
      </c>
      <c r="F38" s="11" t="s">
        <v>75</v>
      </c>
      <c r="G38" s="24" t="s">
        <v>76</v>
      </c>
      <c r="H38" s="24" t="s">
        <v>132</v>
      </c>
      <c r="I38" s="24" t="s">
        <v>474</v>
      </c>
      <c r="J38" s="12"/>
      <c r="K38" s="31" t="str">
        <f>"137,5"</f>
        <v>137,5</v>
      </c>
      <c r="L38" s="12" t="str">
        <f>"106,0125"</f>
        <v>106,0125</v>
      </c>
      <c r="M38" s="11"/>
    </row>
    <row r="39" spans="1:13">
      <c r="A39" s="14" t="s">
        <v>412</v>
      </c>
      <c r="B39" s="13" t="s">
        <v>1394</v>
      </c>
      <c r="C39" s="13" t="s">
        <v>1395</v>
      </c>
      <c r="D39" s="13" t="s">
        <v>964</v>
      </c>
      <c r="E39" s="13" t="s">
        <v>3751</v>
      </c>
      <c r="F39" s="13" t="s">
        <v>3558</v>
      </c>
      <c r="G39" s="27" t="s">
        <v>76</v>
      </c>
      <c r="H39" s="27" t="s">
        <v>76</v>
      </c>
      <c r="I39" s="27" t="s">
        <v>451</v>
      </c>
      <c r="J39" s="14"/>
      <c r="K39" s="32">
        <v>0</v>
      </c>
      <c r="L39" s="14" t="str">
        <f>"0,0000"</f>
        <v>0,0000</v>
      </c>
      <c r="M39" s="13"/>
    </row>
    <row r="40" spans="1:13">
      <c r="B40" s="5" t="s">
        <v>409</v>
      </c>
    </row>
    <row r="41" spans="1:13" ht="16">
      <c r="A41" s="57" t="s">
        <v>93</v>
      </c>
      <c r="B41" s="57"/>
      <c r="C41" s="57"/>
      <c r="D41" s="57"/>
      <c r="E41" s="57"/>
      <c r="F41" s="57"/>
      <c r="G41" s="57"/>
      <c r="H41" s="57"/>
      <c r="I41" s="57"/>
      <c r="J41" s="57"/>
    </row>
    <row r="42" spans="1:13">
      <c r="A42" s="10" t="s">
        <v>408</v>
      </c>
      <c r="B42" s="9" t="s">
        <v>1503</v>
      </c>
      <c r="C42" s="9" t="s">
        <v>1504</v>
      </c>
      <c r="D42" s="9" t="s">
        <v>1505</v>
      </c>
      <c r="E42" s="9" t="s">
        <v>3751</v>
      </c>
      <c r="F42" s="9" t="s">
        <v>3697</v>
      </c>
      <c r="G42" s="22" t="s">
        <v>37</v>
      </c>
      <c r="H42" s="23" t="s">
        <v>37</v>
      </c>
      <c r="I42" s="23" t="s">
        <v>61</v>
      </c>
      <c r="J42" s="10"/>
      <c r="K42" s="30" t="str">
        <f>"177,5"</f>
        <v>177,5</v>
      </c>
      <c r="L42" s="10" t="str">
        <f>"127,0723"</f>
        <v>127,0723</v>
      </c>
      <c r="M42" s="9" t="s">
        <v>1506</v>
      </c>
    </row>
    <row r="43" spans="1:13">
      <c r="A43" s="12" t="s">
        <v>410</v>
      </c>
      <c r="B43" s="11" t="s">
        <v>1507</v>
      </c>
      <c r="C43" s="11" t="s">
        <v>1508</v>
      </c>
      <c r="D43" s="11" t="s">
        <v>1509</v>
      </c>
      <c r="E43" s="11" t="s">
        <v>3751</v>
      </c>
      <c r="F43" s="11" t="s">
        <v>3698</v>
      </c>
      <c r="G43" s="24" t="s">
        <v>36</v>
      </c>
      <c r="H43" s="25" t="s">
        <v>59</v>
      </c>
      <c r="I43" s="25" t="s">
        <v>59</v>
      </c>
      <c r="J43" s="12"/>
      <c r="K43" s="31" t="str">
        <f>"160,0"</f>
        <v>160,0</v>
      </c>
      <c r="L43" s="12" t="str">
        <f>"116,2240"</f>
        <v>116,2240</v>
      </c>
      <c r="M43" s="11"/>
    </row>
    <row r="44" spans="1:13">
      <c r="A44" s="12" t="s">
        <v>412</v>
      </c>
      <c r="B44" s="11" t="s">
        <v>3443</v>
      </c>
      <c r="C44" s="11" t="s">
        <v>1510</v>
      </c>
      <c r="D44" s="11" t="s">
        <v>1073</v>
      </c>
      <c r="E44" s="11" t="s">
        <v>3751</v>
      </c>
      <c r="F44" s="11" t="s">
        <v>199</v>
      </c>
      <c r="G44" s="25" t="s">
        <v>35</v>
      </c>
      <c r="H44" s="25" t="s">
        <v>35</v>
      </c>
      <c r="I44" s="12"/>
      <c r="J44" s="12"/>
      <c r="K44" s="31">
        <v>0</v>
      </c>
      <c r="L44" s="12" t="str">
        <f>"0,0000"</f>
        <v>0,0000</v>
      </c>
      <c r="M44" s="11" t="s">
        <v>3398</v>
      </c>
    </row>
    <row r="45" spans="1:13">
      <c r="A45" s="12" t="s">
        <v>408</v>
      </c>
      <c r="B45" s="11" t="s">
        <v>1503</v>
      </c>
      <c r="C45" s="11" t="s">
        <v>1512</v>
      </c>
      <c r="D45" s="11" t="s">
        <v>1505</v>
      </c>
      <c r="E45" s="11" t="s">
        <v>3753</v>
      </c>
      <c r="F45" s="11" t="s">
        <v>3697</v>
      </c>
      <c r="G45" s="25" t="s">
        <v>37</v>
      </c>
      <c r="H45" s="24" t="s">
        <v>37</v>
      </c>
      <c r="I45" s="24" t="s">
        <v>61</v>
      </c>
      <c r="J45" s="12"/>
      <c r="K45" s="31" t="str">
        <f>"177,5"</f>
        <v>177,5</v>
      </c>
      <c r="L45" s="12" t="str">
        <f>"127,7076"</f>
        <v>127,7076</v>
      </c>
      <c r="M45" s="11" t="s">
        <v>1506</v>
      </c>
    </row>
    <row r="46" spans="1:13">
      <c r="A46" s="14" t="s">
        <v>408</v>
      </c>
      <c r="B46" s="13" t="s">
        <v>1396</v>
      </c>
      <c r="C46" s="13" t="s">
        <v>1513</v>
      </c>
      <c r="D46" s="13" t="s">
        <v>1398</v>
      </c>
      <c r="E46" s="13" t="s">
        <v>3756</v>
      </c>
      <c r="F46" s="13" t="s">
        <v>3699</v>
      </c>
      <c r="G46" s="26" t="s">
        <v>187</v>
      </c>
      <c r="H46" s="26" t="s">
        <v>37</v>
      </c>
      <c r="I46" s="26" t="s">
        <v>226</v>
      </c>
      <c r="J46" s="14"/>
      <c r="K46" s="32" t="str">
        <f>"172,5"</f>
        <v>172,5</v>
      </c>
      <c r="L46" s="14" t="str">
        <f>"147,9987"</f>
        <v>147,9987</v>
      </c>
      <c r="M46" s="13"/>
    </row>
    <row r="47" spans="1:13">
      <c r="B47" s="5" t="s">
        <v>409</v>
      </c>
    </row>
    <row r="48" spans="1:13" ht="16">
      <c r="A48" s="57" t="s">
        <v>62</v>
      </c>
      <c r="B48" s="57"/>
      <c r="C48" s="57"/>
      <c r="D48" s="57"/>
      <c r="E48" s="57"/>
      <c r="F48" s="57"/>
      <c r="G48" s="57"/>
      <c r="H48" s="57"/>
      <c r="I48" s="57"/>
      <c r="J48" s="57"/>
    </row>
    <row r="49" spans="1:13">
      <c r="A49" s="10" t="s">
        <v>408</v>
      </c>
      <c r="B49" s="9" t="s">
        <v>1514</v>
      </c>
      <c r="C49" s="9" t="s">
        <v>1515</v>
      </c>
      <c r="D49" s="9" t="s">
        <v>1155</v>
      </c>
      <c r="E49" s="9" t="s">
        <v>3755</v>
      </c>
      <c r="F49" s="9" t="s">
        <v>3509</v>
      </c>
      <c r="G49" s="23" t="s">
        <v>15</v>
      </c>
      <c r="H49" s="23" t="s">
        <v>18</v>
      </c>
      <c r="I49" s="23" t="s">
        <v>1516</v>
      </c>
      <c r="J49" s="23" t="s">
        <v>435</v>
      </c>
      <c r="K49" s="30" t="str">
        <f>"83,0"</f>
        <v>83,0</v>
      </c>
      <c r="L49" s="10" t="str">
        <f>"57,0293"</f>
        <v>57,0293</v>
      </c>
      <c r="M49" s="9"/>
    </row>
    <row r="50" spans="1:13">
      <c r="A50" s="12" t="s">
        <v>408</v>
      </c>
      <c r="B50" s="11" t="s">
        <v>1517</v>
      </c>
      <c r="C50" s="11" t="s">
        <v>1518</v>
      </c>
      <c r="D50" s="11" t="s">
        <v>1519</v>
      </c>
      <c r="E50" s="11" t="s">
        <v>3752</v>
      </c>
      <c r="F50" s="11" t="s">
        <v>3509</v>
      </c>
      <c r="G50" s="24" t="s">
        <v>69</v>
      </c>
      <c r="H50" s="25" t="s">
        <v>39</v>
      </c>
      <c r="I50" s="25" t="s">
        <v>39</v>
      </c>
      <c r="J50" s="12"/>
      <c r="K50" s="31" t="str">
        <f>"95,0"</f>
        <v>95,0</v>
      </c>
      <c r="L50" s="12" t="str">
        <f>"66,7755"</f>
        <v>66,7755</v>
      </c>
      <c r="M50" s="11"/>
    </row>
    <row r="51" spans="1:13">
      <c r="A51" s="12" t="s">
        <v>408</v>
      </c>
      <c r="B51" s="11" t="s">
        <v>3444</v>
      </c>
      <c r="C51" s="11" t="s">
        <v>1520</v>
      </c>
      <c r="D51" s="11" t="s">
        <v>676</v>
      </c>
      <c r="E51" s="11" t="s">
        <v>3754</v>
      </c>
      <c r="F51" s="11" t="s">
        <v>1521</v>
      </c>
      <c r="G51" s="24" t="s">
        <v>26</v>
      </c>
      <c r="H51" s="25" t="s">
        <v>494</v>
      </c>
      <c r="I51" s="25" t="s">
        <v>494</v>
      </c>
      <c r="J51" s="12"/>
      <c r="K51" s="31" t="str">
        <f>"152,5"</f>
        <v>152,5</v>
      </c>
      <c r="L51" s="12" t="str">
        <f>"102,6935"</f>
        <v>102,6935</v>
      </c>
      <c r="M51" s="11"/>
    </row>
    <row r="52" spans="1:13">
      <c r="A52" s="12" t="s">
        <v>408</v>
      </c>
      <c r="B52" s="11" t="s">
        <v>1522</v>
      </c>
      <c r="C52" s="11" t="s">
        <v>1523</v>
      </c>
      <c r="D52" s="11" t="s">
        <v>123</v>
      </c>
      <c r="E52" s="11" t="s">
        <v>3751</v>
      </c>
      <c r="F52" s="11" t="s">
        <v>3700</v>
      </c>
      <c r="G52" s="25" t="s">
        <v>40</v>
      </c>
      <c r="H52" s="24" t="s">
        <v>113</v>
      </c>
      <c r="I52" s="24" t="s">
        <v>29</v>
      </c>
      <c r="J52" s="12"/>
      <c r="K52" s="31" t="str">
        <f>"185,0"</f>
        <v>185,0</v>
      </c>
      <c r="L52" s="12" t="str">
        <f>"123,9315"</f>
        <v>123,9315</v>
      </c>
      <c r="M52" s="11"/>
    </row>
    <row r="53" spans="1:13">
      <c r="A53" s="12" t="s">
        <v>410</v>
      </c>
      <c r="B53" s="11" t="s">
        <v>1524</v>
      </c>
      <c r="C53" s="11" t="s">
        <v>1525</v>
      </c>
      <c r="D53" s="11" t="s">
        <v>473</v>
      </c>
      <c r="E53" s="11" t="s">
        <v>3751</v>
      </c>
      <c r="F53" s="11" t="s">
        <v>3636</v>
      </c>
      <c r="G53" s="24" t="s">
        <v>40</v>
      </c>
      <c r="H53" s="25" t="s">
        <v>596</v>
      </c>
      <c r="I53" s="25" t="s">
        <v>596</v>
      </c>
      <c r="J53" s="12"/>
      <c r="K53" s="31" t="str">
        <f>"180,0"</f>
        <v>180,0</v>
      </c>
      <c r="L53" s="12" t="str">
        <f>"120,8520"</f>
        <v>120,8520</v>
      </c>
      <c r="M53" s="11" t="s">
        <v>1526</v>
      </c>
    </row>
    <row r="54" spans="1:13">
      <c r="A54" s="12" t="s">
        <v>411</v>
      </c>
      <c r="B54" s="11" t="s">
        <v>1527</v>
      </c>
      <c r="C54" s="11" t="s">
        <v>1528</v>
      </c>
      <c r="D54" s="11" t="s">
        <v>1403</v>
      </c>
      <c r="E54" s="11" t="s">
        <v>3751</v>
      </c>
      <c r="F54" s="11" t="s">
        <v>3647</v>
      </c>
      <c r="G54" s="25" t="s">
        <v>46</v>
      </c>
      <c r="H54" s="24" t="s">
        <v>46</v>
      </c>
      <c r="I54" s="25" t="s">
        <v>59</v>
      </c>
      <c r="J54" s="12"/>
      <c r="K54" s="31" t="str">
        <f>"155,0"</f>
        <v>155,0</v>
      </c>
      <c r="L54" s="12" t="str">
        <f>"106,1595"</f>
        <v>106,1595</v>
      </c>
      <c r="M54" s="11"/>
    </row>
    <row r="55" spans="1:13">
      <c r="A55" s="12" t="s">
        <v>413</v>
      </c>
      <c r="B55" s="11" t="s">
        <v>3445</v>
      </c>
      <c r="C55" s="11" t="s">
        <v>1529</v>
      </c>
      <c r="D55" s="11" t="s">
        <v>651</v>
      </c>
      <c r="E55" s="11" t="s">
        <v>3751</v>
      </c>
      <c r="F55" s="11" t="s">
        <v>109</v>
      </c>
      <c r="G55" s="24" t="s">
        <v>253</v>
      </c>
      <c r="H55" s="25" t="s">
        <v>26</v>
      </c>
      <c r="I55" s="24" t="s">
        <v>26</v>
      </c>
      <c r="J55" s="12"/>
      <c r="K55" s="31" t="str">
        <f>"152,5"</f>
        <v>152,5</v>
      </c>
      <c r="L55" s="12" t="str">
        <f>"103,2273"</f>
        <v>103,2273</v>
      </c>
      <c r="M55" s="11" t="s">
        <v>3446</v>
      </c>
    </row>
    <row r="56" spans="1:13">
      <c r="A56" s="12" t="s">
        <v>414</v>
      </c>
      <c r="B56" s="11" t="s">
        <v>1530</v>
      </c>
      <c r="C56" s="11" t="s">
        <v>1531</v>
      </c>
      <c r="D56" s="11" t="s">
        <v>470</v>
      </c>
      <c r="E56" s="11" t="s">
        <v>3751</v>
      </c>
      <c r="F56" s="11" t="s">
        <v>3509</v>
      </c>
      <c r="G56" s="24" t="s">
        <v>25</v>
      </c>
      <c r="H56" s="24" t="s">
        <v>26</v>
      </c>
      <c r="I56" s="12"/>
      <c r="J56" s="12"/>
      <c r="K56" s="31" t="str">
        <f>"152,5"</f>
        <v>152,5</v>
      </c>
      <c r="L56" s="12" t="str">
        <f>"102,8460"</f>
        <v>102,8460</v>
      </c>
      <c r="M56" s="11" t="s">
        <v>1532</v>
      </c>
    </row>
    <row r="57" spans="1:13">
      <c r="A57" s="12" t="s">
        <v>412</v>
      </c>
      <c r="B57" s="11" t="s">
        <v>1533</v>
      </c>
      <c r="C57" s="11" t="s">
        <v>1534</v>
      </c>
      <c r="D57" s="11" t="s">
        <v>1140</v>
      </c>
      <c r="E57" s="11" t="s">
        <v>3751</v>
      </c>
      <c r="F57" s="11" t="s">
        <v>199</v>
      </c>
      <c r="G57" s="25" t="s">
        <v>47</v>
      </c>
      <c r="H57" s="25" t="s">
        <v>47</v>
      </c>
      <c r="I57" s="12"/>
      <c r="J57" s="12"/>
      <c r="K57" s="31">
        <v>0</v>
      </c>
      <c r="L57" s="12" t="str">
        <f>"0,0000"</f>
        <v>0,0000</v>
      </c>
      <c r="M57" s="11" t="s">
        <v>1535</v>
      </c>
    </row>
    <row r="58" spans="1:13">
      <c r="A58" s="12" t="s">
        <v>412</v>
      </c>
      <c r="B58" s="11" t="s">
        <v>1536</v>
      </c>
      <c r="C58" s="11" t="s">
        <v>1537</v>
      </c>
      <c r="D58" s="11" t="s">
        <v>655</v>
      </c>
      <c r="E58" s="11" t="s">
        <v>3751</v>
      </c>
      <c r="F58" s="11" t="s">
        <v>3509</v>
      </c>
      <c r="G58" s="25" t="s">
        <v>36</v>
      </c>
      <c r="H58" s="25" t="s">
        <v>36</v>
      </c>
      <c r="I58" s="25" t="s">
        <v>36</v>
      </c>
      <c r="J58" s="12"/>
      <c r="K58" s="31">
        <v>0</v>
      </c>
      <c r="L58" s="12" t="str">
        <f>"0,0000"</f>
        <v>0,0000</v>
      </c>
      <c r="M58" s="11"/>
    </row>
    <row r="59" spans="1:13">
      <c r="A59" s="12" t="s">
        <v>412</v>
      </c>
      <c r="B59" s="11" t="s">
        <v>1538</v>
      </c>
      <c r="C59" s="11" t="s">
        <v>1539</v>
      </c>
      <c r="D59" s="11" t="s">
        <v>149</v>
      </c>
      <c r="E59" s="11" t="s">
        <v>3751</v>
      </c>
      <c r="F59" s="11" t="s">
        <v>3701</v>
      </c>
      <c r="G59" s="25" t="s">
        <v>40</v>
      </c>
      <c r="H59" s="25" t="s">
        <v>40</v>
      </c>
      <c r="I59" s="25" t="s">
        <v>40</v>
      </c>
      <c r="J59" s="12"/>
      <c r="K59" s="31">
        <v>0</v>
      </c>
      <c r="L59" s="12" t="str">
        <f>"0,0000"</f>
        <v>0,0000</v>
      </c>
      <c r="M59" s="11" t="s">
        <v>1408</v>
      </c>
    </row>
    <row r="60" spans="1:13">
      <c r="A60" s="12" t="s">
        <v>412</v>
      </c>
      <c r="B60" s="11" t="s">
        <v>1540</v>
      </c>
      <c r="C60" s="11" t="s">
        <v>1541</v>
      </c>
      <c r="D60" s="11" t="s">
        <v>149</v>
      </c>
      <c r="E60" s="11" t="s">
        <v>3751</v>
      </c>
      <c r="F60" s="11" t="s">
        <v>3702</v>
      </c>
      <c r="G60" s="25" t="s">
        <v>40</v>
      </c>
      <c r="H60" s="25" t="s">
        <v>40</v>
      </c>
      <c r="I60" s="25" t="s">
        <v>40</v>
      </c>
      <c r="J60" s="12"/>
      <c r="K60" s="31">
        <v>0</v>
      </c>
      <c r="L60" s="12" t="str">
        <f>"0,0000"</f>
        <v>0,0000</v>
      </c>
      <c r="M60" s="11"/>
    </row>
    <row r="61" spans="1:13">
      <c r="A61" s="12" t="s">
        <v>408</v>
      </c>
      <c r="B61" s="11" t="s">
        <v>1542</v>
      </c>
      <c r="C61" s="11" t="s">
        <v>1543</v>
      </c>
      <c r="D61" s="11" t="s">
        <v>1144</v>
      </c>
      <c r="E61" s="11" t="s">
        <v>3753</v>
      </c>
      <c r="F61" s="11" t="s">
        <v>3579</v>
      </c>
      <c r="G61" s="24" t="s">
        <v>35</v>
      </c>
      <c r="H61" s="24" t="s">
        <v>46</v>
      </c>
      <c r="I61" s="25" t="s">
        <v>494</v>
      </c>
      <c r="J61" s="12"/>
      <c r="K61" s="31" t="str">
        <f>"155,0"</f>
        <v>155,0</v>
      </c>
      <c r="L61" s="12" t="str">
        <f>"103,9895"</f>
        <v>103,9895</v>
      </c>
      <c r="M61" s="11" t="s">
        <v>3454</v>
      </c>
    </row>
    <row r="62" spans="1:13">
      <c r="A62" s="12" t="s">
        <v>408</v>
      </c>
      <c r="B62" s="11" t="s">
        <v>1544</v>
      </c>
      <c r="C62" s="11" t="s">
        <v>1545</v>
      </c>
      <c r="D62" s="11" t="s">
        <v>651</v>
      </c>
      <c r="E62" s="11" t="s">
        <v>3756</v>
      </c>
      <c r="F62" s="11" t="s">
        <v>3523</v>
      </c>
      <c r="G62" s="24" t="s">
        <v>76</v>
      </c>
      <c r="H62" s="24" t="s">
        <v>132</v>
      </c>
      <c r="I62" s="25" t="s">
        <v>85</v>
      </c>
      <c r="J62" s="12"/>
      <c r="K62" s="31" t="str">
        <f>"130,0"</f>
        <v>130,0</v>
      </c>
      <c r="L62" s="12" t="str">
        <f>"116,3320"</f>
        <v>116,3320</v>
      </c>
      <c r="M62" s="11"/>
    </row>
    <row r="63" spans="1:13">
      <c r="A63" s="12" t="s">
        <v>408</v>
      </c>
      <c r="B63" s="11" t="s">
        <v>147</v>
      </c>
      <c r="C63" s="11" t="s">
        <v>148</v>
      </c>
      <c r="D63" s="11" t="s">
        <v>149</v>
      </c>
      <c r="E63" s="11" t="s">
        <v>3757</v>
      </c>
      <c r="F63" s="11" t="s">
        <v>3613</v>
      </c>
      <c r="G63" s="24" t="s">
        <v>54</v>
      </c>
      <c r="H63" s="24" t="s">
        <v>78</v>
      </c>
      <c r="I63" s="24" t="s">
        <v>77</v>
      </c>
      <c r="J63" s="12"/>
      <c r="K63" s="31" t="str">
        <f>"125,0"</f>
        <v>125,0</v>
      </c>
      <c r="L63" s="12" t="str">
        <f>"116,0753"</f>
        <v>116,0753</v>
      </c>
      <c r="M63" s="11"/>
    </row>
    <row r="64" spans="1:13">
      <c r="A64" s="14" t="s">
        <v>408</v>
      </c>
      <c r="B64" s="13" t="s">
        <v>1546</v>
      </c>
      <c r="C64" s="13" t="s">
        <v>1547</v>
      </c>
      <c r="D64" s="13" t="s">
        <v>118</v>
      </c>
      <c r="E64" s="13" t="s">
        <v>3758</v>
      </c>
      <c r="F64" s="13" t="s">
        <v>3703</v>
      </c>
      <c r="G64" s="26" t="s">
        <v>78</v>
      </c>
      <c r="H64" s="27" t="s">
        <v>76</v>
      </c>
      <c r="I64" s="14"/>
      <c r="J64" s="14"/>
      <c r="K64" s="32" t="str">
        <f>"115,0"</f>
        <v>115,0</v>
      </c>
      <c r="L64" s="14" t="str">
        <f>"144,1472"</f>
        <v>144,1472</v>
      </c>
      <c r="M64" s="13"/>
    </row>
    <row r="65" spans="1:13">
      <c r="B65" s="5" t="s">
        <v>409</v>
      </c>
    </row>
    <row r="66" spans="1:13" ht="16">
      <c r="A66" s="57" t="s">
        <v>150</v>
      </c>
      <c r="B66" s="57"/>
      <c r="C66" s="57"/>
      <c r="D66" s="57"/>
      <c r="E66" s="57"/>
      <c r="F66" s="57"/>
      <c r="G66" s="57"/>
      <c r="H66" s="57"/>
      <c r="I66" s="57"/>
      <c r="J66" s="57"/>
    </row>
    <row r="67" spans="1:13">
      <c r="A67" s="10" t="s">
        <v>408</v>
      </c>
      <c r="B67" s="9" t="s">
        <v>681</v>
      </c>
      <c r="C67" s="9" t="s">
        <v>682</v>
      </c>
      <c r="D67" s="9" t="s">
        <v>683</v>
      </c>
      <c r="E67" s="9" t="s">
        <v>3754</v>
      </c>
      <c r="F67" s="9" t="s">
        <v>75</v>
      </c>
      <c r="G67" s="23" t="s">
        <v>37</v>
      </c>
      <c r="H67" s="23" t="s">
        <v>40</v>
      </c>
      <c r="I67" s="22" t="s">
        <v>70</v>
      </c>
      <c r="J67" s="10"/>
      <c r="K67" s="30" t="str">
        <f>"180,0"</f>
        <v>180,0</v>
      </c>
      <c r="L67" s="10" t="str">
        <f>"115,8480"</f>
        <v>115,8480</v>
      </c>
      <c r="M67" s="9"/>
    </row>
    <row r="68" spans="1:13">
      <c r="A68" s="12" t="s">
        <v>410</v>
      </c>
      <c r="B68" s="11" t="s">
        <v>3355</v>
      </c>
      <c r="C68" s="11" t="s">
        <v>151</v>
      </c>
      <c r="D68" s="11" t="s">
        <v>152</v>
      </c>
      <c r="E68" s="11" t="s">
        <v>3754</v>
      </c>
      <c r="F68" s="11" t="s">
        <v>153</v>
      </c>
      <c r="G68" s="24" t="s">
        <v>25</v>
      </c>
      <c r="H68" s="24" t="s">
        <v>46</v>
      </c>
      <c r="I68" s="25" t="s">
        <v>59</v>
      </c>
      <c r="J68" s="12"/>
      <c r="K68" s="31" t="str">
        <f>"155,0"</f>
        <v>155,0</v>
      </c>
      <c r="L68" s="12" t="str">
        <f>"98,9520"</f>
        <v>98,9520</v>
      </c>
      <c r="M68" s="11"/>
    </row>
    <row r="69" spans="1:13">
      <c r="A69" s="12" t="s">
        <v>408</v>
      </c>
      <c r="B69" s="11" t="s">
        <v>3447</v>
      </c>
      <c r="C69" s="11" t="s">
        <v>1548</v>
      </c>
      <c r="D69" s="11" t="s">
        <v>1549</v>
      </c>
      <c r="E69" s="11" t="s">
        <v>3751</v>
      </c>
      <c r="F69" s="11" t="s">
        <v>75</v>
      </c>
      <c r="G69" s="24" t="s">
        <v>83</v>
      </c>
      <c r="H69" s="24" t="s">
        <v>68</v>
      </c>
      <c r="I69" s="25" t="s">
        <v>288</v>
      </c>
      <c r="J69" s="12"/>
      <c r="K69" s="31" t="str">
        <f>"215,0"</f>
        <v>215,0</v>
      </c>
      <c r="L69" s="12" t="str">
        <f>"137,3420"</f>
        <v>137,3420</v>
      </c>
      <c r="M69" s="11"/>
    </row>
    <row r="70" spans="1:13">
      <c r="A70" s="12" t="s">
        <v>410</v>
      </c>
      <c r="B70" s="11" t="s">
        <v>1550</v>
      </c>
      <c r="C70" s="11" t="s">
        <v>1551</v>
      </c>
      <c r="D70" s="11" t="s">
        <v>152</v>
      </c>
      <c r="E70" s="11" t="s">
        <v>3751</v>
      </c>
      <c r="F70" s="11" t="s">
        <v>3509</v>
      </c>
      <c r="G70" s="24" t="s">
        <v>83</v>
      </c>
      <c r="H70" s="24" t="s">
        <v>68</v>
      </c>
      <c r="I70" s="25" t="s">
        <v>288</v>
      </c>
      <c r="J70" s="12"/>
      <c r="K70" s="31" t="str">
        <f>"215,0"</f>
        <v>215,0</v>
      </c>
      <c r="L70" s="12" t="str">
        <f>"137,2560"</f>
        <v>137,2560</v>
      </c>
      <c r="M70" s="11" t="s">
        <v>1000</v>
      </c>
    </row>
    <row r="71" spans="1:13">
      <c r="A71" s="12" t="s">
        <v>411</v>
      </c>
      <c r="B71" s="11" t="s">
        <v>1552</v>
      </c>
      <c r="C71" s="11" t="s">
        <v>1553</v>
      </c>
      <c r="D71" s="11" t="s">
        <v>1549</v>
      </c>
      <c r="E71" s="11" t="s">
        <v>3751</v>
      </c>
      <c r="F71" s="11" t="s">
        <v>199</v>
      </c>
      <c r="G71" s="24" t="s">
        <v>67</v>
      </c>
      <c r="H71" s="24" t="s">
        <v>210</v>
      </c>
      <c r="I71" s="25" t="s">
        <v>68</v>
      </c>
      <c r="J71" s="12"/>
      <c r="K71" s="31" t="str">
        <f>"212,5"</f>
        <v>212,5</v>
      </c>
      <c r="L71" s="12" t="str">
        <f>"135,7450"</f>
        <v>135,7450</v>
      </c>
      <c r="M71" s="11" t="s">
        <v>1511</v>
      </c>
    </row>
    <row r="72" spans="1:13">
      <c r="A72" s="12" t="s">
        <v>413</v>
      </c>
      <c r="B72" s="11" t="s">
        <v>1554</v>
      </c>
      <c r="C72" s="11" t="s">
        <v>1555</v>
      </c>
      <c r="D72" s="11" t="s">
        <v>1556</v>
      </c>
      <c r="E72" s="11" t="s">
        <v>3751</v>
      </c>
      <c r="F72" s="11" t="s">
        <v>3704</v>
      </c>
      <c r="G72" s="24" t="s">
        <v>71</v>
      </c>
      <c r="H72" s="24" t="s">
        <v>83</v>
      </c>
      <c r="I72" s="25" t="s">
        <v>68</v>
      </c>
      <c r="J72" s="12"/>
      <c r="K72" s="31" t="str">
        <f>"210,0"</f>
        <v>210,0</v>
      </c>
      <c r="L72" s="12" t="str">
        <f>"136,7310"</f>
        <v>136,7310</v>
      </c>
      <c r="M72" s="11" t="s">
        <v>72</v>
      </c>
    </row>
    <row r="73" spans="1:13">
      <c r="A73" s="12" t="s">
        <v>414</v>
      </c>
      <c r="B73" s="11" t="s">
        <v>1557</v>
      </c>
      <c r="C73" s="11" t="s">
        <v>1558</v>
      </c>
      <c r="D73" s="11" t="s">
        <v>1174</v>
      </c>
      <c r="E73" s="11" t="s">
        <v>3751</v>
      </c>
      <c r="F73" s="11" t="s">
        <v>3554</v>
      </c>
      <c r="G73" s="24" t="s">
        <v>67</v>
      </c>
      <c r="H73" s="25" t="s">
        <v>83</v>
      </c>
      <c r="I73" s="12"/>
      <c r="J73" s="12"/>
      <c r="K73" s="31" t="str">
        <f>"205,0"</f>
        <v>205,0</v>
      </c>
      <c r="L73" s="12" t="str">
        <f>"131,4665"</f>
        <v>131,4665</v>
      </c>
      <c r="M73" s="11" t="s">
        <v>1559</v>
      </c>
    </row>
    <row r="74" spans="1:13">
      <c r="A74" s="12" t="s">
        <v>415</v>
      </c>
      <c r="B74" s="11" t="s">
        <v>1560</v>
      </c>
      <c r="C74" s="11" t="s">
        <v>1561</v>
      </c>
      <c r="D74" s="11" t="s">
        <v>1562</v>
      </c>
      <c r="E74" s="11" t="s">
        <v>3751</v>
      </c>
      <c r="F74" s="11" t="s">
        <v>3564</v>
      </c>
      <c r="G74" s="24" t="s">
        <v>71</v>
      </c>
      <c r="H74" s="24" t="s">
        <v>67</v>
      </c>
      <c r="I74" s="25" t="s">
        <v>83</v>
      </c>
      <c r="J74" s="12"/>
      <c r="K74" s="31" t="str">
        <f>"205,0"</f>
        <v>205,0</v>
      </c>
      <c r="L74" s="12" t="str">
        <f>"131,4050"</f>
        <v>131,4050</v>
      </c>
      <c r="M74" s="11" t="s">
        <v>1563</v>
      </c>
    </row>
    <row r="75" spans="1:13">
      <c r="A75" s="12" t="s">
        <v>416</v>
      </c>
      <c r="B75" s="11" t="s">
        <v>1564</v>
      </c>
      <c r="C75" s="11" t="s">
        <v>1565</v>
      </c>
      <c r="D75" s="11" t="s">
        <v>152</v>
      </c>
      <c r="E75" s="11" t="s">
        <v>3751</v>
      </c>
      <c r="F75" s="11" t="s">
        <v>3584</v>
      </c>
      <c r="G75" s="24" t="s">
        <v>66</v>
      </c>
      <c r="H75" s="24" t="s">
        <v>92</v>
      </c>
      <c r="I75" s="12"/>
      <c r="J75" s="12"/>
      <c r="K75" s="31" t="str">
        <f>"202,5"</f>
        <v>202,5</v>
      </c>
      <c r="L75" s="12" t="str">
        <f>"129,2760"</f>
        <v>129,2760</v>
      </c>
      <c r="M75" s="11" t="s">
        <v>1566</v>
      </c>
    </row>
    <row r="76" spans="1:13">
      <c r="A76" s="12" t="s">
        <v>417</v>
      </c>
      <c r="B76" s="11" t="s">
        <v>1567</v>
      </c>
      <c r="C76" s="11" t="s">
        <v>1568</v>
      </c>
      <c r="D76" s="11" t="s">
        <v>1569</v>
      </c>
      <c r="E76" s="11" t="s">
        <v>3751</v>
      </c>
      <c r="F76" s="11" t="s">
        <v>3513</v>
      </c>
      <c r="G76" s="24" t="s">
        <v>28</v>
      </c>
      <c r="H76" s="25" t="s">
        <v>29</v>
      </c>
      <c r="I76" s="24" t="s">
        <v>29</v>
      </c>
      <c r="J76" s="12"/>
      <c r="K76" s="31" t="str">
        <f>"185,0"</f>
        <v>185,0</v>
      </c>
      <c r="L76" s="12" t="str">
        <f>"119,7875"</f>
        <v>119,7875</v>
      </c>
      <c r="M76" s="11"/>
    </row>
    <row r="77" spans="1:13">
      <c r="A77" s="12" t="s">
        <v>1364</v>
      </c>
      <c r="B77" s="11" t="s">
        <v>1570</v>
      </c>
      <c r="C77" s="11" t="s">
        <v>1571</v>
      </c>
      <c r="D77" s="11" t="s">
        <v>1562</v>
      </c>
      <c r="E77" s="11" t="s">
        <v>3751</v>
      </c>
      <c r="F77" s="11" t="s">
        <v>3509</v>
      </c>
      <c r="G77" s="24" t="s">
        <v>59</v>
      </c>
      <c r="H77" s="24" t="s">
        <v>37</v>
      </c>
      <c r="I77" s="25" t="s">
        <v>28</v>
      </c>
      <c r="J77" s="12"/>
      <c r="K77" s="31" t="str">
        <f>"170,0"</f>
        <v>170,0</v>
      </c>
      <c r="L77" s="12" t="str">
        <f>"108,9700"</f>
        <v>108,9700</v>
      </c>
      <c r="M77" s="11"/>
    </row>
    <row r="78" spans="1:13">
      <c r="A78" s="12" t="s">
        <v>1365</v>
      </c>
      <c r="B78" s="11" t="s">
        <v>1572</v>
      </c>
      <c r="C78" s="11" t="s">
        <v>1573</v>
      </c>
      <c r="D78" s="11" t="s">
        <v>1562</v>
      </c>
      <c r="E78" s="11" t="s">
        <v>3751</v>
      </c>
      <c r="F78" s="11" t="s">
        <v>3705</v>
      </c>
      <c r="G78" s="24" t="s">
        <v>187</v>
      </c>
      <c r="H78" s="25" t="s">
        <v>28</v>
      </c>
      <c r="I78" s="25" t="s">
        <v>28</v>
      </c>
      <c r="J78" s="12"/>
      <c r="K78" s="31" t="str">
        <f>"167,5"</f>
        <v>167,5</v>
      </c>
      <c r="L78" s="12" t="str">
        <f>"107,3675"</f>
        <v>107,3675</v>
      </c>
      <c r="M78" s="11"/>
    </row>
    <row r="79" spans="1:13">
      <c r="A79" s="12" t="s">
        <v>1366</v>
      </c>
      <c r="B79" s="11" t="s">
        <v>1574</v>
      </c>
      <c r="C79" s="11" t="s">
        <v>1575</v>
      </c>
      <c r="D79" s="11" t="s">
        <v>1172</v>
      </c>
      <c r="E79" s="11" t="s">
        <v>3751</v>
      </c>
      <c r="F79" s="11" t="s">
        <v>3551</v>
      </c>
      <c r="G79" s="24" t="s">
        <v>46</v>
      </c>
      <c r="H79" s="24" t="s">
        <v>59</v>
      </c>
      <c r="I79" s="25" t="s">
        <v>37</v>
      </c>
      <c r="J79" s="12"/>
      <c r="K79" s="31" t="str">
        <f>"165,0"</f>
        <v>165,0</v>
      </c>
      <c r="L79" s="12" t="str">
        <f>"106,4415"</f>
        <v>106,4415</v>
      </c>
      <c r="M79" s="11" t="s">
        <v>1576</v>
      </c>
    </row>
    <row r="80" spans="1:13">
      <c r="A80" s="12" t="s">
        <v>1367</v>
      </c>
      <c r="B80" s="11" t="s">
        <v>1577</v>
      </c>
      <c r="C80" s="11" t="s">
        <v>1578</v>
      </c>
      <c r="D80" s="11" t="s">
        <v>1251</v>
      </c>
      <c r="E80" s="11" t="s">
        <v>3751</v>
      </c>
      <c r="F80" s="11" t="s">
        <v>3509</v>
      </c>
      <c r="G80" s="24" t="s">
        <v>36</v>
      </c>
      <c r="H80" s="25" t="s">
        <v>47</v>
      </c>
      <c r="I80" s="25" t="s">
        <v>47</v>
      </c>
      <c r="J80" s="12"/>
      <c r="K80" s="31" t="str">
        <f>"160,0"</f>
        <v>160,0</v>
      </c>
      <c r="L80" s="12" t="str">
        <f>"104,1120"</f>
        <v>104,1120</v>
      </c>
      <c r="M80" s="11" t="s">
        <v>1579</v>
      </c>
    </row>
    <row r="81" spans="1:13">
      <c r="A81" s="12" t="s">
        <v>1368</v>
      </c>
      <c r="B81" s="11" t="s">
        <v>1580</v>
      </c>
      <c r="C81" s="11" t="s">
        <v>1581</v>
      </c>
      <c r="D81" s="11" t="s">
        <v>155</v>
      </c>
      <c r="E81" s="11" t="s">
        <v>3751</v>
      </c>
      <c r="F81" s="11" t="s">
        <v>3706</v>
      </c>
      <c r="G81" s="25" t="s">
        <v>46</v>
      </c>
      <c r="H81" s="24" t="s">
        <v>494</v>
      </c>
      <c r="I81" s="25" t="s">
        <v>59</v>
      </c>
      <c r="J81" s="12"/>
      <c r="K81" s="31" t="str">
        <f>"157,5"</f>
        <v>157,5</v>
      </c>
      <c r="L81" s="12" t="str">
        <f>"101,1307"</f>
        <v>101,1307</v>
      </c>
      <c r="M81" s="11" t="s">
        <v>1582</v>
      </c>
    </row>
    <row r="82" spans="1:13">
      <c r="A82" s="12" t="s">
        <v>1369</v>
      </c>
      <c r="B82" s="11" t="s">
        <v>1583</v>
      </c>
      <c r="C82" s="11" t="s">
        <v>1584</v>
      </c>
      <c r="D82" s="11" t="s">
        <v>1585</v>
      </c>
      <c r="E82" s="11" t="s">
        <v>3751</v>
      </c>
      <c r="F82" s="11" t="s">
        <v>3523</v>
      </c>
      <c r="G82" s="25" t="s">
        <v>26</v>
      </c>
      <c r="H82" s="24" t="s">
        <v>26</v>
      </c>
      <c r="I82" s="25" t="s">
        <v>47</v>
      </c>
      <c r="J82" s="12"/>
      <c r="K82" s="31" t="str">
        <f>"152,5"</f>
        <v>152,5</v>
      </c>
      <c r="L82" s="12" t="str">
        <f>"99,1708"</f>
        <v>99,1708</v>
      </c>
      <c r="M82" s="11"/>
    </row>
    <row r="83" spans="1:13">
      <c r="A83" s="12" t="s">
        <v>1370</v>
      </c>
      <c r="B83" s="11" t="s">
        <v>1586</v>
      </c>
      <c r="C83" s="11" t="s">
        <v>1587</v>
      </c>
      <c r="D83" s="11" t="s">
        <v>1224</v>
      </c>
      <c r="E83" s="11" t="s">
        <v>3751</v>
      </c>
      <c r="F83" s="11" t="s">
        <v>3509</v>
      </c>
      <c r="G83" s="25" t="s">
        <v>45</v>
      </c>
      <c r="H83" s="24" t="s">
        <v>45</v>
      </c>
      <c r="I83" s="12"/>
      <c r="J83" s="12"/>
      <c r="K83" s="31" t="str">
        <f>"140,0"</f>
        <v>140,0</v>
      </c>
      <c r="L83" s="12" t="str">
        <f>"92,3580"</f>
        <v>92,3580</v>
      </c>
      <c r="M83" s="11" t="s">
        <v>1588</v>
      </c>
    </row>
    <row r="84" spans="1:13">
      <c r="A84" s="12" t="s">
        <v>412</v>
      </c>
      <c r="B84" s="11" t="s">
        <v>1589</v>
      </c>
      <c r="C84" s="11" t="s">
        <v>1590</v>
      </c>
      <c r="D84" s="11" t="s">
        <v>158</v>
      </c>
      <c r="E84" s="11" t="s">
        <v>3751</v>
      </c>
      <c r="F84" s="11" t="s">
        <v>3509</v>
      </c>
      <c r="G84" s="25" t="s">
        <v>67</v>
      </c>
      <c r="H84" s="25" t="s">
        <v>67</v>
      </c>
      <c r="I84" s="25" t="s">
        <v>210</v>
      </c>
      <c r="J84" s="12"/>
      <c r="K84" s="31">
        <v>0</v>
      </c>
      <c r="L84" s="12" t="str">
        <f>"0,0000"</f>
        <v>0,0000</v>
      </c>
      <c r="M84" s="11"/>
    </row>
    <row r="85" spans="1:13">
      <c r="A85" s="12" t="s">
        <v>412</v>
      </c>
      <c r="B85" s="11" t="s">
        <v>1591</v>
      </c>
      <c r="C85" s="11" t="s">
        <v>1592</v>
      </c>
      <c r="D85" s="11" t="s">
        <v>152</v>
      </c>
      <c r="E85" s="11" t="s">
        <v>3751</v>
      </c>
      <c r="F85" s="11" t="s">
        <v>3592</v>
      </c>
      <c r="G85" s="25" t="s">
        <v>37</v>
      </c>
      <c r="H85" s="25" t="s">
        <v>28</v>
      </c>
      <c r="I85" s="25" t="s">
        <v>28</v>
      </c>
      <c r="J85" s="12"/>
      <c r="K85" s="31">
        <v>0</v>
      </c>
      <c r="L85" s="12" t="str">
        <f>"0,0000"</f>
        <v>0,0000</v>
      </c>
      <c r="M85" s="11"/>
    </row>
    <row r="86" spans="1:13">
      <c r="A86" s="12" t="s">
        <v>408</v>
      </c>
      <c r="B86" s="11" t="s">
        <v>1593</v>
      </c>
      <c r="C86" s="11" t="s">
        <v>1594</v>
      </c>
      <c r="D86" s="11" t="s">
        <v>1174</v>
      </c>
      <c r="E86" s="11" t="s">
        <v>3753</v>
      </c>
      <c r="F86" s="11" t="s">
        <v>3590</v>
      </c>
      <c r="G86" s="24" t="s">
        <v>226</v>
      </c>
      <c r="H86" s="24" t="s">
        <v>61</v>
      </c>
      <c r="I86" s="25" t="s">
        <v>113</v>
      </c>
      <c r="J86" s="12"/>
      <c r="K86" s="31" t="str">
        <f>"177,5"</f>
        <v>177,5</v>
      </c>
      <c r="L86" s="12" t="str">
        <f>"117,0180"</f>
        <v>117,0180</v>
      </c>
      <c r="M86" s="11"/>
    </row>
    <row r="87" spans="1:13">
      <c r="A87" s="12" t="s">
        <v>408</v>
      </c>
      <c r="B87" s="11" t="s">
        <v>1595</v>
      </c>
      <c r="C87" s="11" t="s">
        <v>1596</v>
      </c>
      <c r="D87" s="11" t="s">
        <v>1172</v>
      </c>
      <c r="E87" s="11" t="s">
        <v>3756</v>
      </c>
      <c r="F87" s="11" t="s">
        <v>3707</v>
      </c>
      <c r="G87" s="24" t="s">
        <v>61</v>
      </c>
      <c r="H87" s="24" t="s">
        <v>113</v>
      </c>
      <c r="I87" s="25" t="s">
        <v>596</v>
      </c>
      <c r="J87" s="12"/>
      <c r="K87" s="31" t="str">
        <f>"182,5"</f>
        <v>182,5</v>
      </c>
      <c r="L87" s="12" t="str">
        <f>"144,5734"</f>
        <v>144,5734</v>
      </c>
      <c r="M87" s="11" t="s">
        <v>1597</v>
      </c>
    </row>
    <row r="88" spans="1:13">
      <c r="A88" s="12" t="s">
        <v>410</v>
      </c>
      <c r="B88" s="11" t="s">
        <v>1598</v>
      </c>
      <c r="C88" s="11" t="s">
        <v>1599</v>
      </c>
      <c r="D88" s="11" t="s">
        <v>683</v>
      </c>
      <c r="E88" s="11" t="s">
        <v>3756</v>
      </c>
      <c r="F88" s="11" t="s">
        <v>3509</v>
      </c>
      <c r="G88" s="25" t="s">
        <v>37</v>
      </c>
      <c r="H88" s="24" t="s">
        <v>28</v>
      </c>
      <c r="I88" s="24" t="s">
        <v>40</v>
      </c>
      <c r="J88" s="12"/>
      <c r="K88" s="31" t="str">
        <f>"180,0"</f>
        <v>180,0</v>
      </c>
      <c r="L88" s="12" t="str">
        <f>"135,3105"</f>
        <v>135,3105</v>
      </c>
      <c r="M88" s="11"/>
    </row>
    <row r="89" spans="1:13">
      <c r="A89" s="12" t="s">
        <v>408</v>
      </c>
      <c r="B89" s="11" t="s">
        <v>1600</v>
      </c>
      <c r="C89" s="11" t="s">
        <v>1601</v>
      </c>
      <c r="D89" s="11" t="s">
        <v>1602</v>
      </c>
      <c r="E89" s="11" t="s">
        <v>3756</v>
      </c>
      <c r="F89" s="11" t="s">
        <v>3708</v>
      </c>
      <c r="G89" s="24" t="s">
        <v>69</v>
      </c>
      <c r="H89" s="24" t="s">
        <v>54</v>
      </c>
      <c r="I89" s="25" t="s">
        <v>106</v>
      </c>
      <c r="J89" s="12"/>
      <c r="K89" s="31" t="str">
        <f>"105,0"</f>
        <v>105,0</v>
      </c>
      <c r="L89" s="12" t="str">
        <f>"97,1504"</f>
        <v>97,1504</v>
      </c>
      <c r="M89" s="11"/>
    </row>
    <row r="90" spans="1:13">
      <c r="A90" s="14" t="s">
        <v>408</v>
      </c>
      <c r="B90" s="13" t="s">
        <v>1603</v>
      </c>
      <c r="C90" s="13" t="s">
        <v>1604</v>
      </c>
      <c r="D90" s="13" t="s">
        <v>1605</v>
      </c>
      <c r="E90" s="13" t="s">
        <v>3758</v>
      </c>
      <c r="F90" s="13" t="s">
        <v>3597</v>
      </c>
      <c r="G90" s="26" t="s">
        <v>76</v>
      </c>
      <c r="H90" s="27" t="s">
        <v>77</v>
      </c>
      <c r="I90" s="26" t="s">
        <v>77</v>
      </c>
      <c r="J90" s="14"/>
      <c r="K90" s="32" t="str">
        <f>"125,0"</f>
        <v>125,0</v>
      </c>
      <c r="L90" s="14" t="str">
        <f>"164,7360"</f>
        <v>164,7360</v>
      </c>
      <c r="M90" s="13"/>
    </row>
    <row r="91" spans="1:13">
      <c r="B91" s="5" t="s">
        <v>409</v>
      </c>
    </row>
    <row r="92" spans="1:13" ht="16">
      <c r="A92" s="57" t="s">
        <v>195</v>
      </c>
      <c r="B92" s="57"/>
      <c r="C92" s="57"/>
      <c r="D92" s="57"/>
      <c r="E92" s="57"/>
      <c r="F92" s="57"/>
      <c r="G92" s="57"/>
      <c r="H92" s="57"/>
      <c r="I92" s="57"/>
      <c r="J92" s="57"/>
    </row>
    <row r="93" spans="1:13">
      <c r="A93" s="10" t="s">
        <v>408</v>
      </c>
      <c r="B93" s="9" t="s">
        <v>1606</v>
      </c>
      <c r="C93" s="9" t="s">
        <v>1607</v>
      </c>
      <c r="D93" s="9" t="s">
        <v>1608</v>
      </c>
      <c r="E93" s="9" t="s">
        <v>3754</v>
      </c>
      <c r="F93" s="9" t="s">
        <v>3632</v>
      </c>
      <c r="G93" s="23" t="s">
        <v>83</v>
      </c>
      <c r="H93" s="22" t="s">
        <v>97</v>
      </c>
      <c r="I93" s="23" t="s">
        <v>97</v>
      </c>
      <c r="J93" s="10"/>
      <c r="K93" s="30" t="str">
        <f>"220,0"</f>
        <v>220,0</v>
      </c>
      <c r="L93" s="10" t="str">
        <f>"138,3360"</f>
        <v>138,3360</v>
      </c>
      <c r="M93" s="9"/>
    </row>
    <row r="94" spans="1:13">
      <c r="A94" s="12" t="s">
        <v>410</v>
      </c>
      <c r="B94" s="11" t="s">
        <v>1609</v>
      </c>
      <c r="C94" s="11" t="s">
        <v>1610</v>
      </c>
      <c r="D94" s="11" t="s">
        <v>1611</v>
      </c>
      <c r="E94" s="11" t="s">
        <v>3754</v>
      </c>
      <c r="F94" s="11" t="s">
        <v>3511</v>
      </c>
      <c r="G94" s="24" t="s">
        <v>226</v>
      </c>
      <c r="H94" s="25" t="s">
        <v>40</v>
      </c>
      <c r="I94" s="25" t="s">
        <v>40</v>
      </c>
      <c r="J94" s="12"/>
      <c r="K94" s="31" t="str">
        <f>"172,5"</f>
        <v>172,5</v>
      </c>
      <c r="L94" s="12" t="str">
        <f>"105,5355"</f>
        <v>105,5355</v>
      </c>
      <c r="M94" s="11"/>
    </row>
    <row r="95" spans="1:13">
      <c r="A95" s="12" t="s">
        <v>408</v>
      </c>
      <c r="B95" s="11" t="s">
        <v>1612</v>
      </c>
      <c r="C95" s="11" t="s">
        <v>1613</v>
      </c>
      <c r="D95" s="11" t="s">
        <v>1614</v>
      </c>
      <c r="E95" s="11" t="s">
        <v>3751</v>
      </c>
      <c r="F95" s="11" t="s">
        <v>3611</v>
      </c>
      <c r="G95" s="24" t="s">
        <v>86</v>
      </c>
      <c r="H95" s="24" t="s">
        <v>87</v>
      </c>
      <c r="I95" s="25" t="s">
        <v>99</v>
      </c>
      <c r="J95" s="12"/>
      <c r="K95" s="31" t="str">
        <f>"235,0"</f>
        <v>235,0</v>
      </c>
      <c r="L95" s="12" t="str">
        <f>"147,1100"</f>
        <v>147,1100</v>
      </c>
      <c r="M95" s="11"/>
    </row>
    <row r="96" spans="1:13">
      <c r="A96" s="12" t="s">
        <v>410</v>
      </c>
      <c r="B96" s="11" t="s">
        <v>1615</v>
      </c>
      <c r="C96" s="11" t="s">
        <v>1616</v>
      </c>
      <c r="D96" s="11" t="s">
        <v>1617</v>
      </c>
      <c r="E96" s="11" t="s">
        <v>3751</v>
      </c>
      <c r="F96" s="11" t="s">
        <v>3583</v>
      </c>
      <c r="G96" s="25" t="s">
        <v>83</v>
      </c>
      <c r="H96" s="24" t="s">
        <v>68</v>
      </c>
      <c r="I96" s="25" t="s">
        <v>97</v>
      </c>
      <c r="J96" s="12"/>
      <c r="K96" s="31" t="str">
        <f>"215,0"</f>
        <v>215,0</v>
      </c>
      <c r="L96" s="12" t="str">
        <f>"132,9990"</f>
        <v>132,9990</v>
      </c>
      <c r="M96" s="11"/>
    </row>
    <row r="97" spans="1:13">
      <c r="A97" s="12" t="s">
        <v>411</v>
      </c>
      <c r="B97" s="11" t="s">
        <v>1414</v>
      </c>
      <c r="C97" s="11" t="s">
        <v>1415</v>
      </c>
      <c r="D97" s="11" t="s">
        <v>224</v>
      </c>
      <c r="E97" s="11" t="s">
        <v>3751</v>
      </c>
      <c r="F97" s="11" t="s">
        <v>3602</v>
      </c>
      <c r="G97" s="24" t="s">
        <v>67</v>
      </c>
      <c r="H97" s="24" t="s">
        <v>210</v>
      </c>
      <c r="I97" s="25" t="s">
        <v>68</v>
      </c>
      <c r="J97" s="12"/>
      <c r="K97" s="31" t="str">
        <f>"212,5"</f>
        <v>212,5</v>
      </c>
      <c r="L97" s="12" t="str">
        <f>"130,6875"</f>
        <v>130,6875</v>
      </c>
      <c r="M97" s="11"/>
    </row>
    <row r="98" spans="1:13">
      <c r="A98" s="12" t="s">
        <v>413</v>
      </c>
      <c r="B98" s="11" t="s">
        <v>1618</v>
      </c>
      <c r="C98" s="11" t="s">
        <v>1619</v>
      </c>
      <c r="D98" s="11" t="s">
        <v>1620</v>
      </c>
      <c r="E98" s="11" t="s">
        <v>3751</v>
      </c>
      <c r="F98" s="11" t="s">
        <v>3575</v>
      </c>
      <c r="G98" s="24" t="s">
        <v>71</v>
      </c>
      <c r="H98" s="25" t="s">
        <v>83</v>
      </c>
      <c r="I98" s="12"/>
      <c r="J98" s="12"/>
      <c r="K98" s="31" t="str">
        <f>"200,0"</f>
        <v>200,0</v>
      </c>
      <c r="L98" s="12" t="str">
        <f>"121,8200"</f>
        <v>121,8200</v>
      </c>
      <c r="M98" s="11" t="s">
        <v>1621</v>
      </c>
    </row>
    <row r="99" spans="1:13">
      <c r="A99" s="12" t="s">
        <v>414</v>
      </c>
      <c r="B99" s="11" t="s">
        <v>1622</v>
      </c>
      <c r="C99" s="11" t="s">
        <v>1623</v>
      </c>
      <c r="D99" s="11" t="s">
        <v>1624</v>
      </c>
      <c r="E99" s="11" t="s">
        <v>3751</v>
      </c>
      <c r="F99" s="11" t="s">
        <v>3619</v>
      </c>
      <c r="G99" s="24" t="s">
        <v>70</v>
      </c>
      <c r="H99" s="24" t="s">
        <v>66</v>
      </c>
      <c r="I99" s="25" t="s">
        <v>71</v>
      </c>
      <c r="J99" s="12"/>
      <c r="K99" s="31" t="str">
        <f>"195,0"</f>
        <v>195,0</v>
      </c>
      <c r="L99" s="12" t="str">
        <f>"120,2370"</f>
        <v>120,2370</v>
      </c>
      <c r="M99" s="11" t="s">
        <v>1625</v>
      </c>
    </row>
    <row r="100" spans="1:13">
      <c r="A100" s="12" t="s">
        <v>415</v>
      </c>
      <c r="B100" s="11" t="s">
        <v>1626</v>
      </c>
      <c r="C100" s="11" t="s">
        <v>1627</v>
      </c>
      <c r="D100" s="11" t="s">
        <v>1624</v>
      </c>
      <c r="E100" s="11" t="s">
        <v>3751</v>
      </c>
      <c r="F100" s="11" t="s">
        <v>3632</v>
      </c>
      <c r="G100" s="25" t="s">
        <v>29</v>
      </c>
      <c r="H100" s="24" t="s">
        <v>70</v>
      </c>
      <c r="I100" s="25" t="s">
        <v>66</v>
      </c>
      <c r="J100" s="12"/>
      <c r="K100" s="31" t="str">
        <f>"190,0"</f>
        <v>190,0</v>
      </c>
      <c r="L100" s="12" t="str">
        <f>"117,1540"</f>
        <v>117,1540</v>
      </c>
      <c r="M100" s="11" t="s">
        <v>1408</v>
      </c>
    </row>
    <row r="101" spans="1:13">
      <c r="A101" s="12" t="s">
        <v>416</v>
      </c>
      <c r="B101" s="11" t="s">
        <v>1628</v>
      </c>
      <c r="C101" s="11" t="s">
        <v>1629</v>
      </c>
      <c r="D101" s="11" t="s">
        <v>1264</v>
      </c>
      <c r="E101" s="11" t="s">
        <v>3751</v>
      </c>
      <c r="F101" s="11" t="s">
        <v>3510</v>
      </c>
      <c r="G101" s="24" t="s">
        <v>40</v>
      </c>
      <c r="H101" s="24" t="s">
        <v>29</v>
      </c>
      <c r="I101" s="24" t="s">
        <v>70</v>
      </c>
      <c r="J101" s="12"/>
      <c r="K101" s="31" t="str">
        <f>"190,0"</f>
        <v>190,0</v>
      </c>
      <c r="L101" s="12" t="str">
        <f>"116,6980"</f>
        <v>116,6980</v>
      </c>
      <c r="M101" s="11"/>
    </row>
    <row r="102" spans="1:13">
      <c r="A102" s="12" t="s">
        <v>417</v>
      </c>
      <c r="B102" s="11" t="s">
        <v>1630</v>
      </c>
      <c r="C102" s="11" t="s">
        <v>1631</v>
      </c>
      <c r="D102" s="11" t="s">
        <v>1632</v>
      </c>
      <c r="E102" s="11" t="s">
        <v>3751</v>
      </c>
      <c r="F102" s="11" t="s">
        <v>3512</v>
      </c>
      <c r="G102" s="24" t="s">
        <v>40</v>
      </c>
      <c r="H102" s="24" t="s">
        <v>70</v>
      </c>
      <c r="I102" s="25" t="s">
        <v>181</v>
      </c>
      <c r="J102" s="12"/>
      <c r="K102" s="31" t="str">
        <f>"190,0"</f>
        <v>190,0</v>
      </c>
      <c r="L102" s="12" t="str">
        <f>"116,3370"</f>
        <v>116,3370</v>
      </c>
      <c r="M102" s="11" t="s">
        <v>779</v>
      </c>
    </row>
    <row r="103" spans="1:13">
      <c r="A103" s="12" t="s">
        <v>1364</v>
      </c>
      <c r="B103" s="11" t="s">
        <v>1633</v>
      </c>
      <c r="C103" s="11" t="s">
        <v>1634</v>
      </c>
      <c r="D103" s="11" t="s">
        <v>1635</v>
      </c>
      <c r="E103" s="11" t="s">
        <v>3751</v>
      </c>
      <c r="F103" s="11" t="s">
        <v>3709</v>
      </c>
      <c r="G103" s="24" t="s">
        <v>226</v>
      </c>
      <c r="H103" s="24" t="s">
        <v>29</v>
      </c>
      <c r="I103" s="25" t="s">
        <v>596</v>
      </c>
      <c r="J103" s="12"/>
      <c r="K103" s="31" t="str">
        <f t="shared" ref="K103:K109" si="0">"185,0"</f>
        <v>185,0</v>
      </c>
      <c r="L103" s="12" t="str">
        <f>"115,0700"</f>
        <v>115,0700</v>
      </c>
      <c r="M103" s="11"/>
    </row>
    <row r="104" spans="1:13">
      <c r="A104" s="12" t="s">
        <v>1365</v>
      </c>
      <c r="B104" s="11" t="s">
        <v>1636</v>
      </c>
      <c r="C104" s="11" t="s">
        <v>1637</v>
      </c>
      <c r="D104" s="11" t="s">
        <v>1635</v>
      </c>
      <c r="E104" s="11" t="s">
        <v>3751</v>
      </c>
      <c r="F104" s="11" t="s">
        <v>3710</v>
      </c>
      <c r="G104" s="25" t="s">
        <v>40</v>
      </c>
      <c r="H104" s="24" t="s">
        <v>29</v>
      </c>
      <c r="I104" s="25" t="s">
        <v>66</v>
      </c>
      <c r="J104" s="12"/>
      <c r="K104" s="31" t="str">
        <f t="shared" si="0"/>
        <v>185,0</v>
      </c>
      <c r="L104" s="12" t="str">
        <f>"115,0700"</f>
        <v>115,0700</v>
      </c>
      <c r="M104" s="11"/>
    </row>
    <row r="105" spans="1:13">
      <c r="A105" s="12" t="s">
        <v>1366</v>
      </c>
      <c r="B105" s="11" t="s">
        <v>1638</v>
      </c>
      <c r="C105" s="11" t="s">
        <v>1639</v>
      </c>
      <c r="D105" s="11" t="s">
        <v>720</v>
      </c>
      <c r="E105" s="11" t="s">
        <v>3751</v>
      </c>
      <c r="F105" s="11" t="s">
        <v>3509</v>
      </c>
      <c r="G105" s="24" t="s">
        <v>59</v>
      </c>
      <c r="H105" s="24" t="s">
        <v>28</v>
      </c>
      <c r="I105" s="24" t="s">
        <v>29</v>
      </c>
      <c r="J105" s="12"/>
      <c r="K105" s="31" t="str">
        <f t="shared" si="0"/>
        <v>185,0</v>
      </c>
      <c r="L105" s="12" t="str">
        <f>"114,7000"</f>
        <v>114,7000</v>
      </c>
      <c r="M105" s="11"/>
    </row>
    <row r="106" spans="1:13">
      <c r="A106" s="12" t="s">
        <v>1367</v>
      </c>
      <c r="B106" s="11" t="s">
        <v>1640</v>
      </c>
      <c r="C106" s="11" t="s">
        <v>1641</v>
      </c>
      <c r="D106" s="11" t="s">
        <v>198</v>
      </c>
      <c r="E106" s="11" t="s">
        <v>3751</v>
      </c>
      <c r="F106" s="11" t="s">
        <v>3537</v>
      </c>
      <c r="G106" s="24" t="s">
        <v>29</v>
      </c>
      <c r="H106" s="25" t="s">
        <v>70</v>
      </c>
      <c r="I106" s="25" t="s">
        <v>70</v>
      </c>
      <c r="J106" s="12"/>
      <c r="K106" s="31" t="str">
        <f t="shared" si="0"/>
        <v>185,0</v>
      </c>
      <c r="L106" s="12" t="str">
        <f>"114,1265"</f>
        <v>114,1265</v>
      </c>
      <c r="M106" s="11" t="s">
        <v>3455</v>
      </c>
    </row>
    <row r="107" spans="1:13">
      <c r="A107" s="12" t="s">
        <v>1368</v>
      </c>
      <c r="B107" s="11" t="s">
        <v>1642</v>
      </c>
      <c r="C107" s="11" t="s">
        <v>1643</v>
      </c>
      <c r="D107" s="11" t="s">
        <v>1644</v>
      </c>
      <c r="E107" s="11" t="s">
        <v>3751</v>
      </c>
      <c r="F107" s="11" t="s">
        <v>3558</v>
      </c>
      <c r="G107" s="24" t="s">
        <v>29</v>
      </c>
      <c r="H107" s="25" t="s">
        <v>70</v>
      </c>
      <c r="I107" s="25" t="s">
        <v>70</v>
      </c>
      <c r="J107" s="12"/>
      <c r="K107" s="31" t="str">
        <f t="shared" si="0"/>
        <v>185,0</v>
      </c>
      <c r="L107" s="12" t="str">
        <f>"113,7195"</f>
        <v>113,7195</v>
      </c>
      <c r="M107" s="11" t="s">
        <v>1645</v>
      </c>
    </row>
    <row r="108" spans="1:13">
      <c r="A108" s="12" t="s">
        <v>1369</v>
      </c>
      <c r="B108" s="11" t="s">
        <v>1646</v>
      </c>
      <c r="C108" s="11" t="s">
        <v>1647</v>
      </c>
      <c r="D108" s="11" t="s">
        <v>220</v>
      </c>
      <c r="E108" s="11" t="s">
        <v>3751</v>
      </c>
      <c r="F108" s="11" t="s">
        <v>3671</v>
      </c>
      <c r="G108" s="24" t="s">
        <v>29</v>
      </c>
      <c r="H108" s="25" t="s">
        <v>70</v>
      </c>
      <c r="I108" s="25" t="s">
        <v>70</v>
      </c>
      <c r="J108" s="12"/>
      <c r="K108" s="31" t="str">
        <f t="shared" si="0"/>
        <v>185,0</v>
      </c>
      <c r="L108" s="12" t="str">
        <f>"113,3865"</f>
        <v>113,3865</v>
      </c>
      <c r="M108" s="11"/>
    </row>
    <row r="109" spans="1:13">
      <c r="A109" s="12" t="s">
        <v>1370</v>
      </c>
      <c r="B109" s="11" t="s">
        <v>1648</v>
      </c>
      <c r="C109" s="11" t="s">
        <v>1649</v>
      </c>
      <c r="D109" s="11" t="s">
        <v>1620</v>
      </c>
      <c r="E109" s="11" t="s">
        <v>3751</v>
      </c>
      <c r="F109" s="11" t="s">
        <v>3711</v>
      </c>
      <c r="G109" s="24" t="s">
        <v>59</v>
      </c>
      <c r="H109" s="24" t="s">
        <v>61</v>
      </c>
      <c r="I109" s="24" t="s">
        <v>29</v>
      </c>
      <c r="J109" s="12"/>
      <c r="K109" s="31" t="str">
        <f t="shared" si="0"/>
        <v>185,0</v>
      </c>
      <c r="L109" s="12" t="str">
        <f>"112,6835"</f>
        <v>112,6835</v>
      </c>
      <c r="M109" s="11"/>
    </row>
    <row r="110" spans="1:13">
      <c r="A110" s="12" t="s">
        <v>1371</v>
      </c>
      <c r="B110" s="11" t="s">
        <v>1650</v>
      </c>
      <c r="C110" s="11" t="s">
        <v>1651</v>
      </c>
      <c r="D110" s="11" t="s">
        <v>1652</v>
      </c>
      <c r="E110" s="11" t="s">
        <v>3751</v>
      </c>
      <c r="F110" s="11" t="s">
        <v>3573</v>
      </c>
      <c r="G110" s="24" t="s">
        <v>40</v>
      </c>
      <c r="H110" s="25" t="s">
        <v>70</v>
      </c>
      <c r="I110" s="25" t="s">
        <v>71</v>
      </c>
      <c r="J110" s="12"/>
      <c r="K110" s="31" t="str">
        <f>"180,0"</f>
        <v>180,0</v>
      </c>
      <c r="L110" s="12" t="str">
        <f>"110,0340"</f>
        <v>110,0340</v>
      </c>
      <c r="M110" s="11"/>
    </row>
    <row r="111" spans="1:13">
      <c r="A111" s="12" t="s">
        <v>1372</v>
      </c>
      <c r="B111" s="11" t="s">
        <v>1653</v>
      </c>
      <c r="C111" s="11" t="s">
        <v>1654</v>
      </c>
      <c r="D111" s="11" t="s">
        <v>710</v>
      </c>
      <c r="E111" s="11" t="s">
        <v>3751</v>
      </c>
      <c r="F111" s="11" t="s">
        <v>3538</v>
      </c>
      <c r="G111" s="24" t="s">
        <v>61</v>
      </c>
      <c r="H111" s="25" t="s">
        <v>596</v>
      </c>
      <c r="I111" s="12"/>
      <c r="J111" s="12"/>
      <c r="K111" s="31" t="str">
        <f>"177,5"</f>
        <v>177,5</v>
      </c>
      <c r="L111" s="12" t="str">
        <f>"109,8370"</f>
        <v>109,8370</v>
      </c>
      <c r="M111" s="11" t="s">
        <v>923</v>
      </c>
    </row>
    <row r="112" spans="1:13">
      <c r="A112" s="12" t="s">
        <v>1373</v>
      </c>
      <c r="B112" s="11" t="s">
        <v>1655</v>
      </c>
      <c r="C112" s="11" t="s">
        <v>1656</v>
      </c>
      <c r="D112" s="11" t="s">
        <v>1611</v>
      </c>
      <c r="E112" s="11" t="s">
        <v>3751</v>
      </c>
      <c r="F112" s="11" t="s">
        <v>3599</v>
      </c>
      <c r="G112" s="24" t="s">
        <v>37</v>
      </c>
      <c r="H112" s="25" t="s">
        <v>40</v>
      </c>
      <c r="I112" s="25" t="s">
        <v>29</v>
      </c>
      <c r="J112" s="12"/>
      <c r="K112" s="31" t="str">
        <f>"170,0"</f>
        <v>170,0</v>
      </c>
      <c r="L112" s="12" t="str">
        <f>"104,0060"</f>
        <v>104,0060</v>
      </c>
      <c r="M112" s="11" t="s">
        <v>310</v>
      </c>
    </row>
    <row r="113" spans="1:13">
      <c r="A113" s="12" t="s">
        <v>1833</v>
      </c>
      <c r="B113" s="11" t="s">
        <v>1657</v>
      </c>
      <c r="C113" s="11" t="s">
        <v>1658</v>
      </c>
      <c r="D113" s="11" t="s">
        <v>508</v>
      </c>
      <c r="E113" s="11" t="s">
        <v>3751</v>
      </c>
      <c r="F113" s="11" t="s">
        <v>3647</v>
      </c>
      <c r="G113" s="24" t="s">
        <v>36</v>
      </c>
      <c r="H113" s="25" t="s">
        <v>37</v>
      </c>
      <c r="I113" s="12"/>
      <c r="J113" s="12"/>
      <c r="K113" s="31" t="str">
        <f>"160,0"</f>
        <v>160,0</v>
      </c>
      <c r="L113" s="12" t="str">
        <f>"99,3440"</f>
        <v>99,3440</v>
      </c>
      <c r="M113" s="11"/>
    </row>
    <row r="114" spans="1:13">
      <c r="A114" s="12" t="s">
        <v>1834</v>
      </c>
      <c r="B114" s="11" t="s">
        <v>236</v>
      </c>
      <c r="C114" s="11" t="s">
        <v>237</v>
      </c>
      <c r="D114" s="11" t="s">
        <v>1659</v>
      </c>
      <c r="E114" s="11" t="s">
        <v>3751</v>
      </c>
      <c r="F114" s="11" t="s">
        <v>1495</v>
      </c>
      <c r="G114" s="25" t="s">
        <v>35</v>
      </c>
      <c r="H114" s="24" t="s">
        <v>35</v>
      </c>
      <c r="I114" s="25" t="s">
        <v>36</v>
      </c>
      <c r="J114" s="12"/>
      <c r="K114" s="31" t="str">
        <f>"150,0"</f>
        <v>150,0</v>
      </c>
      <c r="L114" s="12" t="str">
        <f>"92,6550"</f>
        <v>92,6550</v>
      </c>
      <c r="M114" s="11"/>
    </row>
    <row r="115" spans="1:13">
      <c r="A115" s="12" t="s">
        <v>408</v>
      </c>
      <c r="B115" s="11" t="s">
        <v>1414</v>
      </c>
      <c r="C115" s="11" t="s">
        <v>1425</v>
      </c>
      <c r="D115" s="11" t="s">
        <v>224</v>
      </c>
      <c r="E115" s="11" t="s">
        <v>3753</v>
      </c>
      <c r="F115" s="11" t="s">
        <v>3602</v>
      </c>
      <c r="G115" s="24" t="s">
        <v>67</v>
      </c>
      <c r="H115" s="24" t="s">
        <v>210</v>
      </c>
      <c r="I115" s="25" t="s">
        <v>68</v>
      </c>
      <c r="J115" s="12"/>
      <c r="K115" s="31" t="str">
        <f>"212,5"</f>
        <v>212,5</v>
      </c>
      <c r="L115" s="12" t="str">
        <f>"132,5171"</f>
        <v>132,5171</v>
      </c>
      <c r="M115" s="11"/>
    </row>
    <row r="116" spans="1:13">
      <c r="A116" s="12" t="s">
        <v>410</v>
      </c>
      <c r="B116" s="11" t="s">
        <v>1660</v>
      </c>
      <c r="C116" s="11" t="s">
        <v>1661</v>
      </c>
      <c r="D116" s="11" t="s">
        <v>1662</v>
      </c>
      <c r="E116" s="11" t="s">
        <v>3753</v>
      </c>
      <c r="F116" s="11" t="s">
        <v>3599</v>
      </c>
      <c r="G116" s="24" t="s">
        <v>71</v>
      </c>
      <c r="H116" s="25" t="s">
        <v>67</v>
      </c>
      <c r="I116" s="25" t="s">
        <v>67</v>
      </c>
      <c r="J116" s="12"/>
      <c r="K116" s="31" t="str">
        <f>"200,0"</f>
        <v>200,0</v>
      </c>
      <c r="L116" s="12" t="str">
        <f>"129,2352"</f>
        <v>129,2352</v>
      </c>
      <c r="M116" s="11" t="s">
        <v>1663</v>
      </c>
    </row>
    <row r="117" spans="1:13">
      <c r="A117" s="12" t="s">
        <v>411</v>
      </c>
      <c r="B117" s="11" t="s">
        <v>1664</v>
      </c>
      <c r="C117" s="11" t="s">
        <v>1665</v>
      </c>
      <c r="D117" s="11" t="s">
        <v>220</v>
      </c>
      <c r="E117" s="11" t="s">
        <v>3753</v>
      </c>
      <c r="F117" s="11" t="s">
        <v>3509</v>
      </c>
      <c r="G117" s="24" t="s">
        <v>28</v>
      </c>
      <c r="H117" s="25" t="s">
        <v>29</v>
      </c>
      <c r="I117" s="25" t="s">
        <v>29</v>
      </c>
      <c r="J117" s="12"/>
      <c r="K117" s="31" t="str">
        <f>"175,0"</f>
        <v>175,0</v>
      </c>
      <c r="L117" s="12" t="str">
        <f>"108,7591"</f>
        <v>108,7591</v>
      </c>
      <c r="M117" s="11"/>
    </row>
    <row r="118" spans="1:13">
      <c r="A118" s="12" t="s">
        <v>413</v>
      </c>
      <c r="B118" s="11" t="s">
        <v>1666</v>
      </c>
      <c r="C118" s="11" t="s">
        <v>1667</v>
      </c>
      <c r="D118" s="11" t="s">
        <v>1668</v>
      </c>
      <c r="E118" s="11" t="s">
        <v>3753</v>
      </c>
      <c r="F118" s="11" t="s">
        <v>3509</v>
      </c>
      <c r="G118" s="25" t="s">
        <v>47</v>
      </c>
      <c r="H118" s="25" t="s">
        <v>47</v>
      </c>
      <c r="I118" s="24" t="s">
        <v>47</v>
      </c>
      <c r="J118" s="12"/>
      <c r="K118" s="31" t="str">
        <f>"162,5"</f>
        <v>162,5</v>
      </c>
      <c r="L118" s="12" t="str">
        <f>"113,1660"</f>
        <v>113,1660</v>
      </c>
      <c r="M118" s="11" t="s">
        <v>1669</v>
      </c>
    </row>
    <row r="119" spans="1:13">
      <c r="A119" s="12" t="s">
        <v>414</v>
      </c>
      <c r="B119" s="11" t="s">
        <v>1670</v>
      </c>
      <c r="C119" s="11" t="s">
        <v>1671</v>
      </c>
      <c r="D119" s="11" t="s">
        <v>1672</v>
      </c>
      <c r="E119" s="11" t="s">
        <v>3753</v>
      </c>
      <c r="F119" s="11" t="s">
        <v>3712</v>
      </c>
      <c r="G119" s="24" t="s">
        <v>25</v>
      </c>
      <c r="H119" s="24" t="s">
        <v>46</v>
      </c>
      <c r="I119" s="25" t="s">
        <v>36</v>
      </c>
      <c r="J119" s="12"/>
      <c r="K119" s="31" t="str">
        <f>"155,0"</f>
        <v>155,0</v>
      </c>
      <c r="L119" s="12" t="str">
        <f>"98,5770"</f>
        <v>98,5770</v>
      </c>
      <c r="M119" s="11" t="s">
        <v>1673</v>
      </c>
    </row>
    <row r="120" spans="1:13">
      <c r="A120" s="12" t="s">
        <v>408</v>
      </c>
      <c r="B120" s="11" t="s">
        <v>1674</v>
      </c>
      <c r="C120" s="11" t="s">
        <v>1675</v>
      </c>
      <c r="D120" s="11" t="s">
        <v>209</v>
      </c>
      <c r="E120" s="11" t="s">
        <v>3756</v>
      </c>
      <c r="F120" s="11" t="s">
        <v>3688</v>
      </c>
      <c r="G120" s="24" t="s">
        <v>66</v>
      </c>
      <c r="H120" s="24" t="s">
        <v>92</v>
      </c>
      <c r="I120" s="25" t="s">
        <v>67</v>
      </c>
      <c r="J120" s="12"/>
      <c r="K120" s="31" t="str">
        <f>"202,5"</f>
        <v>202,5</v>
      </c>
      <c r="L120" s="12" t="str">
        <f>"157,7887"</f>
        <v>157,7887</v>
      </c>
      <c r="M120" s="11" t="s">
        <v>1676</v>
      </c>
    </row>
    <row r="121" spans="1:13">
      <c r="A121" s="12" t="s">
        <v>410</v>
      </c>
      <c r="B121" s="11" t="s">
        <v>1677</v>
      </c>
      <c r="C121" s="11" t="s">
        <v>1678</v>
      </c>
      <c r="D121" s="11" t="s">
        <v>1259</v>
      </c>
      <c r="E121" s="11" t="s">
        <v>3756</v>
      </c>
      <c r="F121" s="11" t="s">
        <v>3599</v>
      </c>
      <c r="G121" s="24" t="s">
        <v>40</v>
      </c>
      <c r="H121" s="24" t="s">
        <v>70</v>
      </c>
      <c r="I121" s="25" t="s">
        <v>66</v>
      </c>
      <c r="J121" s="12"/>
      <c r="K121" s="31" t="str">
        <f>"190,0"</f>
        <v>190,0</v>
      </c>
      <c r="L121" s="12" t="str">
        <f>"145,9200"</f>
        <v>145,9200</v>
      </c>
      <c r="M121" s="11"/>
    </row>
    <row r="122" spans="1:13">
      <c r="A122" s="12" t="s">
        <v>411</v>
      </c>
      <c r="B122" s="11" t="s">
        <v>1679</v>
      </c>
      <c r="C122" s="11" t="s">
        <v>1680</v>
      </c>
      <c r="D122" s="11" t="s">
        <v>1624</v>
      </c>
      <c r="E122" s="11" t="s">
        <v>3756</v>
      </c>
      <c r="F122" s="11" t="s">
        <v>3528</v>
      </c>
      <c r="G122" s="24" t="s">
        <v>85</v>
      </c>
      <c r="H122" s="24" t="s">
        <v>25</v>
      </c>
      <c r="I122" s="24" t="s">
        <v>35</v>
      </c>
      <c r="J122" s="12"/>
      <c r="K122" s="31" t="str">
        <f>"150,0"</f>
        <v>150,0</v>
      </c>
      <c r="L122" s="12" t="str">
        <f>"117,7398"</f>
        <v>117,7398</v>
      </c>
      <c r="M122" s="11"/>
    </row>
    <row r="123" spans="1:13">
      <c r="A123" s="12" t="s">
        <v>412</v>
      </c>
      <c r="B123" s="11" t="s">
        <v>1674</v>
      </c>
      <c r="C123" s="11" t="s">
        <v>1675</v>
      </c>
      <c r="D123" s="11" t="s">
        <v>1683</v>
      </c>
      <c r="E123" s="11" t="s">
        <v>3756</v>
      </c>
      <c r="F123" s="11" t="s">
        <v>3688</v>
      </c>
      <c r="G123" s="25" t="s">
        <v>71</v>
      </c>
      <c r="H123" s="25" t="s">
        <v>67</v>
      </c>
      <c r="I123" s="25" t="s">
        <v>67</v>
      </c>
      <c r="J123" s="12"/>
      <c r="K123" s="31">
        <v>0</v>
      </c>
      <c r="L123" s="12" t="str">
        <f>"0,0000"</f>
        <v>0,0000</v>
      </c>
      <c r="M123" s="11" t="s">
        <v>1676</v>
      </c>
    </row>
    <row r="124" spans="1:13">
      <c r="A124" s="14" t="s">
        <v>408</v>
      </c>
      <c r="B124" s="13" t="s">
        <v>1684</v>
      </c>
      <c r="C124" s="13" t="s">
        <v>1685</v>
      </c>
      <c r="D124" s="13" t="s">
        <v>198</v>
      </c>
      <c r="E124" s="13" t="s">
        <v>3756</v>
      </c>
      <c r="F124" s="13" t="s">
        <v>3681</v>
      </c>
      <c r="G124" s="26" t="s">
        <v>40</v>
      </c>
      <c r="H124" s="26" t="s">
        <v>70</v>
      </c>
      <c r="I124" s="26" t="s">
        <v>71</v>
      </c>
      <c r="J124" s="14"/>
      <c r="K124" s="32" t="str">
        <f>"200,0"</f>
        <v>200,0</v>
      </c>
      <c r="L124" s="14" t="str">
        <f>"173,9658"</f>
        <v>173,9658</v>
      </c>
      <c r="M124" s="13"/>
    </row>
    <row r="125" spans="1:13">
      <c r="B125" s="5" t="s">
        <v>409</v>
      </c>
    </row>
    <row r="126" spans="1:13" ht="16">
      <c r="A126" s="57" t="s">
        <v>258</v>
      </c>
      <c r="B126" s="57"/>
      <c r="C126" s="57"/>
      <c r="D126" s="57"/>
      <c r="E126" s="57"/>
      <c r="F126" s="57"/>
      <c r="G126" s="57"/>
      <c r="H126" s="57"/>
      <c r="I126" s="57"/>
      <c r="J126" s="57"/>
    </row>
    <row r="127" spans="1:13">
      <c r="A127" s="10" t="s">
        <v>408</v>
      </c>
      <c r="B127" s="9" t="s">
        <v>1686</v>
      </c>
      <c r="C127" s="9" t="s">
        <v>967</v>
      </c>
      <c r="D127" s="9" t="s">
        <v>1687</v>
      </c>
      <c r="E127" s="9" t="s">
        <v>3751</v>
      </c>
      <c r="F127" s="9" t="s">
        <v>3567</v>
      </c>
      <c r="G127" s="23" t="s">
        <v>98</v>
      </c>
      <c r="H127" s="22" t="s">
        <v>133</v>
      </c>
      <c r="I127" s="22" t="s">
        <v>133</v>
      </c>
      <c r="J127" s="10"/>
      <c r="K127" s="30" t="str">
        <f>"230,0"</f>
        <v>230,0</v>
      </c>
      <c r="L127" s="10" t="str">
        <f>"137,9080"</f>
        <v>137,9080</v>
      </c>
      <c r="M127" s="9" t="s">
        <v>1688</v>
      </c>
    </row>
    <row r="128" spans="1:13">
      <c r="A128" s="12" t="s">
        <v>410</v>
      </c>
      <c r="B128" s="11" t="s">
        <v>768</v>
      </c>
      <c r="C128" s="11" t="s">
        <v>769</v>
      </c>
      <c r="D128" s="11" t="s">
        <v>770</v>
      </c>
      <c r="E128" s="9" t="s">
        <v>3751</v>
      </c>
      <c r="F128" s="11" t="s">
        <v>3509</v>
      </c>
      <c r="G128" s="24" t="s">
        <v>71</v>
      </c>
      <c r="H128" s="24" t="s">
        <v>83</v>
      </c>
      <c r="I128" s="24" t="s">
        <v>288</v>
      </c>
      <c r="J128" s="25" t="s">
        <v>771</v>
      </c>
      <c r="K128" s="31" t="str">
        <f>"217,5"</f>
        <v>217,5</v>
      </c>
      <c r="L128" s="12" t="str">
        <f>"128,0422"</f>
        <v>128,0422</v>
      </c>
      <c r="M128" s="11" t="s">
        <v>772</v>
      </c>
    </row>
    <row r="129" spans="1:13">
      <c r="A129" s="12" t="s">
        <v>411</v>
      </c>
      <c r="B129" s="11" t="s">
        <v>1689</v>
      </c>
      <c r="C129" s="11" t="s">
        <v>1690</v>
      </c>
      <c r="D129" s="11" t="s">
        <v>762</v>
      </c>
      <c r="E129" s="9" t="s">
        <v>3751</v>
      </c>
      <c r="F129" s="11" t="s">
        <v>3675</v>
      </c>
      <c r="G129" s="24" t="s">
        <v>67</v>
      </c>
      <c r="H129" s="24" t="s">
        <v>83</v>
      </c>
      <c r="I129" s="25" t="s">
        <v>68</v>
      </c>
      <c r="J129" s="12"/>
      <c r="K129" s="31" t="str">
        <f>"210,0"</f>
        <v>210,0</v>
      </c>
      <c r="L129" s="12" t="str">
        <f>"123,8370"</f>
        <v>123,8370</v>
      </c>
      <c r="M129" s="11"/>
    </row>
    <row r="130" spans="1:13">
      <c r="A130" s="12" t="s">
        <v>413</v>
      </c>
      <c r="B130" s="11" t="s">
        <v>3394</v>
      </c>
      <c r="C130" s="11" t="s">
        <v>1691</v>
      </c>
      <c r="D130" s="11" t="s">
        <v>532</v>
      </c>
      <c r="E130" s="9" t="s">
        <v>3751</v>
      </c>
      <c r="F130" s="11" t="s">
        <v>75</v>
      </c>
      <c r="G130" s="24" t="s">
        <v>67</v>
      </c>
      <c r="H130" s="25" t="s">
        <v>288</v>
      </c>
      <c r="I130" s="25" t="s">
        <v>288</v>
      </c>
      <c r="J130" s="12"/>
      <c r="K130" s="31" t="str">
        <f>"205,0"</f>
        <v>205,0</v>
      </c>
      <c r="L130" s="12" t="str">
        <f>"121,0115"</f>
        <v>121,0115</v>
      </c>
      <c r="M130" s="11"/>
    </row>
    <row r="131" spans="1:13">
      <c r="A131" s="12" t="s">
        <v>414</v>
      </c>
      <c r="B131" s="11" t="s">
        <v>1692</v>
      </c>
      <c r="C131" s="11" t="s">
        <v>1693</v>
      </c>
      <c r="D131" s="11" t="s">
        <v>1694</v>
      </c>
      <c r="E131" s="9" t="s">
        <v>3751</v>
      </c>
      <c r="F131" s="11" t="s">
        <v>3642</v>
      </c>
      <c r="G131" s="24" t="s">
        <v>180</v>
      </c>
      <c r="H131" s="25" t="s">
        <v>71</v>
      </c>
      <c r="I131" s="24" t="s">
        <v>71</v>
      </c>
      <c r="J131" s="12"/>
      <c r="K131" s="31" t="str">
        <f>"200,0"</f>
        <v>200,0</v>
      </c>
      <c r="L131" s="12" t="str">
        <f>"121,4200"</f>
        <v>121,4200</v>
      </c>
      <c r="M131" s="11"/>
    </row>
    <row r="132" spans="1:13">
      <c r="A132" s="12" t="s">
        <v>415</v>
      </c>
      <c r="B132" s="11" t="s">
        <v>1695</v>
      </c>
      <c r="C132" s="11" t="s">
        <v>1696</v>
      </c>
      <c r="D132" s="11" t="s">
        <v>1442</v>
      </c>
      <c r="E132" s="9" t="s">
        <v>3751</v>
      </c>
      <c r="F132" s="11" t="s">
        <v>3657</v>
      </c>
      <c r="G132" s="24" t="s">
        <v>70</v>
      </c>
      <c r="H132" s="24" t="s">
        <v>66</v>
      </c>
      <c r="I132" s="24" t="s">
        <v>71</v>
      </c>
      <c r="J132" s="12"/>
      <c r="K132" s="31" t="str">
        <f>"200,0"</f>
        <v>200,0</v>
      </c>
      <c r="L132" s="12" t="str">
        <f>"118,6400"</f>
        <v>118,6400</v>
      </c>
      <c r="M132" s="11"/>
    </row>
    <row r="133" spans="1:13">
      <c r="A133" s="12" t="s">
        <v>416</v>
      </c>
      <c r="B133" s="11" t="s">
        <v>1697</v>
      </c>
      <c r="C133" s="11" t="s">
        <v>1698</v>
      </c>
      <c r="D133" s="11" t="s">
        <v>1699</v>
      </c>
      <c r="E133" s="9" t="s">
        <v>3751</v>
      </c>
      <c r="F133" s="11" t="s">
        <v>3713</v>
      </c>
      <c r="G133" s="24" t="s">
        <v>180</v>
      </c>
      <c r="H133" s="25" t="s">
        <v>66</v>
      </c>
      <c r="I133" s="12"/>
      <c r="J133" s="12"/>
      <c r="K133" s="31" t="str">
        <f>"192,5"</f>
        <v>192,5</v>
      </c>
      <c r="L133" s="12" t="str">
        <f>"113,9793"</f>
        <v>113,9793</v>
      </c>
      <c r="M133" s="11" t="s">
        <v>1700</v>
      </c>
    </row>
    <row r="134" spans="1:13">
      <c r="A134" s="12" t="s">
        <v>417</v>
      </c>
      <c r="B134" s="11" t="s">
        <v>776</v>
      </c>
      <c r="C134" s="11" t="s">
        <v>777</v>
      </c>
      <c r="D134" s="11" t="s">
        <v>778</v>
      </c>
      <c r="E134" s="9" t="s">
        <v>3751</v>
      </c>
      <c r="F134" s="11" t="s">
        <v>3509</v>
      </c>
      <c r="G134" s="24" t="s">
        <v>28</v>
      </c>
      <c r="H134" s="25" t="s">
        <v>29</v>
      </c>
      <c r="I134" s="25" t="s">
        <v>70</v>
      </c>
      <c r="J134" s="12"/>
      <c r="K134" s="31" t="str">
        <f>"175,0"</f>
        <v>175,0</v>
      </c>
      <c r="L134" s="12" t="str">
        <f>"103,2150"</f>
        <v>103,2150</v>
      </c>
      <c r="M134" s="11" t="s">
        <v>779</v>
      </c>
    </row>
    <row r="135" spans="1:13">
      <c r="A135" s="12" t="s">
        <v>1364</v>
      </c>
      <c r="B135" s="11" t="s">
        <v>1701</v>
      </c>
      <c r="C135" s="11" t="s">
        <v>1286</v>
      </c>
      <c r="D135" s="11" t="s">
        <v>782</v>
      </c>
      <c r="E135" s="9" t="s">
        <v>3751</v>
      </c>
      <c r="F135" s="11" t="s">
        <v>3509</v>
      </c>
      <c r="G135" s="24" t="s">
        <v>47</v>
      </c>
      <c r="H135" s="25" t="s">
        <v>187</v>
      </c>
      <c r="I135" s="25" t="s">
        <v>187</v>
      </c>
      <c r="J135" s="12"/>
      <c r="K135" s="31" t="str">
        <f>"162,5"</f>
        <v>162,5</v>
      </c>
      <c r="L135" s="12" t="str">
        <f>"96,3300"</f>
        <v>96,3300</v>
      </c>
      <c r="M135" s="11" t="s">
        <v>1588</v>
      </c>
    </row>
    <row r="136" spans="1:13">
      <c r="A136" s="12" t="s">
        <v>408</v>
      </c>
      <c r="B136" s="11" t="s">
        <v>1702</v>
      </c>
      <c r="C136" s="11" t="s">
        <v>1703</v>
      </c>
      <c r="D136" s="11" t="s">
        <v>1290</v>
      </c>
      <c r="E136" s="11" t="s">
        <v>3753</v>
      </c>
      <c r="F136" s="11" t="s">
        <v>3509</v>
      </c>
      <c r="G136" s="24" t="s">
        <v>86</v>
      </c>
      <c r="H136" s="25" t="s">
        <v>87</v>
      </c>
      <c r="I136" s="24" t="s">
        <v>87</v>
      </c>
      <c r="J136" s="12"/>
      <c r="K136" s="31" t="str">
        <f>"235,0"</f>
        <v>235,0</v>
      </c>
      <c r="L136" s="12" t="str">
        <f>"140,8294"</f>
        <v>140,8294</v>
      </c>
      <c r="M136" s="11"/>
    </row>
    <row r="137" spans="1:13">
      <c r="A137" s="12" t="s">
        <v>410</v>
      </c>
      <c r="B137" s="11" t="s">
        <v>1704</v>
      </c>
      <c r="C137" s="11" t="s">
        <v>1705</v>
      </c>
      <c r="D137" s="11" t="s">
        <v>1706</v>
      </c>
      <c r="E137" s="11" t="s">
        <v>3753</v>
      </c>
      <c r="F137" s="11" t="s">
        <v>3575</v>
      </c>
      <c r="G137" s="24" t="s">
        <v>67</v>
      </c>
      <c r="H137" s="24" t="s">
        <v>68</v>
      </c>
      <c r="I137" s="25" t="s">
        <v>317</v>
      </c>
      <c r="J137" s="12"/>
      <c r="K137" s="31" t="str">
        <f>"215,0"</f>
        <v>215,0</v>
      </c>
      <c r="L137" s="12" t="str">
        <f>"134,5749"</f>
        <v>134,5749</v>
      </c>
      <c r="M137" s="11" t="s">
        <v>1707</v>
      </c>
    </row>
    <row r="138" spans="1:13">
      <c r="A138" s="12" t="s">
        <v>411</v>
      </c>
      <c r="B138" s="11" t="s">
        <v>1692</v>
      </c>
      <c r="C138" s="11" t="s">
        <v>1708</v>
      </c>
      <c r="D138" s="11" t="s">
        <v>1694</v>
      </c>
      <c r="E138" s="11" t="s">
        <v>3753</v>
      </c>
      <c r="F138" s="11" t="s">
        <v>3642</v>
      </c>
      <c r="G138" s="24" t="s">
        <v>180</v>
      </c>
      <c r="H138" s="25" t="s">
        <v>71</v>
      </c>
      <c r="I138" s="24" t="s">
        <v>71</v>
      </c>
      <c r="J138" s="12"/>
      <c r="K138" s="31" t="str">
        <f>"200,0"</f>
        <v>200,0</v>
      </c>
      <c r="L138" s="12" t="str">
        <f>"133,0763"</f>
        <v>133,0763</v>
      </c>
      <c r="M138" s="11"/>
    </row>
    <row r="139" spans="1:13">
      <c r="A139" s="12" t="s">
        <v>413</v>
      </c>
      <c r="B139" s="11" t="s">
        <v>1709</v>
      </c>
      <c r="C139" s="11" t="s">
        <v>1710</v>
      </c>
      <c r="D139" s="11" t="s">
        <v>1711</v>
      </c>
      <c r="E139" s="11" t="s">
        <v>3753</v>
      </c>
      <c r="F139" s="11" t="s">
        <v>3509</v>
      </c>
      <c r="G139" s="24" t="s">
        <v>113</v>
      </c>
      <c r="H139" s="24" t="s">
        <v>180</v>
      </c>
      <c r="I139" s="24" t="s">
        <v>71</v>
      </c>
      <c r="J139" s="12"/>
      <c r="K139" s="31" t="str">
        <f>"200,0"</f>
        <v>200,0</v>
      </c>
      <c r="L139" s="12" t="str">
        <f>"127,5490"</f>
        <v>127,5490</v>
      </c>
      <c r="M139" s="11"/>
    </row>
    <row r="140" spans="1:13">
      <c r="A140" s="12" t="s">
        <v>414</v>
      </c>
      <c r="B140" s="11" t="s">
        <v>1712</v>
      </c>
      <c r="C140" s="11" t="s">
        <v>1713</v>
      </c>
      <c r="D140" s="11" t="s">
        <v>1300</v>
      </c>
      <c r="E140" s="11" t="s">
        <v>3753</v>
      </c>
      <c r="F140" s="11" t="s">
        <v>3714</v>
      </c>
      <c r="G140" s="24" t="s">
        <v>37</v>
      </c>
      <c r="H140" s="24" t="s">
        <v>28</v>
      </c>
      <c r="I140" s="25" t="s">
        <v>40</v>
      </c>
      <c r="J140" s="12"/>
      <c r="K140" s="31" t="str">
        <f>"175,0"</f>
        <v>175,0</v>
      </c>
      <c r="L140" s="12" t="str">
        <f>"110,6693"</f>
        <v>110,6693</v>
      </c>
      <c r="M140" s="11"/>
    </row>
    <row r="141" spans="1:13">
      <c r="A141" s="12" t="s">
        <v>415</v>
      </c>
      <c r="B141" s="11" t="s">
        <v>1714</v>
      </c>
      <c r="C141" s="11" t="s">
        <v>1715</v>
      </c>
      <c r="D141" s="11" t="s">
        <v>276</v>
      </c>
      <c r="E141" s="11" t="s">
        <v>3753</v>
      </c>
      <c r="F141" s="11" t="s">
        <v>3516</v>
      </c>
      <c r="G141" s="24" t="s">
        <v>28</v>
      </c>
      <c r="H141" s="25" t="s">
        <v>40</v>
      </c>
      <c r="I141" s="25" t="s">
        <v>40</v>
      </c>
      <c r="J141" s="12"/>
      <c r="K141" s="31" t="str">
        <f>"175,0"</f>
        <v>175,0</v>
      </c>
      <c r="L141" s="12" t="str">
        <f>"111,4733"</f>
        <v>111,4733</v>
      </c>
      <c r="M141" s="11" t="s">
        <v>1716</v>
      </c>
    </row>
    <row r="142" spans="1:13">
      <c r="A142" s="12" t="s">
        <v>416</v>
      </c>
      <c r="B142" s="11" t="s">
        <v>1717</v>
      </c>
      <c r="C142" s="11" t="s">
        <v>1718</v>
      </c>
      <c r="D142" s="11" t="s">
        <v>1719</v>
      </c>
      <c r="E142" s="11" t="s">
        <v>3753</v>
      </c>
      <c r="F142" s="11" t="s">
        <v>3509</v>
      </c>
      <c r="G142" s="24" t="s">
        <v>36</v>
      </c>
      <c r="H142" s="24" t="s">
        <v>59</v>
      </c>
      <c r="I142" s="25" t="s">
        <v>37</v>
      </c>
      <c r="J142" s="12"/>
      <c r="K142" s="31" t="str">
        <f>"165,0"</f>
        <v>165,0</v>
      </c>
      <c r="L142" s="12" t="str">
        <f>"107,0030"</f>
        <v>107,0030</v>
      </c>
      <c r="M142" s="11" t="s">
        <v>1720</v>
      </c>
    </row>
    <row r="143" spans="1:13">
      <c r="A143" s="12" t="s">
        <v>412</v>
      </c>
      <c r="B143" s="11" t="s">
        <v>1721</v>
      </c>
      <c r="C143" s="11" t="s">
        <v>1722</v>
      </c>
      <c r="D143" s="11" t="s">
        <v>548</v>
      </c>
      <c r="E143" s="11" t="s">
        <v>3753</v>
      </c>
      <c r="F143" s="11" t="s">
        <v>3509</v>
      </c>
      <c r="G143" s="25" t="s">
        <v>67</v>
      </c>
      <c r="H143" s="25" t="s">
        <v>309</v>
      </c>
      <c r="I143" s="25" t="s">
        <v>309</v>
      </c>
      <c r="J143" s="12"/>
      <c r="K143" s="31">
        <v>0</v>
      </c>
      <c r="L143" s="12" t="str">
        <f>"0,0000"</f>
        <v>0,0000</v>
      </c>
      <c r="M143" s="11" t="s">
        <v>1723</v>
      </c>
    </row>
    <row r="144" spans="1:13">
      <c r="A144" s="12" t="s">
        <v>408</v>
      </c>
      <c r="B144" s="11" t="s">
        <v>1724</v>
      </c>
      <c r="C144" s="11" t="s">
        <v>1725</v>
      </c>
      <c r="D144" s="11" t="s">
        <v>1726</v>
      </c>
      <c r="E144" s="11" t="s">
        <v>3756</v>
      </c>
      <c r="F144" s="11" t="s">
        <v>3677</v>
      </c>
      <c r="G144" s="24" t="s">
        <v>40</v>
      </c>
      <c r="H144" s="24" t="s">
        <v>70</v>
      </c>
      <c r="I144" s="25" t="s">
        <v>66</v>
      </c>
      <c r="J144" s="12"/>
      <c r="K144" s="31" t="str">
        <f>"190,0"</f>
        <v>190,0</v>
      </c>
      <c r="L144" s="12" t="str">
        <f>"130,2697"</f>
        <v>130,2697</v>
      </c>
      <c r="M144" s="11" t="s">
        <v>1727</v>
      </c>
    </row>
    <row r="145" spans="1:13">
      <c r="A145" s="12" t="s">
        <v>410</v>
      </c>
      <c r="B145" s="11" t="s">
        <v>1728</v>
      </c>
      <c r="C145" s="11" t="s">
        <v>1729</v>
      </c>
      <c r="D145" s="11" t="s">
        <v>1730</v>
      </c>
      <c r="E145" s="11" t="s">
        <v>3756</v>
      </c>
      <c r="F145" s="11" t="s">
        <v>3562</v>
      </c>
      <c r="G145" s="25" t="s">
        <v>40</v>
      </c>
      <c r="H145" s="24" t="s">
        <v>40</v>
      </c>
      <c r="I145" s="25" t="s">
        <v>66</v>
      </c>
      <c r="J145" s="12"/>
      <c r="K145" s="31" t="str">
        <f>"180,0"</f>
        <v>180,0</v>
      </c>
      <c r="L145" s="12" t="str">
        <f>"123,0822"</f>
        <v>123,0822</v>
      </c>
      <c r="M145" s="11"/>
    </row>
    <row r="146" spans="1:13">
      <c r="A146" s="12" t="s">
        <v>411</v>
      </c>
      <c r="B146" s="11" t="s">
        <v>1731</v>
      </c>
      <c r="C146" s="11" t="s">
        <v>1732</v>
      </c>
      <c r="D146" s="11" t="s">
        <v>788</v>
      </c>
      <c r="E146" s="11" t="s">
        <v>3756</v>
      </c>
      <c r="F146" s="11" t="s">
        <v>3564</v>
      </c>
      <c r="G146" s="24" t="s">
        <v>45</v>
      </c>
      <c r="H146" s="24" t="s">
        <v>35</v>
      </c>
      <c r="I146" s="24" t="s">
        <v>46</v>
      </c>
      <c r="J146" s="12"/>
      <c r="K146" s="31" t="str">
        <f>"155,0"</f>
        <v>155,0</v>
      </c>
      <c r="L146" s="12" t="str">
        <f>"120,2591"</f>
        <v>120,2591</v>
      </c>
      <c r="M146" s="11"/>
    </row>
    <row r="147" spans="1:13">
      <c r="A147" s="12" t="s">
        <v>408</v>
      </c>
      <c r="B147" s="11" t="s">
        <v>1733</v>
      </c>
      <c r="C147" s="11" t="s">
        <v>1734</v>
      </c>
      <c r="D147" s="11" t="s">
        <v>1735</v>
      </c>
      <c r="E147" s="11" t="s">
        <v>3757</v>
      </c>
      <c r="F147" s="11" t="s">
        <v>3715</v>
      </c>
      <c r="G147" s="24" t="s">
        <v>45</v>
      </c>
      <c r="H147" s="25" t="s">
        <v>35</v>
      </c>
      <c r="I147" s="24" t="s">
        <v>35</v>
      </c>
      <c r="J147" s="12"/>
      <c r="K147" s="31" t="str">
        <f>"150,0"</f>
        <v>150,0</v>
      </c>
      <c r="L147" s="12" t="str">
        <f>"133,1600"</f>
        <v>133,1600</v>
      </c>
      <c r="M147" s="11" t="s">
        <v>1736</v>
      </c>
    </row>
    <row r="148" spans="1:13">
      <c r="A148" s="14" t="s">
        <v>410</v>
      </c>
      <c r="B148" s="13" t="s">
        <v>1737</v>
      </c>
      <c r="C148" s="13" t="s">
        <v>1738</v>
      </c>
      <c r="D148" s="13" t="s">
        <v>1739</v>
      </c>
      <c r="E148" s="13" t="s">
        <v>3757</v>
      </c>
      <c r="F148" s="13" t="s">
        <v>3597</v>
      </c>
      <c r="G148" s="27" t="s">
        <v>25</v>
      </c>
      <c r="H148" s="27" t="s">
        <v>25</v>
      </c>
      <c r="I148" s="26" t="s">
        <v>25</v>
      </c>
      <c r="J148" s="27" t="s">
        <v>1740</v>
      </c>
      <c r="K148" s="32" t="str">
        <f>"145,0"</f>
        <v>145,0</v>
      </c>
      <c r="L148" s="14" t="str">
        <f>"123,3856"</f>
        <v>123,3856</v>
      </c>
      <c r="M148" s="13"/>
    </row>
    <row r="149" spans="1:13">
      <c r="B149" s="5" t="s">
        <v>409</v>
      </c>
    </row>
    <row r="150" spans="1:13" ht="16">
      <c r="A150" s="57" t="s">
        <v>280</v>
      </c>
      <c r="B150" s="57"/>
      <c r="C150" s="57"/>
      <c r="D150" s="57"/>
      <c r="E150" s="57"/>
      <c r="F150" s="57"/>
      <c r="G150" s="57"/>
      <c r="H150" s="57"/>
      <c r="I150" s="57"/>
      <c r="J150" s="57"/>
    </row>
    <row r="151" spans="1:13">
      <c r="A151" s="10" t="s">
        <v>408</v>
      </c>
      <c r="B151" s="9" t="s">
        <v>3448</v>
      </c>
      <c r="C151" s="9" t="s">
        <v>1742</v>
      </c>
      <c r="D151" s="9" t="s">
        <v>1743</v>
      </c>
      <c r="E151" s="9" t="s">
        <v>3751</v>
      </c>
      <c r="F151" s="9" t="s">
        <v>109</v>
      </c>
      <c r="G151" s="23" t="s">
        <v>87</v>
      </c>
      <c r="H151" s="23" t="s">
        <v>691</v>
      </c>
      <c r="I151" s="22" t="s">
        <v>134</v>
      </c>
      <c r="J151" s="10"/>
      <c r="K151" s="30" t="str">
        <f>"242,5"</f>
        <v>242,5</v>
      </c>
      <c r="L151" s="10" t="str">
        <f>"138,1765"</f>
        <v>138,1765</v>
      </c>
      <c r="M151" s="9" t="s">
        <v>1744</v>
      </c>
    </row>
    <row r="152" spans="1:13">
      <c r="A152" s="12" t="s">
        <v>410</v>
      </c>
      <c r="B152" s="11" t="s">
        <v>1745</v>
      </c>
      <c r="C152" s="11" t="s">
        <v>1746</v>
      </c>
      <c r="D152" s="11" t="s">
        <v>1747</v>
      </c>
      <c r="E152" s="11" t="s">
        <v>3751</v>
      </c>
      <c r="F152" s="11" t="s">
        <v>3716</v>
      </c>
      <c r="G152" s="24" t="s">
        <v>133</v>
      </c>
      <c r="H152" s="25" t="s">
        <v>205</v>
      </c>
      <c r="I152" s="25" t="s">
        <v>205</v>
      </c>
      <c r="J152" s="12"/>
      <c r="K152" s="31" t="str">
        <f>"240,0"</f>
        <v>240,0</v>
      </c>
      <c r="L152" s="12" t="str">
        <f>"139,2720"</f>
        <v>139,2720</v>
      </c>
      <c r="M152" s="11"/>
    </row>
    <row r="153" spans="1:13">
      <c r="A153" s="12" t="s">
        <v>411</v>
      </c>
      <c r="B153" s="11" t="s">
        <v>1748</v>
      </c>
      <c r="C153" s="11" t="s">
        <v>1749</v>
      </c>
      <c r="D153" s="11" t="s">
        <v>283</v>
      </c>
      <c r="E153" s="11" t="s">
        <v>3751</v>
      </c>
      <c r="F153" s="11" t="s">
        <v>3509</v>
      </c>
      <c r="G153" s="24" t="s">
        <v>133</v>
      </c>
      <c r="H153" s="25" t="s">
        <v>549</v>
      </c>
      <c r="I153" s="25" t="s">
        <v>549</v>
      </c>
      <c r="J153" s="12"/>
      <c r="K153" s="31" t="str">
        <f>"240,0"</f>
        <v>240,0</v>
      </c>
      <c r="L153" s="12" t="str">
        <f>"137,2800"</f>
        <v>137,2800</v>
      </c>
      <c r="M153" s="11"/>
    </row>
    <row r="154" spans="1:13">
      <c r="A154" s="12" t="s">
        <v>413</v>
      </c>
      <c r="B154" s="11" t="s">
        <v>1750</v>
      </c>
      <c r="C154" s="11" t="s">
        <v>1751</v>
      </c>
      <c r="D154" s="11" t="s">
        <v>1752</v>
      </c>
      <c r="E154" s="11" t="s">
        <v>3751</v>
      </c>
      <c r="F154" s="11" t="s">
        <v>3717</v>
      </c>
      <c r="G154" s="24" t="s">
        <v>83</v>
      </c>
      <c r="H154" s="24" t="s">
        <v>97</v>
      </c>
      <c r="I154" s="24" t="s">
        <v>98</v>
      </c>
      <c r="J154" s="12"/>
      <c r="K154" s="31" t="str">
        <f>"230,0"</f>
        <v>230,0</v>
      </c>
      <c r="L154" s="12" t="str">
        <f>"133,6070"</f>
        <v>133,6070</v>
      </c>
      <c r="M154" s="11" t="s">
        <v>72</v>
      </c>
    </row>
    <row r="155" spans="1:13">
      <c r="A155" s="12" t="s">
        <v>414</v>
      </c>
      <c r="B155" s="11" t="s">
        <v>1753</v>
      </c>
      <c r="C155" s="11" t="s">
        <v>1754</v>
      </c>
      <c r="D155" s="11" t="s">
        <v>1755</v>
      </c>
      <c r="E155" s="11" t="s">
        <v>3751</v>
      </c>
      <c r="F155" s="11" t="s">
        <v>3672</v>
      </c>
      <c r="G155" s="24" t="s">
        <v>97</v>
      </c>
      <c r="H155" s="24" t="s">
        <v>98</v>
      </c>
      <c r="I155" s="25" t="s">
        <v>87</v>
      </c>
      <c r="J155" s="12"/>
      <c r="K155" s="31" t="str">
        <f>"230,0"</f>
        <v>230,0</v>
      </c>
      <c r="L155" s="12" t="str">
        <f>"132,3880"</f>
        <v>132,3880</v>
      </c>
      <c r="M155" s="11"/>
    </row>
    <row r="156" spans="1:13">
      <c r="A156" s="12" t="s">
        <v>415</v>
      </c>
      <c r="B156" s="11" t="s">
        <v>1756</v>
      </c>
      <c r="C156" s="11" t="s">
        <v>1757</v>
      </c>
      <c r="D156" s="11" t="s">
        <v>1758</v>
      </c>
      <c r="E156" s="11" t="s">
        <v>3751</v>
      </c>
      <c r="F156" s="11" t="s">
        <v>3579</v>
      </c>
      <c r="G156" s="24" t="s">
        <v>97</v>
      </c>
      <c r="H156" s="24" t="s">
        <v>317</v>
      </c>
      <c r="I156" s="25" t="s">
        <v>87</v>
      </c>
      <c r="J156" s="12"/>
      <c r="K156" s="31" t="str">
        <f>"227,5"</f>
        <v>227,5</v>
      </c>
      <c r="L156" s="12" t="str">
        <f>"130,1073"</f>
        <v>130,1073</v>
      </c>
      <c r="M156" s="11" t="s">
        <v>1759</v>
      </c>
    </row>
    <row r="157" spans="1:13">
      <c r="A157" s="12" t="s">
        <v>416</v>
      </c>
      <c r="B157" s="11" t="s">
        <v>3449</v>
      </c>
      <c r="C157" s="11" t="s">
        <v>315</v>
      </c>
      <c r="D157" s="11" t="s">
        <v>304</v>
      </c>
      <c r="E157" s="11" t="s">
        <v>3751</v>
      </c>
      <c r="F157" s="11" t="s">
        <v>316</v>
      </c>
      <c r="G157" s="24" t="s">
        <v>68</v>
      </c>
      <c r="H157" s="24" t="s">
        <v>97</v>
      </c>
      <c r="I157" s="24" t="s">
        <v>317</v>
      </c>
      <c r="J157" s="12"/>
      <c r="K157" s="31" t="str">
        <f>"227,5"</f>
        <v>227,5</v>
      </c>
      <c r="L157" s="12" t="str">
        <f>"130,0617"</f>
        <v>130,0617</v>
      </c>
      <c r="M157" s="11" t="s">
        <v>318</v>
      </c>
    </row>
    <row r="158" spans="1:13">
      <c r="A158" s="12" t="s">
        <v>417</v>
      </c>
      <c r="B158" s="11" t="s">
        <v>799</v>
      </c>
      <c r="C158" s="11" t="s">
        <v>800</v>
      </c>
      <c r="D158" s="11" t="s">
        <v>801</v>
      </c>
      <c r="E158" s="11" t="s">
        <v>3751</v>
      </c>
      <c r="F158" s="11" t="s">
        <v>3597</v>
      </c>
      <c r="G158" s="24" t="s">
        <v>83</v>
      </c>
      <c r="H158" s="24" t="s">
        <v>97</v>
      </c>
      <c r="I158" s="25" t="s">
        <v>87</v>
      </c>
      <c r="J158" s="12"/>
      <c r="K158" s="31" t="str">
        <f>"220,0"</f>
        <v>220,0</v>
      </c>
      <c r="L158" s="12" t="str">
        <f>"125,7520"</f>
        <v>125,7520</v>
      </c>
      <c r="M158" s="11"/>
    </row>
    <row r="159" spans="1:13">
      <c r="A159" s="12" t="s">
        <v>1364</v>
      </c>
      <c r="B159" s="11" t="s">
        <v>1760</v>
      </c>
      <c r="C159" s="11" t="s">
        <v>1761</v>
      </c>
      <c r="D159" s="11" t="s">
        <v>1762</v>
      </c>
      <c r="E159" s="11" t="s">
        <v>3751</v>
      </c>
      <c r="F159" s="11" t="s">
        <v>3671</v>
      </c>
      <c r="G159" s="24" t="s">
        <v>70</v>
      </c>
      <c r="H159" s="25" t="s">
        <v>92</v>
      </c>
      <c r="I159" s="24" t="s">
        <v>92</v>
      </c>
      <c r="J159" s="12"/>
      <c r="K159" s="31" t="str">
        <f>"202,5"</f>
        <v>202,5</v>
      </c>
      <c r="L159" s="12" t="str">
        <f>"118,4625"</f>
        <v>118,4625</v>
      </c>
      <c r="M159" s="11" t="s">
        <v>1763</v>
      </c>
    </row>
    <row r="160" spans="1:13">
      <c r="A160" s="12" t="s">
        <v>1365</v>
      </c>
      <c r="B160" s="11" t="s">
        <v>1764</v>
      </c>
      <c r="C160" s="11" t="s">
        <v>1765</v>
      </c>
      <c r="D160" s="11" t="s">
        <v>1766</v>
      </c>
      <c r="E160" s="11" t="s">
        <v>3751</v>
      </c>
      <c r="F160" s="11" t="s">
        <v>3516</v>
      </c>
      <c r="G160" s="24" t="s">
        <v>29</v>
      </c>
      <c r="H160" s="25" t="s">
        <v>180</v>
      </c>
      <c r="I160" s="12"/>
      <c r="J160" s="12"/>
      <c r="K160" s="31" t="str">
        <f>"185,0"</f>
        <v>185,0</v>
      </c>
      <c r="L160" s="12" t="str">
        <f>"106,1715"</f>
        <v>106,1715</v>
      </c>
      <c r="M160" s="11" t="s">
        <v>3456</v>
      </c>
    </row>
    <row r="161" spans="1:13">
      <c r="A161" s="12" t="s">
        <v>1366</v>
      </c>
      <c r="B161" s="11" t="s">
        <v>1767</v>
      </c>
      <c r="C161" s="11" t="s">
        <v>1768</v>
      </c>
      <c r="D161" s="11" t="s">
        <v>1769</v>
      </c>
      <c r="E161" s="11" t="s">
        <v>3751</v>
      </c>
      <c r="F161" s="11" t="s">
        <v>3509</v>
      </c>
      <c r="G161" s="24" t="s">
        <v>37</v>
      </c>
      <c r="H161" s="25" t="s">
        <v>40</v>
      </c>
      <c r="I161" s="25" t="s">
        <v>29</v>
      </c>
      <c r="J161" s="12"/>
      <c r="K161" s="31" t="str">
        <f>"170,0"</f>
        <v>170,0</v>
      </c>
      <c r="L161" s="12" t="str">
        <f>"97,7330"</f>
        <v>97,7330</v>
      </c>
      <c r="M161" s="11"/>
    </row>
    <row r="162" spans="1:13">
      <c r="A162" s="12" t="s">
        <v>412</v>
      </c>
      <c r="B162" s="11" t="s">
        <v>1770</v>
      </c>
      <c r="C162" s="11" t="s">
        <v>1771</v>
      </c>
      <c r="D162" s="11" t="s">
        <v>327</v>
      </c>
      <c r="E162" s="11" t="s">
        <v>3751</v>
      </c>
      <c r="F162" s="11" t="s">
        <v>3718</v>
      </c>
      <c r="G162" s="25" t="s">
        <v>87</v>
      </c>
      <c r="H162" s="25" t="s">
        <v>87</v>
      </c>
      <c r="I162" s="25" t="s">
        <v>87</v>
      </c>
      <c r="J162" s="12"/>
      <c r="K162" s="31">
        <v>0</v>
      </c>
      <c r="L162" s="12" t="str">
        <f>"0,0000"</f>
        <v>0,0000</v>
      </c>
      <c r="M162" s="11" t="s">
        <v>1772</v>
      </c>
    </row>
    <row r="163" spans="1:13">
      <c r="A163" s="12" t="s">
        <v>412</v>
      </c>
      <c r="B163" s="11" t="s">
        <v>812</v>
      </c>
      <c r="C163" s="11" t="s">
        <v>813</v>
      </c>
      <c r="D163" s="11" t="s">
        <v>814</v>
      </c>
      <c r="E163" s="11" t="s">
        <v>3751</v>
      </c>
      <c r="F163" s="11" t="s">
        <v>199</v>
      </c>
      <c r="G163" s="25" t="s">
        <v>87</v>
      </c>
      <c r="H163" s="25" t="s">
        <v>87</v>
      </c>
      <c r="I163" s="25" t="s">
        <v>87</v>
      </c>
      <c r="J163" s="12"/>
      <c r="K163" s="31">
        <v>0</v>
      </c>
      <c r="L163" s="12" t="str">
        <f>"0,0000"</f>
        <v>0,0000</v>
      </c>
      <c r="M163" s="11"/>
    </row>
    <row r="164" spans="1:13">
      <c r="A164" s="12" t="s">
        <v>408</v>
      </c>
      <c r="B164" s="11" t="s">
        <v>1748</v>
      </c>
      <c r="C164" s="11" t="s">
        <v>1773</v>
      </c>
      <c r="D164" s="11" t="s">
        <v>283</v>
      </c>
      <c r="E164" s="11" t="s">
        <v>3753</v>
      </c>
      <c r="F164" s="11" t="s">
        <v>3509</v>
      </c>
      <c r="G164" s="24" t="s">
        <v>133</v>
      </c>
      <c r="H164" s="25" t="s">
        <v>549</v>
      </c>
      <c r="I164" s="25" t="s">
        <v>549</v>
      </c>
      <c r="J164" s="12"/>
      <c r="K164" s="31" t="str">
        <f>"240,0"</f>
        <v>240,0</v>
      </c>
      <c r="L164" s="12" t="str">
        <f>"152,9299"</f>
        <v>152,9299</v>
      </c>
      <c r="M164" s="11"/>
    </row>
    <row r="165" spans="1:13">
      <c r="A165" s="12" t="s">
        <v>410</v>
      </c>
      <c r="B165" s="11" t="s">
        <v>1750</v>
      </c>
      <c r="C165" s="11" t="s">
        <v>1774</v>
      </c>
      <c r="D165" s="11" t="s">
        <v>1752</v>
      </c>
      <c r="E165" s="11" t="s">
        <v>3753</v>
      </c>
      <c r="F165" s="11" t="s">
        <v>3717</v>
      </c>
      <c r="G165" s="24" t="s">
        <v>83</v>
      </c>
      <c r="H165" s="24" t="s">
        <v>97</v>
      </c>
      <c r="I165" s="24" t="s">
        <v>98</v>
      </c>
      <c r="J165" s="12"/>
      <c r="K165" s="31" t="str">
        <f>"230,0"</f>
        <v>230,0</v>
      </c>
      <c r="L165" s="12" t="str">
        <f>"141,6234"</f>
        <v>141,6234</v>
      </c>
      <c r="M165" s="11" t="s">
        <v>72</v>
      </c>
    </row>
    <row r="166" spans="1:13">
      <c r="A166" s="12" t="s">
        <v>411</v>
      </c>
      <c r="B166" s="11" t="s">
        <v>291</v>
      </c>
      <c r="C166" s="11" t="s">
        <v>319</v>
      </c>
      <c r="D166" s="11" t="s">
        <v>293</v>
      </c>
      <c r="E166" s="11" t="s">
        <v>3753</v>
      </c>
      <c r="F166" s="11" t="s">
        <v>3526</v>
      </c>
      <c r="G166" s="24" t="s">
        <v>71</v>
      </c>
      <c r="H166" s="24" t="s">
        <v>97</v>
      </c>
      <c r="I166" s="25" t="s">
        <v>86</v>
      </c>
      <c r="J166" s="12"/>
      <c r="K166" s="31" t="str">
        <f>"220,0"</f>
        <v>220,0</v>
      </c>
      <c r="L166" s="12" t="str">
        <f>"131,0145"</f>
        <v>131,0145</v>
      </c>
      <c r="M166" s="11"/>
    </row>
    <row r="167" spans="1:13">
      <c r="A167" s="12" t="s">
        <v>413</v>
      </c>
      <c r="B167" s="11" t="s">
        <v>1775</v>
      </c>
      <c r="C167" s="11" t="s">
        <v>1776</v>
      </c>
      <c r="D167" s="11" t="s">
        <v>1777</v>
      </c>
      <c r="E167" s="11" t="s">
        <v>3753</v>
      </c>
      <c r="F167" s="11" t="s">
        <v>3657</v>
      </c>
      <c r="G167" s="25" t="s">
        <v>83</v>
      </c>
      <c r="H167" s="24" t="s">
        <v>68</v>
      </c>
      <c r="I167" s="24" t="s">
        <v>97</v>
      </c>
      <c r="J167" s="12"/>
      <c r="K167" s="31" t="str">
        <f>"220,0"</f>
        <v>220,0</v>
      </c>
      <c r="L167" s="12" t="str">
        <f>"129,5671"</f>
        <v>129,5671</v>
      </c>
      <c r="M167" s="11" t="s">
        <v>1778</v>
      </c>
    </row>
    <row r="168" spans="1:13">
      <c r="A168" s="12" t="s">
        <v>414</v>
      </c>
      <c r="B168" s="11" t="s">
        <v>322</v>
      </c>
      <c r="C168" s="11" t="s">
        <v>323</v>
      </c>
      <c r="D168" s="11" t="s">
        <v>324</v>
      </c>
      <c r="E168" s="11" t="s">
        <v>3753</v>
      </c>
      <c r="F168" s="11" t="s">
        <v>3537</v>
      </c>
      <c r="G168" s="24" t="s">
        <v>180</v>
      </c>
      <c r="H168" s="24" t="s">
        <v>92</v>
      </c>
      <c r="I168" s="24" t="s">
        <v>309</v>
      </c>
      <c r="J168" s="12"/>
      <c r="K168" s="31" t="str">
        <f>"207,5"</f>
        <v>207,5</v>
      </c>
      <c r="L168" s="12" t="str">
        <f>"124,7224"</f>
        <v>124,7224</v>
      </c>
      <c r="M168" s="11"/>
    </row>
    <row r="169" spans="1:13">
      <c r="A169" s="12" t="s">
        <v>412</v>
      </c>
      <c r="B169" s="11" t="s">
        <v>1779</v>
      </c>
      <c r="C169" s="11" t="s">
        <v>1780</v>
      </c>
      <c r="D169" s="11" t="s">
        <v>1448</v>
      </c>
      <c r="E169" s="11" t="s">
        <v>3753</v>
      </c>
      <c r="F169" s="11" t="s">
        <v>3719</v>
      </c>
      <c r="G169" s="25" t="s">
        <v>70</v>
      </c>
      <c r="H169" s="25" t="s">
        <v>70</v>
      </c>
      <c r="I169" s="12"/>
      <c r="J169" s="12"/>
      <c r="K169" s="31">
        <v>0</v>
      </c>
      <c r="L169" s="12" t="str">
        <f>"0,0000"</f>
        <v>0,0000</v>
      </c>
      <c r="M169" s="11"/>
    </row>
    <row r="170" spans="1:13">
      <c r="A170" s="12" t="s">
        <v>408</v>
      </c>
      <c r="B170" s="11" t="s">
        <v>1781</v>
      </c>
      <c r="C170" s="11" t="s">
        <v>1782</v>
      </c>
      <c r="D170" s="11" t="s">
        <v>1783</v>
      </c>
      <c r="E170" s="11" t="s">
        <v>3756</v>
      </c>
      <c r="F170" s="11" t="s">
        <v>3564</v>
      </c>
      <c r="G170" s="24" t="s">
        <v>70</v>
      </c>
      <c r="H170" s="24" t="s">
        <v>71</v>
      </c>
      <c r="I170" s="24" t="s">
        <v>92</v>
      </c>
      <c r="J170" s="12"/>
      <c r="K170" s="31" t="str">
        <f>"202,5"</f>
        <v>202,5</v>
      </c>
      <c r="L170" s="12" t="str">
        <f>"156,5892"</f>
        <v>156,5892</v>
      </c>
      <c r="M170" s="11"/>
    </row>
    <row r="171" spans="1:13">
      <c r="A171" s="12" t="s">
        <v>410</v>
      </c>
      <c r="B171" s="11" t="s">
        <v>3450</v>
      </c>
      <c r="C171" s="11" t="s">
        <v>1784</v>
      </c>
      <c r="D171" s="11" t="s">
        <v>1785</v>
      </c>
      <c r="E171" s="11" t="s">
        <v>3756</v>
      </c>
      <c r="F171" s="11" t="s">
        <v>109</v>
      </c>
      <c r="G171" s="24" t="s">
        <v>37</v>
      </c>
      <c r="H171" s="24" t="s">
        <v>28</v>
      </c>
      <c r="I171" s="25" t="s">
        <v>40</v>
      </c>
      <c r="J171" s="12"/>
      <c r="K171" s="31" t="str">
        <f>"175,0"</f>
        <v>175,0</v>
      </c>
      <c r="L171" s="12" t="str">
        <f>"133,0300"</f>
        <v>133,0300</v>
      </c>
      <c r="M171" s="11" t="s">
        <v>3451</v>
      </c>
    </row>
    <row r="172" spans="1:13">
      <c r="A172" s="12" t="s">
        <v>411</v>
      </c>
      <c r="B172" s="11" t="s">
        <v>1786</v>
      </c>
      <c r="C172" s="11" t="s">
        <v>1787</v>
      </c>
      <c r="D172" s="11" t="s">
        <v>1788</v>
      </c>
      <c r="E172" s="11" t="s">
        <v>3756</v>
      </c>
      <c r="F172" s="11" t="s">
        <v>3681</v>
      </c>
      <c r="G172" s="24" t="s">
        <v>59</v>
      </c>
      <c r="H172" s="24" t="s">
        <v>28</v>
      </c>
      <c r="I172" s="25" t="s">
        <v>40</v>
      </c>
      <c r="J172" s="12"/>
      <c r="K172" s="31" t="str">
        <f>"175,0"</f>
        <v>175,0</v>
      </c>
      <c r="L172" s="12" t="str">
        <f>"118,8586"</f>
        <v>118,8586</v>
      </c>
      <c r="M172" s="11"/>
    </row>
    <row r="173" spans="1:13">
      <c r="A173" s="12" t="s">
        <v>408</v>
      </c>
      <c r="B173" s="11" t="s">
        <v>1789</v>
      </c>
      <c r="C173" s="11" t="s">
        <v>1790</v>
      </c>
      <c r="D173" s="11" t="s">
        <v>1791</v>
      </c>
      <c r="E173" s="11" t="s">
        <v>3757</v>
      </c>
      <c r="F173" s="11" t="s">
        <v>3509</v>
      </c>
      <c r="G173" s="24" t="s">
        <v>25</v>
      </c>
      <c r="H173" s="24" t="s">
        <v>36</v>
      </c>
      <c r="I173" s="25" t="s">
        <v>37</v>
      </c>
      <c r="J173" s="12"/>
      <c r="K173" s="31" t="str">
        <f>"160,0"</f>
        <v>160,0</v>
      </c>
      <c r="L173" s="12" t="str">
        <f>"134,2771"</f>
        <v>134,2771</v>
      </c>
      <c r="M173" s="11"/>
    </row>
    <row r="174" spans="1:13">
      <c r="A174" s="14" t="s">
        <v>410</v>
      </c>
      <c r="B174" s="13" t="s">
        <v>1792</v>
      </c>
      <c r="C174" s="13" t="s">
        <v>1793</v>
      </c>
      <c r="D174" s="13" t="s">
        <v>1794</v>
      </c>
      <c r="E174" s="13" t="s">
        <v>3757</v>
      </c>
      <c r="F174" s="13" t="s">
        <v>3597</v>
      </c>
      <c r="G174" s="26" t="s">
        <v>25</v>
      </c>
      <c r="H174" s="26" t="s">
        <v>35</v>
      </c>
      <c r="I174" s="27" t="s">
        <v>46</v>
      </c>
      <c r="J174" s="14"/>
      <c r="K174" s="32" t="str">
        <f>"150,0"</f>
        <v>150,0</v>
      </c>
      <c r="L174" s="14" t="str">
        <f>"140,3763"</f>
        <v>140,3763</v>
      </c>
      <c r="M174" s="13"/>
    </row>
    <row r="175" spans="1:13">
      <c r="B175" s="5" t="s">
        <v>409</v>
      </c>
    </row>
    <row r="176" spans="1:13" ht="16">
      <c r="A176" s="57" t="s">
        <v>328</v>
      </c>
      <c r="B176" s="57"/>
      <c r="C176" s="57"/>
      <c r="D176" s="57"/>
      <c r="E176" s="57"/>
      <c r="F176" s="57"/>
      <c r="G176" s="57"/>
      <c r="H176" s="57"/>
      <c r="I176" s="57"/>
      <c r="J176" s="57"/>
    </row>
    <row r="177" spans="1:13">
      <c r="A177" s="10" t="s">
        <v>408</v>
      </c>
      <c r="B177" s="9" t="s">
        <v>334</v>
      </c>
      <c r="C177" s="9" t="s">
        <v>335</v>
      </c>
      <c r="D177" s="9" t="s">
        <v>336</v>
      </c>
      <c r="E177" s="9" t="s">
        <v>3754</v>
      </c>
      <c r="F177" s="9" t="s">
        <v>75</v>
      </c>
      <c r="G177" s="23" t="s">
        <v>35</v>
      </c>
      <c r="H177" s="23" t="s">
        <v>37</v>
      </c>
      <c r="I177" s="22" t="s">
        <v>113</v>
      </c>
      <c r="J177" s="10"/>
      <c r="K177" s="30" t="str">
        <f>"170,0"</f>
        <v>170,0</v>
      </c>
      <c r="L177" s="10" t="str">
        <f>"96,1180"</f>
        <v>96,1180</v>
      </c>
      <c r="M177" s="9"/>
    </row>
    <row r="178" spans="1:13">
      <c r="A178" s="12" t="s">
        <v>408</v>
      </c>
      <c r="B178" s="11" t="s">
        <v>1795</v>
      </c>
      <c r="C178" s="11" t="s">
        <v>1796</v>
      </c>
      <c r="D178" s="11" t="s">
        <v>340</v>
      </c>
      <c r="E178" s="11" t="s">
        <v>3751</v>
      </c>
      <c r="F178" s="11" t="s">
        <v>3509</v>
      </c>
      <c r="G178" s="24" t="s">
        <v>86</v>
      </c>
      <c r="H178" s="24" t="s">
        <v>87</v>
      </c>
      <c r="I178" s="24" t="s">
        <v>691</v>
      </c>
      <c r="J178" s="12"/>
      <c r="K178" s="31" t="str">
        <f>"242,5"</f>
        <v>242,5</v>
      </c>
      <c r="L178" s="12" t="str">
        <f>"135,5090"</f>
        <v>135,5090</v>
      </c>
      <c r="M178" s="11"/>
    </row>
    <row r="179" spans="1:13">
      <c r="A179" s="12" t="s">
        <v>410</v>
      </c>
      <c r="B179" s="11" t="s">
        <v>1797</v>
      </c>
      <c r="C179" s="11" t="s">
        <v>1798</v>
      </c>
      <c r="D179" s="11" t="s">
        <v>1799</v>
      </c>
      <c r="E179" s="11" t="s">
        <v>3751</v>
      </c>
      <c r="F179" s="11" t="s">
        <v>3641</v>
      </c>
      <c r="G179" s="25" t="s">
        <v>86</v>
      </c>
      <c r="H179" s="25" t="s">
        <v>86</v>
      </c>
      <c r="I179" s="24" t="s">
        <v>86</v>
      </c>
      <c r="J179" s="12"/>
      <c r="K179" s="31" t="str">
        <f>"225,0"</f>
        <v>225,0</v>
      </c>
      <c r="L179" s="12" t="str">
        <f>"126,8100"</f>
        <v>126,8100</v>
      </c>
      <c r="M179" s="11"/>
    </row>
    <row r="180" spans="1:13">
      <c r="A180" s="12" t="s">
        <v>411</v>
      </c>
      <c r="B180" s="11" t="s">
        <v>1801</v>
      </c>
      <c r="C180" s="11" t="s">
        <v>1802</v>
      </c>
      <c r="D180" s="11" t="s">
        <v>1803</v>
      </c>
      <c r="E180" s="11" t="s">
        <v>3751</v>
      </c>
      <c r="F180" s="11" t="s">
        <v>3516</v>
      </c>
      <c r="G180" s="24" t="s">
        <v>71</v>
      </c>
      <c r="H180" s="24" t="s">
        <v>83</v>
      </c>
      <c r="I180" s="24" t="s">
        <v>97</v>
      </c>
      <c r="J180" s="12"/>
      <c r="K180" s="31" t="str">
        <f>"220,0"</f>
        <v>220,0</v>
      </c>
      <c r="L180" s="12" t="str">
        <f>"123,3540"</f>
        <v>123,3540</v>
      </c>
      <c r="M180" s="11"/>
    </row>
    <row r="181" spans="1:13">
      <c r="A181" s="12" t="s">
        <v>413</v>
      </c>
      <c r="B181" s="11" t="s">
        <v>1804</v>
      </c>
      <c r="C181" s="11" t="s">
        <v>1805</v>
      </c>
      <c r="D181" s="11" t="s">
        <v>1806</v>
      </c>
      <c r="E181" s="11" t="s">
        <v>3751</v>
      </c>
      <c r="F181" s="11" t="s">
        <v>3543</v>
      </c>
      <c r="G181" s="24" t="s">
        <v>83</v>
      </c>
      <c r="H181" s="24" t="s">
        <v>68</v>
      </c>
      <c r="I181" s="25" t="s">
        <v>97</v>
      </c>
      <c r="J181" s="12"/>
      <c r="K181" s="31" t="str">
        <f>"215,0"</f>
        <v>215,0</v>
      </c>
      <c r="L181" s="12" t="str">
        <f>"121,8620"</f>
        <v>121,8620</v>
      </c>
      <c r="M181" s="11" t="s">
        <v>1807</v>
      </c>
    </row>
    <row r="182" spans="1:13">
      <c r="A182" s="12" t="s">
        <v>414</v>
      </c>
      <c r="B182" s="11" t="s">
        <v>1808</v>
      </c>
      <c r="C182" s="11" t="s">
        <v>1809</v>
      </c>
      <c r="D182" s="11" t="s">
        <v>1810</v>
      </c>
      <c r="E182" s="11" t="s">
        <v>3751</v>
      </c>
      <c r="F182" s="11" t="s">
        <v>3509</v>
      </c>
      <c r="G182" s="24" t="s">
        <v>59</v>
      </c>
      <c r="H182" s="25" t="s">
        <v>113</v>
      </c>
      <c r="I182" s="25" t="s">
        <v>113</v>
      </c>
      <c r="J182" s="12"/>
      <c r="K182" s="31" t="str">
        <f>"165,0"</f>
        <v>165,0</v>
      </c>
      <c r="L182" s="12" t="str">
        <f>"92,7630"</f>
        <v>92,7630</v>
      </c>
      <c r="M182" s="11"/>
    </row>
    <row r="183" spans="1:13">
      <c r="A183" s="12" t="s">
        <v>408</v>
      </c>
      <c r="B183" s="11" t="s">
        <v>1811</v>
      </c>
      <c r="C183" s="11" t="s">
        <v>1812</v>
      </c>
      <c r="D183" s="11" t="s">
        <v>1813</v>
      </c>
      <c r="E183" s="11" t="s">
        <v>3753</v>
      </c>
      <c r="F183" s="11" t="s">
        <v>3651</v>
      </c>
      <c r="G183" s="24" t="s">
        <v>86</v>
      </c>
      <c r="H183" s="25" t="s">
        <v>87</v>
      </c>
      <c r="I183" s="25" t="s">
        <v>87</v>
      </c>
      <c r="J183" s="12"/>
      <c r="K183" s="31" t="str">
        <f>"225,0"</f>
        <v>225,0</v>
      </c>
      <c r="L183" s="12" t="str">
        <f>"137,2833"</f>
        <v>137,2833</v>
      </c>
      <c r="M183" s="11" t="s">
        <v>1814</v>
      </c>
    </row>
    <row r="184" spans="1:13">
      <c r="A184" s="14" t="s">
        <v>410</v>
      </c>
      <c r="B184" s="13" t="s">
        <v>343</v>
      </c>
      <c r="C184" s="13" t="s">
        <v>344</v>
      </c>
      <c r="D184" s="13" t="s">
        <v>345</v>
      </c>
      <c r="E184" s="13" t="s">
        <v>3753</v>
      </c>
      <c r="F184" s="13" t="s">
        <v>3580</v>
      </c>
      <c r="G184" s="26" t="s">
        <v>37</v>
      </c>
      <c r="H184" s="26" t="s">
        <v>40</v>
      </c>
      <c r="I184" s="26" t="s">
        <v>29</v>
      </c>
      <c r="J184" s="14"/>
      <c r="K184" s="32" t="str">
        <f>"185,0"</f>
        <v>185,0</v>
      </c>
      <c r="L184" s="14" t="str">
        <f>"115,6165"</f>
        <v>115,6165</v>
      </c>
      <c r="M184" s="13" t="s">
        <v>188</v>
      </c>
    </row>
    <row r="185" spans="1:13">
      <c r="B185" s="5" t="s">
        <v>409</v>
      </c>
    </row>
    <row r="186" spans="1:13" ht="16">
      <c r="A186" s="57" t="s">
        <v>346</v>
      </c>
      <c r="B186" s="57"/>
      <c r="C186" s="57"/>
      <c r="D186" s="57"/>
      <c r="E186" s="57"/>
      <c r="F186" s="57"/>
      <c r="G186" s="57"/>
      <c r="H186" s="57"/>
      <c r="I186" s="57"/>
      <c r="J186" s="57"/>
    </row>
    <row r="187" spans="1:13">
      <c r="A187" s="10" t="s">
        <v>408</v>
      </c>
      <c r="B187" s="9" t="s">
        <v>1815</v>
      </c>
      <c r="C187" s="9" t="s">
        <v>1816</v>
      </c>
      <c r="D187" s="9" t="s">
        <v>1817</v>
      </c>
      <c r="E187" s="9" t="s">
        <v>3753</v>
      </c>
      <c r="F187" s="9" t="s">
        <v>3679</v>
      </c>
      <c r="G187" s="22" t="s">
        <v>71</v>
      </c>
      <c r="H187" s="23" t="s">
        <v>68</v>
      </c>
      <c r="I187" s="23" t="s">
        <v>97</v>
      </c>
      <c r="J187" s="10"/>
      <c r="K187" s="30" t="str">
        <f>"220,0"</f>
        <v>220,0</v>
      </c>
      <c r="L187" s="10" t="str">
        <f>"125,4383"</f>
        <v>125,4383</v>
      </c>
      <c r="M187" s="9" t="s">
        <v>1818</v>
      </c>
    </row>
    <row r="188" spans="1:13">
      <c r="A188" s="14" t="s">
        <v>410</v>
      </c>
      <c r="B188" s="13" t="s">
        <v>1819</v>
      </c>
      <c r="C188" s="13" t="s">
        <v>1820</v>
      </c>
      <c r="D188" s="13" t="s">
        <v>1821</v>
      </c>
      <c r="E188" s="13" t="s">
        <v>3753</v>
      </c>
      <c r="F188" s="13" t="s">
        <v>3720</v>
      </c>
      <c r="G188" s="26" t="s">
        <v>69</v>
      </c>
      <c r="H188" s="26" t="s">
        <v>54</v>
      </c>
      <c r="I188" s="26" t="s">
        <v>586</v>
      </c>
      <c r="J188" s="14"/>
      <c r="K188" s="32" t="str">
        <f>"107,5"</f>
        <v>107,5</v>
      </c>
      <c r="L188" s="14" t="str">
        <f>"61,2557"</f>
        <v>61,2557</v>
      </c>
      <c r="M188" s="13" t="s">
        <v>1822</v>
      </c>
    </row>
    <row r="189" spans="1:13">
      <c r="B189" s="5" t="s">
        <v>409</v>
      </c>
    </row>
    <row r="190" spans="1:13">
      <c r="B190" s="5" t="s">
        <v>409</v>
      </c>
    </row>
    <row r="191" spans="1:13">
      <c r="B191" s="5" t="s">
        <v>409</v>
      </c>
    </row>
    <row r="192" spans="1:13" ht="18">
      <c r="B192" s="15" t="s">
        <v>365</v>
      </c>
      <c r="C192" s="15"/>
      <c r="F192" s="3"/>
    </row>
    <row r="193" spans="2:6" ht="16">
      <c r="B193" s="16" t="s">
        <v>366</v>
      </c>
      <c r="C193" s="16"/>
      <c r="F193" s="3"/>
    </row>
    <row r="194" spans="2:6" ht="14">
      <c r="B194" s="17"/>
      <c r="C194" s="18" t="s">
        <v>367</v>
      </c>
      <c r="F194" s="3"/>
    </row>
    <row r="195" spans="2:6" ht="14">
      <c r="B195" s="19" t="s">
        <v>368</v>
      </c>
      <c r="C195" s="19" t="s">
        <v>369</v>
      </c>
      <c r="D195" s="19" t="s">
        <v>370</v>
      </c>
      <c r="E195" s="19" t="s">
        <v>1456</v>
      </c>
      <c r="F195" s="19" t="s">
        <v>372</v>
      </c>
    </row>
    <row r="196" spans="2:6">
      <c r="B196" s="5" t="s">
        <v>1478</v>
      </c>
      <c r="C196" s="5" t="s">
        <v>367</v>
      </c>
      <c r="D196" s="6" t="s">
        <v>569</v>
      </c>
      <c r="E196" s="6" t="s">
        <v>132</v>
      </c>
      <c r="F196" s="6" t="s">
        <v>1823</v>
      </c>
    </row>
    <row r="197" spans="2:6">
      <c r="B197" s="5" t="s">
        <v>1481</v>
      </c>
      <c r="C197" s="5" t="s">
        <v>367</v>
      </c>
      <c r="D197" s="6" t="s">
        <v>569</v>
      </c>
      <c r="E197" s="6" t="s">
        <v>76</v>
      </c>
      <c r="F197" s="6" t="s">
        <v>1824</v>
      </c>
    </row>
    <row r="198" spans="2:6">
      <c r="B198" s="5" t="s">
        <v>1374</v>
      </c>
      <c r="C198" s="5" t="s">
        <v>367</v>
      </c>
      <c r="D198" s="6" t="s">
        <v>1335</v>
      </c>
      <c r="E198" s="6" t="s">
        <v>60</v>
      </c>
      <c r="F198" s="6" t="s">
        <v>1825</v>
      </c>
    </row>
    <row r="200" spans="2:6" ht="16">
      <c r="B200" s="16" t="s">
        <v>385</v>
      </c>
      <c r="C200" s="16"/>
    </row>
    <row r="201" spans="2:6" ht="14">
      <c r="B201" s="17"/>
      <c r="C201" s="18" t="s">
        <v>367</v>
      </c>
    </row>
    <row r="202" spans="2:6" ht="14">
      <c r="B202" s="19" t="s">
        <v>368</v>
      </c>
      <c r="C202" s="19" t="s">
        <v>369</v>
      </c>
      <c r="D202" s="19" t="s">
        <v>370</v>
      </c>
      <c r="E202" s="19" t="s">
        <v>1456</v>
      </c>
      <c r="F202" s="19" t="s">
        <v>372</v>
      </c>
    </row>
    <row r="203" spans="2:6">
      <c r="B203" s="5" t="s">
        <v>1612</v>
      </c>
      <c r="C203" s="5" t="s">
        <v>367</v>
      </c>
      <c r="D203" s="6" t="s">
        <v>390</v>
      </c>
      <c r="E203" s="6" t="s">
        <v>87</v>
      </c>
      <c r="F203" s="6" t="s">
        <v>1826</v>
      </c>
    </row>
    <row r="204" spans="2:6">
      <c r="B204" s="5" t="s">
        <v>1745</v>
      </c>
      <c r="C204" s="5" t="s">
        <v>367</v>
      </c>
      <c r="D204" s="6" t="s">
        <v>397</v>
      </c>
      <c r="E204" s="6" t="s">
        <v>133</v>
      </c>
      <c r="F204" s="6" t="s">
        <v>1827</v>
      </c>
    </row>
    <row r="205" spans="2:6">
      <c r="B205" s="5" t="s">
        <v>1741</v>
      </c>
      <c r="C205" s="5" t="s">
        <v>367</v>
      </c>
      <c r="D205" s="6" t="s">
        <v>397</v>
      </c>
      <c r="E205" s="6" t="s">
        <v>691</v>
      </c>
      <c r="F205" s="6" t="s">
        <v>1828</v>
      </c>
    </row>
    <row r="207" spans="2:6" ht="14">
      <c r="B207" s="17"/>
      <c r="C207" s="18" t="s">
        <v>382</v>
      </c>
    </row>
    <row r="208" spans="2:6" ht="14">
      <c r="B208" s="19" t="s">
        <v>368</v>
      </c>
      <c r="C208" s="19" t="s">
        <v>369</v>
      </c>
      <c r="D208" s="19" t="s">
        <v>370</v>
      </c>
      <c r="E208" s="19" t="s">
        <v>1456</v>
      </c>
      <c r="F208" s="19" t="s">
        <v>372</v>
      </c>
    </row>
    <row r="209" spans="2:6">
      <c r="B209" s="5" t="s">
        <v>1684</v>
      </c>
      <c r="C209" s="5" t="s">
        <v>403</v>
      </c>
      <c r="D209" s="6" t="s">
        <v>390</v>
      </c>
      <c r="E209" s="6" t="s">
        <v>71</v>
      </c>
      <c r="F209" s="6" t="s">
        <v>1829</v>
      </c>
    </row>
    <row r="210" spans="2:6">
      <c r="B210" s="5" t="s">
        <v>1603</v>
      </c>
      <c r="C210" s="5" t="s">
        <v>400</v>
      </c>
      <c r="D210" s="6" t="s">
        <v>394</v>
      </c>
      <c r="E210" s="6" t="s">
        <v>77</v>
      </c>
      <c r="F210" s="6" t="s">
        <v>1830</v>
      </c>
    </row>
    <row r="211" spans="2:6">
      <c r="B211" s="5" t="s">
        <v>1674</v>
      </c>
      <c r="C211" s="5" t="s">
        <v>1358</v>
      </c>
      <c r="D211" s="6" t="s">
        <v>390</v>
      </c>
      <c r="E211" s="6" t="s">
        <v>92</v>
      </c>
      <c r="F211" s="6" t="s">
        <v>1831</v>
      </c>
    </row>
    <row r="212" spans="2:6">
      <c r="B212" s="5" t="s">
        <v>409</v>
      </c>
    </row>
  </sheetData>
  <mergeCells count="27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50:J150"/>
    <mergeCell ref="A176:J176"/>
    <mergeCell ref="A186:J186"/>
    <mergeCell ref="B3:B4"/>
    <mergeCell ref="A36:J36"/>
    <mergeCell ref="A41:J41"/>
    <mergeCell ref="A48:J48"/>
    <mergeCell ref="A66:J66"/>
    <mergeCell ref="A92:J92"/>
    <mergeCell ref="A126:J126"/>
    <mergeCell ref="A9:J9"/>
    <mergeCell ref="A13:J13"/>
    <mergeCell ref="A17:J17"/>
    <mergeCell ref="A26:J26"/>
    <mergeCell ref="A29:J29"/>
    <mergeCell ref="A32:J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22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24.3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664062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7.1640625" style="5" customWidth="1"/>
    <col min="14" max="16384" width="9.1640625" style="3"/>
  </cols>
  <sheetData>
    <row r="1" spans="1:13" s="2" customFormat="1" ht="29" customHeight="1">
      <c r="A1" s="68" t="s">
        <v>3302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9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1966</v>
      </c>
      <c r="C6" s="7" t="s">
        <v>1967</v>
      </c>
      <c r="D6" s="7" t="s">
        <v>1968</v>
      </c>
      <c r="E6" s="7" t="s">
        <v>3752</v>
      </c>
      <c r="F6" s="7" t="s">
        <v>75</v>
      </c>
      <c r="G6" s="20" t="s">
        <v>18</v>
      </c>
      <c r="H6" s="20" t="s">
        <v>38</v>
      </c>
      <c r="I6" s="21" t="s">
        <v>600</v>
      </c>
      <c r="J6" s="8"/>
      <c r="K6" s="29" t="str">
        <f>"90,0"</f>
        <v>90,0</v>
      </c>
      <c r="L6" s="8" t="str">
        <f>"89,9550"</f>
        <v>89,9550</v>
      </c>
      <c r="M6" s="7"/>
    </row>
    <row r="7" spans="1:13">
      <c r="B7" s="5" t="s">
        <v>409</v>
      </c>
    </row>
    <row r="8" spans="1:13" ht="16">
      <c r="A8" s="57" t="s">
        <v>62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0" t="s">
        <v>408</v>
      </c>
      <c r="B9" s="9" t="s">
        <v>2533</v>
      </c>
      <c r="C9" s="9" t="s">
        <v>2451</v>
      </c>
      <c r="D9" s="9" t="s">
        <v>473</v>
      </c>
      <c r="E9" s="9" t="s">
        <v>3751</v>
      </c>
      <c r="F9" s="9" t="s">
        <v>3562</v>
      </c>
      <c r="G9" s="23" t="s">
        <v>83</v>
      </c>
      <c r="H9" s="22" t="s">
        <v>68</v>
      </c>
      <c r="I9" s="22" t="s">
        <v>68</v>
      </c>
      <c r="J9" s="10"/>
      <c r="K9" s="30" t="str">
        <f>"210,0"</f>
        <v>210,0</v>
      </c>
      <c r="L9" s="10" t="str">
        <f>"140,9940"</f>
        <v>140,9940</v>
      </c>
      <c r="M9" s="9" t="s">
        <v>30</v>
      </c>
    </row>
    <row r="10" spans="1:13">
      <c r="A10" s="12" t="s">
        <v>412</v>
      </c>
      <c r="B10" s="11" t="s">
        <v>2520</v>
      </c>
      <c r="C10" s="11" t="s">
        <v>2521</v>
      </c>
      <c r="D10" s="11" t="s">
        <v>473</v>
      </c>
      <c r="E10" s="11" t="s">
        <v>3751</v>
      </c>
      <c r="F10" s="11" t="s">
        <v>3581</v>
      </c>
      <c r="G10" s="25" t="s">
        <v>68</v>
      </c>
      <c r="H10" s="25" t="s">
        <v>97</v>
      </c>
      <c r="I10" s="25" t="s">
        <v>97</v>
      </c>
      <c r="J10" s="12"/>
      <c r="K10" s="31">
        <v>0</v>
      </c>
      <c r="L10" s="12" t="str">
        <f>"0,0000"</f>
        <v>0,0000</v>
      </c>
      <c r="M10" s="11"/>
    </row>
    <row r="11" spans="1:13">
      <c r="A11" s="14" t="s">
        <v>412</v>
      </c>
      <c r="B11" s="13" t="s">
        <v>2520</v>
      </c>
      <c r="C11" s="13" t="s">
        <v>2522</v>
      </c>
      <c r="D11" s="13" t="s">
        <v>473</v>
      </c>
      <c r="E11" s="13" t="s">
        <v>3753</v>
      </c>
      <c r="F11" s="13" t="s">
        <v>3581</v>
      </c>
      <c r="G11" s="27" t="s">
        <v>68</v>
      </c>
      <c r="H11" s="27" t="s">
        <v>97</v>
      </c>
      <c r="I11" s="27" t="s">
        <v>97</v>
      </c>
      <c r="J11" s="14"/>
      <c r="K11" s="32">
        <v>0</v>
      </c>
      <c r="L11" s="14" t="str">
        <f>"0,0000"</f>
        <v>0,0000</v>
      </c>
      <c r="M11" s="13"/>
    </row>
    <row r="12" spans="1:13">
      <c r="B12" s="5" t="s">
        <v>409</v>
      </c>
    </row>
    <row r="13" spans="1:13" ht="16">
      <c r="A13" s="57" t="s">
        <v>150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3">
      <c r="A14" s="8" t="s">
        <v>408</v>
      </c>
      <c r="B14" s="7" t="s">
        <v>2534</v>
      </c>
      <c r="C14" s="7" t="s">
        <v>2535</v>
      </c>
      <c r="D14" s="7" t="s">
        <v>704</v>
      </c>
      <c r="E14" s="7" t="s">
        <v>3753</v>
      </c>
      <c r="F14" s="7" t="s">
        <v>2536</v>
      </c>
      <c r="G14" s="21" t="s">
        <v>76</v>
      </c>
      <c r="H14" s="21" t="s">
        <v>76</v>
      </c>
      <c r="I14" s="20" t="s">
        <v>76</v>
      </c>
      <c r="J14" s="8"/>
      <c r="K14" s="29" t="str">
        <f>"120,0"</f>
        <v>120,0</v>
      </c>
      <c r="L14" s="8" t="str">
        <f>"81,0687"</f>
        <v>81,0687</v>
      </c>
      <c r="M14" s="7"/>
    </row>
    <row r="15" spans="1:13">
      <c r="B15" s="5" t="s">
        <v>409</v>
      </c>
    </row>
    <row r="16" spans="1:13" ht="16">
      <c r="A16" s="57" t="s">
        <v>195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8" t="s">
        <v>408</v>
      </c>
      <c r="B17" s="7" t="s">
        <v>2537</v>
      </c>
      <c r="C17" s="7" t="s">
        <v>2538</v>
      </c>
      <c r="D17" s="7" t="s">
        <v>2276</v>
      </c>
      <c r="E17" s="7" t="s">
        <v>3751</v>
      </c>
      <c r="F17" s="7" t="s">
        <v>199</v>
      </c>
      <c r="G17" s="20" t="s">
        <v>36</v>
      </c>
      <c r="H17" s="21" t="s">
        <v>40</v>
      </c>
      <c r="I17" s="21" t="s">
        <v>40</v>
      </c>
      <c r="J17" s="8"/>
      <c r="K17" s="29" t="str">
        <f>"160,0"</f>
        <v>160,0</v>
      </c>
      <c r="L17" s="8" t="str">
        <f>"99,1040"</f>
        <v>99,1040</v>
      </c>
      <c r="M17" s="7"/>
    </row>
    <row r="18" spans="1:13">
      <c r="B18" s="5" t="s">
        <v>409</v>
      </c>
    </row>
    <row r="19" spans="1:13" ht="16">
      <c r="A19" s="57" t="s">
        <v>258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3">
      <c r="A20" s="10" t="s">
        <v>412</v>
      </c>
      <c r="B20" s="9" t="s">
        <v>2497</v>
      </c>
      <c r="C20" s="9" t="s">
        <v>2498</v>
      </c>
      <c r="D20" s="9" t="s">
        <v>1711</v>
      </c>
      <c r="E20" s="9" t="s">
        <v>3751</v>
      </c>
      <c r="F20" s="9" t="s">
        <v>199</v>
      </c>
      <c r="G20" s="22" t="s">
        <v>134</v>
      </c>
      <c r="H20" s="22" t="s">
        <v>134</v>
      </c>
      <c r="I20" s="10"/>
      <c r="J20" s="10"/>
      <c r="K20" s="30">
        <v>0</v>
      </c>
      <c r="L20" s="10" t="str">
        <f>"0,0000"</f>
        <v>0,0000</v>
      </c>
      <c r="M20" s="9"/>
    </row>
    <row r="21" spans="1:13">
      <c r="A21" s="14" t="s">
        <v>408</v>
      </c>
      <c r="B21" s="13" t="s">
        <v>2380</v>
      </c>
      <c r="C21" s="13" t="s">
        <v>2381</v>
      </c>
      <c r="D21" s="13" t="s">
        <v>2382</v>
      </c>
      <c r="E21" s="13" t="s">
        <v>3757</v>
      </c>
      <c r="F21" s="13" t="s">
        <v>493</v>
      </c>
      <c r="G21" s="26" t="s">
        <v>37</v>
      </c>
      <c r="H21" s="14"/>
      <c r="I21" s="14"/>
      <c r="J21" s="14"/>
      <c r="K21" s="32" t="str">
        <f>"170,0"</f>
        <v>170,0</v>
      </c>
      <c r="L21" s="14" t="str">
        <f>"148,6905"</f>
        <v>148,6905</v>
      </c>
      <c r="M21" s="13"/>
    </row>
    <row r="22" spans="1:13">
      <c r="B22" s="5" t="s">
        <v>409</v>
      </c>
    </row>
  </sheetData>
  <mergeCells count="16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3:J13"/>
    <mergeCell ref="A16:J16"/>
    <mergeCell ref="A19:J19"/>
    <mergeCell ref="B3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3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2.5" style="5" customWidth="1"/>
    <col min="14" max="16384" width="9.1640625" style="3"/>
  </cols>
  <sheetData>
    <row r="1" spans="1:13" s="2" customFormat="1" ht="29" customHeight="1">
      <c r="A1" s="68" t="s">
        <v>3299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2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258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3391</v>
      </c>
      <c r="C6" s="7" t="s">
        <v>2498</v>
      </c>
      <c r="D6" s="7" t="s">
        <v>1711</v>
      </c>
      <c r="E6" s="7" t="s">
        <v>3751</v>
      </c>
      <c r="F6" s="7" t="s">
        <v>199</v>
      </c>
      <c r="G6" s="21" t="s">
        <v>99</v>
      </c>
      <c r="H6" s="21" t="s">
        <v>99</v>
      </c>
      <c r="I6" s="20" t="s">
        <v>99</v>
      </c>
      <c r="J6" s="8"/>
      <c r="K6" s="8" t="str">
        <f>"237,5"</f>
        <v>237,5</v>
      </c>
      <c r="L6" s="8" t="str">
        <f>"140,5050"</f>
        <v>140,5050</v>
      </c>
      <c r="M6" s="7"/>
    </row>
    <row r="7" spans="1:13">
      <c r="B7" s="5" t="s">
        <v>409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M2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7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18.832031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5" style="5" customWidth="1"/>
    <col min="14" max="16384" width="9.1640625" style="3"/>
  </cols>
  <sheetData>
    <row r="1" spans="1:13" s="2" customFormat="1" ht="29" customHeight="1">
      <c r="A1" s="68" t="s">
        <v>3303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62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408</v>
      </c>
      <c r="B6" s="9" t="s">
        <v>3400</v>
      </c>
      <c r="C6" s="9" t="s">
        <v>2519</v>
      </c>
      <c r="D6" s="9" t="s">
        <v>131</v>
      </c>
      <c r="E6" s="9" t="s">
        <v>3751</v>
      </c>
      <c r="F6" s="9" t="s">
        <v>109</v>
      </c>
      <c r="G6" s="23" t="s">
        <v>71</v>
      </c>
      <c r="H6" s="23" t="s">
        <v>83</v>
      </c>
      <c r="I6" s="22" t="s">
        <v>210</v>
      </c>
      <c r="J6" s="10"/>
      <c r="K6" s="30" t="str">
        <f>"210,0"</f>
        <v>210,0</v>
      </c>
      <c r="L6" s="10" t="str">
        <f>"141,0990"</f>
        <v>141,0990</v>
      </c>
      <c r="M6" s="9" t="s">
        <v>115</v>
      </c>
    </row>
    <row r="7" spans="1:13">
      <c r="A7" s="12" t="s">
        <v>410</v>
      </c>
      <c r="B7" s="11" t="s">
        <v>2520</v>
      </c>
      <c r="C7" s="11" t="s">
        <v>2521</v>
      </c>
      <c r="D7" s="11" t="s">
        <v>473</v>
      </c>
      <c r="E7" s="11" t="s">
        <v>3751</v>
      </c>
      <c r="F7" s="11" t="s">
        <v>3581</v>
      </c>
      <c r="G7" s="25" t="s">
        <v>83</v>
      </c>
      <c r="H7" s="24" t="s">
        <v>83</v>
      </c>
      <c r="I7" s="25" t="s">
        <v>97</v>
      </c>
      <c r="J7" s="12"/>
      <c r="K7" s="31" t="str">
        <f>"210,0"</f>
        <v>210,0</v>
      </c>
      <c r="L7" s="12" t="str">
        <f>"140,9940"</f>
        <v>140,9940</v>
      </c>
      <c r="M7" s="11"/>
    </row>
    <row r="8" spans="1:13">
      <c r="A8" s="12" t="s">
        <v>411</v>
      </c>
      <c r="B8" s="11" t="s">
        <v>2465</v>
      </c>
      <c r="C8" s="11" t="s">
        <v>2466</v>
      </c>
      <c r="D8" s="11" t="s">
        <v>1094</v>
      </c>
      <c r="E8" s="11" t="s">
        <v>3751</v>
      </c>
      <c r="F8" s="11" t="s">
        <v>75</v>
      </c>
      <c r="G8" s="25" t="s">
        <v>46</v>
      </c>
      <c r="H8" s="25" t="s">
        <v>46</v>
      </c>
      <c r="I8" s="24" t="s">
        <v>46</v>
      </c>
      <c r="J8" s="12"/>
      <c r="K8" s="31" t="str">
        <f>"155,0"</f>
        <v>155,0</v>
      </c>
      <c r="L8" s="12" t="str">
        <f>"105,8185"</f>
        <v>105,8185</v>
      </c>
      <c r="M8" s="11"/>
    </row>
    <row r="9" spans="1:13">
      <c r="A9" s="14" t="s">
        <v>408</v>
      </c>
      <c r="B9" s="13" t="s">
        <v>2520</v>
      </c>
      <c r="C9" s="13" t="s">
        <v>2522</v>
      </c>
      <c r="D9" s="13" t="s">
        <v>473</v>
      </c>
      <c r="E9" s="13" t="s">
        <v>3753</v>
      </c>
      <c r="F9" s="13" t="s">
        <v>3581</v>
      </c>
      <c r="G9" s="27" t="s">
        <v>83</v>
      </c>
      <c r="H9" s="26" t="s">
        <v>83</v>
      </c>
      <c r="I9" s="27" t="s">
        <v>97</v>
      </c>
      <c r="J9" s="14"/>
      <c r="K9" s="32" t="str">
        <f>"210,0"</f>
        <v>210,0</v>
      </c>
      <c r="L9" s="14" t="str">
        <f>"157,0673"</f>
        <v>157,0673</v>
      </c>
      <c r="M9" s="13"/>
    </row>
    <row r="10" spans="1:13">
      <c r="B10" s="5" t="s">
        <v>409</v>
      </c>
    </row>
    <row r="11" spans="1:13" ht="16">
      <c r="A11" s="57" t="s">
        <v>195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0" t="s">
        <v>408</v>
      </c>
      <c r="B12" s="9" t="s">
        <v>2523</v>
      </c>
      <c r="C12" s="9" t="s">
        <v>2524</v>
      </c>
      <c r="D12" s="9" t="s">
        <v>1652</v>
      </c>
      <c r="E12" s="9" t="s">
        <v>3751</v>
      </c>
      <c r="F12" s="9" t="s">
        <v>3509</v>
      </c>
      <c r="G12" s="23" t="s">
        <v>121</v>
      </c>
      <c r="H12" s="23" t="s">
        <v>128</v>
      </c>
      <c r="I12" s="22" t="s">
        <v>201</v>
      </c>
      <c r="J12" s="10"/>
      <c r="K12" s="30" t="str">
        <f>"300,0"</f>
        <v>300,0</v>
      </c>
      <c r="L12" s="10" t="str">
        <f>"183,3900"</f>
        <v>183,3900</v>
      </c>
      <c r="M12" s="9" t="s">
        <v>2525</v>
      </c>
    </row>
    <row r="13" spans="1:13">
      <c r="A13" s="14" t="s">
        <v>408</v>
      </c>
      <c r="B13" s="13" t="s">
        <v>2523</v>
      </c>
      <c r="C13" s="13" t="s">
        <v>2526</v>
      </c>
      <c r="D13" s="13" t="s">
        <v>1652</v>
      </c>
      <c r="E13" s="13" t="s">
        <v>3753</v>
      </c>
      <c r="F13" s="13" t="s">
        <v>3509</v>
      </c>
      <c r="G13" s="26" t="s">
        <v>121</v>
      </c>
      <c r="H13" s="26" t="s">
        <v>128</v>
      </c>
      <c r="I13" s="27" t="s">
        <v>201</v>
      </c>
      <c r="J13" s="14"/>
      <c r="K13" s="32" t="str">
        <f>"300,0"</f>
        <v>300,0</v>
      </c>
      <c r="L13" s="14" t="str">
        <f>"204,2965"</f>
        <v>204,2965</v>
      </c>
      <c r="M13" s="13" t="s">
        <v>2525</v>
      </c>
    </row>
    <row r="14" spans="1:13">
      <c r="B14" s="5" t="s">
        <v>409</v>
      </c>
    </row>
    <row r="15" spans="1:13" ht="16">
      <c r="A15" s="57" t="s">
        <v>258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3">
      <c r="A16" s="10" t="s">
        <v>408</v>
      </c>
      <c r="B16" s="9" t="s">
        <v>1692</v>
      </c>
      <c r="C16" s="9" t="s">
        <v>1693</v>
      </c>
      <c r="D16" s="9" t="s">
        <v>1694</v>
      </c>
      <c r="E16" s="9" t="s">
        <v>3751</v>
      </c>
      <c r="F16" s="9" t="s">
        <v>3642</v>
      </c>
      <c r="G16" s="23" t="s">
        <v>134</v>
      </c>
      <c r="H16" s="22" t="s">
        <v>119</v>
      </c>
      <c r="I16" s="22" t="s">
        <v>119</v>
      </c>
      <c r="J16" s="10"/>
      <c r="K16" s="30" t="str">
        <f>"250,0"</f>
        <v>250,0</v>
      </c>
      <c r="L16" s="10" t="str">
        <f>"151,7750"</f>
        <v>151,7750</v>
      </c>
      <c r="M16" s="9"/>
    </row>
    <row r="17" spans="1:13">
      <c r="A17" s="12" t="s">
        <v>412</v>
      </c>
      <c r="B17" s="11" t="s">
        <v>2527</v>
      </c>
      <c r="C17" s="11" t="s">
        <v>2528</v>
      </c>
      <c r="D17" s="11" t="s">
        <v>758</v>
      </c>
      <c r="E17" s="11" t="s">
        <v>3751</v>
      </c>
      <c r="F17" s="11" t="s">
        <v>75</v>
      </c>
      <c r="G17" s="25" t="s">
        <v>134</v>
      </c>
      <c r="H17" s="25" t="s">
        <v>134</v>
      </c>
      <c r="I17" s="25" t="s">
        <v>134</v>
      </c>
      <c r="J17" s="12"/>
      <c r="K17" s="31">
        <v>0</v>
      </c>
      <c r="L17" s="12" t="str">
        <f>"0,0000"</f>
        <v>0,0000</v>
      </c>
      <c r="M17" s="11"/>
    </row>
    <row r="18" spans="1:13">
      <c r="A18" s="12" t="s">
        <v>408</v>
      </c>
      <c r="B18" s="11" t="s">
        <v>1692</v>
      </c>
      <c r="C18" s="11" t="s">
        <v>1708</v>
      </c>
      <c r="D18" s="11" t="s">
        <v>1694</v>
      </c>
      <c r="E18" s="11" t="s">
        <v>3753</v>
      </c>
      <c r="F18" s="11" t="s">
        <v>3642</v>
      </c>
      <c r="G18" s="24" t="s">
        <v>134</v>
      </c>
      <c r="H18" s="25" t="s">
        <v>119</v>
      </c>
      <c r="I18" s="25" t="s">
        <v>119</v>
      </c>
      <c r="J18" s="12"/>
      <c r="K18" s="31" t="str">
        <f>"250,0"</f>
        <v>250,0</v>
      </c>
      <c r="L18" s="12" t="str">
        <f>"166,3454"</f>
        <v>166,3454</v>
      </c>
      <c r="M18" s="11"/>
    </row>
    <row r="19" spans="1:13">
      <c r="A19" s="14" t="s">
        <v>412</v>
      </c>
      <c r="B19" s="13" t="s">
        <v>2529</v>
      </c>
      <c r="C19" s="13" t="s">
        <v>2530</v>
      </c>
      <c r="D19" s="13" t="s">
        <v>2531</v>
      </c>
      <c r="E19" s="13" t="s">
        <v>3753</v>
      </c>
      <c r="F19" s="13" t="s">
        <v>3623</v>
      </c>
      <c r="G19" s="27" t="s">
        <v>132</v>
      </c>
      <c r="H19" s="27" t="s">
        <v>132</v>
      </c>
      <c r="I19" s="27" t="s">
        <v>132</v>
      </c>
      <c r="J19" s="14"/>
      <c r="K19" s="32">
        <v>0</v>
      </c>
      <c r="L19" s="14" t="str">
        <f>"0,0000"</f>
        <v>0,0000</v>
      </c>
      <c r="M19" s="13" t="s">
        <v>2532</v>
      </c>
    </row>
    <row r="20" spans="1:13">
      <c r="B20" s="5" t="s">
        <v>409</v>
      </c>
    </row>
  </sheetData>
  <mergeCells count="14"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1:J11"/>
    <mergeCell ref="A15:J15"/>
    <mergeCell ref="B3:B4"/>
    <mergeCell ref="K3:K4"/>
    <mergeCell ref="L3:L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M72"/>
  <sheetViews>
    <sheetView topLeftCell="A34" workbookViewId="0">
      <selection activeCell="E56" sqref="E56"/>
    </sheetView>
  </sheetViews>
  <sheetFormatPr baseColWidth="10" defaultColWidth="9.1640625" defaultRowHeight="13"/>
  <cols>
    <col min="1" max="1" width="7.5" style="5" bestFit="1" customWidth="1"/>
    <col min="2" max="2" width="25.16406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23.6640625" style="5" customWidth="1"/>
    <col min="14" max="16384" width="9.1640625" style="3"/>
  </cols>
  <sheetData>
    <row r="1" spans="1:13" s="2" customFormat="1" ht="29" customHeight="1">
      <c r="A1" s="68" t="s">
        <v>3304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55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408</v>
      </c>
      <c r="B6" s="9" t="s">
        <v>1389</v>
      </c>
      <c r="C6" s="9" t="s">
        <v>2449</v>
      </c>
      <c r="D6" s="9" t="s">
        <v>1044</v>
      </c>
      <c r="E6" s="9" t="s">
        <v>3751</v>
      </c>
      <c r="F6" s="9" t="s">
        <v>3509</v>
      </c>
      <c r="G6" s="22" t="s">
        <v>85</v>
      </c>
      <c r="H6" s="22" t="s">
        <v>85</v>
      </c>
      <c r="I6" s="23" t="s">
        <v>85</v>
      </c>
      <c r="J6" s="10"/>
      <c r="K6" s="30" t="str">
        <f>"135,0"</f>
        <v>135,0</v>
      </c>
      <c r="L6" s="10" t="str">
        <f>"123,4575"</f>
        <v>123,4575</v>
      </c>
      <c r="M6" s="9" t="s">
        <v>1380</v>
      </c>
    </row>
    <row r="7" spans="1:13">
      <c r="A7" s="14" t="s">
        <v>408</v>
      </c>
      <c r="B7" s="13" t="s">
        <v>1389</v>
      </c>
      <c r="C7" s="13" t="s">
        <v>1390</v>
      </c>
      <c r="D7" s="13" t="s">
        <v>1044</v>
      </c>
      <c r="E7" s="13" t="s">
        <v>3756</v>
      </c>
      <c r="F7" s="13" t="s">
        <v>3509</v>
      </c>
      <c r="G7" s="27" t="s">
        <v>85</v>
      </c>
      <c r="H7" s="27" t="s">
        <v>85</v>
      </c>
      <c r="I7" s="26" t="s">
        <v>85</v>
      </c>
      <c r="J7" s="14"/>
      <c r="K7" s="32" t="str">
        <f>"135,0"</f>
        <v>135,0</v>
      </c>
      <c r="L7" s="14" t="str">
        <f>"151,2354"</f>
        <v>151,2354</v>
      </c>
      <c r="M7" s="13" t="s">
        <v>1380</v>
      </c>
    </row>
    <row r="8" spans="1:13">
      <c r="B8" s="5" t="s">
        <v>409</v>
      </c>
    </row>
    <row r="9" spans="1:13" ht="16">
      <c r="A9" s="57" t="s">
        <v>55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8" t="s">
        <v>408</v>
      </c>
      <c r="B10" s="7" t="s">
        <v>1394</v>
      </c>
      <c r="C10" s="7" t="s">
        <v>1395</v>
      </c>
      <c r="D10" s="7" t="s">
        <v>964</v>
      </c>
      <c r="E10" s="7" t="s">
        <v>3751</v>
      </c>
      <c r="F10" s="7" t="s">
        <v>3558</v>
      </c>
      <c r="G10" s="20" t="s">
        <v>45</v>
      </c>
      <c r="H10" s="20" t="s">
        <v>25</v>
      </c>
      <c r="I10" s="21" t="s">
        <v>46</v>
      </c>
      <c r="J10" s="8"/>
      <c r="K10" s="29" t="str">
        <f>"145,0"</f>
        <v>145,0</v>
      </c>
      <c r="L10" s="8" t="str">
        <f>"108,9313"</f>
        <v>108,9313</v>
      </c>
      <c r="M10" s="7"/>
    </row>
    <row r="11" spans="1:13">
      <c r="B11" s="5" t="s">
        <v>409</v>
      </c>
    </row>
    <row r="12" spans="1:13" ht="16">
      <c r="A12" s="57" t="s">
        <v>93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10" t="s">
        <v>408</v>
      </c>
      <c r="B13" s="9" t="s">
        <v>2450</v>
      </c>
      <c r="C13" s="9" t="s">
        <v>2451</v>
      </c>
      <c r="D13" s="9" t="s">
        <v>1084</v>
      </c>
      <c r="E13" s="9" t="s">
        <v>3751</v>
      </c>
      <c r="F13" s="9" t="s">
        <v>3602</v>
      </c>
      <c r="G13" s="22" t="s">
        <v>77</v>
      </c>
      <c r="H13" s="23" t="s">
        <v>77</v>
      </c>
      <c r="I13" s="23" t="s">
        <v>84</v>
      </c>
      <c r="J13" s="10"/>
      <c r="K13" s="30" t="str">
        <f>"127,5"</f>
        <v>127,5</v>
      </c>
      <c r="L13" s="10" t="str">
        <f>"91,4494"</f>
        <v>91,4494</v>
      </c>
      <c r="M13" s="9"/>
    </row>
    <row r="14" spans="1:13">
      <c r="A14" s="14" t="s">
        <v>412</v>
      </c>
      <c r="B14" s="13" t="s">
        <v>2452</v>
      </c>
      <c r="C14" s="13" t="s">
        <v>2396</v>
      </c>
      <c r="D14" s="13" t="s">
        <v>1483</v>
      </c>
      <c r="E14" s="13" t="s">
        <v>3751</v>
      </c>
      <c r="F14" s="13" t="s">
        <v>3509</v>
      </c>
      <c r="G14" s="27" t="s">
        <v>71</v>
      </c>
      <c r="H14" s="27" t="s">
        <v>83</v>
      </c>
      <c r="I14" s="27" t="s">
        <v>210</v>
      </c>
      <c r="J14" s="14"/>
      <c r="K14" s="32">
        <v>0</v>
      </c>
      <c r="L14" s="14" t="str">
        <f>"0,0000"</f>
        <v>0,0000</v>
      </c>
      <c r="M14" s="13" t="s">
        <v>3321</v>
      </c>
    </row>
    <row r="15" spans="1:13">
      <c r="B15" s="5" t="s">
        <v>409</v>
      </c>
    </row>
    <row r="16" spans="1:13" ht="16">
      <c r="A16" s="57" t="s">
        <v>62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10" t="s">
        <v>408</v>
      </c>
      <c r="B17" s="9" t="s">
        <v>2453</v>
      </c>
      <c r="C17" s="9" t="s">
        <v>2454</v>
      </c>
      <c r="D17" s="9" t="s">
        <v>651</v>
      </c>
      <c r="E17" s="9" t="s">
        <v>3751</v>
      </c>
      <c r="F17" s="9" t="s">
        <v>3721</v>
      </c>
      <c r="G17" s="22" t="s">
        <v>133</v>
      </c>
      <c r="H17" s="23" t="s">
        <v>133</v>
      </c>
      <c r="I17" s="22" t="s">
        <v>134</v>
      </c>
      <c r="J17" s="10"/>
      <c r="K17" s="30" t="str">
        <f>"240,0"</f>
        <v>240,0</v>
      </c>
      <c r="L17" s="10" t="str">
        <f>"156,4440"</f>
        <v>156,4440</v>
      </c>
      <c r="M17" s="9"/>
    </row>
    <row r="18" spans="1:13">
      <c r="A18" s="12" t="s">
        <v>410</v>
      </c>
      <c r="B18" s="11" t="s">
        <v>2455</v>
      </c>
      <c r="C18" s="11" t="s">
        <v>2456</v>
      </c>
      <c r="D18" s="11" t="s">
        <v>2457</v>
      </c>
      <c r="E18" s="11" t="s">
        <v>3751</v>
      </c>
      <c r="F18" s="11" t="s">
        <v>3722</v>
      </c>
      <c r="G18" s="25" t="s">
        <v>97</v>
      </c>
      <c r="H18" s="24" t="s">
        <v>97</v>
      </c>
      <c r="I18" s="24" t="s">
        <v>317</v>
      </c>
      <c r="J18" s="12"/>
      <c r="K18" s="31" t="str">
        <f>"227,5"</f>
        <v>227,5</v>
      </c>
      <c r="L18" s="12" t="str">
        <f>"149,1604"</f>
        <v>149,1604</v>
      </c>
      <c r="M18" s="11" t="s">
        <v>2458</v>
      </c>
    </row>
    <row r="19" spans="1:13">
      <c r="A19" s="12" t="s">
        <v>411</v>
      </c>
      <c r="B19" s="11" t="s">
        <v>2459</v>
      </c>
      <c r="C19" s="11" t="s">
        <v>2460</v>
      </c>
      <c r="D19" s="11" t="s">
        <v>2461</v>
      </c>
      <c r="E19" s="11" t="s">
        <v>3751</v>
      </c>
      <c r="F19" s="11" t="s">
        <v>3723</v>
      </c>
      <c r="G19" s="25" t="s">
        <v>97</v>
      </c>
      <c r="H19" s="24" t="s">
        <v>289</v>
      </c>
      <c r="I19" s="25" t="s">
        <v>317</v>
      </c>
      <c r="J19" s="12"/>
      <c r="K19" s="31" t="str">
        <f>"222,5"</f>
        <v>222,5</v>
      </c>
      <c r="L19" s="12" t="str">
        <f>"146,7388"</f>
        <v>146,7388</v>
      </c>
      <c r="M19" s="11" t="s">
        <v>2462</v>
      </c>
    </row>
    <row r="20" spans="1:13">
      <c r="A20" s="12" t="s">
        <v>413</v>
      </c>
      <c r="B20" s="11" t="s">
        <v>2463</v>
      </c>
      <c r="C20" s="11" t="s">
        <v>2464</v>
      </c>
      <c r="D20" s="11" t="s">
        <v>1113</v>
      </c>
      <c r="E20" s="11" t="s">
        <v>3751</v>
      </c>
      <c r="F20" s="11" t="s">
        <v>3509</v>
      </c>
      <c r="G20" s="24" t="s">
        <v>83</v>
      </c>
      <c r="H20" s="25" t="s">
        <v>97</v>
      </c>
      <c r="I20" s="25" t="s">
        <v>97</v>
      </c>
      <c r="J20" s="12"/>
      <c r="K20" s="31" t="str">
        <f>"210,0"</f>
        <v>210,0</v>
      </c>
      <c r="L20" s="12" t="str">
        <f>"136,5525"</f>
        <v>136,5525</v>
      </c>
      <c r="M20" s="11"/>
    </row>
    <row r="21" spans="1:13">
      <c r="A21" s="12" t="s">
        <v>414</v>
      </c>
      <c r="B21" s="11" t="s">
        <v>2465</v>
      </c>
      <c r="C21" s="11" t="s">
        <v>2466</v>
      </c>
      <c r="D21" s="11" t="s">
        <v>1102</v>
      </c>
      <c r="E21" s="11" t="s">
        <v>3751</v>
      </c>
      <c r="F21" s="11" t="s">
        <v>75</v>
      </c>
      <c r="G21" s="25" t="s">
        <v>45</v>
      </c>
      <c r="H21" s="24" t="s">
        <v>248</v>
      </c>
      <c r="I21" s="25" t="s">
        <v>25</v>
      </c>
      <c r="J21" s="12"/>
      <c r="K21" s="31" t="str">
        <f>"142,5"</f>
        <v>142,5</v>
      </c>
      <c r="L21" s="12" t="str">
        <f>"93,9004"</f>
        <v>93,9004</v>
      </c>
      <c r="M21" s="11"/>
    </row>
    <row r="22" spans="1:13">
      <c r="A22" s="12" t="s">
        <v>408</v>
      </c>
      <c r="B22" s="11" t="s">
        <v>2459</v>
      </c>
      <c r="C22" s="11" t="s">
        <v>2467</v>
      </c>
      <c r="D22" s="11" t="s">
        <v>2461</v>
      </c>
      <c r="E22" s="11" t="s">
        <v>3753</v>
      </c>
      <c r="F22" s="11" t="s">
        <v>3723</v>
      </c>
      <c r="G22" s="25" t="s">
        <v>97</v>
      </c>
      <c r="H22" s="24" t="s">
        <v>289</v>
      </c>
      <c r="I22" s="25" t="s">
        <v>317</v>
      </c>
      <c r="J22" s="12"/>
      <c r="K22" s="31" t="str">
        <f>"222,5"</f>
        <v>222,5</v>
      </c>
      <c r="L22" s="12" t="str">
        <f>"158,7713"</f>
        <v>158,7713</v>
      </c>
      <c r="M22" s="11" t="s">
        <v>2462</v>
      </c>
    </row>
    <row r="23" spans="1:13">
      <c r="A23" s="14" t="s">
        <v>408</v>
      </c>
      <c r="B23" s="13" t="s">
        <v>2468</v>
      </c>
      <c r="C23" s="13" t="s">
        <v>2469</v>
      </c>
      <c r="D23" s="13" t="s">
        <v>470</v>
      </c>
      <c r="E23" s="13" t="s">
        <v>3753</v>
      </c>
      <c r="F23" s="13" t="s">
        <v>3509</v>
      </c>
      <c r="G23" s="26" t="s">
        <v>35</v>
      </c>
      <c r="H23" s="27" t="s">
        <v>36</v>
      </c>
      <c r="I23" s="27" t="s">
        <v>36</v>
      </c>
      <c r="J23" s="14"/>
      <c r="K23" s="32" t="str">
        <f>"150,0"</f>
        <v>150,0</v>
      </c>
      <c r="L23" s="14" t="str">
        <f>"113,4564"</f>
        <v>113,4564</v>
      </c>
      <c r="M23" s="13" t="s">
        <v>1380</v>
      </c>
    </row>
    <row r="24" spans="1:13">
      <c r="B24" s="5" t="s">
        <v>409</v>
      </c>
    </row>
    <row r="25" spans="1:13" ht="16">
      <c r="A25" s="57" t="s">
        <v>150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3">
      <c r="A26" s="10" t="s">
        <v>408</v>
      </c>
      <c r="B26" s="9" t="s">
        <v>497</v>
      </c>
      <c r="C26" s="9" t="s">
        <v>498</v>
      </c>
      <c r="D26" s="9" t="s">
        <v>179</v>
      </c>
      <c r="E26" s="9" t="s">
        <v>3751</v>
      </c>
      <c r="F26" s="9" t="s">
        <v>3606</v>
      </c>
      <c r="G26" s="23" t="s">
        <v>596</v>
      </c>
      <c r="H26" s="23" t="s">
        <v>66</v>
      </c>
      <c r="I26" s="23" t="s">
        <v>67</v>
      </c>
      <c r="J26" s="10"/>
      <c r="K26" s="30" t="str">
        <f>"205,0"</f>
        <v>205,0</v>
      </c>
      <c r="L26" s="10" t="str">
        <f>"127,0385"</f>
        <v>127,0385</v>
      </c>
      <c r="M26" s="9" t="s">
        <v>3403</v>
      </c>
    </row>
    <row r="27" spans="1:13">
      <c r="A27" s="12" t="s">
        <v>410</v>
      </c>
      <c r="B27" s="11" t="s">
        <v>2470</v>
      </c>
      <c r="C27" s="11" t="s">
        <v>2471</v>
      </c>
      <c r="D27" s="11" t="s">
        <v>1199</v>
      </c>
      <c r="E27" s="11" t="s">
        <v>3751</v>
      </c>
      <c r="F27" s="11" t="s">
        <v>3587</v>
      </c>
      <c r="G27" s="24" t="s">
        <v>29</v>
      </c>
      <c r="H27" s="24" t="s">
        <v>71</v>
      </c>
      <c r="I27" s="25" t="s">
        <v>83</v>
      </c>
      <c r="J27" s="12"/>
      <c r="K27" s="31" t="str">
        <f>"200,0"</f>
        <v>200,0</v>
      </c>
      <c r="L27" s="12" t="str">
        <f>"123,0600"</f>
        <v>123,0600</v>
      </c>
      <c r="M27" s="11" t="s">
        <v>3404</v>
      </c>
    </row>
    <row r="28" spans="1:13">
      <c r="A28" s="12" t="s">
        <v>408</v>
      </c>
      <c r="B28" s="11" t="s">
        <v>2472</v>
      </c>
      <c r="C28" s="11" t="s">
        <v>2473</v>
      </c>
      <c r="D28" s="11" t="s">
        <v>1233</v>
      </c>
      <c r="E28" s="11" t="s">
        <v>3756</v>
      </c>
      <c r="F28" s="11" t="s">
        <v>3508</v>
      </c>
      <c r="G28" s="25" t="s">
        <v>67</v>
      </c>
      <c r="H28" s="25" t="s">
        <v>83</v>
      </c>
      <c r="I28" s="24" t="s">
        <v>83</v>
      </c>
      <c r="J28" s="12"/>
      <c r="K28" s="31" t="str">
        <f>"210,0"</f>
        <v>210,0</v>
      </c>
      <c r="L28" s="12" t="str">
        <f>"165,2267"</f>
        <v>165,2267</v>
      </c>
      <c r="M28" s="11"/>
    </row>
    <row r="29" spans="1:13">
      <c r="A29" s="14" t="s">
        <v>408</v>
      </c>
      <c r="B29" s="13" t="s">
        <v>2474</v>
      </c>
      <c r="C29" s="13" t="s">
        <v>2475</v>
      </c>
      <c r="D29" s="13" t="s">
        <v>1174</v>
      </c>
      <c r="E29" s="13" t="s">
        <v>3757</v>
      </c>
      <c r="F29" s="13" t="s">
        <v>3548</v>
      </c>
      <c r="G29" s="26" t="s">
        <v>71</v>
      </c>
      <c r="H29" s="27" t="s">
        <v>288</v>
      </c>
      <c r="I29" s="27" t="s">
        <v>288</v>
      </c>
      <c r="J29" s="14"/>
      <c r="K29" s="32" t="str">
        <f>"200,0"</f>
        <v>200,0</v>
      </c>
      <c r="L29" s="14" t="str">
        <f>"171,3111"</f>
        <v>171,3111</v>
      </c>
      <c r="M29" s="13"/>
    </row>
    <row r="30" spans="1:13">
      <c r="B30" s="5" t="s">
        <v>409</v>
      </c>
    </row>
    <row r="31" spans="1:13" ht="16">
      <c r="A31" s="57" t="s">
        <v>195</v>
      </c>
      <c r="B31" s="57"/>
      <c r="C31" s="57"/>
      <c r="D31" s="57"/>
      <c r="E31" s="57"/>
      <c r="F31" s="57"/>
      <c r="G31" s="57"/>
      <c r="H31" s="57"/>
      <c r="I31" s="57"/>
      <c r="J31" s="57"/>
    </row>
    <row r="32" spans="1:13">
      <c r="A32" s="10" t="s">
        <v>408</v>
      </c>
      <c r="B32" s="9" t="s">
        <v>2476</v>
      </c>
      <c r="C32" s="9" t="s">
        <v>2477</v>
      </c>
      <c r="D32" s="9" t="s">
        <v>1256</v>
      </c>
      <c r="E32" s="9" t="s">
        <v>3751</v>
      </c>
      <c r="F32" s="9" t="s">
        <v>3724</v>
      </c>
      <c r="G32" s="23" t="s">
        <v>205</v>
      </c>
      <c r="H32" s="23" t="s">
        <v>182</v>
      </c>
      <c r="I32" s="23" t="s">
        <v>120</v>
      </c>
      <c r="J32" s="10"/>
      <c r="K32" s="30" t="str">
        <f>"270,0"</f>
        <v>270,0</v>
      </c>
      <c r="L32" s="10" t="str">
        <f>"158,3955"</f>
        <v>158,3955</v>
      </c>
      <c r="M32" s="9"/>
    </row>
    <row r="33" spans="1:13">
      <c r="A33" s="12" t="s">
        <v>410</v>
      </c>
      <c r="B33" s="11" t="s">
        <v>1426</v>
      </c>
      <c r="C33" s="11" t="s">
        <v>2478</v>
      </c>
      <c r="D33" s="11" t="s">
        <v>1428</v>
      </c>
      <c r="E33" s="11" t="s">
        <v>3751</v>
      </c>
      <c r="F33" s="11" t="s">
        <v>3552</v>
      </c>
      <c r="G33" s="24" t="s">
        <v>97</v>
      </c>
      <c r="H33" s="25" t="s">
        <v>87</v>
      </c>
      <c r="I33" s="24" t="s">
        <v>1429</v>
      </c>
      <c r="J33" s="12"/>
      <c r="K33" s="31" t="str">
        <f>"238,0"</f>
        <v>238,0</v>
      </c>
      <c r="L33" s="12" t="str">
        <f>"142,9547"</f>
        <v>142,9547</v>
      </c>
      <c r="M33" s="11" t="s">
        <v>3231</v>
      </c>
    </row>
    <row r="34" spans="1:13">
      <c r="A34" s="12" t="s">
        <v>408</v>
      </c>
      <c r="B34" s="11" t="s">
        <v>2479</v>
      </c>
      <c r="C34" s="11" t="s">
        <v>2480</v>
      </c>
      <c r="D34" s="11" t="s">
        <v>234</v>
      </c>
      <c r="E34" s="11" t="s">
        <v>3753</v>
      </c>
      <c r="F34" s="11" t="s">
        <v>3725</v>
      </c>
      <c r="G34" s="24" t="s">
        <v>71</v>
      </c>
      <c r="H34" s="25" t="s">
        <v>210</v>
      </c>
      <c r="I34" s="25" t="s">
        <v>210</v>
      </c>
      <c r="J34" s="12"/>
      <c r="K34" s="31" t="str">
        <f>"200,0"</f>
        <v>200,0</v>
      </c>
      <c r="L34" s="12" t="str">
        <f>"127,5372"</f>
        <v>127,5372</v>
      </c>
      <c r="M34" s="11" t="s">
        <v>2481</v>
      </c>
    </row>
    <row r="35" spans="1:13">
      <c r="A35" s="12" t="s">
        <v>410</v>
      </c>
      <c r="B35" s="11" t="s">
        <v>2482</v>
      </c>
      <c r="C35" s="11" t="s">
        <v>2483</v>
      </c>
      <c r="D35" s="11" t="s">
        <v>2484</v>
      </c>
      <c r="E35" s="11" t="s">
        <v>3753</v>
      </c>
      <c r="F35" s="11" t="s">
        <v>2485</v>
      </c>
      <c r="G35" s="24" t="s">
        <v>45</v>
      </c>
      <c r="H35" s="24" t="s">
        <v>35</v>
      </c>
      <c r="I35" s="25" t="s">
        <v>37</v>
      </c>
      <c r="J35" s="12"/>
      <c r="K35" s="31" t="str">
        <f>"150,0"</f>
        <v>150,0</v>
      </c>
      <c r="L35" s="12" t="str">
        <f>"96,1369"</f>
        <v>96,1369</v>
      </c>
      <c r="M35" s="11"/>
    </row>
    <row r="36" spans="1:13">
      <c r="A36" s="12" t="s">
        <v>408</v>
      </c>
      <c r="B36" s="11" t="s">
        <v>1426</v>
      </c>
      <c r="C36" s="11" t="s">
        <v>1427</v>
      </c>
      <c r="D36" s="11" t="s">
        <v>1428</v>
      </c>
      <c r="E36" s="11" t="s">
        <v>3756</v>
      </c>
      <c r="F36" s="11" t="s">
        <v>3552</v>
      </c>
      <c r="G36" s="24" t="s">
        <v>97</v>
      </c>
      <c r="H36" s="25" t="s">
        <v>87</v>
      </c>
      <c r="I36" s="24" t="s">
        <v>1429</v>
      </c>
      <c r="J36" s="12"/>
      <c r="K36" s="31" t="str">
        <f>"238,0"</f>
        <v>238,0</v>
      </c>
      <c r="L36" s="12" t="str">
        <f>"172,1175"</f>
        <v>172,1175</v>
      </c>
      <c r="M36" s="11" t="s">
        <v>3231</v>
      </c>
    </row>
    <row r="37" spans="1:13">
      <c r="A37" s="12" t="s">
        <v>410</v>
      </c>
      <c r="B37" s="11" t="s">
        <v>3401</v>
      </c>
      <c r="C37" s="11" t="s">
        <v>2486</v>
      </c>
      <c r="D37" s="11" t="s">
        <v>2309</v>
      </c>
      <c r="E37" s="11" t="s">
        <v>3756</v>
      </c>
      <c r="F37" s="11" t="s">
        <v>461</v>
      </c>
      <c r="G37" s="24" t="s">
        <v>37</v>
      </c>
      <c r="H37" s="25" t="s">
        <v>71</v>
      </c>
      <c r="I37" s="25" t="s">
        <v>71</v>
      </c>
      <c r="J37" s="12"/>
      <c r="K37" s="31" t="str">
        <f>"170,0"</f>
        <v>170,0</v>
      </c>
      <c r="L37" s="12" t="str">
        <f>"115,5721"</f>
        <v>115,5721</v>
      </c>
      <c r="M37" s="11" t="s">
        <v>146</v>
      </c>
    </row>
    <row r="38" spans="1:13">
      <c r="A38" s="14" t="s">
        <v>408</v>
      </c>
      <c r="B38" s="13" t="s">
        <v>2487</v>
      </c>
      <c r="C38" s="13" t="s">
        <v>2488</v>
      </c>
      <c r="D38" s="13" t="s">
        <v>2489</v>
      </c>
      <c r="E38" s="13" t="s">
        <v>3758</v>
      </c>
      <c r="F38" s="13" t="s">
        <v>3509</v>
      </c>
      <c r="G38" s="26" t="s">
        <v>35</v>
      </c>
      <c r="H38" s="27" t="s">
        <v>36</v>
      </c>
      <c r="I38" s="27" t="s">
        <v>36</v>
      </c>
      <c r="J38" s="14"/>
      <c r="K38" s="32" t="str">
        <f>"150,0"</f>
        <v>150,0</v>
      </c>
      <c r="L38" s="14" t="str">
        <f>"150,2584"</f>
        <v>150,2584</v>
      </c>
      <c r="M38" s="13"/>
    </row>
    <row r="39" spans="1:13">
      <c r="B39" s="5" t="s">
        <v>409</v>
      </c>
    </row>
    <row r="40" spans="1:13" ht="16">
      <c r="A40" s="57" t="s">
        <v>258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3">
      <c r="A41" s="10" t="s">
        <v>408</v>
      </c>
      <c r="B41" s="9" t="s">
        <v>2490</v>
      </c>
      <c r="C41" s="9" t="s">
        <v>2491</v>
      </c>
      <c r="D41" s="9" t="s">
        <v>539</v>
      </c>
      <c r="E41" s="9" t="s">
        <v>3751</v>
      </c>
      <c r="F41" s="9" t="s">
        <v>3666</v>
      </c>
      <c r="G41" s="23" t="s">
        <v>134</v>
      </c>
      <c r="H41" s="23" t="s">
        <v>119</v>
      </c>
      <c r="I41" s="23" t="s">
        <v>120</v>
      </c>
      <c r="J41" s="10"/>
      <c r="K41" s="30" t="str">
        <f>"270,0"</f>
        <v>270,0</v>
      </c>
      <c r="L41" s="10" t="str">
        <f>"153,3870"</f>
        <v>153,3870</v>
      </c>
      <c r="M41" s="9" t="s">
        <v>2492</v>
      </c>
    </row>
    <row r="42" spans="1:13">
      <c r="A42" s="12" t="s">
        <v>410</v>
      </c>
      <c r="B42" s="11" t="s">
        <v>2493</v>
      </c>
      <c r="C42" s="11" t="s">
        <v>2494</v>
      </c>
      <c r="D42" s="11" t="s">
        <v>273</v>
      </c>
      <c r="E42" s="11" t="s">
        <v>3751</v>
      </c>
      <c r="F42" s="11" t="s">
        <v>3548</v>
      </c>
      <c r="G42" s="24" t="s">
        <v>154</v>
      </c>
      <c r="H42" s="24" t="s">
        <v>205</v>
      </c>
      <c r="I42" s="25" t="s">
        <v>120</v>
      </c>
      <c r="J42" s="12"/>
      <c r="K42" s="31" t="str">
        <f>"255,0"</f>
        <v>255,0</v>
      </c>
      <c r="L42" s="12" t="str">
        <f>"144,3555"</f>
        <v>144,3555</v>
      </c>
      <c r="M42" s="11"/>
    </row>
    <row r="43" spans="1:13">
      <c r="A43" s="12" t="s">
        <v>411</v>
      </c>
      <c r="B43" s="11" t="s">
        <v>2495</v>
      </c>
      <c r="C43" s="11" t="s">
        <v>2496</v>
      </c>
      <c r="D43" s="11" t="s">
        <v>770</v>
      </c>
      <c r="E43" s="11" t="s">
        <v>3751</v>
      </c>
      <c r="F43" s="11" t="s">
        <v>3648</v>
      </c>
      <c r="G43" s="25" t="s">
        <v>97</v>
      </c>
      <c r="H43" s="24" t="s">
        <v>86</v>
      </c>
      <c r="I43" s="24" t="s">
        <v>99</v>
      </c>
      <c r="J43" s="24" t="s">
        <v>133</v>
      </c>
      <c r="K43" s="31" t="str">
        <f>"237,5"</f>
        <v>237,5</v>
      </c>
      <c r="L43" s="12" t="str">
        <f>"133,6294"</f>
        <v>133,6294</v>
      </c>
      <c r="M43" s="11"/>
    </row>
    <row r="44" spans="1:13">
      <c r="A44" s="12" t="s">
        <v>412</v>
      </c>
      <c r="B44" s="11" t="s">
        <v>3391</v>
      </c>
      <c r="C44" s="11" t="s">
        <v>2498</v>
      </c>
      <c r="D44" s="11" t="s">
        <v>1711</v>
      </c>
      <c r="E44" s="11" t="s">
        <v>3751</v>
      </c>
      <c r="F44" s="11" t="s">
        <v>199</v>
      </c>
      <c r="G44" s="25" t="s">
        <v>134</v>
      </c>
      <c r="H44" s="25" t="s">
        <v>134</v>
      </c>
      <c r="I44" s="12"/>
      <c r="J44" s="12"/>
      <c r="K44" s="31">
        <v>0</v>
      </c>
      <c r="L44" s="12" t="str">
        <f>"0,0000"</f>
        <v>0,0000</v>
      </c>
      <c r="M44" s="11"/>
    </row>
    <row r="45" spans="1:13">
      <c r="A45" s="12" t="s">
        <v>408</v>
      </c>
      <c r="B45" s="11" t="s">
        <v>2495</v>
      </c>
      <c r="C45" s="11" t="s">
        <v>2499</v>
      </c>
      <c r="D45" s="11" t="s">
        <v>770</v>
      </c>
      <c r="E45" s="11" t="s">
        <v>3756</v>
      </c>
      <c r="F45" s="11" t="s">
        <v>3648</v>
      </c>
      <c r="G45" s="25" t="s">
        <v>97</v>
      </c>
      <c r="H45" s="24" t="s">
        <v>86</v>
      </c>
      <c r="I45" s="24" t="s">
        <v>99</v>
      </c>
      <c r="J45" s="24" t="s">
        <v>133</v>
      </c>
      <c r="K45" s="31" t="str">
        <f>"237,5"</f>
        <v>237,5</v>
      </c>
      <c r="L45" s="12" t="str">
        <f>"158,2172"</f>
        <v>158,2172</v>
      </c>
      <c r="M45" s="11"/>
    </row>
    <row r="46" spans="1:13">
      <c r="A46" s="12" t="s">
        <v>410</v>
      </c>
      <c r="B46" s="11" t="s">
        <v>1440</v>
      </c>
      <c r="C46" s="11" t="s">
        <v>1441</v>
      </c>
      <c r="D46" s="11" t="s">
        <v>1442</v>
      </c>
      <c r="E46" s="11" t="s">
        <v>3756</v>
      </c>
      <c r="F46" s="11" t="s">
        <v>3509</v>
      </c>
      <c r="G46" s="24" t="s">
        <v>35</v>
      </c>
      <c r="H46" s="12"/>
      <c r="I46" s="12"/>
      <c r="J46" s="12"/>
      <c r="K46" s="31" t="str">
        <f>"150,0"</f>
        <v>150,0</v>
      </c>
      <c r="L46" s="12" t="str">
        <f>"111,7717"</f>
        <v>111,7717</v>
      </c>
      <c r="M46" s="11"/>
    </row>
    <row r="47" spans="1:13">
      <c r="A47" s="14" t="s">
        <v>412</v>
      </c>
      <c r="B47" s="13" t="s">
        <v>2500</v>
      </c>
      <c r="C47" s="13" t="s">
        <v>2501</v>
      </c>
      <c r="D47" s="13" t="s">
        <v>270</v>
      </c>
      <c r="E47" s="13" t="s">
        <v>3756</v>
      </c>
      <c r="F47" s="13" t="s">
        <v>3509</v>
      </c>
      <c r="G47" s="27" t="s">
        <v>67</v>
      </c>
      <c r="H47" s="27" t="s">
        <v>67</v>
      </c>
      <c r="I47" s="27" t="s">
        <v>68</v>
      </c>
      <c r="J47" s="14"/>
      <c r="K47" s="32">
        <v>0</v>
      </c>
      <c r="L47" s="14" t="str">
        <f>"0,0000"</f>
        <v>0,0000</v>
      </c>
      <c r="M47" s="13"/>
    </row>
    <row r="48" spans="1:13">
      <c r="B48" s="5" t="s">
        <v>409</v>
      </c>
    </row>
    <row r="49" spans="1:13" ht="16">
      <c r="A49" s="57" t="s">
        <v>280</v>
      </c>
      <c r="B49" s="57"/>
      <c r="C49" s="57"/>
      <c r="D49" s="57"/>
      <c r="E49" s="57"/>
      <c r="F49" s="57"/>
      <c r="G49" s="57"/>
      <c r="H49" s="57"/>
      <c r="I49" s="57"/>
      <c r="J49" s="57"/>
    </row>
    <row r="50" spans="1:13">
      <c r="A50" s="10" t="s">
        <v>408</v>
      </c>
      <c r="B50" s="9" t="s">
        <v>3402</v>
      </c>
      <c r="C50" s="9" t="s">
        <v>2503</v>
      </c>
      <c r="D50" s="9" t="s">
        <v>2504</v>
      </c>
      <c r="E50" s="9" t="s">
        <v>3751</v>
      </c>
      <c r="F50" s="9" t="s">
        <v>2505</v>
      </c>
      <c r="G50" s="23" t="s">
        <v>121</v>
      </c>
      <c r="H50" s="22" t="s">
        <v>128</v>
      </c>
      <c r="I50" s="23" t="s">
        <v>128</v>
      </c>
      <c r="J50" s="22" t="s">
        <v>2506</v>
      </c>
      <c r="K50" s="30" t="str">
        <f>"300,0"</f>
        <v>300,0</v>
      </c>
      <c r="L50" s="10" t="str">
        <f>"163,8750"</f>
        <v>163,8750</v>
      </c>
      <c r="M50" s="9" t="s">
        <v>2507</v>
      </c>
    </row>
    <row r="51" spans="1:13">
      <c r="A51" s="12" t="s">
        <v>410</v>
      </c>
      <c r="B51" s="11" t="s">
        <v>2508</v>
      </c>
      <c r="C51" s="11" t="s">
        <v>2509</v>
      </c>
      <c r="D51" s="11" t="s">
        <v>301</v>
      </c>
      <c r="E51" s="11" t="s">
        <v>3751</v>
      </c>
      <c r="F51" s="11" t="s">
        <v>3392</v>
      </c>
      <c r="G51" s="24" t="s">
        <v>134</v>
      </c>
      <c r="H51" s="24" t="s">
        <v>169</v>
      </c>
      <c r="I51" s="24" t="s">
        <v>767</v>
      </c>
      <c r="J51" s="12"/>
      <c r="K51" s="31" t="str">
        <f>"287,5"</f>
        <v>287,5</v>
      </c>
      <c r="L51" s="12" t="str">
        <f>"156,9462"</f>
        <v>156,9462</v>
      </c>
      <c r="M51" s="11" t="s">
        <v>785</v>
      </c>
    </row>
    <row r="52" spans="1:13">
      <c r="A52" s="12" t="s">
        <v>411</v>
      </c>
      <c r="B52" s="11" t="s">
        <v>2388</v>
      </c>
      <c r="C52" s="11" t="s">
        <v>2389</v>
      </c>
      <c r="D52" s="11" t="s">
        <v>2390</v>
      </c>
      <c r="E52" s="11" t="s">
        <v>3751</v>
      </c>
      <c r="F52" s="11" t="s">
        <v>3630</v>
      </c>
      <c r="G52" s="24" t="s">
        <v>120</v>
      </c>
      <c r="H52" s="24" t="s">
        <v>111</v>
      </c>
      <c r="I52" s="25" t="s">
        <v>114</v>
      </c>
      <c r="J52" s="12"/>
      <c r="K52" s="31" t="str">
        <f>"285,0"</f>
        <v>285,0</v>
      </c>
      <c r="L52" s="12" t="str">
        <f>"155,6528"</f>
        <v>155,6528</v>
      </c>
      <c r="M52" s="11" t="s">
        <v>2391</v>
      </c>
    </row>
    <row r="53" spans="1:13">
      <c r="A53" s="12" t="s">
        <v>413</v>
      </c>
      <c r="B53" s="11" t="s">
        <v>2510</v>
      </c>
      <c r="C53" s="11" t="s">
        <v>1083</v>
      </c>
      <c r="D53" s="11" t="s">
        <v>2511</v>
      </c>
      <c r="E53" s="11" t="s">
        <v>3751</v>
      </c>
      <c r="F53" s="11" t="s">
        <v>3639</v>
      </c>
      <c r="G53" s="25" t="s">
        <v>133</v>
      </c>
      <c r="H53" s="25" t="s">
        <v>133</v>
      </c>
      <c r="I53" s="24" t="s">
        <v>170</v>
      </c>
      <c r="J53" s="12"/>
      <c r="K53" s="31" t="str">
        <f>"262,5"</f>
        <v>262,5</v>
      </c>
      <c r="L53" s="12" t="str">
        <f>"143,4825"</f>
        <v>143,4825</v>
      </c>
      <c r="M53" s="11"/>
    </row>
    <row r="54" spans="1:13">
      <c r="A54" s="12" t="s">
        <v>408</v>
      </c>
      <c r="B54" s="11" t="s">
        <v>2508</v>
      </c>
      <c r="C54" s="11" t="s">
        <v>2512</v>
      </c>
      <c r="D54" s="11" t="s">
        <v>301</v>
      </c>
      <c r="E54" s="11" t="s">
        <v>3753</v>
      </c>
      <c r="F54" s="11" t="s">
        <v>3392</v>
      </c>
      <c r="G54" s="24" t="s">
        <v>134</v>
      </c>
      <c r="H54" s="24" t="s">
        <v>169</v>
      </c>
      <c r="I54" s="24" t="s">
        <v>767</v>
      </c>
      <c r="J54" s="12"/>
      <c r="K54" s="31" t="str">
        <f>"287,5"</f>
        <v>287,5</v>
      </c>
      <c r="L54" s="12" t="str">
        <f>"156,9462"</f>
        <v>156,9462</v>
      </c>
      <c r="M54" s="11" t="s">
        <v>785</v>
      </c>
    </row>
    <row r="55" spans="1:13">
      <c r="A55" s="14" t="s">
        <v>408</v>
      </c>
      <c r="B55" s="13" t="s">
        <v>3402</v>
      </c>
      <c r="C55" s="13" t="s">
        <v>2513</v>
      </c>
      <c r="D55" s="13" t="s">
        <v>2504</v>
      </c>
      <c r="E55" s="13" t="s">
        <v>3756</v>
      </c>
      <c r="F55" s="13" t="s">
        <v>2505</v>
      </c>
      <c r="G55" s="26" t="s">
        <v>121</v>
      </c>
      <c r="H55" s="27" t="s">
        <v>128</v>
      </c>
      <c r="I55" s="26" t="s">
        <v>128</v>
      </c>
      <c r="J55" s="27" t="s">
        <v>2506</v>
      </c>
      <c r="K55" s="32" t="str">
        <f>"300,0"</f>
        <v>300,0</v>
      </c>
      <c r="L55" s="14" t="str">
        <f>"185,1787"</f>
        <v>185,1787</v>
      </c>
      <c r="M55" s="13" t="s">
        <v>2507</v>
      </c>
    </row>
    <row r="56" spans="1:13">
      <c r="B56" s="5" t="s">
        <v>409</v>
      </c>
    </row>
    <row r="57" spans="1:13">
      <c r="B57" s="5" t="s">
        <v>409</v>
      </c>
    </row>
    <row r="58" spans="1:13">
      <c r="B58" s="5" t="s">
        <v>409</v>
      </c>
    </row>
    <row r="59" spans="1:13" ht="18">
      <c r="B59" s="15" t="s">
        <v>365</v>
      </c>
      <c r="C59" s="15"/>
      <c r="F59" s="3"/>
    </row>
    <row r="60" spans="1:13" ht="16">
      <c r="B60" s="16" t="s">
        <v>385</v>
      </c>
      <c r="C60" s="16"/>
      <c r="F60" s="3"/>
    </row>
    <row r="61" spans="1:13" ht="14">
      <c r="B61" s="17"/>
      <c r="C61" s="18" t="s">
        <v>367</v>
      </c>
      <c r="F61" s="3"/>
    </row>
    <row r="62" spans="1:13" ht="14">
      <c r="B62" s="19" t="s">
        <v>368</v>
      </c>
      <c r="C62" s="19" t="s">
        <v>369</v>
      </c>
      <c r="D62" s="19" t="s">
        <v>3230</v>
      </c>
      <c r="E62" s="19" t="s">
        <v>1456</v>
      </c>
      <c r="F62" s="19" t="s">
        <v>1457</v>
      </c>
    </row>
    <row r="63" spans="1:13">
      <c r="B63" s="5" t="s">
        <v>2502</v>
      </c>
      <c r="C63" s="5" t="s">
        <v>367</v>
      </c>
      <c r="D63" s="6" t="s">
        <v>397</v>
      </c>
      <c r="E63" s="6" t="s">
        <v>128</v>
      </c>
      <c r="F63" s="6" t="s">
        <v>2514</v>
      </c>
    </row>
    <row r="64" spans="1:13">
      <c r="B64" s="5" t="s">
        <v>2476</v>
      </c>
      <c r="C64" s="5" t="s">
        <v>367</v>
      </c>
      <c r="D64" s="6" t="s">
        <v>390</v>
      </c>
      <c r="E64" s="6" t="s">
        <v>120</v>
      </c>
      <c r="F64" s="6" t="s">
        <v>2515</v>
      </c>
    </row>
    <row r="65" spans="2:6">
      <c r="B65" s="5" t="s">
        <v>2508</v>
      </c>
      <c r="C65" s="5" t="s">
        <v>367</v>
      </c>
      <c r="D65" s="6" t="s">
        <v>397</v>
      </c>
      <c r="E65" s="6" t="s">
        <v>767</v>
      </c>
      <c r="F65" s="6" t="s">
        <v>2516</v>
      </c>
    </row>
    <row r="67" spans="2:6" ht="14">
      <c r="B67" s="17"/>
      <c r="C67" s="18" t="s">
        <v>382</v>
      </c>
    </row>
    <row r="68" spans="2:6" ht="14">
      <c r="B68" s="19" t="s">
        <v>368</v>
      </c>
      <c r="C68" s="19" t="s">
        <v>369</v>
      </c>
      <c r="D68" s="19" t="s">
        <v>3230</v>
      </c>
      <c r="E68" s="19" t="s">
        <v>1456</v>
      </c>
      <c r="F68" s="19" t="s">
        <v>1457</v>
      </c>
    </row>
    <row r="69" spans="2:6">
      <c r="B69" s="5" t="s">
        <v>2502</v>
      </c>
      <c r="C69" s="5" t="s">
        <v>1358</v>
      </c>
      <c r="D69" s="6" t="s">
        <v>397</v>
      </c>
      <c r="E69" s="6" t="s">
        <v>128</v>
      </c>
      <c r="F69" s="6" t="s">
        <v>2517</v>
      </c>
    </row>
    <row r="70" spans="2:6">
      <c r="B70" s="5" t="s">
        <v>1426</v>
      </c>
      <c r="C70" s="5" t="s">
        <v>1358</v>
      </c>
      <c r="D70" s="6" t="s">
        <v>390</v>
      </c>
      <c r="E70" s="6" t="s">
        <v>1429</v>
      </c>
      <c r="F70" s="6" t="s">
        <v>1461</v>
      </c>
    </row>
    <row r="71" spans="2:6">
      <c r="B71" s="5" t="s">
        <v>2474</v>
      </c>
      <c r="C71" s="5" t="s">
        <v>403</v>
      </c>
      <c r="D71" s="6" t="s">
        <v>394</v>
      </c>
      <c r="E71" s="6" t="s">
        <v>71</v>
      </c>
      <c r="F71" s="6" t="s">
        <v>2518</v>
      </c>
    </row>
    <row r="72" spans="2:6">
      <c r="B72" s="5" t="s">
        <v>409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9:J49"/>
    <mergeCell ref="B3:B4"/>
    <mergeCell ref="A9:J9"/>
    <mergeCell ref="A12:J12"/>
    <mergeCell ref="A16:J16"/>
    <mergeCell ref="A25:J25"/>
    <mergeCell ref="A31:J31"/>
    <mergeCell ref="A40:J4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73"/>
  <sheetViews>
    <sheetView topLeftCell="A39" workbookViewId="0">
      <selection activeCell="E64" sqref="E64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68" t="s">
        <v>3307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851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1374</v>
      </c>
      <c r="C6" s="7" t="s">
        <v>1375</v>
      </c>
      <c r="D6" s="7" t="s">
        <v>1376</v>
      </c>
      <c r="E6" s="7" t="s">
        <v>3751</v>
      </c>
      <c r="F6" s="7" t="s">
        <v>3509</v>
      </c>
      <c r="G6" s="20" t="s">
        <v>54</v>
      </c>
      <c r="H6" s="20" t="s">
        <v>78</v>
      </c>
      <c r="I6" s="21" t="s">
        <v>76</v>
      </c>
      <c r="J6" s="8"/>
      <c r="K6" s="29" t="str">
        <f>"115,0"</f>
        <v>115,0</v>
      </c>
      <c r="L6" s="8" t="str">
        <f>"136,6660"</f>
        <v>136,6660</v>
      </c>
      <c r="M6" s="7" t="s">
        <v>1377</v>
      </c>
    </row>
    <row r="7" spans="1:13">
      <c r="B7" s="5" t="s">
        <v>409</v>
      </c>
    </row>
    <row r="8" spans="1:13" ht="16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0" t="s">
        <v>408</v>
      </c>
      <c r="B9" s="9" t="s">
        <v>1378</v>
      </c>
      <c r="C9" s="9" t="s">
        <v>1379</v>
      </c>
      <c r="D9" s="9" t="s">
        <v>34</v>
      </c>
      <c r="E9" s="9" t="s">
        <v>3751</v>
      </c>
      <c r="F9" s="9" t="s">
        <v>3509</v>
      </c>
      <c r="G9" s="23" t="s">
        <v>76</v>
      </c>
      <c r="H9" s="23" t="s">
        <v>132</v>
      </c>
      <c r="I9" s="22" t="s">
        <v>85</v>
      </c>
      <c r="J9" s="10"/>
      <c r="K9" s="30" t="str">
        <f>"130,0"</f>
        <v>130,0</v>
      </c>
      <c r="L9" s="10" t="str">
        <f>"128,3880"</f>
        <v>128,3880</v>
      </c>
      <c r="M9" s="9" t="s">
        <v>1380</v>
      </c>
    </row>
    <row r="10" spans="1:13">
      <c r="A10" s="14" t="s">
        <v>408</v>
      </c>
      <c r="B10" s="13" t="s">
        <v>1378</v>
      </c>
      <c r="C10" s="13" t="s">
        <v>1381</v>
      </c>
      <c r="D10" s="13" t="s">
        <v>34</v>
      </c>
      <c r="E10" s="13" t="s">
        <v>3753</v>
      </c>
      <c r="F10" s="13" t="s">
        <v>3509</v>
      </c>
      <c r="G10" s="26" t="s">
        <v>76</v>
      </c>
      <c r="H10" s="26" t="s">
        <v>132</v>
      </c>
      <c r="I10" s="27" t="s">
        <v>85</v>
      </c>
      <c r="J10" s="14"/>
      <c r="K10" s="32" t="str">
        <f>"130,0"</f>
        <v>130,0</v>
      </c>
      <c r="L10" s="14" t="str">
        <f>"132,3680"</f>
        <v>132,3680</v>
      </c>
      <c r="M10" s="13" t="s">
        <v>1380</v>
      </c>
    </row>
    <row r="11" spans="1:13">
      <c r="B11" s="5" t="s">
        <v>409</v>
      </c>
    </row>
    <row r="12" spans="1:13" ht="16">
      <c r="A12" s="57" t="s">
        <v>55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10" t="s">
        <v>408</v>
      </c>
      <c r="B13" s="9" t="s">
        <v>1382</v>
      </c>
      <c r="C13" s="9" t="s">
        <v>1383</v>
      </c>
      <c r="D13" s="9" t="s">
        <v>1384</v>
      </c>
      <c r="E13" s="9" t="s">
        <v>3751</v>
      </c>
      <c r="F13" s="9" t="s">
        <v>3646</v>
      </c>
      <c r="G13" s="23" t="s">
        <v>28</v>
      </c>
      <c r="H13" s="22" t="s">
        <v>29</v>
      </c>
      <c r="I13" s="23" t="s">
        <v>70</v>
      </c>
      <c r="J13" s="10"/>
      <c r="K13" s="30" t="str">
        <f>"190,0"</f>
        <v>190,0</v>
      </c>
      <c r="L13" s="10" t="str">
        <f>"174,3820"</f>
        <v>174,3820</v>
      </c>
      <c r="M13" s="9" t="s">
        <v>1385</v>
      </c>
    </row>
    <row r="14" spans="1:13">
      <c r="A14" s="12" t="s">
        <v>410</v>
      </c>
      <c r="B14" s="11" t="s">
        <v>1386</v>
      </c>
      <c r="C14" s="11" t="s">
        <v>1387</v>
      </c>
      <c r="D14" s="11" t="s">
        <v>631</v>
      </c>
      <c r="E14" s="11" t="s">
        <v>3751</v>
      </c>
      <c r="F14" s="11" t="s">
        <v>3562</v>
      </c>
      <c r="G14" s="25" t="s">
        <v>106</v>
      </c>
      <c r="H14" s="24" t="s">
        <v>106</v>
      </c>
      <c r="I14" s="25" t="s">
        <v>78</v>
      </c>
      <c r="J14" s="12"/>
      <c r="K14" s="31" t="str">
        <f>"110,0"</f>
        <v>110,0</v>
      </c>
      <c r="L14" s="12" t="str">
        <f>"100,7160"</f>
        <v>100,7160</v>
      </c>
      <c r="M14" s="11" t="s">
        <v>3457</v>
      </c>
    </row>
    <row r="15" spans="1:13">
      <c r="A15" s="12" t="s">
        <v>408</v>
      </c>
      <c r="B15" s="11" t="s">
        <v>1382</v>
      </c>
      <c r="C15" s="11" t="s">
        <v>1388</v>
      </c>
      <c r="D15" s="11" t="s">
        <v>1384</v>
      </c>
      <c r="E15" s="11" t="s">
        <v>3756</v>
      </c>
      <c r="F15" s="11" t="s">
        <v>3646</v>
      </c>
      <c r="G15" s="24" t="s">
        <v>28</v>
      </c>
      <c r="H15" s="25" t="s">
        <v>29</v>
      </c>
      <c r="I15" s="24" t="s">
        <v>70</v>
      </c>
      <c r="J15" s="12"/>
      <c r="K15" s="31" t="str">
        <f>"190,0"</f>
        <v>190,0</v>
      </c>
      <c r="L15" s="12" t="str">
        <f>"197,0517"</f>
        <v>197,0517</v>
      </c>
      <c r="M15" s="11" t="s">
        <v>1385</v>
      </c>
    </row>
    <row r="16" spans="1:13">
      <c r="A16" s="14" t="s">
        <v>410</v>
      </c>
      <c r="B16" s="13" t="s">
        <v>1389</v>
      </c>
      <c r="C16" s="13" t="s">
        <v>1390</v>
      </c>
      <c r="D16" s="13" t="s">
        <v>1044</v>
      </c>
      <c r="E16" s="13" t="s">
        <v>3756</v>
      </c>
      <c r="F16" s="13" t="s">
        <v>3509</v>
      </c>
      <c r="G16" s="27" t="s">
        <v>85</v>
      </c>
      <c r="H16" s="27" t="s">
        <v>85</v>
      </c>
      <c r="I16" s="26" t="s">
        <v>85</v>
      </c>
      <c r="J16" s="14"/>
      <c r="K16" s="32" t="str">
        <f>"135,0"</f>
        <v>135,0</v>
      </c>
      <c r="L16" s="14" t="str">
        <f>"151,2354"</f>
        <v>151,2354</v>
      </c>
      <c r="M16" s="13" t="s">
        <v>1380</v>
      </c>
    </row>
    <row r="17" spans="1:13">
      <c r="B17" s="5" t="s">
        <v>409</v>
      </c>
    </row>
    <row r="18" spans="1:13" ht="16">
      <c r="A18" s="57" t="s">
        <v>93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3">
      <c r="A19" s="8" t="s">
        <v>408</v>
      </c>
      <c r="B19" s="7" t="s">
        <v>1391</v>
      </c>
      <c r="C19" s="7" t="s">
        <v>1392</v>
      </c>
      <c r="D19" s="7" t="s">
        <v>1393</v>
      </c>
      <c r="E19" s="7" t="s">
        <v>3756</v>
      </c>
      <c r="F19" s="7" t="s">
        <v>3611</v>
      </c>
      <c r="G19" s="20" t="s">
        <v>25</v>
      </c>
      <c r="H19" s="21" t="s">
        <v>35</v>
      </c>
      <c r="I19" s="21" t="s">
        <v>35</v>
      </c>
      <c r="J19" s="8"/>
      <c r="K19" s="29" t="str">
        <f>"145,0"</f>
        <v>145,0</v>
      </c>
      <c r="L19" s="8" t="str">
        <f>"166,6213"</f>
        <v>166,6213</v>
      </c>
      <c r="M19" s="7"/>
    </row>
    <row r="20" spans="1:13">
      <c r="B20" s="5" t="s">
        <v>409</v>
      </c>
    </row>
    <row r="21" spans="1:13" ht="16">
      <c r="A21" s="57" t="s">
        <v>55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3">
      <c r="A22" s="8" t="s">
        <v>408</v>
      </c>
      <c r="B22" s="7" t="s">
        <v>1394</v>
      </c>
      <c r="C22" s="7" t="s">
        <v>1395</v>
      </c>
      <c r="D22" s="7" t="s">
        <v>964</v>
      </c>
      <c r="E22" s="7" t="s">
        <v>3751</v>
      </c>
      <c r="F22" s="7" t="s">
        <v>3558</v>
      </c>
      <c r="G22" s="20" t="s">
        <v>45</v>
      </c>
      <c r="H22" s="20" t="s">
        <v>25</v>
      </c>
      <c r="I22" s="21" t="s">
        <v>46</v>
      </c>
      <c r="J22" s="8"/>
      <c r="K22" s="29" t="str">
        <f>"145,0"</f>
        <v>145,0</v>
      </c>
      <c r="L22" s="8" t="str">
        <f>"108,9313"</f>
        <v>108,9313</v>
      </c>
      <c r="M22" s="7"/>
    </row>
    <row r="23" spans="1:13">
      <c r="B23" s="5" t="s">
        <v>409</v>
      </c>
    </row>
    <row r="24" spans="1:13" ht="16">
      <c r="A24" s="57" t="s">
        <v>93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3">
      <c r="A25" s="8" t="s">
        <v>408</v>
      </c>
      <c r="B25" s="7" t="s">
        <v>1396</v>
      </c>
      <c r="C25" s="7" t="s">
        <v>1397</v>
      </c>
      <c r="D25" s="7" t="s">
        <v>1398</v>
      </c>
      <c r="E25" s="7" t="s">
        <v>3751</v>
      </c>
      <c r="F25" s="7" t="s">
        <v>3699</v>
      </c>
      <c r="G25" s="20" t="s">
        <v>133</v>
      </c>
      <c r="H25" s="21" t="s">
        <v>134</v>
      </c>
      <c r="I25" s="21" t="s">
        <v>134</v>
      </c>
      <c r="J25" s="8"/>
      <c r="K25" s="29" t="str">
        <f>"240,0"</f>
        <v>240,0</v>
      </c>
      <c r="L25" s="8" t="str">
        <f>"167,7600"</f>
        <v>167,7600</v>
      </c>
      <c r="M25" s="7"/>
    </row>
    <row r="26" spans="1:13">
      <c r="B26" s="5" t="s">
        <v>409</v>
      </c>
    </row>
    <row r="27" spans="1:13" ht="16">
      <c r="A27" s="57" t="s">
        <v>62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3">
      <c r="A28" s="10" t="s">
        <v>412</v>
      </c>
      <c r="B28" s="9" t="s">
        <v>1399</v>
      </c>
      <c r="C28" s="9" t="s">
        <v>1400</v>
      </c>
      <c r="D28" s="9" t="s">
        <v>1107</v>
      </c>
      <c r="E28" s="9" t="s">
        <v>3754</v>
      </c>
      <c r="F28" s="9" t="s">
        <v>3726</v>
      </c>
      <c r="G28" s="22" t="s">
        <v>205</v>
      </c>
      <c r="H28" s="22" t="s">
        <v>205</v>
      </c>
      <c r="I28" s="22" t="s">
        <v>205</v>
      </c>
      <c r="J28" s="10"/>
      <c r="K28" s="30">
        <v>0</v>
      </c>
      <c r="L28" s="10" t="str">
        <f>"0,0000"</f>
        <v>0,0000</v>
      </c>
      <c r="M28" s="9" t="s">
        <v>779</v>
      </c>
    </row>
    <row r="29" spans="1:13">
      <c r="A29" s="12" t="s">
        <v>412</v>
      </c>
      <c r="B29" s="11" t="s">
        <v>1401</v>
      </c>
      <c r="C29" s="11" t="s">
        <v>1402</v>
      </c>
      <c r="D29" s="11" t="s">
        <v>1403</v>
      </c>
      <c r="E29" s="11" t="s">
        <v>3751</v>
      </c>
      <c r="F29" s="11" t="s">
        <v>3543</v>
      </c>
      <c r="G29" s="25" t="s">
        <v>134</v>
      </c>
      <c r="H29" s="25" t="s">
        <v>182</v>
      </c>
      <c r="I29" s="25" t="s">
        <v>182</v>
      </c>
      <c r="J29" s="12"/>
      <c r="K29" s="31">
        <v>0</v>
      </c>
      <c r="L29" s="12" t="str">
        <f>"0,0000"</f>
        <v>0,0000</v>
      </c>
      <c r="M29" s="11" t="s">
        <v>1404</v>
      </c>
    </row>
    <row r="30" spans="1:13">
      <c r="A30" s="12" t="s">
        <v>412</v>
      </c>
      <c r="B30" s="11" t="s">
        <v>1399</v>
      </c>
      <c r="C30" s="11" t="s">
        <v>1405</v>
      </c>
      <c r="D30" s="11" t="s">
        <v>1107</v>
      </c>
      <c r="E30" s="11" t="s">
        <v>3751</v>
      </c>
      <c r="F30" s="11" t="s">
        <v>3726</v>
      </c>
      <c r="G30" s="25" t="s">
        <v>205</v>
      </c>
      <c r="H30" s="25" t="s">
        <v>205</v>
      </c>
      <c r="I30" s="25" t="s">
        <v>205</v>
      </c>
      <c r="J30" s="12"/>
      <c r="K30" s="31">
        <v>0</v>
      </c>
      <c r="L30" s="12" t="str">
        <f>"0,0000"</f>
        <v>0,0000</v>
      </c>
      <c r="M30" s="11" t="s">
        <v>779</v>
      </c>
    </row>
    <row r="31" spans="1:13">
      <c r="A31" s="14" t="s">
        <v>412</v>
      </c>
      <c r="B31" s="13" t="s">
        <v>1406</v>
      </c>
      <c r="C31" s="13" t="s">
        <v>1407</v>
      </c>
      <c r="D31" s="13" t="s">
        <v>470</v>
      </c>
      <c r="E31" s="13" t="s">
        <v>3751</v>
      </c>
      <c r="F31" s="13" t="s">
        <v>3562</v>
      </c>
      <c r="G31" s="27" t="s">
        <v>120</v>
      </c>
      <c r="H31" s="27" t="s">
        <v>120</v>
      </c>
      <c r="I31" s="27" t="s">
        <v>120</v>
      </c>
      <c r="J31" s="14"/>
      <c r="K31" s="32">
        <v>0</v>
      </c>
      <c r="L31" s="14" t="str">
        <f>"0,0000"</f>
        <v>0,0000</v>
      </c>
      <c r="M31" s="13" t="s">
        <v>1408</v>
      </c>
    </row>
    <row r="32" spans="1:13">
      <c r="B32" s="5" t="s">
        <v>409</v>
      </c>
    </row>
    <row r="33" spans="1:13" ht="16">
      <c r="A33" s="57" t="s">
        <v>150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3">
      <c r="A34" s="10" t="s">
        <v>408</v>
      </c>
      <c r="B34" s="9" t="s">
        <v>3357</v>
      </c>
      <c r="C34" s="9" t="s">
        <v>1409</v>
      </c>
      <c r="D34" s="9" t="s">
        <v>158</v>
      </c>
      <c r="E34" s="9" t="s">
        <v>3751</v>
      </c>
      <c r="F34" s="9" t="s">
        <v>1410</v>
      </c>
      <c r="G34" s="23" t="s">
        <v>119</v>
      </c>
      <c r="H34" s="22" t="s">
        <v>110</v>
      </c>
      <c r="I34" s="22" t="s">
        <v>110</v>
      </c>
      <c r="J34" s="10"/>
      <c r="K34" s="30" t="str">
        <f>"260,0"</f>
        <v>260,0</v>
      </c>
      <c r="L34" s="10" t="str">
        <f>"160,2770"</f>
        <v>160,2770</v>
      </c>
      <c r="M34" s="9"/>
    </row>
    <row r="35" spans="1:13">
      <c r="A35" s="14" t="s">
        <v>410</v>
      </c>
      <c r="B35" s="13" t="s">
        <v>1411</v>
      </c>
      <c r="C35" s="13" t="s">
        <v>1412</v>
      </c>
      <c r="D35" s="13" t="s">
        <v>1216</v>
      </c>
      <c r="E35" s="13" t="s">
        <v>3751</v>
      </c>
      <c r="F35" s="13" t="s">
        <v>3690</v>
      </c>
      <c r="G35" s="26" t="s">
        <v>133</v>
      </c>
      <c r="H35" s="26" t="s">
        <v>205</v>
      </c>
      <c r="I35" s="27" t="s">
        <v>119</v>
      </c>
      <c r="J35" s="14"/>
      <c r="K35" s="32" t="str">
        <f>"255,0"</f>
        <v>255,0</v>
      </c>
      <c r="L35" s="14" t="str">
        <f>"157,6155"</f>
        <v>157,6155</v>
      </c>
      <c r="M35" s="13" t="s">
        <v>1413</v>
      </c>
    </row>
    <row r="36" spans="1:13">
      <c r="B36" s="5" t="s">
        <v>409</v>
      </c>
    </row>
    <row r="37" spans="1:13" ht="16">
      <c r="A37" s="57" t="s">
        <v>195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>
      <c r="A38" s="10" t="s">
        <v>408</v>
      </c>
      <c r="B38" s="9" t="s">
        <v>1414</v>
      </c>
      <c r="C38" s="9" t="s">
        <v>1415</v>
      </c>
      <c r="D38" s="9" t="s">
        <v>224</v>
      </c>
      <c r="E38" s="9" t="s">
        <v>3751</v>
      </c>
      <c r="F38" s="9" t="s">
        <v>3602</v>
      </c>
      <c r="G38" s="23" t="s">
        <v>111</v>
      </c>
      <c r="H38" s="23" t="s">
        <v>112</v>
      </c>
      <c r="I38" s="10"/>
      <c r="J38" s="10"/>
      <c r="K38" s="30" t="str">
        <f>"295,0"</f>
        <v>295,0</v>
      </c>
      <c r="L38" s="10" t="str">
        <f>"173,3863"</f>
        <v>173,3863</v>
      </c>
      <c r="M38" s="9"/>
    </row>
    <row r="39" spans="1:13">
      <c r="A39" s="12" t="s">
        <v>410</v>
      </c>
      <c r="B39" s="11" t="s">
        <v>1416</v>
      </c>
      <c r="C39" s="11" t="s">
        <v>1417</v>
      </c>
      <c r="D39" s="11" t="s">
        <v>1418</v>
      </c>
      <c r="E39" s="11" t="s">
        <v>3751</v>
      </c>
      <c r="F39" s="11" t="s">
        <v>3721</v>
      </c>
      <c r="G39" s="24" t="s">
        <v>182</v>
      </c>
      <c r="H39" s="24" t="s">
        <v>169</v>
      </c>
      <c r="I39" s="24" t="s">
        <v>225</v>
      </c>
      <c r="J39" s="12"/>
      <c r="K39" s="31" t="str">
        <f>"282,5"</f>
        <v>282,5</v>
      </c>
      <c r="L39" s="12" t="str">
        <f>"166,9010"</f>
        <v>166,9010</v>
      </c>
      <c r="M39" s="11"/>
    </row>
    <row r="40" spans="1:13">
      <c r="A40" s="12" t="s">
        <v>411</v>
      </c>
      <c r="B40" s="11" t="s">
        <v>1419</v>
      </c>
      <c r="C40" s="11" t="s">
        <v>1420</v>
      </c>
      <c r="D40" s="11" t="s">
        <v>224</v>
      </c>
      <c r="E40" s="11" t="s">
        <v>3751</v>
      </c>
      <c r="F40" s="11" t="s">
        <v>3562</v>
      </c>
      <c r="G40" s="24" t="s">
        <v>170</v>
      </c>
      <c r="H40" s="24" t="s">
        <v>225</v>
      </c>
      <c r="I40" s="25" t="s">
        <v>112</v>
      </c>
      <c r="J40" s="12"/>
      <c r="K40" s="31" t="str">
        <f>"282,5"</f>
        <v>282,5</v>
      </c>
      <c r="L40" s="12" t="str">
        <f>"166,0394"</f>
        <v>166,0394</v>
      </c>
      <c r="M40" s="11"/>
    </row>
    <row r="41" spans="1:13">
      <c r="A41" s="12" t="s">
        <v>413</v>
      </c>
      <c r="B41" s="11" t="s">
        <v>1421</v>
      </c>
      <c r="C41" s="11" t="s">
        <v>1422</v>
      </c>
      <c r="D41" s="11" t="s">
        <v>244</v>
      </c>
      <c r="E41" s="11" t="s">
        <v>3751</v>
      </c>
      <c r="F41" s="11" t="s">
        <v>3509</v>
      </c>
      <c r="G41" s="25" t="s">
        <v>134</v>
      </c>
      <c r="H41" s="24" t="s">
        <v>134</v>
      </c>
      <c r="I41" s="24" t="s">
        <v>205</v>
      </c>
      <c r="J41" s="12"/>
      <c r="K41" s="31" t="str">
        <f>"255,0"</f>
        <v>255,0</v>
      </c>
      <c r="L41" s="12" t="str">
        <f>"148,9965"</f>
        <v>148,9965</v>
      </c>
      <c r="M41" s="11" t="s">
        <v>3458</v>
      </c>
    </row>
    <row r="42" spans="1:13">
      <c r="A42" s="12" t="s">
        <v>414</v>
      </c>
      <c r="B42" s="11" t="s">
        <v>1423</v>
      </c>
      <c r="C42" s="11" t="s">
        <v>1424</v>
      </c>
      <c r="D42" s="11" t="s">
        <v>732</v>
      </c>
      <c r="E42" s="11" t="s">
        <v>3751</v>
      </c>
      <c r="F42" s="11" t="s">
        <v>3531</v>
      </c>
      <c r="G42" s="24" t="s">
        <v>71</v>
      </c>
      <c r="H42" s="25" t="s">
        <v>83</v>
      </c>
      <c r="I42" s="24" t="s">
        <v>83</v>
      </c>
      <c r="J42" s="12"/>
      <c r="K42" s="31" t="str">
        <f>"210,0"</f>
        <v>210,0</v>
      </c>
      <c r="L42" s="12" t="str">
        <f>"123,0915"</f>
        <v>123,0915</v>
      </c>
      <c r="M42" s="11" t="s">
        <v>1006</v>
      </c>
    </row>
    <row r="43" spans="1:13">
      <c r="A43" s="12" t="s">
        <v>408</v>
      </c>
      <c r="B43" s="11" t="s">
        <v>1414</v>
      </c>
      <c r="C43" s="11" t="s">
        <v>1425</v>
      </c>
      <c r="D43" s="11" t="s">
        <v>224</v>
      </c>
      <c r="E43" s="11" t="s">
        <v>3753</v>
      </c>
      <c r="F43" s="11" t="s">
        <v>3602</v>
      </c>
      <c r="G43" s="24" t="s">
        <v>111</v>
      </c>
      <c r="H43" s="24" t="s">
        <v>112</v>
      </c>
      <c r="I43" s="12"/>
      <c r="J43" s="12"/>
      <c r="K43" s="31" t="str">
        <f>"295,0"</f>
        <v>295,0</v>
      </c>
      <c r="L43" s="12" t="str">
        <f>"176,8540"</f>
        <v>176,8540</v>
      </c>
      <c r="M43" s="11"/>
    </row>
    <row r="44" spans="1:13">
      <c r="A44" s="14" t="s">
        <v>408</v>
      </c>
      <c r="B44" s="13" t="s">
        <v>1426</v>
      </c>
      <c r="C44" s="13" t="s">
        <v>1427</v>
      </c>
      <c r="D44" s="13" t="s">
        <v>1428</v>
      </c>
      <c r="E44" s="13" t="s">
        <v>3756</v>
      </c>
      <c r="F44" s="13" t="s">
        <v>3552</v>
      </c>
      <c r="G44" s="26" t="s">
        <v>97</v>
      </c>
      <c r="H44" s="27" t="s">
        <v>87</v>
      </c>
      <c r="I44" s="26" t="s">
        <v>1429</v>
      </c>
      <c r="J44" s="14"/>
      <c r="K44" s="32" t="str">
        <f>"238,0"</f>
        <v>238,0</v>
      </c>
      <c r="L44" s="14" t="str">
        <f>"172,1175"</f>
        <v>172,1175</v>
      </c>
      <c r="M44" s="13" t="s">
        <v>3231</v>
      </c>
    </row>
    <row r="45" spans="1:13">
      <c r="B45" s="5" t="s">
        <v>409</v>
      </c>
    </row>
    <row r="46" spans="1:13" ht="16">
      <c r="A46" s="57" t="s">
        <v>258</v>
      </c>
      <c r="B46" s="57"/>
      <c r="C46" s="57"/>
      <c r="D46" s="57"/>
      <c r="E46" s="57"/>
      <c r="F46" s="57"/>
      <c r="G46" s="57"/>
      <c r="H46" s="57"/>
      <c r="I46" s="57"/>
      <c r="J46" s="57"/>
    </row>
    <row r="47" spans="1:13">
      <c r="A47" s="10" t="s">
        <v>408</v>
      </c>
      <c r="B47" s="9" t="s">
        <v>1430</v>
      </c>
      <c r="C47" s="9" t="s">
        <v>1431</v>
      </c>
      <c r="D47" s="9" t="s">
        <v>1432</v>
      </c>
      <c r="E47" s="9" t="s">
        <v>3751</v>
      </c>
      <c r="F47" s="9" t="s">
        <v>3727</v>
      </c>
      <c r="G47" s="23" t="s">
        <v>211</v>
      </c>
      <c r="H47" s="22" t="s">
        <v>221</v>
      </c>
      <c r="I47" s="22" t="s">
        <v>333</v>
      </c>
      <c r="J47" s="10"/>
      <c r="K47" s="30" t="str">
        <f>"320,0"</f>
        <v>320,0</v>
      </c>
      <c r="L47" s="10" t="str">
        <f>"183,4080"</f>
        <v>183,4080</v>
      </c>
      <c r="M47" s="9"/>
    </row>
    <row r="48" spans="1:13">
      <c r="A48" s="12" t="s">
        <v>410</v>
      </c>
      <c r="B48" s="11" t="s">
        <v>1433</v>
      </c>
      <c r="C48" s="11" t="s">
        <v>1434</v>
      </c>
      <c r="D48" s="11" t="s">
        <v>762</v>
      </c>
      <c r="E48" s="11" t="s">
        <v>3751</v>
      </c>
      <c r="F48" s="11" t="s">
        <v>3658</v>
      </c>
      <c r="G48" s="24" t="s">
        <v>97</v>
      </c>
      <c r="H48" s="24" t="s">
        <v>98</v>
      </c>
      <c r="I48" s="24" t="s">
        <v>133</v>
      </c>
      <c r="J48" s="12"/>
      <c r="K48" s="31" t="str">
        <f>"240,0"</f>
        <v>240,0</v>
      </c>
      <c r="L48" s="12" t="str">
        <f>"135,2400"</f>
        <v>135,2400</v>
      </c>
      <c r="M48" s="11" t="s">
        <v>1435</v>
      </c>
    </row>
    <row r="49" spans="1:13">
      <c r="A49" s="12" t="s">
        <v>408</v>
      </c>
      <c r="B49" s="11" t="s">
        <v>1436</v>
      </c>
      <c r="C49" s="11" t="s">
        <v>1437</v>
      </c>
      <c r="D49" s="11" t="s">
        <v>1438</v>
      </c>
      <c r="E49" s="11" t="s">
        <v>3753</v>
      </c>
      <c r="F49" s="11" t="s">
        <v>3690</v>
      </c>
      <c r="G49" s="24" t="s">
        <v>133</v>
      </c>
      <c r="H49" s="24" t="s">
        <v>134</v>
      </c>
      <c r="I49" s="25" t="s">
        <v>119</v>
      </c>
      <c r="J49" s="12"/>
      <c r="K49" s="31" t="str">
        <f>"250,0"</f>
        <v>250,0</v>
      </c>
      <c r="L49" s="12" t="str">
        <f>"144,9547"</f>
        <v>144,9547</v>
      </c>
      <c r="M49" s="11"/>
    </row>
    <row r="50" spans="1:13">
      <c r="A50" s="12" t="s">
        <v>410</v>
      </c>
      <c r="B50" s="11" t="s">
        <v>1433</v>
      </c>
      <c r="C50" s="11" t="s">
        <v>1439</v>
      </c>
      <c r="D50" s="11" t="s">
        <v>762</v>
      </c>
      <c r="E50" s="11" t="s">
        <v>3753</v>
      </c>
      <c r="F50" s="11" t="s">
        <v>3658</v>
      </c>
      <c r="G50" s="24" t="s">
        <v>97</v>
      </c>
      <c r="H50" s="24" t="s">
        <v>98</v>
      </c>
      <c r="I50" s="24" t="s">
        <v>133</v>
      </c>
      <c r="J50" s="12"/>
      <c r="K50" s="31" t="str">
        <f>"240,0"</f>
        <v>240,0</v>
      </c>
      <c r="L50" s="12" t="str">
        <f>"146,3297"</f>
        <v>146,3297</v>
      </c>
      <c r="M50" s="11" t="s">
        <v>1435</v>
      </c>
    </row>
    <row r="51" spans="1:13">
      <c r="A51" s="12" t="s">
        <v>408</v>
      </c>
      <c r="B51" s="11" t="s">
        <v>1440</v>
      </c>
      <c r="C51" s="11" t="s">
        <v>1441</v>
      </c>
      <c r="D51" s="11" t="s">
        <v>1442</v>
      </c>
      <c r="E51" s="11" t="s">
        <v>3756</v>
      </c>
      <c r="F51" s="11" t="s">
        <v>3509</v>
      </c>
      <c r="G51" s="24" t="s">
        <v>35</v>
      </c>
      <c r="H51" s="12"/>
      <c r="I51" s="12"/>
      <c r="J51" s="12"/>
      <c r="K51" s="31" t="str">
        <f>"150,0"</f>
        <v>150,0</v>
      </c>
      <c r="L51" s="12" t="str">
        <f>"111,7717"</f>
        <v>111,7717</v>
      </c>
      <c r="M51" s="11"/>
    </row>
    <row r="52" spans="1:13">
      <c r="A52" s="14" t="s">
        <v>408</v>
      </c>
      <c r="B52" s="13" t="s">
        <v>1443</v>
      </c>
      <c r="C52" s="13" t="s">
        <v>1444</v>
      </c>
      <c r="D52" s="13" t="s">
        <v>1445</v>
      </c>
      <c r="E52" s="13" t="s">
        <v>3757</v>
      </c>
      <c r="F52" s="13" t="s">
        <v>3548</v>
      </c>
      <c r="G52" s="26" t="s">
        <v>97</v>
      </c>
      <c r="H52" s="27" t="s">
        <v>98</v>
      </c>
      <c r="I52" s="27" t="s">
        <v>98</v>
      </c>
      <c r="J52" s="14"/>
      <c r="K52" s="32" t="str">
        <f>"220,0"</f>
        <v>220,0</v>
      </c>
      <c r="L52" s="14" t="str">
        <f>"166,2525"</f>
        <v>166,2525</v>
      </c>
      <c r="M52" s="13"/>
    </row>
    <row r="53" spans="1:13">
      <c r="B53" s="5" t="s">
        <v>409</v>
      </c>
    </row>
    <row r="54" spans="1:13" ht="16">
      <c r="A54" s="57" t="s">
        <v>280</v>
      </c>
      <c r="B54" s="57"/>
      <c r="C54" s="57"/>
      <c r="D54" s="57"/>
      <c r="E54" s="57"/>
      <c r="F54" s="57"/>
      <c r="G54" s="57"/>
      <c r="H54" s="57"/>
      <c r="I54" s="57"/>
      <c r="J54" s="57"/>
    </row>
    <row r="55" spans="1:13">
      <c r="A55" s="8" t="s">
        <v>408</v>
      </c>
      <c r="B55" s="7" t="s">
        <v>1446</v>
      </c>
      <c r="C55" s="7" t="s">
        <v>1447</v>
      </c>
      <c r="D55" s="7" t="s">
        <v>1448</v>
      </c>
      <c r="E55" s="7" t="s">
        <v>3751</v>
      </c>
      <c r="F55" s="7" t="s">
        <v>75</v>
      </c>
      <c r="G55" s="20" t="s">
        <v>83</v>
      </c>
      <c r="H55" s="21" t="s">
        <v>98</v>
      </c>
      <c r="I55" s="20" t="s">
        <v>98</v>
      </c>
      <c r="J55" s="8"/>
      <c r="K55" s="29" t="str">
        <f>"230,0"</f>
        <v>230,0</v>
      </c>
      <c r="L55" s="8" t="str">
        <f>"126,9600"</f>
        <v>126,9600</v>
      </c>
      <c r="M55" s="7"/>
    </row>
    <row r="56" spans="1:13">
      <c r="B56" s="5" t="s">
        <v>409</v>
      </c>
    </row>
    <row r="57" spans="1:13" ht="16">
      <c r="A57" s="57" t="s">
        <v>328</v>
      </c>
      <c r="B57" s="57"/>
      <c r="C57" s="57"/>
      <c r="D57" s="57"/>
      <c r="E57" s="57"/>
      <c r="F57" s="57"/>
      <c r="G57" s="57"/>
      <c r="H57" s="57"/>
      <c r="I57" s="57"/>
      <c r="J57" s="57"/>
    </row>
    <row r="58" spans="1:13">
      <c r="A58" s="10" t="s">
        <v>408</v>
      </c>
      <c r="B58" s="9" t="s">
        <v>338</v>
      </c>
      <c r="C58" s="9" t="s">
        <v>339</v>
      </c>
      <c r="D58" s="9" t="s">
        <v>340</v>
      </c>
      <c r="E58" s="9" t="s">
        <v>3751</v>
      </c>
      <c r="F58" s="9" t="s">
        <v>341</v>
      </c>
      <c r="G58" s="23" t="s">
        <v>182</v>
      </c>
      <c r="H58" s="23" t="s">
        <v>110</v>
      </c>
      <c r="I58" s="23" t="s">
        <v>225</v>
      </c>
      <c r="J58" s="10"/>
      <c r="K58" s="30" t="str">
        <f>"282,5"</f>
        <v>282,5</v>
      </c>
      <c r="L58" s="10" t="str">
        <f>"150,0555"</f>
        <v>150,0555</v>
      </c>
      <c r="M58" s="9" t="s">
        <v>342</v>
      </c>
    </row>
    <row r="59" spans="1:13">
      <c r="A59" s="12" t="s">
        <v>410</v>
      </c>
      <c r="B59" s="11" t="s">
        <v>338</v>
      </c>
      <c r="C59" s="11" t="s">
        <v>339</v>
      </c>
      <c r="D59" s="11" t="s">
        <v>340</v>
      </c>
      <c r="E59" s="11" t="s">
        <v>3751</v>
      </c>
      <c r="F59" s="11" t="s">
        <v>341</v>
      </c>
      <c r="G59" s="24" t="s">
        <v>182</v>
      </c>
      <c r="H59" s="24" t="s">
        <v>110</v>
      </c>
      <c r="I59" s="24" t="s">
        <v>225</v>
      </c>
      <c r="J59" s="12"/>
      <c r="K59" s="31" t="str">
        <f>"282,5"</f>
        <v>282,5</v>
      </c>
      <c r="L59" s="12" t="str">
        <f>"150,0555"</f>
        <v>150,0555</v>
      </c>
      <c r="M59" s="11" t="s">
        <v>342</v>
      </c>
    </row>
    <row r="60" spans="1:13">
      <c r="A60" s="14" t="s">
        <v>411</v>
      </c>
      <c r="B60" s="13" t="s">
        <v>1449</v>
      </c>
      <c r="C60" s="13" t="s">
        <v>1450</v>
      </c>
      <c r="D60" s="13" t="s">
        <v>1451</v>
      </c>
      <c r="E60" s="13" t="s">
        <v>3751</v>
      </c>
      <c r="F60" s="13" t="s">
        <v>75</v>
      </c>
      <c r="G60" s="26" t="s">
        <v>134</v>
      </c>
      <c r="H60" s="26" t="s">
        <v>501</v>
      </c>
      <c r="I60" s="27" t="s">
        <v>120</v>
      </c>
      <c r="J60" s="14"/>
      <c r="K60" s="32" t="str">
        <f>"267,5"</f>
        <v>267,5</v>
      </c>
      <c r="L60" s="14" t="str">
        <f>"142,1589"</f>
        <v>142,1589</v>
      </c>
      <c r="M60" s="13"/>
    </row>
    <row r="61" spans="1:13">
      <c r="B61" s="5" t="s">
        <v>409</v>
      </c>
    </row>
    <row r="62" spans="1:13" ht="16">
      <c r="A62" s="57" t="s">
        <v>346</v>
      </c>
      <c r="B62" s="57"/>
      <c r="C62" s="57"/>
      <c r="D62" s="57"/>
      <c r="E62" s="57"/>
      <c r="F62" s="57"/>
      <c r="G62" s="57"/>
      <c r="H62" s="57"/>
      <c r="I62" s="57"/>
      <c r="J62" s="57"/>
    </row>
    <row r="63" spans="1:13">
      <c r="A63" s="8" t="s">
        <v>408</v>
      </c>
      <c r="B63" s="7" t="s">
        <v>1452</v>
      </c>
      <c r="C63" s="7" t="s">
        <v>1453</v>
      </c>
      <c r="D63" s="7" t="s">
        <v>1454</v>
      </c>
      <c r="E63" s="7" t="s">
        <v>3751</v>
      </c>
      <c r="F63" s="7" t="s">
        <v>3552</v>
      </c>
      <c r="G63" s="20" t="s">
        <v>128</v>
      </c>
      <c r="H63" s="21" t="s">
        <v>211</v>
      </c>
      <c r="I63" s="20" t="s">
        <v>211</v>
      </c>
      <c r="J63" s="8"/>
      <c r="K63" s="29" t="str">
        <f>"320,0"</f>
        <v>320,0</v>
      </c>
      <c r="L63" s="8" t="str">
        <f>"166,7120"</f>
        <v>166,7120</v>
      </c>
      <c r="M63" s="7" t="s">
        <v>1455</v>
      </c>
    </row>
    <row r="64" spans="1:13">
      <c r="B64" s="5" t="s">
        <v>409</v>
      </c>
    </row>
    <row r="65" spans="2:6">
      <c r="B65" s="5" t="s">
        <v>409</v>
      </c>
    </row>
    <row r="66" spans="2:6">
      <c r="B66" s="5" t="s">
        <v>409</v>
      </c>
    </row>
    <row r="67" spans="2:6" ht="18">
      <c r="B67" s="15" t="s">
        <v>365</v>
      </c>
      <c r="C67" s="15"/>
      <c r="F67" s="3"/>
    </row>
    <row r="68" spans="2:6" ht="16">
      <c r="B68" s="16" t="s">
        <v>385</v>
      </c>
      <c r="C68" s="16"/>
      <c r="F68" s="3"/>
    </row>
    <row r="69" spans="2:6" ht="14">
      <c r="B69" s="17"/>
      <c r="C69" s="18" t="s">
        <v>367</v>
      </c>
      <c r="F69" s="3"/>
    </row>
    <row r="70" spans="2:6" ht="14">
      <c r="B70" s="19" t="s">
        <v>368</v>
      </c>
      <c r="C70" s="19" t="s">
        <v>369</v>
      </c>
      <c r="D70" s="19" t="s">
        <v>3230</v>
      </c>
      <c r="E70" s="19" t="s">
        <v>1456</v>
      </c>
      <c r="F70" s="19" t="s">
        <v>1457</v>
      </c>
    </row>
    <row r="71" spans="2:6">
      <c r="B71" s="5" t="s">
        <v>1430</v>
      </c>
      <c r="C71" s="5" t="s">
        <v>367</v>
      </c>
      <c r="D71" s="6" t="s">
        <v>391</v>
      </c>
      <c r="E71" s="6" t="s">
        <v>211</v>
      </c>
      <c r="F71" s="6" t="s">
        <v>1458</v>
      </c>
    </row>
    <row r="72" spans="2:6">
      <c r="B72" s="5" t="s">
        <v>1414</v>
      </c>
      <c r="C72" s="5" t="s">
        <v>367</v>
      </c>
      <c r="D72" s="6" t="s">
        <v>390</v>
      </c>
      <c r="E72" s="6" t="s">
        <v>112</v>
      </c>
      <c r="F72" s="6" t="s">
        <v>1459</v>
      </c>
    </row>
    <row r="73" spans="2:6">
      <c r="B73" s="5" t="s">
        <v>1396</v>
      </c>
      <c r="C73" s="5" t="s">
        <v>367</v>
      </c>
      <c r="D73" s="6" t="s">
        <v>569</v>
      </c>
      <c r="E73" s="6" t="s">
        <v>133</v>
      </c>
      <c r="F73" s="6" t="s">
        <v>1460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62:J62"/>
    <mergeCell ref="A8:J8"/>
    <mergeCell ref="A12:J12"/>
    <mergeCell ref="A18:J18"/>
    <mergeCell ref="A21:J21"/>
    <mergeCell ref="A24:J24"/>
    <mergeCell ref="A27:J27"/>
    <mergeCell ref="A33:J33"/>
    <mergeCell ref="A37:J37"/>
    <mergeCell ref="A46:J46"/>
    <mergeCell ref="A54:J54"/>
    <mergeCell ref="A57:J5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2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8320312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3.5" style="5" customWidth="1"/>
    <col min="14" max="16384" width="9.1640625" style="3"/>
  </cols>
  <sheetData>
    <row r="1" spans="1:13" s="2" customFormat="1" ht="29" customHeight="1">
      <c r="A1" s="68" t="s">
        <v>3300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62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412</v>
      </c>
      <c r="B6" s="9" t="s">
        <v>2465</v>
      </c>
      <c r="C6" s="9" t="s">
        <v>2466</v>
      </c>
      <c r="D6" s="9" t="s">
        <v>1102</v>
      </c>
      <c r="E6" s="9" t="s">
        <v>3751</v>
      </c>
      <c r="F6" s="9" t="s">
        <v>75</v>
      </c>
      <c r="G6" s="22" t="s">
        <v>28</v>
      </c>
      <c r="H6" s="22" t="s">
        <v>28</v>
      </c>
      <c r="I6" s="22" t="s">
        <v>28</v>
      </c>
      <c r="J6" s="10"/>
      <c r="K6" s="30">
        <v>0</v>
      </c>
      <c r="L6" s="10" t="str">
        <f>"0,0000"</f>
        <v>0,0000</v>
      </c>
      <c r="M6" s="9"/>
    </row>
    <row r="7" spans="1:13">
      <c r="A7" s="12" t="s">
        <v>412</v>
      </c>
      <c r="B7" s="11" t="s">
        <v>2576</v>
      </c>
      <c r="C7" s="11" t="s">
        <v>2577</v>
      </c>
      <c r="D7" s="11" t="s">
        <v>145</v>
      </c>
      <c r="E7" s="11" t="s">
        <v>3751</v>
      </c>
      <c r="F7" s="11" t="s">
        <v>3515</v>
      </c>
      <c r="G7" s="25" t="s">
        <v>133</v>
      </c>
      <c r="H7" s="25" t="s">
        <v>134</v>
      </c>
      <c r="I7" s="25" t="s">
        <v>134</v>
      </c>
      <c r="J7" s="12"/>
      <c r="K7" s="31">
        <v>0</v>
      </c>
      <c r="L7" s="12" t="str">
        <f>"0,0000"</f>
        <v>0,0000</v>
      </c>
      <c r="M7" s="11"/>
    </row>
    <row r="8" spans="1:13">
      <c r="A8" s="14" t="s">
        <v>412</v>
      </c>
      <c r="B8" s="13" t="s">
        <v>2576</v>
      </c>
      <c r="C8" s="13" t="s">
        <v>2578</v>
      </c>
      <c r="D8" s="13" t="s">
        <v>145</v>
      </c>
      <c r="E8" s="13" t="s">
        <v>3756</v>
      </c>
      <c r="F8" s="13" t="s">
        <v>3515</v>
      </c>
      <c r="G8" s="27" t="s">
        <v>133</v>
      </c>
      <c r="H8" s="27" t="s">
        <v>134</v>
      </c>
      <c r="I8" s="27" t="s">
        <v>134</v>
      </c>
      <c r="J8" s="14"/>
      <c r="K8" s="32">
        <v>0</v>
      </c>
      <c r="L8" s="14" t="str">
        <f>"0,0000"</f>
        <v>0,0000</v>
      </c>
      <c r="M8" s="13"/>
    </row>
    <row r="9" spans="1:13">
      <c r="B9" s="5" t="s">
        <v>409</v>
      </c>
    </row>
    <row r="10" spans="1:13" ht="16">
      <c r="A10" s="57" t="s">
        <v>195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3">
      <c r="A11" s="10" t="s">
        <v>408</v>
      </c>
      <c r="B11" s="9" t="s">
        <v>2579</v>
      </c>
      <c r="C11" s="9" t="s">
        <v>2580</v>
      </c>
      <c r="D11" s="9" t="s">
        <v>1644</v>
      </c>
      <c r="E11" s="9" t="s">
        <v>3751</v>
      </c>
      <c r="F11" s="9" t="s">
        <v>3509</v>
      </c>
      <c r="G11" s="22" t="s">
        <v>154</v>
      </c>
      <c r="H11" s="23" t="s">
        <v>154</v>
      </c>
      <c r="I11" s="22" t="s">
        <v>170</v>
      </c>
      <c r="J11" s="10"/>
      <c r="K11" s="30" t="str">
        <f>"245,0"</f>
        <v>245,0</v>
      </c>
      <c r="L11" s="10" t="str">
        <f>"143,9253"</f>
        <v>143,9253</v>
      </c>
      <c r="M11" s="9"/>
    </row>
    <row r="12" spans="1:13">
      <c r="A12" s="14" t="s">
        <v>410</v>
      </c>
      <c r="B12" s="13" t="s">
        <v>2581</v>
      </c>
      <c r="C12" s="13" t="s">
        <v>2538</v>
      </c>
      <c r="D12" s="13" t="s">
        <v>2582</v>
      </c>
      <c r="E12" s="13" t="s">
        <v>3751</v>
      </c>
      <c r="F12" s="13" t="s">
        <v>199</v>
      </c>
      <c r="G12" s="26" t="s">
        <v>68</v>
      </c>
      <c r="H12" s="26" t="s">
        <v>87</v>
      </c>
      <c r="I12" s="27" t="s">
        <v>154</v>
      </c>
      <c r="J12" s="14"/>
      <c r="K12" s="32" t="str">
        <f>"235,0"</f>
        <v>235,0</v>
      </c>
      <c r="L12" s="14" t="str">
        <f>"139,6605"</f>
        <v>139,6605</v>
      </c>
      <c r="M12" s="13"/>
    </row>
    <row r="13" spans="1:13">
      <c r="B13" s="5" t="s">
        <v>409</v>
      </c>
    </row>
    <row r="14" spans="1:13" ht="16">
      <c r="A14" s="57" t="s">
        <v>258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10" t="s">
        <v>408</v>
      </c>
      <c r="B15" s="9" t="s">
        <v>2583</v>
      </c>
      <c r="C15" s="9" t="s">
        <v>2584</v>
      </c>
      <c r="D15" s="9" t="s">
        <v>758</v>
      </c>
      <c r="E15" s="9" t="s">
        <v>3751</v>
      </c>
      <c r="F15" s="9" t="s">
        <v>3548</v>
      </c>
      <c r="G15" s="23" t="s">
        <v>128</v>
      </c>
      <c r="H15" s="22" t="s">
        <v>212</v>
      </c>
      <c r="I15" s="23" t="s">
        <v>212</v>
      </c>
      <c r="J15" s="10"/>
      <c r="K15" s="30" t="str">
        <f>"330,0"</f>
        <v>330,0</v>
      </c>
      <c r="L15" s="10" t="str">
        <f>"185,8230"</f>
        <v>185,8230</v>
      </c>
      <c r="M15" s="9" t="s">
        <v>2585</v>
      </c>
    </row>
    <row r="16" spans="1:13">
      <c r="A16" s="12" t="s">
        <v>410</v>
      </c>
      <c r="B16" s="11" t="s">
        <v>2586</v>
      </c>
      <c r="C16" s="11" t="s">
        <v>2587</v>
      </c>
      <c r="D16" s="11" t="s">
        <v>2588</v>
      </c>
      <c r="E16" s="11" t="s">
        <v>3751</v>
      </c>
      <c r="F16" s="11" t="s">
        <v>3686</v>
      </c>
      <c r="G16" s="24" t="s">
        <v>134</v>
      </c>
      <c r="H16" s="24" t="s">
        <v>119</v>
      </c>
      <c r="I16" s="25" t="s">
        <v>182</v>
      </c>
      <c r="J16" s="12"/>
      <c r="K16" s="31" t="str">
        <f>"260,0"</f>
        <v>260,0</v>
      </c>
      <c r="L16" s="12" t="str">
        <f>"148,6160"</f>
        <v>148,6160</v>
      </c>
      <c r="M16" s="11"/>
    </row>
    <row r="17" spans="1:13">
      <c r="A17" s="12" t="s">
        <v>411</v>
      </c>
      <c r="B17" s="11" t="s">
        <v>2589</v>
      </c>
      <c r="C17" s="11" t="s">
        <v>2590</v>
      </c>
      <c r="D17" s="11" t="s">
        <v>2591</v>
      </c>
      <c r="E17" s="11" t="s">
        <v>3751</v>
      </c>
      <c r="F17" s="11" t="s">
        <v>3583</v>
      </c>
      <c r="G17" s="24" t="s">
        <v>83</v>
      </c>
      <c r="H17" s="24" t="s">
        <v>68</v>
      </c>
      <c r="I17" s="24" t="s">
        <v>97</v>
      </c>
      <c r="J17" s="12"/>
      <c r="K17" s="31" t="str">
        <f>"220,0"</f>
        <v>220,0</v>
      </c>
      <c r="L17" s="12" t="str">
        <f>"125,8400"</f>
        <v>125,8400</v>
      </c>
      <c r="M17" s="11"/>
    </row>
    <row r="18" spans="1:13">
      <c r="A18" s="12" t="s">
        <v>412</v>
      </c>
      <c r="B18" s="11" t="s">
        <v>2493</v>
      </c>
      <c r="C18" s="11" t="s">
        <v>2494</v>
      </c>
      <c r="D18" s="11" t="s">
        <v>1699</v>
      </c>
      <c r="E18" s="11" t="s">
        <v>3751</v>
      </c>
      <c r="F18" s="11" t="s">
        <v>3548</v>
      </c>
      <c r="G18" s="25" t="s">
        <v>2555</v>
      </c>
      <c r="H18" s="25" t="s">
        <v>2555</v>
      </c>
      <c r="I18" s="25" t="s">
        <v>2556</v>
      </c>
      <c r="J18" s="12"/>
      <c r="K18" s="31">
        <v>0</v>
      </c>
      <c r="L18" s="12" t="str">
        <f>"0,0000"</f>
        <v>0,0000</v>
      </c>
      <c r="M18" s="11"/>
    </row>
    <row r="19" spans="1:13">
      <c r="A19" s="14" t="s">
        <v>412</v>
      </c>
      <c r="B19" s="13" t="s">
        <v>2493</v>
      </c>
      <c r="C19" s="13" t="s">
        <v>2592</v>
      </c>
      <c r="D19" s="13" t="s">
        <v>1699</v>
      </c>
      <c r="E19" s="13" t="s">
        <v>3753</v>
      </c>
      <c r="F19" s="13" t="s">
        <v>3548</v>
      </c>
      <c r="G19" s="27" t="s">
        <v>2555</v>
      </c>
      <c r="H19" s="27" t="s">
        <v>2555</v>
      </c>
      <c r="I19" s="27" t="s">
        <v>2556</v>
      </c>
      <c r="J19" s="14"/>
      <c r="K19" s="32">
        <v>0</v>
      </c>
      <c r="L19" s="14" t="str">
        <f>"0,0000"</f>
        <v>0,0000</v>
      </c>
      <c r="M19" s="13"/>
    </row>
    <row r="20" spans="1:13">
      <c r="B20" s="5" t="s">
        <v>409</v>
      </c>
    </row>
    <row r="21" spans="1:13" ht="16">
      <c r="A21" s="57" t="s">
        <v>280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3">
      <c r="A22" s="10" t="s">
        <v>408</v>
      </c>
      <c r="B22" s="9" t="s">
        <v>2502</v>
      </c>
      <c r="C22" s="9" t="s">
        <v>2503</v>
      </c>
      <c r="D22" s="9" t="s">
        <v>2504</v>
      </c>
      <c r="E22" s="9" t="s">
        <v>3751</v>
      </c>
      <c r="F22" s="9" t="s">
        <v>2505</v>
      </c>
      <c r="G22" s="22" t="s">
        <v>333</v>
      </c>
      <c r="H22" s="23" t="s">
        <v>333</v>
      </c>
      <c r="I22" s="22" t="s">
        <v>2593</v>
      </c>
      <c r="J22" s="10"/>
      <c r="K22" s="30" t="str">
        <f>"350,0"</f>
        <v>350,0</v>
      </c>
      <c r="L22" s="10" t="str">
        <f>"191,1875"</f>
        <v>191,1875</v>
      </c>
      <c r="M22" s="9" t="s">
        <v>2507</v>
      </c>
    </row>
    <row r="23" spans="1:13">
      <c r="A23" s="12" t="s">
        <v>410</v>
      </c>
      <c r="B23" s="11" t="s">
        <v>2508</v>
      </c>
      <c r="C23" s="11" t="s">
        <v>2509</v>
      </c>
      <c r="D23" s="11" t="s">
        <v>301</v>
      </c>
      <c r="E23" s="11" t="s">
        <v>3751</v>
      </c>
      <c r="F23" s="11" t="s">
        <v>3392</v>
      </c>
      <c r="G23" s="24" t="s">
        <v>128</v>
      </c>
      <c r="H23" s="25" t="s">
        <v>212</v>
      </c>
      <c r="I23" s="24" t="s">
        <v>221</v>
      </c>
      <c r="J23" s="12"/>
      <c r="K23" s="31" t="str">
        <f>"340,0"</f>
        <v>340,0</v>
      </c>
      <c r="L23" s="12" t="str">
        <f>"185,6060"</f>
        <v>185,6060</v>
      </c>
      <c r="M23" s="11" t="s">
        <v>785</v>
      </c>
    </row>
    <row r="24" spans="1:13">
      <c r="A24" s="12" t="s">
        <v>408</v>
      </c>
      <c r="B24" s="11" t="s">
        <v>2508</v>
      </c>
      <c r="C24" s="11" t="s">
        <v>2512</v>
      </c>
      <c r="D24" s="11" t="s">
        <v>301</v>
      </c>
      <c r="E24" s="11" t="s">
        <v>3753</v>
      </c>
      <c r="F24" s="11" t="s">
        <v>3392</v>
      </c>
      <c r="G24" s="24" t="s">
        <v>128</v>
      </c>
      <c r="H24" s="25" t="s">
        <v>212</v>
      </c>
      <c r="I24" s="24" t="s">
        <v>221</v>
      </c>
      <c r="J24" s="12"/>
      <c r="K24" s="31" t="str">
        <f>"340,0"</f>
        <v>340,0</v>
      </c>
      <c r="L24" s="12" t="str">
        <f>"185,6060"</f>
        <v>185,6060</v>
      </c>
      <c r="M24" s="11" t="s">
        <v>785</v>
      </c>
    </row>
    <row r="25" spans="1:13">
      <c r="A25" s="14" t="s">
        <v>408</v>
      </c>
      <c r="B25" s="13" t="s">
        <v>2502</v>
      </c>
      <c r="C25" s="13" t="s">
        <v>2513</v>
      </c>
      <c r="D25" s="13" t="s">
        <v>2504</v>
      </c>
      <c r="E25" s="13" t="s">
        <v>3756</v>
      </c>
      <c r="F25" s="13" t="s">
        <v>2505</v>
      </c>
      <c r="G25" s="27" t="s">
        <v>333</v>
      </c>
      <c r="H25" s="26" t="s">
        <v>333</v>
      </c>
      <c r="I25" s="27" t="s">
        <v>2593</v>
      </c>
      <c r="J25" s="14"/>
      <c r="K25" s="32" t="str">
        <f>"350,0"</f>
        <v>350,0</v>
      </c>
      <c r="L25" s="14" t="str">
        <f>"216,0419"</f>
        <v>216,0419</v>
      </c>
      <c r="M25" s="13" t="s">
        <v>2507</v>
      </c>
    </row>
    <row r="26" spans="1:13">
      <c r="B26" s="5" t="s">
        <v>409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0:J10"/>
    <mergeCell ref="A14:J14"/>
    <mergeCell ref="A21:J21"/>
    <mergeCell ref="B3:B4"/>
    <mergeCell ref="K3:K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M52"/>
  <sheetViews>
    <sheetView topLeftCell="A4" workbookViewId="0">
      <selection activeCell="E43" sqref="E43"/>
    </sheetView>
  </sheetViews>
  <sheetFormatPr baseColWidth="10" defaultColWidth="9.1640625" defaultRowHeight="13"/>
  <cols>
    <col min="1" max="1" width="7.5" style="5" bestFit="1" customWidth="1"/>
    <col min="2" max="2" width="27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.8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5.5" style="5" customWidth="1"/>
    <col min="14" max="16384" width="9.1640625" style="3"/>
  </cols>
  <sheetData>
    <row r="1" spans="1:13" s="2" customFormat="1" ht="29" customHeight="1">
      <c r="A1" s="68" t="s">
        <v>3301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2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93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3397</v>
      </c>
      <c r="C6" s="7" t="s">
        <v>1510</v>
      </c>
      <c r="D6" s="7" t="s">
        <v>1073</v>
      </c>
      <c r="E6" s="7" t="s">
        <v>3751</v>
      </c>
      <c r="F6" s="7" t="s">
        <v>199</v>
      </c>
      <c r="G6" s="20" t="s">
        <v>40</v>
      </c>
      <c r="H6" s="20" t="s">
        <v>71</v>
      </c>
      <c r="I6" s="21" t="s">
        <v>97</v>
      </c>
      <c r="J6" s="8"/>
      <c r="K6" s="8" t="str">
        <f>"200,0"</f>
        <v>200,0</v>
      </c>
      <c r="L6" s="8" t="str">
        <f>"138,9400"</f>
        <v>138,9400</v>
      </c>
      <c r="M6" s="7" t="s">
        <v>3398</v>
      </c>
    </row>
    <row r="7" spans="1:13">
      <c r="B7" s="5" t="s">
        <v>409</v>
      </c>
    </row>
    <row r="8" spans="1:13" ht="16">
      <c r="A8" s="57" t="s">
        <v>62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0" t="s">
        <v>408</v>
      </c>
      <c r="B9" s="9" t="s">
        <v>3396</v>
      </c>
      <c r="C9" s="9" t="s">
        <v>2539</v>
      </c>
      <c r="D9" s="9" t="s">
        <v>145</v>
      </c>
      <c r="E9" s="9" t="s">
        <v>3751</v>
      </c>
      <c r="F9" s="9" t="s">
        <v>199</v>
      </c>
      <c r="G9" s="23" t="s">
        <v>133</v>
      </c>
      <c r="H9" s="22" t="s">
        <v>205</v>
      </c>
      <c r="I9" s="23" t="s">
        <v>182</v>
      </c>
      <c r="J9" s="10"/>
      <c r="K9" s="10" t="str">
        <f>"265,0"</f>
        <v>265,0</v>
      </c>
      <c r="L9" s="10" t="str">
        <f>"171,4947"</f>
        <v>171,4947</v>
      </c>
      <c r="M9" s="9" t="s">
        <v>3399</v>
      </c>
    </row>
    <row r="10" spans="1:13">
      <c r="A10" s="14" t="s">
        <v>410</v>
      </c>
      <c r="B10" s="13" t="s">
        <v>3336</v>
      </c>
      <c r="C10" s="13" t="s">
        <v>2540</v>
      </c>
      <c r="D10" s="13" t="s">
        <v>1403</v>
      </c>
      <c r="E10" s="13" t="s">
        <v>3751</v>
      </c>
      <c r="F10" s="13" t="s">
        <v>2541</v>
      </c>
      <c r="G10" s="27" t="s">
        <v>36</v>
      </c>
      <c r="H10" s="26" t="s">
        <v>36</v>
      </c>
      <c r="I10" s="27" t="s">
        <v>61</v>
      </c>
      <c r="J10" s="14"/>
      <c r="K10" s="14" t="str">
        <f>"160,0"</f>
        <v>160,0</v>
      </c>
      <c r="L10" s="14" t="str">
        <f>"105,6080"</f>
        <v>105,6080</v>
      </c>
      <c r="M10" s="13" t="s">
        <v>3337</v>
      </c>
    </row>
    <row r="11" spans="1:13">
      <c r="B11" s="5" t="s">
        <v>409</v>
      </c>
    </row>
    <row r="12" spans="1:13" ht="16">
      <c r="A12" s="57" t="s">
        <v>150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10" t="s">
        <v>408</v>
      </c>
      <c r="B13" s="9" t="s">
        <v>2542</v>
      </c>
      <c r="C13" s="9" t="s">
        <v>2543</v>
      </c>
      <c r="D13" s="9" t="s">
        <v>1192</v>
      </c>
      <c r="E13" s="9" t="s">
        <v>3751</v>
      </c>
      <c r="F13" s="9" t="s">
        <v>3537</v>
      </c>
      <c r="G13" s="23" t="s">
        <v>217</v>
      </c>
      <c r="H13" s="22" t="s">
        <v>161</v>
      </c>
      <c r="I13" s="22" t="s">
        <v>221</v>
      </c>
      <c r="J13" s="10"/>
      <c r="K13" s="10" t="str">
        <f>"310,0"</f>
        <v>310,0</v>
      </c>
      <c r="L13" s="10" t="str">
        <f>"191,2235"</f>
        <v>191,2235</v>
      </c>
      <c r="M13" s="9"/>
    </row>
    <row r="14" spans="1:13">
      <c r="A14" s="14" t="s">
        <v>410</v>
      </c>
      <c r="B14" s="13" t="s">
        <v>2544</v>
      </c>
      <c r="C14" s="13" t="s">
        <v>2545</v>
      </c>
      <c r="D14" s="13" t="s">
        <v>690</v>
      </c>
      <c r="E14" s="13" t="s">
        <v>3751</v>
      </c>
      <c r="F14" s="13" t="s">
        <v>3509</v>
      </c>
      <c r="G14" s="27" t="s">
        <v>121</v>
      </c>
      <c r="H14" s="26" t="s">
        <v>121</v>
      </c>
      <c r="I14" s="27" t="s">
        <v>128</v>
      </c>
      <c r="J14" s="14"/>
      <c r="K14" s="14" t="str">
        <f>"280,0"</f>
        <v>280,0</v>
      </c>
      <c r="L14" s="14" t="str">
        <f>"174,0900"</f>
        <v>174,0900</v>
      </c>
      <c r="M14" s="13" t="s">
        <v>2546</v>
      </c>
    </row>
    <row r="15" spans="1:13">
      <c r="B15" s="5" t="s">
        <v>409</v>
      </c>
    </row>
    <row r="16" spans="1:13" ht="16">
      <c r="A16" s="57" t="s">
        <v>195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8" t="s">
        <v>408</v>
      </c>
      <c r="B17" s="7" t="s">
        <v>3395</v>
      </c>
      <c r="C17" s="7" t="s">
        <v>2547</v>
      </c>
      <c r="D17" s="7" t="s">
        <v>198</v>
      </c>
      <c r="E17" s="7" t="s">
        <v>3753</v>
      </c>
      <c r="F17" s="7" t="s">
        <v>109</v>
      </c>
      <c r="G17" s="20" t="s">
        <v>133</v>
      </c>
      <c r="H17" s="20" t="s">
        <v>120</v>
      </c>
      <c r="I17" s="21" t="s">
        <v>114</v>
      </c>
      <c r="J17" s="8"/>
      <c r="K17" s="8" t="str">
        <f>"270,0"</f>
        <v>270,0</v>
      </c>
      <c r="L17" s="8" t="str">
        <f>"162,3896"</f>
        <v>162,3896</v>
      </c>
      <c r="M17" s="7"/>
    </row>
    <row r="18" spans="1:13">
      <c r="B18" s="5" t="s">
        <v>409</v>
      </c>
    </row>
    <row r="19" spans="1:13" ht="16">
      <c r="A19" s="57" t="s">
        <v>258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3">
      <c r="A20" s="10" t="s">
        <v>408</v>
      </c>
      <c r="B20" s="9" t="s">
        <v>2548</v>
      </c>
      <c r="C20" s="9" t="s">
        <v>2549</v>
      </c>
      <c r="D20" s="9" t="s">
        <v>1442</v>
      </c>
      <c r="E20" s="9" t="s">
        <v>3751</v>
      </c>
      <c r="F20" s="9" t="s">
        <v>3722</v>
      </c>
      <c r="G20" s="23" t="s">
        <v>297</v>
      </c>
      <c r="H20" s="23" t="s">
        <v>263</v>
      </c>
      <c r="I20" s="22" t="s">
        <v>264</v>
      </c>
      <c r="J20" s="10"/>
      <c r="K20" s="10" t="str">
        <f>"370,0"</f>
        <v>370,0</v>
      </c>
      <c r="L20" s="10" t="str">
        <f>"209,6605"</f>
        <v>209,6605</v>
      </c>
      <c r="M20" s="9" t="s">
        <v>2550</v>
      </c>
    </row>
    <row r="21" spans="1:13">
      <c r="A21" s="12" t="s">
        <v>410</v>
      </c>
      <c r="B21" s="11" t="s">
        <v>2551</v>
      </c>
      <c r="C21" s="11" t="s">
        <v>2552</v>
      </c>
      <c r="D21" s="11" t="s">
        <v>2553</v>
      </c>
      <c r="E21" s="11" t="s">
        <v>3751</v>
      </c>
      <c r="F21" s="11" t="s">
        <v>3577</v>
      </c>
      <c r="G21" s="24" t="s">
        <v>211</v>
      </c>
      <c r="H21" s="12"/>
      <c r="I21" s="12"/>
      <c r="J21" s="12"/>
      <c r="K21" s="12" t="str">
        <f>"320,0"</f>
        <v>320,0</v>
      </c>
      <c r="L21" s="12" t="str">
        <f>"182,4960"</f>
        <v>182,4960</v>
      </c>
      <c r="M21" s="11" t="s">
        <v>2554</v>
      </c>
    </row>
    <row r="22" spans="1:13">
      <c r="A22" s="12" t="s">
        <v>411</v>
      </c>
      <c r="B22" s="11" t="s">
        <v>3394</v>
      </c>
      <c r="C22" s="11" t="s">
        <v>1691</v>
      </c>
      <c r="D22" s="11" t="s">
        <v>532</v>
      </c>
      <c r="E22" s="11" t="s">
        <v>3751</v>
      </c>
      <c r="F22" s="11" t="s">
        <v>75</v>
      </c>
      <c r="G22" s="25" t="s">
        <v>97</v>
      </c>
      <c r="H22" s="25" t="s">
        <v>133</v>
      </c>
      <c r="I22" s="24" t="s">
        <v>134</v>
      </c>
      <c r="J22" s="12"/>
      <c r="K22" s="12" t="str">
        <f>"250,0"</f>
        <v>250,0</v>
      </c>
      <c r="L22" s="12" t="str">
        <f>"141,0125"</f>
        <v>141,0125</v>
      </c>
      <c r="M22" s="11"/>
    </row>
    <row r="23" spans="1:13">
      <c r="A23" s="12" t="s">
        <v>413</v>
      </c>
      <c r="B23" s="11" t="s">
        <v>2527</v>
      </c>
      <c r="C23" s="11" t="s">
        <v>2528</v>
      </c>
      <c r="D23" s="11" t="s">
        <v>758</v>
      </c>
      <c r="E23" s="11" t="s">
        <v>3751</v>
      </c>
      <c r="F23" s="11" t="s">
        <v>75</v>
      </c>
      <c r="G23" s="25" t="s">
        <v>97</v>
      </c>
      <c r="H23" s="24" t="s">
        <v>97</v>
      </c>
      <c r="I23" s="25" t="s">
        <v>549</v>
      </c>
      <c r="J23" s="12"/>
      <c r="K23" s="12" t="str">
        <f>"220,0"</f>
        <v>220,0</v>
      </c>
      <c r="L23" s="12" t="str">
        <f>"123,8820"</f>
        <v>123,8820</v>
      </c>
      <c r="M23" s="11"/>
    </row>
    <row r="24" spans="1:13">
      <c r="A24" s="12" t="s">
        <v>412</v>
      </c>
      <c r="B24" s="11" t="s">
        <v>2493</v>
      </c>
      <c r="C24" s="11" t="s">
        <v>2494</v>
      </c>
      <c r="D24" s="11" t="s">
        <v>1699</v>
      </c>
      <c r="E24" s="11" t="s">
        <v>3751</v>
      </c>
      <c r="F24" s="11" t="s">
        <v>3548</v>
      </c>
      <c r="G24" s="25" t="s">
        <v>2555</v>
      </c>
      <c r="H24" s="25" t="s">
        <v>2555</v>
      </c>
      <c r="I24" s="25" t="s">
        <v>2556</v>
      </c>
      <c r="J24" s="12"/>
      <c r="K24" s="12" t="str">
        <f>"0.00"</f>
        <v>0.00</v>
      </c>
      <c r="L24" s="12" t="str">
        <f>"0,0000"</f>
        <v>0,0000</v>
      </c>
      <c r="M24" s="11"/>
    </row>
    <row r="25" spans="1:13">
      <c r="A25" s="12" t="s">
        <v>408</v>
      </c>
      <c r="B25" s="11" t="s">
        <v>2551</v>
      </c>
      <c r="C25" s="11" t="s">
        <v>2557</v>
      </c>
      <c r="D25" s="11" t="s">
        <v>2553</v>
      </c>
      <c r="E25" s="11" t="s">
        <v>3753</v>
      </c>
      <c r="F25" s="11" t="s">
        <v>3577</v>
      </c>
      <c r="G25" s="24" t="s">
        <v>211</v>
      </c>
      <c r="H25" s="25" t="s">
        <v>212</v>
      </c>
      <c r="I25" s="25" t="s">
        <v>212</v>
      </c>
      <c r="J25" s="12"/>
      <c r="K25" s="12" t="str">
        <f>"320,0"</f>
        <v>320,0</v>
      </c>
      <c r="L25" s="12" t="str">
        <f>"182,4960"</f>
        <v>182,4960</v>
      </c>
      <c r="M25" s="11" t="s">
        <v>2554</v>
      </c>
    </row>
    <row r="26" spans="1:13">
      <c r="A26" s="12" t="s">
        <v>410</v>
      </c>
      <c r="B26" s="11" t="s">
        <v>2558</v>
      </c>
      <c r="C26" s="11" t="s">
        <v>2559</v>
      </c>
      <c r="D26" s="11" t="s">
        <v>1290</v>
      </c>
      <c r="E26" s="11" t="s">
        <v>3753</v>
      </c>
      <c r="F26" s="11" t="s">
        <v>3509</v>
      </c>
      <c r="G26" s="25" t="s">
        <v>154</v>
      </c>
      <c r="H26" s="25" t="s">
        <v>154</v>
      </c>
      <c r="I26" s="24" t="s">
        <v>154</v>
      </c>
      <c r="J26" s="12"/>
      <c r="K26" s="12" t="str">
        <f>"245,0"</f>
        <v>245,0</v>
      </c>
      <c r="L26" s="12" t="str">
        <f>"139,7350"</f>
        <v>139,7350</v>
      </c>
      <c r="M26" s="11"/>
    </row>
    <row r="27" spans="1:13">
      <c r="A27" s="14" t="s">
        <v>408</v>
      </c>
      <c r="B27" s="13" t="s">
        <v>1440</v>
      </c>
      <c r="C27" s="13" t="s">
        <v>1441</v>
      </c>
      <c r="D27" s="13" t="s">
        <v>1442</v>
      </c>
      <c r="E27" s="13" t="s">
        <v>3756</v>
      </c>
      <c r="F27" s="13" t="s">
        <v>3509</v>
      </c>
      <c r="G27" s="26" t="s">
        <v>35</v>
      </c>
      <c r="H27" s="14"/>
      <c r="I27" s="14"/>
      <c r="J27" s="14"/>
      <c r="K27" s="14" t="str">
        <f>"150,0"</f>
        <v>150,0</v>
      </c>
      <c r="L27" s="14" t="str">
        <f>"111,7717"</f>
        <v>111,7717</v>
      </c>
      <c r="M27" s="13"/>
    </row>
    <row r="28" spans="1:13">
      <c r="B28" s="5" t="s">
        <v>409</v>
      </c>
    </row>
    <row r="29" spans="1:13" ht="16">
      <c r="A29" s="57" t="s">
        <v>280</v>
      </c>
      <c r="B29" s="57"/>
      <c r="C29" s="57"/>
      <c r="D29" s="57"/>
      <c r="E29" s="57"/>
      <c r="F29" s="57"/>
      <c r="G29" s="57"/>
      <c r="H29" s="57"/>
      <c r="I29" s="57"/>
      <c r="J29" s="57"/>
    </row>
    <row r="30" spans="1:13">
      <c r="A30" s="10" t="s">
        <v>408</v>
      </c>
      <c r="B30" s="9" t="s">
        <v>2560</v>
      </c>
      <c r="C30" s="9" t="s">
        <v>2561</v>
      </c>
      <c r="D30" s="9" t="s">
        <v>2562</v>
      </c>
      <c r="E30" s="9" t="s">
        <v>3751</v>
      </c>
      <c r="F30" s="9" t="s">
        <v>3658</v>
      </c>
      <c r="G30" s="23" t="s">
        <v>114</v>
      </c>
      <c r="H30" s="22" t="s">
        <v>128</v>
      </c>
      <c r="I30" s="23" t="s">
        <v>128</v>
      </c>
      <c r="J30" s="10"/>
      <c r="K30" s="10" t="str">
        <f>"300,0"</f>
        <v>300,0</v>
      </c>
      <c r="L30" s="10" t="str">
        <f>"168,5700"</f>
        <v>168,5700</v>
      </c>
      <c r="M30" s="9"/>
    </row>
    <row r="31" spans="1:13">
      <c r="A31" s="14" t="s">
        <v>408</v>
      </c>
      <c r="B31" s="13" t="s">
        <v>2560</v>
      </c>
      <c r="C31" s="13" t="s">
        <v>2563</v>
      </c>
      <c r="D31" s="13" t="s">
        <v>2562</v>
      </c>
      <c r="E31" s="13" t="s">
        <v>3753</v>
      </c>
      <c r="F31" s="13" t="s">
        <v>3658</v>
      </c>
      <c r="G31" s="26" t="s">
        <v>114</v>
      </c>
      <c r="H31" s="27" t="s">
        <v>128</v>
      </c>
      <c r="I31" s="26" t="s">
        <v>128</v>
      </c>
      <c r="J31" s="14"/>
      <c r="K31" s="14" t="str">
        <f>"300,0"</f>
        <v>300,0</v>
      </c>
      <c r="L31" s="14" t="str">
        <f>"180,0328"</f>
        <v>180,0328</v>
      </c>
      <c r="M31" s="13"/>
    </row>
    <row r="32" spans="1:13">
      <c r="B32" s="5" t="s">
        <v>409</v>
      </c>
    </row>
    <row r="33" spans="1:13" ht="16">
      <c r="A33" s="57" t="s">
        <v>328</v>
      </c>
      <c r="B33" s="57"/>
      <c r="C33" s="57"/>
      <c r="D33" s="57"/>
      <c r="E33" s="57"/>
      <c r="F33" s="57"/>
      <c r="G33" s="57"/>
      <c r="H33" s="57"/>
      <c r="I33" s="57"/>
      <c r="J33" s="57"/>
    </row>
    <row r="34" spans="1:13">
      <c r="A34" s="10" t="s">
        <v>408</v>
      </c>
      <c r="B34" s="9" t="s">
        <v>2564</v>
      </c>
      <c r="C34" s="9" t="s">
        <v>2565</v>
      </c>
      <c r="D34" s="9" t="s">
        <v>2566</v>
      </c>
      <c r="E34" s="9" t="s">
        <v>3754</v>
      </c>
      <c r="F34" s="9" t="s">
        <v>3531</v>
      </c>
      <c r="G34" s="23" t="s">
        <v>221</v>
      </c>
      <c r="H34" s="23" t="s">
        <v>333</v>
      </c>
      <c r="I34" s="22" t="s">
        <v>2555</v>
      </c>
      <c r="J34" s="10"/>
      <c r="K34" s="10" t="str">
        <f>"350,0"</f>
        <v>350,0</v>
      </c>
      <c r="L34" s="10" t="str">
        <f>"190,1410"</f>
        <v>190,1410</v>
      </c>
      <c r="M34" s="9"/>
    </row>
    <row r="35" spans="1:13">
      <c r="A35" s="12" t="s">
        <v>408</v>
      </c>
      <c r="B35" s="11" t="s">
        <v>2564</v>
      </c>
      <c r="C35" s="11" t="s">
        <v>2567</v>
      </c>
      <c r="D35" s="11" t="s">
        <v>2566</v>
      </c>
      <c r="E35" s="11" t="s">
        <v>3751</v>
      </c>
      <c r="F35" s="11" t="s">
        <v>3531</v>
      </c>
      <c r="G35" s="24" t="s">
        <v>221</v>
      </c>
      <c r="H35" s="24" t="s">
        <v>333</v>
      </c>
      <c r="I35" s="25" t="s">
        <v>2555</v>
      </c>
      <c r="J35" s="12"/>
      <c r="K35" s="12" t="str">
        <f>"350,0"</f>
        <v>350,0</v>
      </c>
      <c r="L35" s="12" t="str">
        <f>"190,1410"</f>
        <v>190,1410</v>
      </c>
      <c r="M35" s="11"/>
    </row>
    <row r="36" spans="1:13">
      <c r="A36" s="12" t="s">
        <v>410</v>
      </c>
      <c r="B36" s="11" t="s">
        <v>2568</v>
      </c>
      <c r="C36" s="11" t="s">
        <v>2569</v>
      </c>
      <c r="D36" s="11" t="s">
        <v>345</v>
      </c>
      <c r="E36" s="11" t="s">
        <v>3751</v>
      </c>
      <c r="F36" s="11" t="s">
        <v>3694</v>
      </c>
      <c r="G36" s="25" t="s">
        <v>212</v>
      </c>
      <c r="H36" s="24" t="s">
        <v>212</v>
      </c>
      <c r="I36" s="25" t="s">
        <v>2570</v>
      </c>
      <c r="J36" s="12"/>
      <c r="K36" s="12" t="str">
        <f>"330,0"</f>
        <v>330,0</v>
      </c>
      <c r="L36" s="12" t="str">
        <f>"176,2844"</f>
        <v>176,2844</v>
      </c>
      <c r="M36" s="11"/>
    </row>
    <row r="37" spans="1:13">
      <c r="A37" s="12" t="s">
        <v>411</v>
      </c>
      <c r="B37" s="11" t="s">
        <v>1449</v>
      </c>
      <c r="C37" s="11" t="s">
        <v>1450</v>
      </c>
      <c r="D37" s="11" t="s">
        <v>1451</v>
      </c>
      <c r="E37" s="11" t="s">
        <v>3751</v>
      </c>
      <c r="F37" s="11" t="s">
        <v>75</v>
      </c>
      <c r="G37" s="25" t="s">
        <v>128</v>
      </c>
      <c r="H37" s="24" t="s">
        <v>128</v>
      </c>
      <c r="I37" s="25" t="s">
        <v>162</v>
      </c>
      <c r="J37" s="12"/>
      <c r="K37" s="12" t="str">
        <f>"300,0"</f>
        <v>300,0</v>
      </c>
      <c r="L37" s="12" t="str">
        <f>"159,4305"</f>
        <v>159,4305</v>
      </c>
      <c r="M37" s="11"/>
    </row>
    <row r="38" spans="1:13">
      <c r="A38" s="12" t="s">
        <v>408</v>
      </c>
      <c r="B38" s="11" t="s">
        <v>2568</v>
      </c>
      <c r="C38" s="11" t="s">
        <v>2571</v>
      </c>
      <c r="D38" s="11" t="s">
        <v>345</v>
      </c>
      <c r="E38" s="11" t="s">
        <v>3753</v>
      </c>
      <c r="F38" s="11" t="s">
        <v>3694</v>
      </c>
      <c r="G38" s="25" t="s">
        <v>212</v>
      </c>
      <c r="H38" s="24" t="s">
        <v>212</v>
      </c>
      <c r="I38" s="25" t="s">
        <v>2570</v>
      </c>
      <c r="J38" s="12"/>
      <c r="K38" s="12" t="str">
        <f>"330,0"</f>
        <v>330,0</v>
      </c>
      <c r="L38" s="12" t="str">
        <f>"193,3839"</f>
        <v>193,3839</v>
      </c>
      <c r="M38" s="11"/>
    </row>
    <row r="39" spans="1:13">
      <c r="A39" s="14" t="s">
        <v>410</v>
      </c>
      <c r="B39" s="13" t="s">
        <v>343</v>
      </c>
      <c r="C39" s="13" t="s">
        <v>344</v>
      </c>
      <c r="D39" s="13" t="s">
        <v>345</v>
      </c>
      <c r="E39" s="13" t="s">
        <v>3753</v>
      </c>
      <c r="F39" s="13" t="s">
        <v>3580</v>
      </c>
      <c r="G39" s="27" t="s">
        <v>134</v>
      </c>
      <c r="H39" s="26" t="s">
        <v>134</v>
      </c>
      <c r="I39" s="26" t="s">
        <v>110</v>
      </c>
      <c r="J39" s="14"/>
      <c r="K39" s="14" t="str">
        <f>"275,0"</f>
        <v>275,0</v>
      </c>
      <c r="L39" s="14" t="str">
        <f>"161,1533"</f>
        <v>161,1533</v>
      </c>
      <c r="M39" s="13" t="s">
        <v>188</v>
      </c>
    </row>
    <row r="40" spans="1:13">
      <c r="B40" s="5" t="s">
        <v>409</v>
      </c>
    </row>
    <row r="41" spans="1:13" ht="16">
      <c r="A41" s="57" t="s">
        <v>346</v>
      </c>
      <c r="B41" s="57"/>
      <c r="C41" s="57"/>
      <c r="D41" s="57"/>
      <c r="E41" s="57"/>
      <c r="F41" s="57"/>
      <c r="G41" s="57"/>
      <c r="H41" s="57"/>
      <c r="I41" s="57"/>
      <c r="J41" s="57"/>
    </row>
    <row r="42" spans="1:13">
      <c r="A42" s="8" t="s">
        <v>408</v>
      </c>
      <c r="B42" s="7" t="s">
        <v>3393</v>
      </c>
      <c r="C42" s="7" t="s">
        <v>2477</v>
      </c>
      <c r="D42" s="7" t="s">
        <v>2572</v>
      </c>
      <c r="E42" s="7" t="s">
        <v>3751</v>
      </c>
      <c r="F42" s="7" t="s">
        <v>75</v>
      </c>
      <c r="G42" s="21" t="s">
        <v>211</v>
      </c>
      <c r="H42" s="20" t="s">
        <v>211</v>
      </c>
      <c r="I42" s="21" t="s">
        <v>1337</v>
      </c>
      <c r="J42" s="8"/>
      <c r="K42" s="8" t="str">
        <f>"320,0"</f>
        <v>320,0</v>
      </c>
      <c r="L42" s="8" t="str">
        <f>"163,8480"</f>
        <v>163,8480</v>
      </c>
      <c r="M42" s="7"/>
    </row>
    <row r="43" spans="1:13">
      <c r="B43" s="5" t="s">
        <v>409</v>
      </c>
    </row>
    <row r="44" spans="1:13">
      <c r="B44" s="5" t="s">
        <v>409</v>
      </c>
    </row>
    <row r="45" spans="1:13">
      <c r="B45" s="5" t="s">
        <v>409</v>
      </c>
    </row>
    <row r="46" spans="1:13" ht="18">
      <c r="B46" s="15" t="s">
        <v>365</v>
      </c>
      <c r="C46" s="15"/>
      <c r="F46" s="3"/>
    </row>
    <row r="47" spans="1:13" ht="16">
      <c r="B47" s="16" t="s">
        <v>385</v>
      </c>
      <c r="C47" s="16"/>
      <c r="F47" s="3"/>
    </row>
    <row r="48" spans="1:13" ht="14">
      <c r="B48" s="17"/>
      <c r="C48" s="18" t="s">
        <v>367</v>
      </c>
      <c r="F48" s="3"/>
    </row>
    <row r="49" spans="2:6" ht="14">
      <c r="B49" s="19" t="s">
        <v>368</v>
      </c>
      <c r="C49" s="19" t="s">
        <v>369</v>
      </c>
      <c r="D49" s="19" t="s">
        <v>370</v>
      </c>
      <c r="E49" s="19" t="s">
        <v>1456</v>
      </c>
      <c r="F49" s="19" t="s">
        <v>1457</v>
      </c>
    </row>
    <row r="50" spans="2:6">
      <c r="B50" s="5" t="s">
        <v>2548</v>
      </c>
      <c r="C50" s="5" t="s">
        <v>367</v>
      </c>
      <c r="D50" s="6" t="s">
        <v>391</v>
      </c>
      <c r="E50" s="6" t="s">
        <v>263</v>
      </c>
      <c r="F50" s="6" t="s">
        <v>2574</v>
      </c>
    </row>
    <row r="51" spans="2:6">
      <c r="B51" s="5" t="s">
        <v>2542</v>
      </c>
      <c r="C51" s="5" t="s">
        <v>367</v>
      </c>
      <c r="D51" s="6" t="s">
        <v>394</v>
      </c>
      <c r="E51" s="6" t="s">
        <v>217</v>
      </c>
      <c r="F51" s="6" t="s">
        <v>2575</v>
      </c>
    </row>
    <row r="52" spans="2:6">
      <c r="B52" s="5" t="s">
        <v>2564</v>
      </c>
      <c r="C52" s="5" t="s">
        <v>367</v>
      </c>
      <c r="D52" s="6" t="s">
        <v>389</v>
      </c>
      <c r="E52" s="6" t="s">
        <v>333</v>
      </c>
      <c r="F52" s="6" t="s">
        <v>2573</v>
      </c>
    </row>
  </sheetData>
  <mergeCells count="19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41:J41"/>
    <mergeCell ref="B3:B4"/>
    <mergeCell ref="A8:J8"/>
    <mergeCell ref="A12:J12"/>
    <mergeCell ref="A16:J16"/>
    <mergeCell ref="A19:J19"/>
    <mergeCell ref="A29:J29"/>
    <mergeCell ref="A33:J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6"/>
  <sheetViews>
    <sheetView topLeftCell="A7" workbookViewId="0">
      <selection activeCell="G7" sqref="G1:G1048576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7.33203125" style="5" bestFit="1" customWidth="1"/>
    <col min="14" max="16384" width="9.1640625" style="3"/>
  </cols>
  <sheetData>
    <row r="1" spans="1:13" s="2" customFormat="1" ht="29" customHeight="1">
      <c r="A1" s="68" t="s">
        <v>3288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2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55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408</v>
      </c>
      <c r="B6" s="9" t="s">
        <v>3183</v>
      </c>
      <c r="C6" s="9" t="s">
        <v>3184</v>
      </c>
      <c r="D6" s="9" t="s">
        <v>1056</v>
      </c>
      <c r="E6" s="9" t="s">
        <v>3756</v>
      </c>
      <c r="F6" s="9" t="s">
        <v>3728</v>
      </c>
      <c r="G6" s="23" t="s">
        <v>889</v>
      </c>
      <c r="H6" s="23" t="s">
        <v>53</v>
      </c>
      <c r="I6" s="22" t="s">
        <v>855</v>
      </c>
      <c r="J6" s="10"/>
      <c r="K6" s="10" t="str">
        <f>"60,0"</f>
        <v>60,0</v>
      </c>
      <c r="L6" s="10" t="str">
        <f>"68,9247"</f>
        <v>68,9247</v>
      </c>
      <c r="M6" s="9" t="s">
        <v>3185</v>
      </c>
    </row>
    <row r="7" spans="1:13">
      <c r="A7" s="14" t="s">
        <v>408</v>
      </c>
      <c r="B7" s="13" t="s">
        <v>3186</v>
      </c>
      <c r="C7" s="13" t="s">
        <v>3187</v>
      </c>
      <c r="D7" s="13" t="s">
        <v>1933</v>
      </c>
      <c r="E7" s="13" t="s">
        <v>3757</v>
      </c>
      <c r="F7" s="13" t="s">
        <v>3728</v>
      </c>
      <c r="G7" s="26" t="s">
        <v>440</v>
      </c>
      <c r="H7" s="27" t="s">
        <v>17</v>
      </c>
      <c r="I7" s="27" t="s">
        <v>17</v>
      </c>
      <c r="J7" s="14"/>
      <c r="K7" s="14" t="str">
        <f>"42,5"</f>
        <v>42,5</v>
      </c>
      <c r="L7" s="14" t="str">
        <f>"54,3250"</f>
        <v>54,3250</v>
      </c>
      <c r="M7" s="13" t="s">
        <v>3194</v>
      </c>
    </row>
    <row r="8" spans="1:13">
      <c r="B8" s="5" t="s">
        <v>409</v>
      </c>
    </row>
    <row r="9" spans="1:13" ht="16">
      <c r="A9" s="57" t="s">
        <v>62</v>
      </c>
      <c r="B9" s="57"/>
      <c r="C9" s="57"/>
      <c r="D9" s="57"/>
      <c r="E9" s="57"/>
      <c r="F9" s="57"/>
      <c r="G9" s="57"/>
      <c r="H9" s="57"/>
      <c r="I9" s="57"/>
      <c r="J9" s="57"/>
    </row>
    <row r="10" spans="1:13">
      <c r="A10" s="8" t="s">
        <v>408</v>
      </c>
      <c r="B10" s="7" t="s">
        <v>3188</v>
      </c>
      <c r="C10" s="7" t="s">
        <v>3189</v>
      </c>
      <c r="D10" s="7" t="s">
        <v>3190</v>
      </c>
      <c r="E10" s="7" t="s">
        <v>3758</v>
      </c>
      <c r="F10" s="7" t="s">
        <v>3709</v>
      </c>
      <c r="G10" s="20" t="s">
        <v>865</v>
      </c>
      <c r="H10" s="21" t="s">
        <v>889</v>
      </c>
      <c r="I10" s="21" t="s">
        <v>889</v>
      </c>
      <c r="J10" s="8"/>
      <c r="K10" s="8" t="str">
        <f>"52,5"</f>
        <v>52,5</v>
      </c>
      <c r="L10" s="8" t="str">
        <f>"76,6010"</f>
        <v>76,6010</v>
      </c>
      <c r="M10" s="7" t="s">
        <v>3185</v>
      </c>
    </row>
    <row r="11" spans="1:13">
      <c r="B11" s="5" t="s">
        <v>409</v>
      </c>
    </row>
    <row r="12" spans="1:13" ht="16">
      <c r="A12" s="57" t="s">
        <v>150</v>
      </c>
      <c r="B12" s="57"/>
      <c r="C12" s="57"/>
      <c r="D12" s="57"/>
      <c r="E12" s="57"/>
      <c r="F12" s="57"/>
      <c r="G12" s="57"/>
      <c r="H12" s="57"/>
      <c r="I12" s="57"/>
      <c r="J12" s="57"/>
    </row>
    <row r="13" spans="1:13">
      <c r="A13" s="8" t="s">
        <v>408</v>
      </c>
      <c r="B13" s="7" t="s">
        <v>3191</v>
      </c>
      <c r="C13" s="7" t="s">
        <v>3192</v>
      </c>
      <c r="D13" s="7" t="s">
        <v>158</v>
      </c>
      <c r="E13" s="7" t="s">
        <v>3757</v>
      </c>
      <c r="F13" s="7" t="s">
        <v>3728</v>
      </c>
      <c r="G13" s="20" t="s">
        <v>15</v>
      </c>
      <c r="H13" s="20" t="s">
        <v>18</v>
      </c>
      <c r="I13" s="20" t="s">
        <v>435</v>
      </c>
      <c r="J13" s="21" t="s">
        <v>3193</v>
      </c>
      <c r="K13" s="8" t="str">
        <f>"85,0"</f>
        <v>85,0</v>
      </c>
      <c r="L13" s="8" t="str">
        <f>"90,9571"</f>
        <v>90,9571</v>
      </c>
      <c r="M13" s="7" t="s">
        <v>3194</v>
      </c>
    </row>
    <row r="14" spans="1:13">
      <c r="B14" s="5" t="s">
        <v>409</v>
      </c>
    </row>
    <row r="15" spans="1:13" ht="16">
      <c r="A15" s="57" t="s">
        <v>9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3">
      <c r="A16" s="8" t="s">
        <v>408</v>
      </c>
      <c r="B16" s="7" t="s">
        <v>3195</v>
      </c>
      <c r="C16" s="7" t="s">
        <v>3232</v>
      </c>
      <c r="D16" s="7" t="s">
        <v>3196</v>
      </c>
      <c r="E16" s="7" t="s">
        <v>3754</v>
      </c>
      <c r="F16" s="7" t="s">
        <v>3637</v>
      </c>
      <c r="G16" s="20" t="s">
        <v>889</v>
      </c>
      <c r="H16" s="21" t="s">
        <v>53</v>
      </c>
      <c r="I16" s="21" t="s">
        <v>53</v>
      </c>
      <c r="J16" s="8"/>
      <c r="K16" s="8" t="str">
        <f>"57,5"</f>
        <v>57,5</v>
      </c>
      <c r="L16" s="8" t="str">
        <f>"59,5700"</f>
        <v>59,5700</v>
      </c>
      <c r="M16" s="7" t="s">
        <v>3289</v>
      </c>
    </row>
    <row r="17" spans="1:13">
      <c r="B17" s="5" t="s">
        <v>409</v>
      </c>
    </row>
    <row r="18" spans="1:13" ht="16">
      <c r="A18" s="57" t="s">
        <v>55</v>
      </c>
      <c r="B18" s="57"/>
      <c r="C18" s="57"/>
      <c r="D18" s="57"/>
      <c r="E18" s="57"/>
      <c r="F18" s="57"/>
      <c r="G18" s="57"/>
      <c r="H18" s="57"/>
      <c r="I18" s="57"/>
      <c r="J18" s="57"/>
    </row>
    <row r="19" spans="1:13">
      <c r="A19" s="8" t="s">
        <v>408</v>
      </c>
      <c r="B19" s="7" t="s">
        <v>3197</v>
      </c>
      <c r="C19" s="7" t="s">
        <v>3198</v>
      </c>
      <c r="D19" s="7" t="s">
        <v>1044</v>
      </c>
      <c r="E19" s="7" t="s">
        <v>3751</v>
      </c>
      <c r="F19" s="7" t="s">
        <v>3720</v>
      </c>
      <c r="G19" s="20" t="s">
        <v>78</v>
      </c>
      <c r="H19" s="20" t="s">
        <v>77</v>
      </c>
      <c r="I19" s="20" t="s">
        <v>132</v>
      </c>
      <c r="J19" s="8"/>
      <c r="K19" s="8" t="str">
        <f>"130,0"</f>
        <v>130,0</v>
      </c>
      <c r="L19" s="8" t="str">
        <f>"99,0600"</f>
        <v>99,0600</v>
      </c>
      <c r="M19" s="7" t="s">
        <v>1822</v>
      </c>
    </row>
    <row r="20" spans="1:13">
      <c r="B20" s="5" t="s">
        <v>409</v>
      </c>
    </row>
    <row r="21" spans="1:13" ht="16">
      <c r="A21" s="57" t="s">
        <v>93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3">
      <c r="A22" s="10" t="s">
        <v>408</v>
      </c>
      <c r="B22" s="9" t="s">
        <v>3199</v>
      </c>
      <c r="C22" s="9" t="s">
        <v>3233</v>
      </c>
      <c r="D22" s="9" t="s">
        <v>1073</v>
      </c>
      <c r="E22" s="9" t="s">
        <v>3760</v>
      </c>
      <c r="F22" s="9" t="s">
        <v>3729</v>
      </c>
      <c r="G22" s="23" t="s">
        <v>84</v>
      </c>
      <c r="H22" s="23" t="s">
        <v>3200</v>
      </c>
      <c r="I22" s="22" t="s">
        <v>248</v>
      </c>
      <c r="J22" s="10"/>
      <c r="K22" s="10" t="str">
        <f>"135,5"</f>
        <v>135,5</v>
      </c>
      <c r="L22" s="10" t="str">
        <f>"94,1319"</f>
        <v>94,1319</v>
      </c>
      <c r="M22" s="9" t="s">
        <v>3201</v>
      </c>
    </row>
    <row r="23" spans="1:13">
      <c r="A23" s="12" t="s">
        <v>410</v>
      </c>
      <c r="B23" s="11" t="s">
        <v>3202</v>
      </c>
      <c r="C23" s="11" t="s">
        <v>3234</v>
      </c>
      <c r="D23" s="11" t="s">
        <v>1947</v>
      </c>
      <c r="E23" s="11" t="s">
        <v>3760</v>
      </c>
      <c r="F23" s="11" t="s">
        <v>3637</v>
      </c>
      <c r="G23" s="24" t="s">
        <v>16</v>
      </c>
      <c r="H23" s="24" t="s">
        <v>864</v>
      </c>
      <c r="I23" s="25" t="s">
        <v>865</v>
      </c>
      <c r="J23" s="12"/>
      <c r="K23" s="12" t="str">
        <f>"47,5"</f>
        <v>47,5</v>
      </c>
      <c r="L23" s="12" t="str">
        <f>"34,1857"</f>
        <v>34,1857</v>
      </c>
      <c r="M23" s="11" t="s">
        <v>3289</v>
      </c>
    </row>
    <row r="24" spans="1:13">
      <c r="A24" s="12" t="s">
        <v>408</v>
      </c>
      <c r="B24" s="11" t="s">
        <v>3199</v>
      </c>
      <c r="C24" s="11" t="s">
        <v>3203</v>
      </c>
      <c r="D24" s="11" t="s">
        <v>1073</v>
      </c>
      <c r="E24" s="11" t="s">
        <v>3751</v>
      </c>
      <c r="F24" s="11" t="s">
        <v>3729</v>
      </c>
      <c r="G24" s="24" t="s">
        <v>84</v>
      </c>
      <c r="H24" s="24" t="s">
        <v>3200</v>
      </c>
      <c r="I24" s="25" t="s">
        <v>248</v>
      </c>
      <c r="J24" s="12"/>
      <c r="K24" s="12" t="str">
        <f>"135,5"</f>
        <v>135,5</v>
      </c>
      <c r="L24" s="12" t="str">
        <f>"94,1319"</f>
        <v>94,1319</v>
      </c>
      <c r="M24" s="11" t="s">
        <v>3201</v>
      </c>
    </row>
    <row r="25" spans="1:13">
      <c r="A25" s="14" t="s">
        <v>408</v>
      </c>
      <c r="B25" s="13" t="s">
        <v>3204</v>
      </c>
      <c r="C25" s="13" t="s">
        <v>3205</v>
      </c>
      <c r="D25" s="13" t="s">
        <v>3206</v>
      </c>
      <c r="E25" s="13" t="s">
        <v>3753</v>
      </c>
      <c r="F25" s="13" t="s">
        <v>3709</v>
      </c>
      <c r="G25" s="26" t="s">
        <v>14</v>
      </c>
      <c r="H25" s="26" t="s">
        <v>15</v>
      </c>
      <c r="I25" s="26" t="s">
        <v>18</v>
      </c>
      <c r="J25" s="14"/>
      <c r="K25" s="14" t="str">
        <f>"80,0"</f>
        <v>80,0</v>
      </c>
      <c r="L25" s="14" t="str">
        <f>"59,5394"</f>
        <v>59,5394</v>
      </c>
      <c r="M25" s="13" t="s">
        <v>3185</v>
      </c>
    </row>
    <row r="26" spans="1:13">
      <c r="B26" s="5" t="s">
        <v>409</v>
      </c>
    </row>
    <row r="27" spans="1:13" ht="16">
      <c r="A27" s="57" t="s">
        <v>62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3">
      <c r="A28" s="8" t="s">
        <v>408</v>
      </c>
      <c r="B28" s="7" t="s">
        <v>3207</v>
      </c>
      <c r="C28" s="7" t="s">
        <v>3208</v>
      </c>
      <c r="D28" s="7" t="s">
        <v>123</v>
      </c>
      <c r="E28" s="7" t="s">
        <v>3757</v>
      </c>
      <c r="F28" s="7" t="s">
        <v>3709</v>
      </c>
      <c r="G28" s="21" t="s">
        <v>38</v>
      </c>
      <c r="H28" s="20" t="s">
        <v>38</v>
      </c>
      <c r="I28" s="20" t="s">
        <v>69</v>
      </c>
      <c r="J28" s="8"/>
      <c r="K28" s="8" t="str">
        <f>"95,0"</f>
        <v>95,0</v>
      </c>
      <c r="L28" s="8" t="str">
        <f>"94,4887"</f>
        <v>94,4887</v>
      </c>
      <c r="M28" s="7" t="s">
        <v>3194</v>
      </c>
    </row>
    <row r="29" spans="1:13">
      <c r="B29" s="5" t="s">
        <v>409</v>
      </c>
    </row>
    <row r="30" spans="1:13" ht="16">
      <c r="A30" s="57" t="s">
        <v>150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3">
      <c r="A31" s="10" t="s">
        <v>408</v>
      </c>
      <c r="B31" s="9" t="s">
        <v>3209</v>
      </c>
      <c r="C31" s="9" t="s">
        <v>3210</v>
      </c>
      <c r="D31" s="9" t="s">
        <v>695</v>
      </c>
      <c r="E31" s="9" t="s">
        <v>3753</v>
      </c>
      <c r="F31" s="9" t="s">
        <v>3709</v>
      </c>
      <c r="G31" s="23" t="s">
        <v>39</v>
      </c>
      <c r="H31" s="22" t="s">
        <v>54</v>
      </c>
      <c r="I31" s="22" t="s">
        <v>54</v>
      </c>
      <c r="J31" s="10"/>
      <c r="K31" s="10" t="str">
        <f>"100,0"</f>
        <v>100,0</v>
      </c>
      <c r="L31" s="10" t="str">
        <f>"68,8093"</f>
        <v>68,8093</v>
      </c>
      <c r="M31" s="9" t="s">
        <v>3185</v>
      </c>
    </row>
    <row r="32" spans="1:13">
      <c r="A32" s="14" t="s">
        <v>408</v>
      </c>
      <c r="B32" s="13" t="s">
        <v>3211</v>
      </c>
      <c r="C32" s="13" t="s">
        <v>3212</v>
      </c>
      <c r="D32" s="13" t="s">
        <v>1605</v>
      </c>
      <c r="E32" s="13" t="s">
        <v>3757</v>
      </c>
      <c r="F32" s="13" t="s">
        <v>3730</v>
      </c>
      <c r="G32" s="26" t="s">
        <v>106</v>
      </c>
      <c r="H32" s="26" t="s">
        <v>78</v>
      </c>
      <c r="I32" s="26" t="s">
        <v>3213</v>
      </c>
      <c r="J32" s="14"/>
      <c r="K32" s="14" t="str">
        <f>"117,0"</f>
        <v>117,0</v>
      </c>
      <c r="L32" s="14" t="str">
        <f>"104,3323"</f>
        <v>104,3323</v>
      </c>
      <c r="M32" s="13" t="s">
        <v>3185</v>
      </c>
    </row>
    <row r="33" spans="1:13">
      <c r="B33" s="5" t="s">
        <v>409</v>
      </c>
    </row>
    <row r="34" spans="1:13" ht="16">
      <c r="A34" s="57" t="s">
        <v>195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3">
      <c r="A35" s="10" t="s">
        <v>408</v>
      </c>
      <c r="B35" s="9" t="s">
        <v>3214</v>
      </c>
      <c r="C35" s="9" t="s">
        <v>3215</v>
      </c>
      <c r="D35" s="9" t="s">
        <v>1635</v>
      </c>
      <c r="E35" s="9" t="s">
        <v>3757</v>
      </c>
      <c r="F35" s="9" t="s">
        <v>3731</v>
      </c>
      <c r="G35" s="22" t="s">
        <v>54</v>
      </c>
      <c r="H35" s="23" t="s">
        <v>54</v>
      </c>
      <c r="I35" s="23" t="s">
        <v>106</v>
      </c>
      <c r="J35" s="10"/>
      <c r="K35" s="10" t="str">
        <f>"110,0"</f>
        <v>110,0</v>
      </c>
      <c r="L35" s="10" t="str">
        <f>"100,9724"</f>
        <v>100,9724</v>
      </c>
      <c r="M35" s="9" t="s">
        <v>3194</v>
      </c>
    </row>
    <row r="36" spans="1:13">
      <c r="A36" s="14" t="s">
        <v>408</v>
      </c>
      <c r="B36" s="13" t="s">
        <v>3216</v>
      </c>
      <c r="C36" s="13" t="s">
        <v>3217</v>
      </c>
      <c r="D36" s="13" t="s">
        <v>3218</v>
      </c>
      <c r="E36" s="13" t="s">
        <v>3758</v>
      </c>
      <c r="F36" s="13" t="s">
        <v>3709</v>
      </c>
      <c r="G36" s="26" t="s">
        <v>591</v>
      </c>
      <c r="H36" s="26" t="s">
        <v>622</v>
      </c>
      <c r="I36" s="26" t="s">
        <v>27</v>
      </c>
      <c r="J36" s="14"/>
      <c r="K36" s="14" t="str">
        <f>"77,5"</f>
        <v>77,5</v>
      </c>
      <c r="L36" s="14" t="str">
        <f>"87,2267"</f>
        <v>87,2267</v>
      </c>
      <c r="M36" s="13" t="s">
        <v>3194</v>
      </c>
    </row>
    <row r="37" spans="1:13">
      <c r="B37" s="5" t="s">
        <v>409</v>
      </c>
    </row>
    <row r="38" spans="1:13" ht="16">
      <c r="A38" s="57" t="s">
        <v>258</v>
      </c>
      <c r="B38" s="57"/>
      <c r="C38" s="57"/>
      <c r="D38" s="57"/>
      <c r="E38" s="57"/>
      <c r="F38" s="57"/>
      <c r="G38" s="57"/>
      <c r="H38" s="57"/>
      <c r="I38" s="57"/>
      <c r="J38" s="57"/>
    </row>
    <row r="39" spans="1:13">
      <c r="A39" s="8" t="s">
        <v>408</v>
      </c>
      <c r="B39" s="7" t="s">
        <v>3219</v>
      </c>
      <c r="C39" s="7" t="s">
        <v>3220</v>
      </c>
      <c r="D39" s="7" t="s">
        <v>3221</v>
      </c>
      <c r="E39" s="7" t="s">
        <v>3756</v>
      </c>
      <c r="F39" s="7" t="s">
        <v>3709</v>
      </c>
      <c r="G39" s="20" t="s">
        <v>25</v>
      </c>
      <c r="H39" s="20" t="s">
        <v>35</v>
      </c>
      <c r="I39" s="20" t="s">
        <v>46</v>
      </c>
      <c r="J39" s="8"/>
      <c r="K39" s="8" t="str">
        <f>"155,0"</f>
        <v>155,0</v>
      </c>
      <c r="L39" s="8" t="str">
        <f>"104,1737"</f>
        <v>104,1737</v>
      </c>
      <c r="M39" s="7"/>
    </row>
    <row r="40" spans="1:13">
      <c r="B40" s="5" t="s">
        <v>409</v>
      </c>
    </row>
    <row r="41" spans="1:13" ht="16">
      <c r="A41" s="57" t="s">
        <v>328</v>
      </c>
      <c r="B41" s="57"/>
      <c r="C41" s="57"/>
      <c r="D41" s="57"/>
      <c r="E41" s="57"/>
      <c r="F41" s="57"/>
      <c r="G41" s="57"/>
      <c r="H41" s="57"/>
      <c r="I41" s="57"/>
      <c r="J41" s="57"/>
    </row>
    <row r="42" spans="1:13">
      <c r="A42" s="8" t="s">
        <v>408</v>
      </c>
      <c r="B42" s="7" t="s">
        <v>3222</v>
      </c>
      <c r="C42" s="7" t="s">
        <v>3223</v>
      </c>
      <c r="D42" s="7" t="s">
        <v>3224</v>
      </c>
      <c r="E42" s="7" t="s">
        <v>3753</v>
      </c>
      <c r="F42" s="7" t="s">
        <v>3720</v>
      </c>
      <c r="G42" s="20" t="s">
        <v>106</v>
      </c>
      <c r="H42" s="20" t="s">
        <v>132</v>
      </c>
      <c r="I42" s="21" t="s">
        <v>35</v>
      </c>
      <c r="J42" s="8"/>
      <c r="K42" s="8" t="str">
        <f>"130,0"</f>
        <v>130,0</v>
      </c>
      <c r="L42" s="8" t="str">
        <f>"69,2731"</f>
        <v>69,2731</v>
      </c>
      <c r="M42" s="7"/>
    </row>
    <row r="43" spans="1:13">
      <c r="B43" s="5" t="s">
        <v>409</v>
      </c>
    </row>
    <row r="44" spans="1:13" ht="16">
      <c r="A44" s="57" t="s">
        <v>346</v>
      </c>
      <c r="B44" s="57"/>
      <c r="C44" s="57"/>
      <c r="D44" s="57"/>
      <c r="E44" s="57"/>
      <c r="F44" s="57"/>
      <c r="G44" s="57"/>
      <c r="H44" s="57"/>
      <c r="I44" s="57"/>
      <c r="J44" s="57"/>
    </row>
    <row r="45" spans="1:13">
      <c r="A45" s="8" t="s">
        <v>408</v>
      </c>
      <c r="B45" s="7" t="s">
        <v>1819</v>
      </c>
      <c r="C45" s="7" t="s">
        <v>1820</v>
      </c>
      <c r="D45" s="7" t="s">
        <v>1821</v>
      </c>
      <c r="E45" s="7" t="s">
        <v>3753</v>
      </c>
      <c r="F45" s="7" t="s">
        <v>3720</v>
      </c>
      <c r="G45" s="20" t="s">
        <v>69</v>
      </c>
      <c r="H45" s="20" t="s">
        <v>39</v>
      </c>
      <c r="I45" s="21" t="s">
        <v>106</v>
      </c>
      <c r="J45" s="8"/>
      <c r="K45" s="8" t="str">
        <f>"100,0"</f>
        <v>100,0</v>
      </c>
      <c r="L45" s="8" t="str">
        <f>"54,0940"</f>
        <v>54,0940</v>
      </c>
      <c r="M45" s="7" t="s">
        <v>1822</v>
      </c>
    </row>
    <row r="46" spans="1:13">
      <c r="B46" s="5" t="s">
        <v>409</v>
      </c>
    </row>
    <row r="47" spans="1:13">
      <c r="B47" s="5" t="s">
        <v>409</v>
      </c>
    </row>
    <row r="48" spans="1:13">
      <c r="B48" s="5" t="s">
        <v>409</v>
      </c>
    </row>
    <row r="49" spans="2:6" ht="18">
      <c r="B49" s="15" t="s">
        <v>365</v>
      </c>
      <c r="C49" s="15"/>
      <c r="F49" s="3"/>
    </row>
    <row r="50" spans="2:6" ht="16">
      <c r="B50" s="16" t="s">
        <v>385</v>
      </c>
      <c r="C50" s="16"/>
      <c r="F50" s="3"/>
    </row>
    <row r="51" spans="2:6" ht="14">
      <c r="B51" s="17"/>
      <c r="C51" s="18" t="s">
        <v>382</v>
      </c>
      <c r="F51" s="3"/>
    </row>
    <row r="52" spans="2:6" ht="14">
      <c r="B52" s="19" t="s">
        <v>368</v>
      </c>
      <c r="C52" s="19" t="s">
        <v>369</v>
      </c>
      <c r="D52" s="19" t="s">
        <v>3230</v>
      </c>
      <c r="E52" s="19" t="s">
        <v>1456</v>
      </c>
      <c r="F52" s="19" t="s">
        <v>1457</v>
      </c>
    </row>
    <row r="53" spans="2:6">
      <c r="B53" s="5" t="s">
        <v>3211</v>
      </c>
      <c r="C53" s="5" t="s">
        <v>403</v>
      </c>
      <c r="D53" s="6" t="s">
        <v>394</v>
      </c>
      <c r="E53" s="6" t="s">
        <v>3213</v>
      </c>
      <c r="F53" s="6" t="s">
        <v>3225</v>
      </c>
    </row>
    <row r="54" spans="2:6">
      <c r="B54" s="5" t="s">
        <v>3219</v>
      </c>
      <c r="C54" s="5" t="s">
        <v>1358</v>
      </c>
      <c r="D54" s="6" t="s">
        <v>391</v>
      </c>
      <c r="E54" s="6" t="s">
        <v>46</v>
      </c>
      <c r="F54" s="6" t="s">
        <v>3226</v>
      </c>
    </row>
    <row r="55" spans="2:6">
      <c r="B55" s="5" t="s">
        <v>3214</v>
      </c>
      <c r="C55" s="5" t="s">
        <v>403</v>
      </c>
      <c r="D55" s="6" t="s">
        <v>390</v>
      </c>
      <c r="E55" s="6" t="s">
        <v>106</v>
      </c>
      <c r="F55" s="6" t="s">
        <v>3227</v>
      </c>
    </row>
    <row r="56" spans="2:6">
      <c r="B56" s="5" t="s">
        <v>409</v>
      </c>
    </row>
  </sheetData>
  <mergeCells count="23">
    <mergeCell ref="A1:M2"/>
    <mergeCell ref="A3:A4"/>
    <mergeCell ref="C3:C4"/>
    <mergeCell ref="D3:D4"/>
    <mergeCell ref="E3:E4"/>
    <mergeCell ref="F3:F4"/>
    <mergeCell ref="G3:J3"/>
    <mergeCell ref="A21:J21"/>
    <mergeCell ref="A27:J27"/>
    <mergeCell ref="K3:K4"/>
    <mergeCell ref="L3:L4"/>
    <mergeCell ref="M3:M4"/>
    <mergeCell ref="A5:J5"/>
    <mergeCell ref="B3:B4"/>
    <mergeCell ref="A9:J9"/>
    <mergeCell ref="A12:J12"/>
    <mergeCell ref="A15:J15"/>
    <mergeCell ref="A18:J18"/>
    <mergeCell ref="A30:J30"/>
    <mergeCell ref="A34:J34"/>
    <mergeCell ref="A38:J38"/>
    <mergeCell ref="A41:J41"/>
    <mergeCell ref="A44:J4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204"/>
  <sheetViews>
    <sheetView topLeftCell="A143" workbookViewId="0">
      <selection activeCell="E169" sqref="E169"/>
    </sheetView>
  </sheetViews>
  <sheetFormatPr baseColWidth="10" defaultColWidth="9.1640625" defaultRowHeight="13"/>
  <cols>
    <col min="1" max="1" width="7.5" style="5" bestFit="1" customWidth="1"/>
    <col min="2" max="2" width="33.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3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31.83203125" style="5" bestFit="1" customWidth="1"/>
    <col min="14" max="16384" width="9.1640625" style="3"/>
  </cols>
  <sheetData>
    <row r="1" spans="1:13" s="2" customFormat="1" ht="29" customHeight="1">
      <c r="A1" s="68" t="s">
        <v>3297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8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851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408</v>
      </c>
      <c r="B6" s="9" t="s">
        <v>852</v>
      </c>
      <c r="C6" s="9" t="s">
        <v>853</v>
      </c>
      <c r="D6" s="9" t="s">
        <v>854</v>
      </c>
      <c r="E6" s="9" t="s">
        <v>3751</v>
      </c>
      <c r="F6" s="9" t="s">
        <v>3508</v>
      </c>
      <c r="G6" s="22" t="s">
        <v>35</v>
      </c>
      <c r="H6" s="23" t="s">
        <v>35</v>
      </c>
      <c r="I6" s="23" t="s">
        <v>46</v>
      </c>
      <c r="J6" s="23" t="s">
        <v>36</v>
      </c>
      <c r="K6" s="30" t="str">
        <f>"155,0"</f>
        <v>155,0</v>
      </c>
      <c r="L6" s="10" t="str">
        <f>"208,1340"</f>
        <v>208,1340</v>
      </c>
      <c r="M6" s="9" t="s">
        <v>856</v>
      </c>
    </row>
    <row r="7" spans="1:13">
      <c r="A7" s="12" t="s">
        <v>410</v>
      </c>
      <c r="B7" s="11" t="s">
        <v>2718</v>
      </c>
      <c r="C7" s="11" t="s">
        <v>2719</v>
      </c>
      <c r="D7" s="11" t="s">
        <v>859</v>
      </c>
      <c r="E7" s="11" t="s">
        <v>3751</v>
      </c>
      <c r="F7" s="11" t="s">
        <v>3699</v>
      </c>
      <c r="G7" s="24" t="s">
        <v>77</v>
      </c>
      <c r="H7" s="24" t="s">
        <v>521</v>
      </c>
      <c r="I7" s="24" t="s">
        <v>85</v>
      </c>
      <c r="J7" s="25" t="s">
        <v>248</v>
      </c>
      <c r="K7" s="31" t="str">
        <f>"135,0"</f>
        <v>135,0</v>
      </c>
      <c r="L7" s="12" t="str">
        <f>"179,6175"</f>
        <v>179,6175</v>
      </c>
      <c r="M7" s="11" t="s">
        <v>3365</v>
      </c>
    </row>
    <row r="8" spans="1:13">
      <c r="A8" s="14" t="s">
        <v>411</v>
      </c>
      <c r="B8" s="13" t="s">
        <v>2720</v>
      </c>
      <c r="C8" s="13" t="s">
        <v>2721</v>
      </c>
      <c r="D8" s="13" t="s">
        <v>2722</v>
      </c>
      <c r="E8" s="13" t="s">
        <v>3751</v>
      </c>
      <c r="F8" s="13" t="s">
        <v>3732</v>
      </c>
      <c r="G8" s="26" t="s">
        <v>76</v>
      </c>
      <c r="H8" s="27" t="s">
        <v>132</v>
      </c>
      <c r="I8" s="27" t="s">
        <v>132</v>
      </c>
      <c r="J8" s="14"/>
      <c r="K8" s="32" t="str">
        <f>"120,0"</f>
        <v>120,0</v>
      </c>
      <c r="L8" s="14" t="str">
        <f>"158,9280"</f>
        <v>158,9280</v>
      </c>
      <c r="M8" s="13" t="s">
        <v>3366</v>
      </c>
    </row>
    <row r="9" spans="1:13">
      <c r="B9" s="5" t="s">
        <v>409</v>
      </c>
    </row>
    <row r="10" spans="1:13" ht="16">
      <c r="A10" s="57" t="s">
        <v>9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3">
      <c r="A11" s="10" t="s">
        <v>408</v>
      </c>
      <c r="B11" s="9" t="s">
        <v>2723</v>
      </c>
      <c r="C11" s="9" t="s">
        <v>2724</v>
      </c>
      <c r="D11" s="9" t="s">
        <v>874</v>
      </c>
      <c r="E11" s="9" t="s">
        <v>3751</v>
      </c>
      <c r="F11" s="9" t="s">
        <v>3509</v>
      </c>
      <c r="G11" s="23" t="s">
        <v>77</v>
      </c>
      <c r="H11" s="23" t="s">
        <v>85</v>
      </c>
      <c r="I11" s="23" t="s">
        <v>45</v>
      </c>
      <c r="J11" s="10"/>
      <c r="K11" s="30" t="str">
        <f>"140,0"</f>
        <v>140,0</v>
      </c>
      <c r="L11" s="10" t="str">
        <f>"175,0560"</f>
        <v>175,0560</v>
      </c>
      <c r="M11" s="9" t="s">
        <v>3367</v>
      </c>
    </row>
    <row r="12" spans="1:13">
      <c r="A12" s="12" t="s">
        <v>410</v>
      </c>
      <c r="B12" s="11" t="s">
        <v>2725</v>
      </c>
      <c r="C12" s="11" t="s">
        <v>2726</v>
      </c>
      <c r="D12" s="11" t="s">
        <v>1024</v>
      </c>
      <c r="E12" s="9" t="s">
        <v>3751</v>
      </c>
      <c r="F12" s="11" t="s">
        <v>3509</v>
      </c>
      <c r="G12" s="24" t="s">
        <v>76</v>
      </c>
      <c r="H12" s="24" t="s">
        <v>77</v>
      </c>
      <c r="I12" s="24" t="s">
        <v>132</v>
      </c>
      <c r="J12" s="12"/>
      <c r="K12" s="31" t="str">
        <f>"130,0"</f>
        <v>130,0</v>
      </c>
      <c r="L12" s="12" t="str">
        <f>"162,3050"</f>
        <v>162,3050</v>
      </c>
      <c r="M12" s="11" t="s">
        <v>3368</v>
      </c>
    </row>
    <row r="13" spans="1:13">
      <c r="A13" s="12" t="s">
        <v>411</v>
      </c>
      <c r="B13" s="11" t="s">
        <v>2727</v>
      </c>
      <c r="C13" s="11" t="s">
        <v>2728</v>
      </c>
      <c r="D13" s="11" t="s">
        <v>2729</v>
      </c>
      <c r="E13" s="9" t="s">
        <v>3751</v>
      </c>
      <c r="F13" s="11" t="s">
        <v>3509</v>
      </c>
      <c r="G13" s="24" t="s">
        <v>79</v>
      </c>
      <c r="H13" s="25" t="s">
        <v>77</v>
      </c>
      <c r="I13" s="24" t="s">
        <v>77</v>
      </c>
      <c r="J13" s="12"/>
      <c r="K13" s="31" t="str">
        <f>"125,0"</f>
        <v>125,0</v>
      </c>
      <c r="L13" s="12" t="str">
        <f>"162,3000"</f>
        <v>162,3000</v>
      </c>
      <c r="M13" s="11" t="s">
        <v>3369</v>
      </c>
    </row>
    <row r="14" spans="1:13">
      <c r="A14" s="12" t="s">
        <v>413</v>
      </c>
      <c r="B14" s="11" t="s">
        <v>2730</v>
      </c>
      <c r="C14" s="11" t="s">
        <v>2731</v>
      </c>
      <c r="D14" s="11" t="s">
        <v>874</v>
      </c>
      <c r="E14" s="9" t="s">
        <v>3751</v>
      </c>
      <c r="F14" s="11" t="s">
        <v>3509</v>
      </c>
      <c r="G14" s="24" t="s">
        <v>106</v>
      </c>
      <c r="H14" s="24" t="s">
        <v>76</v>
      </c>
      <c r="I14" s="25" t="s">
        <v>84</v>
      </c>
      <c r="J14" s="12"/>
      <c r="K14" s="31" t="str">
        <f>"120,0"</f>
        <v>120,0</v>
      </c>
      <c r="L14" s="12" t="str">
        <f>"150,0480"</f>
        <v>150,0480</v>
      </c>
      <c r="M14" s="11" t="s">
        <v>3366</v>
      </c>
    </row>
    <row r="15" spans="1:13">
      <c r="A15" s="12" t="s">
        <v>414</v>
      </c>
      <c r="B15" s="11" t="s">
        <v>875</v>
      </c>
      <c r="C15" s="11" t="s">
        <v>876</v>
      </c>
      <c r="D15" s="11" t="s">
        <v>877</v>
      </c>
      <c r="E15" s="9" t="s">
        <v>3751</v>
      </c>
      <c r="F15" s="11" t="s">
        <v>3513</v>
      </c>
      <c r="G15" s="24" t="s">
        <v>106</v>
      </c>
      <c r="H15" s="24" t="s">
        <v>79</v>
      </c>
      <c r="I15" s="25" t="s">
        <v>451</v>
      </c>
      <c r="J15" s="12"/>
      <c r="K15" s="31" t="str">
        <f>"117,5"</f>
        <v>117,5</v>
      </c>
      <c r="L15" s="12" t="str">
        <f>"149,1310"</f>
        <v>149,1310</v>
      </c>
      <c r="M15" s="11" t="s">
        <v>878</v>
      </c>
    </row>
    <row r="16" spans="1:13">
      <c r="A16" s="12" t="s">
        <v>415</v>
      </c>
      <c r="B16" s="11" t="s">
        <v>2732</v>
      </c>
      <c r="C16" s="11" t="s">
        <v>2733</v>
      </c>
      <c r="D16" s="11" t="s">
        <v>1868</v>
      </c>
      <c r="E16" s="9" t="s">
        <v>3751</v>
      </c>
      <c r="F16" s="11" t="s">
        <v>3534</v>
      </c>
      <c r="G16" s="24" t="s">
        <v>586</v>
      </c>
      <c r="H16" s="24" t="s">
        <v>79</v>
      </c>
      <c r="I16" s="25" t="s">
        <v>451</v>
      </c>
      <c r="J16" s="12"/>
      <c r="K16" s="31" t="str">
        <f>"117,5"</f>
        <v>117,5</v>
      </c>
      <c r="L16" s="12" t="str">
        <f>"147,3567"</f>
        <v>147,3567</v>
      </c>
      <c r="M16" s="11" t="s">
        <v>1016</v>
      </c>
    </row>
    <row r="17" spans="1:13">
      <c r="A17" s="12" t="s">
        <v>416</v>
      </c>
      <c r="B17" s="11" t="s">
        <v>882</v>
      </c>
      <c r="C17" s="11" t="s">
        <v>883</v>
      </c>
      <c r="D17" s="11" t="s">
        <v>12</v>
      </c>
      <c r="E17" s="9" t="s">
        <v>3751</v>
      </c>
      <c r="F17" s="11" t="s">
        <v>3514</v>
      </c>
      <c r="G17" s="24" t="s">
        <v>39</v>
      </c>
      <c r="H17" s="24" t="s">
        <v>586</v>
      </c>
      <c r="I17" s="24" t="s">
        <v>106</v>
      </c>
      <c r="J17" s="12"/>
      <c r="K17" s="31" t="str">
        <f>"110,0"</f>
        <v>110,0</v>
      </c>
      <c r="L17" s="12" t="str">
        <f>"139,1940"</f>
        <v>139,1940</v>
      </c>
      <c r="M17" s="11" t="s">
        <v>884</v>
      </c>
    </row>
    <row r="18" spans="1:13">
      <c r="A18" s="12" t="s">
        <v>417</v>
      </c>
      <c r="B18" s="11" t="s">
        <v>2734</v>
      </c>
      <c r="C18" s="11" t="s">
        <v>2735</v>
      </c>
      <c r="D18" s="11" t="s">
        <v>881</v>
      </c>
      <c r="E18" s="9" t="s">
        <v>3751</v>
      </c>
      <c r="F18" s="11" t="s">
        <v>3657</v>
      </c>
      <c r="G18" s="24" t="s">
        <v>428</v>
      </c>
      <c r="H18" s="25" t="s">
        <v>54</v>
      </c>
      <c r="I18" s="25" t="s">
        <v>586</v>
      </c>
      <c r="J18" s="12"/>
      <c r="K18" s="31" t="str">
        <f>"102,5"</f>
        <v>102,5</v>
      </c>
      <c r="L18" s="12" t="str">
        <f>"129,8983"</f>
        <v>129,8983</v>
      </c>
      <c r="M18" s="11" t="s">
        <v>939</v>
      </c>
    </row>
    <row r="19" spans="1:13">
      <c r="A19" s="14" t="s">
        <v>408</v>
      </c>
      <c r="B19" s="13" t="s">
        <v>2727</v>
      </c>
      <c r="C19" s="13" t="s">
        <v>344</v>
      </c>
      <c r="D19" s="13" t="s">
        <v>2729</v>
      </c>
      <c r="E19" s="13" t="s">
        <v>3753</v>
      </c>
      <c r="F19" s="13" t="s">
        <v>3509</v>
      </c>
      <c r="G19" s="26" t="s">
        <v>79</v>
      </c>
      <c r="H19" s="27" t="s">
        <v>77</v>
      </c>
      <c r="I19" s="26" t="s">
        <v>77</v>
      </c>
      <c r="J19" s="14"/>
      <c r="K19" s="32" t="str">
        <f>"125,0"</f>
        <v>125,0</v>
      </c>
      <c r="L19" s="14" t="str">
        <f>"180,8022"</f>
        <v>180,8022</v>
      </c>
      <c r="M19" s="13" t="s">
        <v>3369</v>
      </c>
    </row>
    <row r="20" spans="1:13">
      <c r="B20" s="5" t="s">
        <v>409</v>
      </c>
    </row>
    <row r="21" spans="1:13" ht="16">
      <c r="A21" s="57" t="s">
        <v>21</v>
      </c>
      <c r="B21" s="57"/>
      <c r="C21" s="57"/>
      <c r="D21" s="57"/>
      <c r="E21" s="57"/>
      <c r="F21" s="57"/>
      <c r="G21" s="57"/>
      <c r="H21" s="57"/>
      <c r="I21" s="57"/>
      <c r="J21" s="57"/>
    </row>
    <row r="22" spans="1:13">
      <c r="A22" s="10" t="s">
        <v>408</v>
      </c>
      <c r="B22" s="9" t="s">
        <v>421</v>
      </c>
      <c r="C22" s="9" t="s">
        <v>422</v>
      </c>
      <c r="D22" s="9" t="s">
        <v>423</v>
      </c>
      <c r="E22" s="9" t="s">
        <v>3751</v>
      </c>
      <c r="F22" s="9" t="s">
        <v>3526</v>
      </c>
      <c r="G22" s="23" t="s">
        <v>59</v>
      </c>
      <c r="H22" s="23" t="s">
        <v>40</v>
      </c>
      <c r="I22" s="22" t="s">
        <v>70</v>
      </c>
      <c r="J22" s="10"/>
      <c r="K22" s="30" t="str">
        <f>"180,0"</f>
        <v>180,0</v>
      </c>
      <c r="L22" s="10" t="str">
        <f>"212,0940"</f>
        <v>212,0940</v>
      </c>
      <c r="M22" s="9" t="s">
        <v>424</v>
      </c>
    </row>
    <row r="23" spans="1:13">
      <c r="A23" s="12" t="s">
        <v>410</v>
      </c>
      <c r="B23" s="11" t="s">
        <v>425</v>
      </c>
      <c r="C23" s="11" t="s">
        <v>426</v>
      </c>
      <c r="D23" s="11" t="s">
        <v>427</v>
      </c>
      <c r="E23" s="11" t="s">
        <v>3751</v>
      </c>
      <c r="F23" s="11" t="s">
        <v>3562</v>
      </c>
      <c r="G23" s="24" t="s">
        <v>46</v>
      </c>
      <c r="H23" s="24" t="s">
        <v>59</v>
      </c>
      <c r="I23" s="25" t="s">
        <v>226</v>
      </c>
      <c r="J23" s="12"/>
      <c r="K23" s="31" t="str">
        <f>"165,0"</f>
        <v>165,0</v>
      </c>
      <c r="L23" s="12" t="str">
        <f>"194,1390"</f>
        <v>194,1390</v>
      </c>
      <c r="M23" s="11" t="s">
        <v>429</v>
      </c>
    </row>
    <row r="24" spans="1:13">
      <c r="A24" s="12" t="s">
        <v>411</v>
      </c>
      <c r="B24" s="11" t="s">
        <v>893</v>
      </c>
      <c r="C24" s="11" t="s">
        <v>894</v>
      </c>
      <c r="D24" s="11" t="s">
        <v>895</v>
      </c>
      <c r="E24" s="11" t="s">
        <v>3751</v>
      </c>
      <c r="F24" s="11" t="s">
        <v>3509</v>
      </c>
      <c r="G24" s="24" t="s">
        <v>36</v>
      </c>
      <c r="H24" s="25" t="s">
        <v>187</v>
      </c>
      <c r="I24" s="25" t="s">
        <v>187</v>
      </c>
      <c r="J24" s="12"/>
      <c r="K24" s="31" t="str">
        <f>"160,0"</f>
        <v>160,0</v>
      </c>
      <c r="L24" s="12" t="str">
        <f>"191,2000"</f>
        <v>191,2000</v>
      </c>
      <c r="M24" s="11" t="s">
        <v>188</v>
      </c>
    </row>
    <row r="25" spans="1:13">
      <c r="A25" s="14" t="s">
        <v>413</v>
      </c>
      <c r="B25" s="13" t="s">
        <v>896</v>
      </c>
      <c r="C25" s="13" t="s">
        <v>897</v>
      </c>
      <c r="D25" s="13" t="s">
        <v>898</v>
      </c>
      <c r="E25" s="13" t="s">
        <v>3751</v>
      </c>
      <c r="F25" s="13" t="s">
        <v>3509</v>
      </c>
      <c r="G25" s="26" t="s">
        <v>77</v>
      </c>
      <c r="H25" s="26" t="s">
        <v>85</v>
      </c>
      <c r="I25" s="27" t="s">
        <v>25</v>
      </c>
      <c r="J25" s="14"/>
      <c r="K25" s="32" t="str">
        <f>"135,0"</f>
        <v>135,0</v>
      </c>
      <c r="L25" s="14" t="str">
        <f>"160,8660"</f>
        <v>160,8660</v>
      </c>
      <c r="M25" s="13" t="s">
        <v>2809</v>
      </c>
    </row>
    <row r="26" spans="1:13">
      <c r="B26" s="5" t="s">
        <v>409</v>
      </c>
    </row>
    <row r="27" spans="1:13" ht="16">
      <c r="A27" s="57" t="s">
        <v>31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3">
      <c r="A28" s="10" t="s">
        <v>408</v>
      </c>
      <c r="B28" s="9" t="s">
        <v>910</v>
      </c>
      <c r="C28" s="9" t="s">
        <v>911</v>
      </c>
      <c r="D28" s="9" t="s">
        <v>912</v>
      </c>
      <c r="E28" s="9" t="s">
        <v>3755</v>
      </c>
      <c r="F28" s="9" t="s">
        <v>75</v>
      </c>
      <c r="G28" s="23" t="s">
        <v>51</v>
      </c>
      <c r="H28" s="23" t="s">
        <v>889</v>
      </c>
      <c r="I28" s="23" t="s">
        <v>53</v>
      </c>
      <c r="J28" s="10"/>
      <c r="K28" s="30" t="str">
        <f>"60,0"</f>
        <v>60,0</v>
      </c>
      <c r="L28" s="10" t="str">
        <f>"69,6240"</f>
        <v>69,6240</v>
      </c>
      <c r="M28" s="9" t="s">
        <v>3361</v>
      </c>
    </row>
    <row r="29" spans="1:13">
      <c r="A29" s="12" t="s">
        <v>408</v>
      </c>
      <c r="B29" s="11" t="s">
        <v>432</v>
      </c>
      <c r="C29" s="11" t="s">
        <v>433</v>
      </c>
      <c r="D29" s="11" t="s">
        <v>434</v>
      </c>
      <c r="E29" s="11" t="s">
        <v>3751</v>
      </c>
      <c r="F29" s="11" t="s">
        <v>3526</v>
      </c>
      <c r="G29" s="25" t="s">
        <v>35</v>
      </c>
      <c r="H29" s="24" t="s">
        <v>36</v>
      </c>
      <c r="I29" s="24" t="s">
        <v>37</v>
      </c>
      <c r="J29" s="12"/>
      <c r="K29" s="31" t="str">
        <f>"170,0"</f>
        <v>170,0</v>
      </c>
      <c r="L29" s="12" t="str">
        <f>"193,3070"</f>
        <v>193,3070</v>
      </c>
      <c r="M29" s="11" t="s">
        <v>424</v>
      </c>
    </row>
    <row r="30" spans="1:13">
      <c r="A30" s="12" t="s">
        <v>410</v>
      </c>
      <c r="B30" s="11" t="s">
        <v>943</v>
      </c>
      <c r="C30" s="11" t="s">
        <v>944</v>
      </c>
      <c r="D30" s="11" t="s">
        <v>34</v>
      </c>
      <c r="E30" s="11" t="s">
        <v>3751</v>
      </c>
      <c r="F30" s="11" t="s">
        <v>3522</v>
      </c>
      <c r="G30" s="24" t="s">
        <v>46</v>
      </c>
      <c r="H30" s="24" t="s">
        <v>36</v>
      </c>
      <c r="I30" s="24" t="s">
        <v>37</v>
      </c>
      <c r="J30" s="12"/>
      <c r="K30" s="31" t="str">
        <f>"170,0"</f>
        <v>170,0</v>
      </c>
      <c r="L30" s="12" t="str">
        <f>"189,5330"</f>
        <v>189,5330</v>
      </c>
      <c r="M30" s="11" t="s">
        <v>945</v>
      </c>
    </row>
    <row r="31" spans="1:13">
      <c r="A31" s="12" t="s">
        <v>411</v>
      </c>
      <c r="B31" s="11" t="s">
        <v>3377</v>
      </c>
      <c r="C31" s="11" t="s">
        <v>924</v>
      </c>
      <c r="D31" s="11" t="s">
        <v>925</v>
      </c>
      <c r="E31" s="11" t="s">
        <v>3751</v>
      </c>
      <c r="F31" s="11" t="s">
        <v>926</v>
      </c>
      <c r="G31" s="24" t="s">
        <v>494</v>
      </c>
      <c r="H31" s="24" t="s">
        <v>59</v>
      </c>
      <c r="I31" s="25" t="s">
        <v>37</v>
      </c>
      <c r="J31" s="12"/>
      <c r="K31" s="31" t="str">
        <f>"165,0"</f>
        <v>165,0</v>
      </c>
      <c r="L31" s="12" t="str">
        <f>"187,8690"</f>
        <v>187,8690</v>
      </c>
      <c r="M31" s="11" t="s">
        <v>3362</v>
      </c>
    </row>
    <row r="32" spans="1:13">
      <c r="A32" s="12" t="s">
        <v>413</v>
      </c>
      <c r="B32" s="11" t="s">
        <v>441</v>
      </c>
      <c r="C32" s="11" t="s">
        <v>442</v>
      </c>
      <c r="D32" s="11" t="s">
        <v>443</v>
      </c>
      <c r="E32" s="11" t="s">
        <v>3751</v>
      </c>
      <c r="F32" s="11" t="s">
        <v>3538</v>
      </c>
      <c r="G32" s="24" t="s">
        <v>45</v>
      </c>
      <c r="H32" s="24" t="s">
        <v>35</v>
      </c>
      <c r="I32" s="25" t="s">
        <v>46</v>
      </c>
      <c r="J32" s="12"/>
      <c r="K32" s="31" t="str">
        <f>"150,0"</f>
        <v>150,0</v>
      </c>
      <c r="L32" s="12" t="str">
        <f>"171,2400"</f>
        <v>171,2400</v>
      </c>
      <c r="M32" s="11"/>
    </row>
    <row r="33" spans="1:13">
      <c r="A33" s="12" t="s">
        <v>414</v>
      </c>
      <c r="B33" s="11" t="s">
        <v>2736</v>
      </c>
      <c r="C33" s="11" t="s">
        <v>2737</v>
      </c>
      <c r="D33" s="11" t="s">
        <v>2738</v>
      </c>
      <c r="E33" s="11" t="s">
        <v>3751</v>
      </c>
      <c r="F33" s="11" t="s">
        <v>3509</v>
      </c>
      <c r="G33" s="24" t="s">
        <v>85</v>
      </c>
      <c r="H33" s="24" t="s">
        <v>45</v>
      </c>
      <c r="I33" s="25" t="s">
        <v>25</v>
      </c>
      <c r="J33" s="12"/>
      <c r="K33" s="31" t="str">
        <f>"140,0"</f>
        <v>140,0</v>
      </c>
      <c r="L33" s="12" t="str">
        <f>"156,6880"</f>
        <v>156,6880</v>
      </c>
      <c r="M33" s="11"/>
    </row>
    <row r="34" spans="1:13">
      <c r="A34" s="12" t="s">
        <v>415</v>
      </c>
      <c r="B34" s="11" t="s">
        <v>2739</v>
      </c>
      <c r="C34" s="11" t="s">
        <v>2740</v>
      </c>
      <c r="D34" s="11" t="s">
        <v>50</v>
      </c>
      <c r="E34" s="11" t="s">
        <v>3751</v>
      </c>
      <c r="F34" s="11" t="s">
        <v>3523</v>
      </c>
      <c r="G34" s="24" t="s">
        <v>76</v>
      </c>
      <c r="H34" s="24" t="s">
        <v>521</v>
      </c>
      <c r="I34" s="25" t="s">
        <v>85</v>
      </c>
      <c r="J34" s="12"/>
      <c r="K34" s="31" t="str">
        <f>"132,5"</f>
        <v>132,5</v>
      </c>
      <c r="L34" s="12" t="str">
        <f>"149,2745"</f>
        <v>149,2745</v>
      </c>
      <c r="M34" s="11" t="s">
        <v>41</v>
      </c>
    </row>
    <row r="35" spans="1:13">
      <c r="A35" s="12" t="s">
        <v>416</v>
      </c>
      <c r="B35" s="11" t="s">
        <v>2741</v>
      </c>
      <c r="C35" s="11" t="s">
        <v>2742</v>
      </c>
      <c r="D35" s="11" t="s">
        <v>2743</v>
      </c>
      <c r="E35" s="11" t="s">
        <v>3751</v>
      </c>
      <c r="F35" s="11" t="s">
        <v>3562</v>
      </c>
      <c r="G35" s="24" t="s">
        <v>435</v>
      </c>
      <c r="H35" s="24" t="s">
        <v>38</v>
      </c>
      <c r="I35" s="24" t="s">
        <v>605</v>
      </c>
      <c r="J35" s="12"/>
      <c r="K35" s="31" t="str">
        <f>"97,5"</f>
        <v>97,5</v>
      </c>
      <c r="L35" s="12" t="str">
        <f>"112,6710"</f>
        <v>112,6710</v>
      </c>
      <c r="M35" s="11" t="s">
        <v>478</v>
      </c>
    </row>
    <row r="36" spans="1:13">
      <c r="A36" s="12" t="s">
        <v>408</v>
      </c>
      <c r="B36" s="11" t="s">
        <v>946</v>
      </c>
      <c r="C36" s="11" t="s">
        <v>947</v>
      </c>
      <c r="D36" s="11" t="s">
        <v>34</v>
      </c>
      <c r="E36" s="11" t="s">
        <v>3753</v>
      </c>
      <c r="F36" s="11" t="s">
        <v>3509</v>
      </c>
      <c r="G36" s="24" t="s">
        <v>78</v>
      </c>
      <c r="H36" s="24" t="s">
        <v>77</v>
      </c>
      <c r="I36" s="25" t="s">
        <v>521</v>
      </c>
      <c r="J36" s="12"/>
      <c r="K36" s="31" t="str">
        <f>"125,0"</f>
        <v>125,0</v>
      </c>
      <c r="L36" s="12" t="str">
        <f>"141,3136"</f>
        <v>141,3136</v>
      </c>
      <c r="M36" s="11"/>
    </row>
    <row r="37" spans="1:13">
      <c r="A37" s="12" t="s">
        <v>412</v>
      </c>
      <c r="B37" s="11" t="s">
        <v>1909</v>
      </c>
      <c r="C37" s="11" t="s">
        <v>677</v>
      </c>
      <c r="D37" s="11" t="s">
        <v>1900</v>
      </c>
      <c r="E37" s="11" t="s">
        <v>3753</v>
      </c>
      <c r="F37" s="11" t="s">
        <v>3523</v>
      </c>
      <c r="G37" s="25" t="s">
        <v>53</v>
      </c>
      <c r="H37" s="25" t="s">
        <v>14</v>
      </c>
      <c r="I37" s="12"/>
      <c r="J37" s="12"/>
      <c r="K37" s="31">
        <v>0</v>
      </c>
      <c r="L37" s="12" t="str">
        <f>"0,0000"</f>
        <v>0,0000</v>
      </c>
      <c r="M37" s="11" t="s">
        <v>3370</v>
      </c>
    </row>
    <row r="38" spans="1:13">
      <c r="A38" s="14" t="s">
        <v>408</v>
      </c>
      <c r="B38" s="13" t="s">
        <v>2744</v>
      </c>
      <c r="C38" s="13" t="s">
        <v>2745</v>
      </c>
      <c r="D38" s="13" t="s">
        <v>938</v>
      </c>
      <c r="E38" s="13" t="s">
        <v>3756</v>
      </c>
      <c r="F38" s="13" t="s">
        <v>3543</v>
      </c>
      <c r="G38" s="26" t="s">
        <v>18</v>
      </c>
      <c r="H38" s="26" t="s">
        <v>38</v>
      </c>
      <c r="I38" s="26" t="s">
        <v>69</v>
      </c>
      <c r="J38" s="14"/>
      <c r="K38" s="32" t="str">
        <f>"95,0"</f>
        <v>95,0</v>
      </c>
      <c r="L38" s="14" t="str">
        <f>"141,1129"</f>
        <v>141,1129</v>
      </c>
      <c r="M38" s="13" t="s">
        <v>1088</v>
      </c>
    </row>
    <row r="39" spans="1:13">
      <c r="B39" s="5" t="s">
        <v>409</v>
      </c>
    </row>
    <row r="40" spans="1:13" ht="16">
      <c r="A40" s="57" t="s">
        <v>55</v>
      </c>
      <c r="B40" s="57"/>
      <c r="C40" s="57"/>
      <c r="D40" s="57"/>
      <c r="E40" s="57"/>
      <c r="F40" s="57"/>
      <c r="G40" s="57"/>
      <c r="H40" s="57"/>
      <c r="I40" s="57"/>
      <c r="J40" s="57"/>
    </row>
    <row r="41" spans="1:13">
      <c r="A41" s="10" t="s">
        <v>408</v>
      </c>
      <c r="B41" s="9" t="s">
        <v>2746</v>
      </c>
      <c r="C41" s="9" t="s">
        <v>2747</v>
      </c>
      <c r="D41" s="9" t="s">
        <v>2748</v>
      </c>
      <c r="E41" s="9" t="s">
        <v>3755</v>
      </c>
      <c r="F41" s="9" t="s">
        <v>3571</v>
      </c>
      <c r="G41" s="23" t="s">
        <v>76</v>
      </c>
      <c r="H41" s="23" t="s">
        <v>77</v>
      </c>
      <c r="I41" s="22" t="s">
        <v>132</v>
      </c>
      <c r="J41" s="10"/>
      <c r="K41" s="30" t="str">
        <f>"125,0"</f>
        <v>125,0</v>
      </c>
      <c r="L41" s="10" t="str">
        <f>"131,7375"</f>
        <v>131,7375</v>
      </c>
      <c r="M41" s="9" t="s">
        <v>2749</v>
      </c>
    </row>
    <row r="42" spans="1:13">
      <c r="A42" s="12" t="s">
        <v>408</v>
      </c>
      <c r="B42" s="11" t="s">
        <v>953</v>
      </c>
      <c r="C42" s="11" t="s">
        <v>954</v>
      </c>
      <c r="D42" s="11" t="s">
        <v>955</v>
      </c>
      <c r="E42" s="11" t="s">
        <v>3752</v>
      </c>
      <c r="F42" s="11" t="s">
        <v>3523</v>
      </c>
      <c r="G42" s="24" t="s">
        <v>76</v>
      </c>
      <c r="H42" s="24" t="s">
        <v>132</v>
      </c>
      <c r="I42" s="24" t="s">
        <v>45</v>
      </c>
      <c r="J42" s="12"/>
      <c r="K42" s="31" t="str">
        <f>"140,0"</f>
        <v>140,0</v>
      </c>
      <c r="L42" s="12" t="str">
        <f>"146,2160"</f>
        <v>146,2160</v>
      </c>
      <c r="M42" s="11" t="s">
        <v>3314</v>
      </c>
    </row>
    <row r="43" spans="1:13">
      <c r="A43" s="12" t="s">
        <v>410</v>
      </c>
      <c r="B43" s="11" t="s">
        <v>2750</v>
      </c>
      <c r="C43" s="11" t="s">
        <v>2751</v>
      </c>
      <c r="D43" s="11" t="s">
        <v>2752</v>
      </c>
      <c r="E43" s="11" t="s">
        <v>3752</v>
      </c>
      <c r="F43" s="11" t="s">
        <v>3534</v>
      </c>
      <c r="G43" s="24" t="s">
        <v>106</v>
      </c>
      <c r="H43" s="25" t="s">
        <v>451</v>
      </c>
      <c r="I43" s="25" t="s">
        <v>451</v>
      </c>
      <c r="J43" s="12"/>
      <c r="K43" s="31" t="str">
        <f>"110,0"</f>
        <v>110,0</v>
      </c>
      <c r="L43" s="12" t="str">
        <f>"121,8580"</f>
        <v>121,8580</v>
      </c>
      <c r="M43" s="11" t="s">
        <v>1016</v>
      </c>
    </row>
    <row r="44" spans="1:13">
      <c r="A44" s="12" t="s">
        <v>408</v>
      </c>
      <c r="B44" s="11" t="s">
        <v>969</v>
      </c>
      <c r="C44" s="11" t="s">
        <v>970</v>
      </c>
      <c r="D44" s="11" t="s">
        <v>971</v>
      </c>
      <c r="E44" s="11" t="s">
        <v>3751</v>
      </c>
      <c r="F44" s="11" t="s">
        <v>3526</v>
      </c>
      <c r="G44" s="24" t="s">
        <v>28</v>
      </c>
      <c r="H44" s="24" t="s">
        <v>29</v>
      </c>
      <c r="I44" s="25" t="s">
        <v>70</v>
      </c>
      <c r="J44" s="12"/>
      <c r="K44" s="31" t="str">
        <f>"185,0"</f>
        <v>185,0</v>
      </c>
      <c r="L44" s="12" t="str">
        <f>"190,8645"</f>
        <v>190,8645</v>
      </c>
      <c r="M44" s="11" t="s">
        <v>424</v>
      </c>
    </row>
    <row r="45" spans="1:13">
      <c r="A45" s="12" t="s">
        <v>410</v>
      </c>
      <c r="B45" s="11" t="s">
        <v>975</v>
      </c>
      <c r="C45" s="11" t="s">
        <v>976</v>
      </c>
      <c r="D45" s="11" t="s">
        <v>977</v>
      </c>
      <c r="E45" s="11" t="s">
        <v>3751</v>
      </c>
      <c r="F45" s="11" t="s">
        <v>3528</v>
      </c>
      <c r="G45" s="24" t="s">
        <v>26</v>
      </c>
      <c r="H45" s="24" t="s">
        <v>187</v>
      </c>
      <c r="I45" s="24" t="s">
        <v>226</v>
      </c>
      <c r="J45" s="12"/>
      <c r="K45" s="31" t="str">
        <f>"172,5"</f>
        <v>172,5</v>
      </c>
      <c r="L45" s="12" t="str">
        <f>"184,8165"</f>
        <v>184,8165</v>
      </c>
      <c r="M45" s="11" t="s">
        <v>192</v>
      </c>
    </row>
    <row r="46" spans="1:13">
      <c r="A46" s="12" t="s">
        <v>411</v>
      </c>
      <c r="B46" s="11" t="s">
        <v>2753</v>
      </c>
      <c r="C46" s="11" t="s">
        <v>2754</v>
      </c>
      <c r="D46" s="11" t="s">
        <v>1915</v>
      </c>
      <c r="E46" s="11" t="s">
        <v>3751</v>
      </c>
      <c r="F46" s="11" t="s">
        <v>3509</v>
      </c>
      <c r="G46" s="25" t="s">
        <v>45</v>
      </c>
      <c r="H46" s="24" t="s">
        <v>36</v>
      </c>
      <c r="I46" s="25" t="s">
        <v>59</v>
      </c>
      <c r="J46" s="12"/>
      <c r="K46" s="31" t="str">
        <f>"160,0"</f>
        <v>160,0</v>
      </c>
      <c r="L46" s="12" t="str">
        <f>"170,4000"</f>
        <v>170,4000</v>
      </c>
      <c r="M46" s="11" t="s">
        <v>3317</v>
      </c>
    </row>
    <row r="47" spans="1:13">
      <c r="A47" s="12" t="s">
        <v>413</v>
      </c>
      <c r="B47" s="11" t="s">
        <v>962</v>
      </c>
      <c r="C47" s="11" t="s">
        <v>963</v>
      </c>
      <c r="D47" s="11" t="s">
        <v>964</v>
      </c>
      <c r="E47" s="11" t="s">
        <v>3751</v>
      </c>
      <c r="F47" s="11" t="s">
        <v>3525</v>
      </c>
      <c r="G47" s="24" t="s">
        <v>35</v>
      </c>
      <c r="H47" s="24" t="s">
        <v>36</v>
      </c>
      <c r="I47" s="25" t="s">
        <v>37</v>
      </c>
      <c r="J47" s="12"/>
      <c r="K47" s="31" t="str">
        <f>"160,0"</f>
        <v>160,0</v>
      </c>
      <c r="L47" s="12" t="str">
        <f>"163,8240"</f>
        <v>163,8240</v>
      </c>
      <c r="M47" s="11" t="s">
        <v>965</v>
      </c>
    </row>
    <row r="48" spans="1:13">
      <c r="A48" s="12" t="s">
        <v>414</v>
      </c>
      <c r="B48" s="11" t="s">
        <v>2755</v>
      </c>
      <c r="C48" s="11" t="s">
        <v>2756</v>
      </c>
      <c r="D48" s="11" t="s">
        <v>2757</v>
      </c>
      <c r="E48" s="11" t="s">
        <v>3751</v>
      </c>
      <c r="F48" s="11" t="s">
        <v>3509</v>
      </c>
      <c r="G48" s="24" t="s">
        <v>76</v>
      </c>
      <c r="H48" s="24" t="s">
        <v>132</v>
      </c>
      <c r="I48" s="25" t="s">
        <v>45</v>
      </c>
      <c r="J48" s="12"/>
      <c r="K48" s="31" t="str">
        <f>"130,0"</f>
        <v>130,0</v>
      </c>
      <c r="L48" s="12" t="str">
        <f>"136,2270"</f>
        <v>136,2270</v>
      </c>
      <c r="M48" s="11"/>
    </row>
    <row r="49" spans="1:13">
      <c r="A49" s="12" t="s">
        <v>415</v>
      </c>
      <c r="B49" s="11" t="s">
        <v>2758</v>
      </c>
      <c r="C49" s="11" t="s">
        <v>2759</v>
      </c>
      <c r="D49" s="11" t="s">
        <v>2760</v>
      </c>
      <c r="E49" s="11" t="s">
        <v>3751</v>
      </c>
      <c r="F49" s="11" t="s">
        <v>3614</v>
      </c>
      <c r="G49" s="24" t="s">
        <v>106</v>
      </c>
      <c r="H49" s="25" t="s">
        <v>78</v>
      </c>
      <c r="I49" s="12"/>
      <c r="J49" s="12"/>
      <c r="K49" s="31" t="str">
        <f>"110,0"</f>
        <v>110,0</v>
      </c>
      <c r="L49" s="12" t="str">
        <f>"119,8780"</f>
        <v>119,8780</v>
      </c>
      <c r="M49" s="11" t="s">
        <v>2761</v>
      </c>
    </row>
    <row r="50" spans="1:13">
      <c r="A50" s="12" t="s">
        <v>416</v>
      </c>
      <c r="B50" s="11" t="s">
        <v>2762</v>
      </c>
      <c r="C50" s="11" t="s">
        <v>2763</v>
      </c>
      <c r="D50" s="11" t="s">
        <v>2764</v>
      </c>
      <c r="E50" s="11" t="s">
        <v>3751</v>
      </c>
      <c r="F50" s="11" t="s">
        <v>3534</v>
      </c>
      <c r="G50" s="24" t="s">
        <v>38</v>
      </c>
      <c r="H50" s="24" t="s">
        <v>69</v>
      </c>
      <c r="I50" s="24" t="s">
        <v>39</v>
      </c>
      <c r="J50" s="12"/>
      <c r="K50" s="31" t="str">
        <f>"100,0"</f>
        <v>100,0</v>
      </c>
      <c r="L50" s="12" t="str">
        <f>"105,2700"</f>
        <v>105,2700</v>
      </c>
      <c r="M50" s="11" t="s">
        <v>1016</v>
      </c>
    </row>
    <row r="51" spans="1:13">
      <c r="A51" s="14" t="s">
        <v>408</v>
      </c>
      <c r="B51" s="13" t="s">
        <v>2765</v>
      </c>
      <c r="C51" s="13" t="s">
        <v>2766</v>
      </c>
      <c r="D51" s="13" t="s">
        <v>2757</v>
      </c>
      <c r="E51" s="13" t="s">
        <v>3753</v>
      </c>
      <c r="F51" s="13" t="s">
        <v>3509</v>
      </c>
      <c r="G51" s="26" t="s">
        <v>76</v>
      </c>
      <c r="H51" s="26" t="s">
        <v>85</v>
      </c>
      <c r="I51" s="27" t="s">
        <v>25</v>
      </c>
      <c r="J51" s="14"/>
      <c r="K51" s="32" t="str">
        <f>"135,0"</f>
        <v>135,0</v>
      </c>
      <c r="L51" s="14" t="str">
        <f>"157,5937"</f>
        <v>157,5937</v>
      </c>
      <c r="M51" s="13" t="s">
        <v>2767</v>
      </c>
    </row>
    <row r="52" spans="1:13">
      <c r="B52" s="5" t="s">
        <v>409</v>
      </c>
    </row>
    <row r="53" spans="1:13" ht="16">
      <c r="A53" s="57" t="s">
        <v>93</v>
      </c>
      <c r="B53" s="57"/>
      <c r="C53" s="57"/>
      <c r="D53" s="57"/>
      <c r="E53" s="57"/>
      <c r="F53" s="57"/>
      <c r="G53" s="57"/>
      <c r="H53" s="57"/>
      <c r="I53" s="57"/>
      <c r="J53" s="57"/>
    </row>
    <row r="54" spans="1:13">
      <c r="A54" s="8" t="s">
        <v>408</v>
      </c>
      <c r="B54" s="7" t="s">
        <v>2768</v>
      </c>
      <c r="C54" s="7" t="s">
        <v>2769</v>
      </c>
      <c r="D54" s="7" t="s">
        <v>104</v>
      </c>
      <c r="E54" s="7" t="s">
        <v>3751</v>
      </c>
      <c r="F54" s="7" t="s">
        <v>3509</v>
      </c>
      <c r="G54" s="20" t="s">
        <v>132</v>
      </c>
      <c r="H54" s="20" t="s">
        <v>45</v>
      </c>
      <c r="I54" s="20" t="s">
        <v>253</v>
      </c>
      <c r="J54" s="8"/>
      <c r="K54" s="29" t="str">
        <f>"147,5"</f>
        <v>147,5</v>
      </c>
      <c r="L54" s="8" t="str">
        <f>"141,4083"</f>
        <v>141,4083</v>
      </c>
      <c r="M54" s="7" t="s">
        <v>3371</v>
      </c>
    </row>
    <row r="55" spans="1:13">
      <c r="B55" s="5" t="s">
        <v>409</v>
      </c>
    </row>
    <row r="56" spans="1:13" ht="16">
      <c r="A56" s="57" t="s">
        <v>150</v>
      </c>
      <c r="B56" s="57"/>
      <c r="C56" s="57"/>
      <c r="D56" s="57"/>
      <c r="E56" s="57"/>
      <c r="F56" s="57"/>
      <c r="G56" s="57"/>
      <c r="H56" s="57"/>
      <c r="I56" s="57"/>
      <c r="J56" s="57"/>
    </row>
    <row r="57" spans="1:13">
      <c r="A57" s="10" t="s">
        <v>408</v>
      </c>
      <c r="B57" s="9" t="s">
        <v>1020</v>
      </c>
      <c r="C57" s="9" t="s">
        <v>1021</v>
      </c>
      <c r="D57" s="9" t="s">
        <v>683</v>
      </c>
      <c r="E57" s="9" t="s">
        <v>3751</v>
      </c>
      <c r="F57" s="9" t="s">
        <v>3509</v>
      </c>
      <c r="G57" s="23" t="s">
        <v>25</v>
      </c>
      <c r="H57" s="22" t="s">
        <v>494</v>
      </c>
      <c r="I57" s="22" t="s">
        <v>494</v>
      </c>
      <c r="J57" s="10"/>
      <c r="K57" s="30" t="str">
        <f>"145,0"</f>
        <v>145,0</v>
      </c>
      <c r="L57" s="10" t="str">
        <f>"126,1210"</f>
        <v>126,1210</v>
      </c>
      <c r="M57" s="9"/>
    </row>
    <row r="58" spans="1:13">
      <c r="A58" s="14" t="s">
        <v>408</v>
      </c>
      <c r="B58" s="13" t="s">
        <v>2770</v>
      </c>
      <c r="C58" s="13" t="s">
        <v>2771</v>
      </c>
      <c r="D58" s="13" t="s">
        <v>1192</v>
      </c>
      <c r="E58" s="13" t="s">
        <v>3757</v>
      </c>
      <c r="F58" s="13" t="s">
        <v>3575</v>
      </c>
      <c r="G58" s="26" t="s">
        <v>85</v>
      </c>
      <c r="H58" s="27" t="s">
        <v>25</v>
      </c>
      <c r="I58" s="27" t="s">
        <v>25</v>
      </c>
      <c r="J58" s="14"/>
      <c r="K58" s="32" t="str">
        <f>"135,0"</f>
        <v>135,0</v>
      </c>
      <c r="L58" s="14" t="str">
        <f>"161,9692"</f>
        <v>161,9692</v>
      </c>
      <c r="M58" s="13" t="s">
        <v>2772</v>
      </c>
    </row>
    <row r="59" spans="1:13">
      <c r="B59" s="5" t="s">
        <v>409</v>
      </c>
    </row>
    <row r="60" spans="1:13" ht="16">
      <c r="A60" s="57" t="s">
        <v>2600</v>
      </c>
      <c r="B60" s="57"/>
      <c r="C60" s="57"/>
      <c r="D60" s="57"/>
      <c r="E60" s="57"/>
      <c r="F60" s="57"/>
      <c r="G60" s="57"/>
      <c r="H60" s="57"/>
      <c r="I60" s="57"/>
      <c r="J60" s="57"/>
    </row>
    <row r="61" spans="1:13">
      <c r="A61" s="8" t="s">
        <v>408</v>
      </c>
      <c r="B61" s="7" t="s">
        <v>2773</v>
      </c>
      <c r="C61" s="7" t="s">
        <v>2774</v>
      </c>
      <c r="D61" s="7" t="s">
        <v>2775</v>
      </c>
      <c r="E61" s="7" t="s">
        <v>3751</v>
      </c>
      <c r="F61" s="7" t="s">
        <v>3509</v>
      </c>
      <c r="G61" s="20" t="s">
        <v>85</v>
      </c>
      <c r="H61" s="21" t="s">
        <v>35</v>
      </c>
      <c r="I61" s="21" t="s">
        <v>35</v>
      </c>
      <c r="J61" s="8"/>
      <c r="K61" s="29" t="str">
        <f>"135,0"</f>
        <v>135,0</v>
      </c>
      <c r="L61" s="8" t="str">
        <f>"108,8910"</f>
        <v>108,8910</v>
      </c>
      <c r="M61" s="7" t="s">
        <v>2776</v>
      </c>
    </row>
    <row r="62" spans="1:13">
      <c r="B62" s="5" t="s">
        <v>409</v>
      </c>
    </row>
    <row r="63" spans="1:13" ht="16">
      <c r="A63" s="57" t="s">
        <v>9</v>
      </c>
      <c r="B63" s="57"/>
      <c r="C63" s="57"/>
      <c r="D63" s="57"/>
      <c r="E63" s="57"/>
      <c r="F63" s="57"/>
      <c r="G63" s="57"/>
      <c r="H63" s="57"/>
      <c r="I63" s="57"/>
      <c r="J63" s="57"/>
    </row>
    <row r="64" spans="1:13">
      <c r="A64" s="10" t="s">
        <v>408</v>
      </c>
      <c r="B64" s="9" t="s">
        <v>1963</v>
      </c>
      <c r="C64" s="9" t="s">
        <v>1964</v>
      </c>
      <c r="D64" s="9" t="s">
        <v>1965</v>
      </c>
      <c r="E64" s="9" t="s">
        <v>3755</v>
      </c>
      <c r="F64" s="9" t="s">
        <v>3594</v>
      </c>
      <c r="G64" s="23" t="s">
        <v>53</v>
      </c>
      <c r="H64" s="23" t="s">
        <v>13</v>
      </c>
      <c r="I64" s="22" t="s">
        <v>622</v>
      </c>
      <c r="J64" s="10"/>
      <c r="K64" s="30" t="str">
        <f>"65,0"</f>
        <v>65,0</v>
      </c>
      <c r="L64" s="10" t="str">
        <f>"83,2910"</f>
        <v>83,2910</v>
      </c>
      <c r="M64" s="9" t="s">
        <v>3319</v>
      </c>
    </row>
    <row r="65" spans="1:13">
      <c r="A65" s="12" t="s">
        <v>410</v>
      </c>
      <c r="B65" s="11" t="s">
        <v>2777</v>
      </c>
      <c r="C65" s="11" t="s">
        <v>2778</v>
      </c>
      <c r="D65" s="11" t="s">
        <v>2779</v>
      </c>
      <c r="E65" s="11" t="s">
        <v>3755</v>
      </c>
      <c r="F65" s="11" t="s">
        <v>3548</v>
      </c>
      <c r="G65" s="24" t="s">
        <v>53</v>
      </c>
      <c r="H65" s="24" t="s">
        <v>13</v>
      </c>
      <c r="I65" s="25" t="s">
        <v>15</v>
      </c>
      <c r="J65" s="12"/>
      <c r="K65" s="31" t="str">
        <f>"65,0"</f>
        <v>65,0</v>
      </c>
      <c r="L65" s="12" t="str">
        <f>"74,7565"</f>
        <v>74,7565</v>
      </c>
      <c r="M65" s="11" t="s">
        <v>2780</v>
      </c>
    </row>
    <row r="66" spans="1:13">
      <c r="A66" s="14" t="s">
        <v>411</v>
      </c>
      <c r="B66" s="13" t="s">
        <v>3378</v>
      </c>
      <c r="C66" s="13" t="s">
        <v>2781</v>
      </c>
      <c r="D66" s="13" t="s">
        <v>2782</v>
      </c>
      <c r="E66" s="13" t="s">
        <v>3755</v>
      </c>
      <c r="F66" s="13" t="s">
        <v>461</v>
      </c>
      <c r="G66" s="26" t="s">
        <v>51</v>
      </c>
      <c r="H66" s="26" t="s">
        <v>52</v>
      </c>
      <c r="I66" s="14"/>
      <c r="J66" s="14"/>
      <c r="K66" s="32" t="str">
        <f>"55,0"</f>
        <v>55,0</v>
      </c>
      <c r="L66" s="14" t="str">
        <f>"73,4470"</f>
        <v>73,4470</v>
      </c>
      <c r="M66" s="13" t="s">
        <v>3346</v>
      </c>
    </row>
    <row r="67" spans="1:13">
      <c r="B67" s="5" t="s">
        <v>409</v>
      </c>
    </row>
    <row r="68" spans="1:13" ht="16">
      <c r="A68" s="57" t="s">
        <v>31</v>
      </c>
      <c r="B68" s="57"/>
      <c r="C68" s="57"/>
      <c r="D68" s="57"/>
      <c r="E68" s="57"/>
      <c r="F68" s="57"/>
      <c r="G68" s="57"/>
      <c r="H68" s="57"/>
      <c r="I68" s="57"/>
      <c r="J68" s="57"/>
    </row>
    <row r="69" spans="1:13">
      <c r="A69" s="10" t="s">
        <v>408</v>
      </c>
      <c r="B69" s="9" t="s">
        <v>458</v>
      </c>
      <c r="C69" s="9" t="s">
        <v>459</v>
      </c>
      <c r="D69" s="9" t="s">
        <v>460</v>
      </c>
      <c r="E69" s="9" t="s">
        <v>3752</v>
      </c>
      <c r="F69" s="9" t="s">
        <v>461</v>
      </c>
      <c r="G69" s="22" t="s">
        <v>40</v>
      </c>
      <c r="H69" s="23" t="s">
        <v>40</v>
      </c>
      <c r="I69" s="22" t="s">
        <v>66</v>
      </c>
      <c r="J69" s="10"/>
      <c r="K69" s="30" t="str">
        <f>"180,0"</f>
        <v>180,0</v>
      </c>
      <c r="L69" s="10" t="str">
        <f>"154,6920"</f>
        <v>154,6920</v>
      </c>
      <c r="M69" s="9" t="s">
        <v>3346</v>
      </c>
    </row>
    <row r="70" spans="1:13">
      <c r="A70" s="14" t="s">
        <v>408</v>
      </c>
      <c r="B70" s="13" t="s">
        <v>1035</v>
      </c>
      <c r="C70" s="13" t="s">
        <v>1036</v>
      </c>
      <c r="D70" s="13" t="s">
        <v>1037</v>
      </c>
      <c r="E70" s="13" t="s">
        <v>3751</v>
      </c>
      <c r="F70" s="13" t="s">
        <v>199</v>
      </c>
      <c r="G70" s="26" t="s">
        <v>70</v>
      </c>
      <c r="H70" s="26" t="s">
        <v>1040</v>
      </c>
      <c r="I70" s="14"/>
      <c r="J70" s="14"/>
      <c r="K70" s="32" t="str">
        <f>"206,0"</f>
        <v>206,0</v>
      </c>
      <c r="L70" s="14" t="str">
        <f>"178,4372"</f>
        <v>178,4372</v>
      </c>
      <c r="M70" s="13" t="s">
        <v>3347</v>
      </c>
    </row>
    <row r="71" spans="1:13">
      <c r="B71" s="5" t="s">
        <v>409</v>
      </c>
    </row>
    <row r="72" spans="1:13" ht="16">
      <c r="A72" s="57" t="s">
        <v>55</v>
      </c>
      <c r="B72" s="57"/>
      <c r="C72" s="57"/>
      <c r="D72" s="57"/>
      <c r="E72" s="57"/>
      <c r="F72" s="57"/>
      <c r="G72" s="57"/>
      <c r="H72" s="57"/>
      <c r="I72" s="57"/>
      <c r="J72" s="57"/>
    </row>
    <row r="73" spans="1:13">
      <c r="A73" s="10" t="s">
        <v>412</v>
      </c>
      <c r="B73" s="9" t="s">
        <v>2783</v>
      </c>
      <c r="C73" s="9" t="s">
        <v>2784</v>
      </c>
      <c r="D73" s="9" t="s">
        <v>2748</v>
      </c>
      <c r="E73" s="9" t="s">
        <v>3752</v>
      </c>
      <c r="F73" s="9" t="s">
        <v>3597</v>
      </c>
      <c r="G73" s="22" t="s">
        <v>29</v>
      </c>
      <c r="H73" s="22" t="s">
        <v>29</v>
      </c>
      <c r="I73" s="10"/>
      <c r="J73" s="10"/>
      <c r="K73" s="30">
        <v>0</v>
      </c>
      <c r="L73" s="10" t="str">
        <f>"0,0000"</f>
        <v>0,0000</v>
      </c>
      <c r="M73" s="9" t="s">
        <v>3372</v>
      </c>
    </row>
    <row r="74" spans="1:13">
      <c r="A74" s="12" t="s">
        <v>408</v>
      </c>
      <c r="B74" s="11" t="s">
        <v>2785</v>
      </c>
      <c r="C74" s="11" t="s">
        <v>2786</v>
      </c>
      <c r="D74" s="11" t="s">
        <v>2787</v>
      </c>
      <c r="E74" s="11" t="s">
        <v>3751</v>
      </c>
      <c r="F74" s="11" t="s">
        <v>3545</v>
      </c>
      <c r="G74" s="25" t="s">
        <v>71</v>
      </c>
      <c r="H74" s="24" t="s">
        <v>71</v>
      </c>
      <c r="I74" s="24" t="s">
        <v>210</v>
      </c>
      <c r="J74" s="12"/>
      <c r="K74" s="31" t="str">
        <f>"212,5"</f>
        <v>212,5</v>
      </c>
      <c r="L74" s="12" t="str">
        <f>"169,4262"</f>
        <v>169,4262</v>
      </c>
      <c r="M74" s="11"/>
    </row>
    <row r="75" spans="1:13">
      <c r="A75" s="12" t="s">
        <v>410</v>
      </c>
      <c r="B75" s="11" t="s">
        <v>2788</v>
      </c>
      <c r="C75" s="11" t="s">
        <v>2789</v>
      </c>
      <c r="D75" s="11" t="s">
        <v>2790</v>
      </c>
      <c r="E75" s="11" t="s">
        <v>3751</v>
      </c>
      <c r="F75" s="11" t="s">
        <v>3619</v>
      </c>
      <c r="G75" s="24" t="s">
        <v>71</v>
      </c>
      <c r="H75" s="24" t="s">
        <v>83</v>
      </c>
      <c r="I75" s="25" t="s">
        <v>97</v>
      </c>
      <c r="J75" s="12"/>
      <c r="K75" s="31" t="str">
        <f>"210,0"</f>
        <v>210,0</v>
      </c>
      <c r="L75" s="12" t="str">
        <f>"169,1970"</f>
        <v>169,1970</v>
      </c>
      <c r="M75" s="11"/>
    </row>
    <row r="76" spans="1:13">
      <c r="A76" s="12" t="s">
        <v>411</v>
      </c>
      <c r="B76" s="11" t="s">
        <v>2791</v>
      </c>
      <c r="C76" s="11" t="s">
        <v>1771</v>
      </c>
      <c r="D76" s="11" t="s">
        <v>58</v>
      </c>
      <c r="E76" s="11" t="s">
        <v>3751</v>
      </c>
      <c r="F76" s="11" t="s">
        <v>3545</v>
      </c>
      <c r="G76" s="24" t="s">
        <v>180</v>
      </c>
      <c r="H76" s="24" t="s">
        <v>92</v>
      </c>
      <c r="I76" s="24" t="s">
        <v>309</v>
      </c>
      <c r="J76" s="12"/>
      <c r="K76" s="31" t="str">
        <f>"207,5"</f>
        <v>207,5</v>
      </c>
      <c r="L76" s="12" t="str">
        <f>"163,9457"</f>
        <v>163,9457</v>
      </c>
      <c r="M76" s="11" t="s">
        <v>1098</v>
      </c>
    </row>
    <row r="77" spans="1:13">
      <c r="A77" s="14" t="s">
        <v>413</v>
      </c>
      <c r="B77" s="13" t="s">
        <v>1060</v>
      </c>
      <c r="C77" s="13" t="s">
        <v>1061</v>
      </c>
      <c r="D77" s="13" t="s">
        <v>446</v>
      </c>
      <c r="E77" s="13" t="s">
        <v>3751</v>
      </c>
      <c r="F77" s="13" t="s">
        <v>3509</v>
      </c>
      <c r="G77" s="26" t="s">
        <v>37</v>
      </c>
      <c r="H77" s="27" t="s">
        <v>40</v>
      </c>
      <c r="I77" s="27" t="s">
        <v>40</v>
      </c>
      <c r="J77" s="14"/>
      <c r="K77" s="32" t="str">
        <f>"170,0"</f>
        <v>170,0</v>
      </c>
      <c r="L77" s="14" t="str">
        <f>"131,3930"</f>
        <v>131,3930</v>
      </c>
      <c r="M77" s="13" t="s">
        <v>3373</v>
      </c>
    </row>
    <row r="78" spans="1:13">
      <c r="B78" s="5" t="s">
        <v>409</v>
      </c>
    </row>
    <row r="79" spans="1:13" ht="16">
      <c r="A79" s="57" t="s">
        <v>93</v>
      </c>
      <c r="B79" s="57"/>
      <c r="C79" s="57"/>
      <c r="D79" s="57"/>
      <c r="E79" s="57"/>
      <c r="F79" s="57"/>
      <c r="G79" s="57"/>
      <c r="H79" s="57"/>
      <c r="I79" s="57"/>
      <c r="J79" s="57"/>
    </row>
    <row r="80" spans="1:13">
      <c r="A80" s="10" t="s">
        <v>408</v>
      </c>
      <c r="B80" s="9" t="s">
        <v>2792</v>
      </c>
      <c r="C80" s="9" t="s">
        <v>2793</v>
      </c>
      <c r="D80" s="9" t="s">
        <v>1015</v>
      </c>
      <c r="E80" s="9" t="s">
        <v>3752</v>
      </c>
      <c r="F80" s="9" t="s">
        <v>3587</v>
      </c>
      <c r="G80" s="23" t="s">
        <v>71</v>
      </c>
      <c r="H80" s="22" t="s">
        <v>83</v>
      </c>
      <c r="I80" s="22" t="s">
        <v>83</v>
      </c>
      <c r="J80" s="10"/>
      <c r="K80" s="30" t="str">
        <f>"200,0"</f>
        <v>200,0</v>
      </c>
      <c r="L80" s="10" t="str">
        <f>"149,7200"</f>
        <v>149,7200</v>
      </c>
      <c r="M80" s="9"/>
    </row>
    <row r="81" spans="1:13">
      <c r="A81" s="12" t="s">
        <v>410</v>
      </c>
      <c r="B81" s="11" t="s">
        <v>2794</v>
      </c>
      <c r="C81" s="11" t="s">
        <v>2795</v>
      </c>
      <c r="D81" s="11" t="s">
        <v>1509</v>
      </c>
      <c r="E81" s="11" t="s">
        <v>3752</v>
      </c>
      <c r="F81" s="11" t="s">
        <v>3509</v>
      </c>
      <c r="G81" s="25" t="s">
        <v>180</v>
      </c>
      <c r="H81" s="24" t="s">
        <v>71</v>
      </c>
      <c r="I81" s="25" t="s">
        <v>309</v>
      </c>
      <c r="J81" s="12"/>
      <c r="K81" s="31" t="str">
        <f>"200,0"</f>
        <v>200,0</v>
      </c>
      <c r="L81" s="12" t="str">
        <f>"145,2800"</f>
        <v>145,2800</v>
      </c>
      <c r="M81" s="11"/>
    </row>
    <row r="82" spans="1:13">
      <c r="A82" s="12" t="s">
        <v>408</v>
      </c>
      <c r="B82" s="11" t="s">
        <v>2796</v>
      </c>
      <c r="C82" s="11" t="s">
        <v>2797</v>
      </c>
      <c r="D82" s="11" t="s">
        <v>1509</v>
      </c>
      <c r="E82" s="11" t="s">
        <v>3754</v>
      </c>
      <c r="F82" s="11" t="s">
        <v>3534</v>
      </c>
      <c r="G82" s="24" t="s">
        <v>45</v>
      </c>
      <c r="H82" s="24" t="s">
        <v>35</v>
      </c>
      <c r="I82" s="24" t="s">
        <v>36</v>
      </c>
      <c r="J82" s="12"/>
      <c r="K82" s="31" t="str">
        <f>"160,0"</f>
        <v>160,0</v>
      </c>
      <c r="L82" s="12" t="str">
        <f>"116,2240"</f>
        <v>116,2240</v>
      </c>
      <c r="M82" s="11"/>
    </row>
    <row r="83" spans="1:13">
      <c r="A83" s="12" t="s">
        <v>408</v>
      </c>
      <c r="B83" s="11" t="s">
        <v>2798</v>
      </c>
      <c r="C83" s="11" t="s">
        <v>2799</v>
      </c>
      <c r="D83" s="11" t="s">
        <v>2800</v>
      </c>
      <c r="E83" s="11" t="s">
        <v>3751</v>
      </c>
      <c r="F83" s="11" t="s">
        <v>3620</v>
      </c>
      <c r="G83" s="24" t="s">
        <v>134</v>
      </c>
      <c r="H83" s="25" t="s">
        <v>182</v>
      </c>
      <c r="I83" s="25" t="s">
        <v>182</v>
      </c>
      <c r="J83" s="12"/>
      <c r="K83" s="31" t="str">
        <f>"250,0"</f>
        <v>250,0</v>
      </c>
      <c r="L83" s="12" t="str">
        <f>"183,4250"</f>
        <v>183,4250</v>
      </c>
      <c r="M83" s="11" t="s">
        <v>1408</v>
      </c>
    </row>
    <row r="84" spans="1:13">
      <c r="A84" s="12" t="s">
        <v>410</v>
      </c>
      <c r="B84" s="11" t="s">
        <v>2801</v>
      </c>
      <c r="C84" s="11" t="s">
        <v>2802</v>
      </c>
      <c r="D84" s="11" t="s">
        <v>2803</v>
      </c>
      <c r="E84" s="11" t="s">
        <v>3751</v>
      </c>
      <c r="F84" s="11" t="s">
        <v>3627</v>
      </c>
      <c r="G84" s="25" t="s">
        <v>98</v>
      </c>
      <c r="H84" s="24" t="s">
        <v>99</v>
      </c>
      <c r="I84" s="24" t="s">
        <v>549</v>
      </c>
      <c r="J84" s="12"/>
      <c r="K84" s="31" t="str">
        <f>"247,5"</f>
        <v>247,5</v>
      </c>
      <c r="L84" s="12" t="str">
        <f>"179,2395"</f>
        <v>179,2395</v>
      </c>
      <c r="M84" s="11"/>
    </row>
    <row r="85" spans="1:13">
      <c r="A85" s="12" t="s">
        <v>411</v>
      </c>
      <c r="B85" s="11" t="s">
        <v>2804</v>
      </c>
      <c r="C85" s="11" t="s">
        <v>2805</v>
      </c>
      <c r="D85" s="11" t="s">
        <v>2806</v>
      </c>
      <c r="E85" s="11" t="s">
        <v>3751</v>
      </c>
      <c r="F85" s="11" t="s">
        <v>3630</v>
      </c>
      <c r="G85" s="24" t="s">
        <v>97</v>
      </c>
      <c r="H85" s="25" t="s">
        <v>317</v>
      </c>
      <c r="I85" s="25" t="s">
        <v>317</v>
      </c>
      <c r="J85" s="12"/>
      <c r="K85" s="31" t="str">
        <f>"220,0"</f>
        <v>220,0</v>
      </c>
      <c r="L85" s="12" t="str">
        <f>"157,9380"</f>
        <v>157,9380</v>
      </c>
      <c r="M85" s="11"/>
    </row>
    <row r="86" spans="1:13">
      <c r="A86" s="12" t="s">
        <v>413</v>
      </c>
      <c r="B86" s="11" t="s">
        <v>2807</v>
      </c>
      <c r="C86" s="11" t="s">
        <v>2808</v>
      </c>
      <c r="D86" s="11" t="s">
        <v>1069</v>
      </c>
      <c r="E86" s="11" t="s">
        <v>3751</v>
      </c>
      <c r="F86" s="11" t="s">
        <v>3509</v>
      </c>
      <c r="G86" s="24" t="s">
        <v>29</v>
      </c>
      <c r="H86" s="24" t="s">
        <v>70</v>
      </c>
      <c r="I86" s="25" t="s">
        <v>71</v>
      </c>
      <c r="J86" s="12"/>
      <c r="K86" s="31" t="str">
        <f>"190,0"</f>
        <v>190,0</v>
      </c>
      <c r="L86" s="12" t="str">
        <f>"137,1990"</f>
        <v>137,1990</v>
      </c>
      <c r="M86" s="11" t="s">
        <v>2809</v>
      </c>
    </row>
    <row r="87" spans="1:13">
      <c r="A87" s="12" t="s">
        <v>414</v>
      </c>
      <c r="B87" s="11" t="s">
        <v>2810</v>
      </c>
      <c r="C87" s="11" t="s">
        <v>982</v>
      </c>
      <c r="D87" s="11" t="s">
        <v>2811</v>
      </c>
      <c r="E87" s="11" t="s">
        <v>3751</v>
      </c>
      <c r="F87" s="11" t="s">
        <v>3577</v>
      </c>
      <c r="G87" s="25" t="s">
        <v>59</v>
      </c>
      <c r="H87" s="24" t="s">
        <v>37</v>
      </c>
      <c r="I87" s="24" t="s">
        <v>113</v>
      </c>
      <c r="J87" s="12"/>
      <c r="K87" s="31" t="str">
        <f>"182,5"</f>
        <v>182,5</v>
      </c>
      <c r="L87" s="12" t="str">
        <f>"132,8235"</f>
        <v>132,8235</v>
      </c>
      <c r="M87" s="11" t="s">
        <v>2812</v>
      </c>
    </row>
    <row r="88" spans="1:13">
      <c r="A88" s="12" t="s">
        <v>408</v>
      </c>
      <c r="B88" s="11" t="s">
        <v>2813</v>
      </c>
      <c r="C88" s="11" t="s">
        <v>2814</v>
      </c>
      <c r="D88" s="11" t="s">
        <v>2036</v>
      </c>
      <c r="E88" s="11" t="s">
        <v>3756</v>
      </c>
      <c r="F88" s="11" t="s">
        <v>3552</v>
      </c>
      <c r="G88" s="24" t="s">
        <v>37</v>
      </c>
      <c r="H88" s="25" t="s">
        <v>40</v>
      </c>
      <c r="I88" s="12"/>
      <c r="J88" s="12"/>
      <c r="K88" s="31" t="str">
        <f>"170,0"</f>
        <v>170,0</v>
      </c>
      <c r="L88" s="12" t="str">
        <f>"150,5995"</f>
        <v>150,5995</v>
      </c>
      <c r="M88" s="11" t="s">
        <v>2815</v>
      </c>
    </row>
    <row r="89" spans="1:13">
      <c r="A89" s="14" t="s">
        <v>408</v>
      </c>
      <c r="B89" s="13" t="s">
        <v>2816</v>
      </c>
      <c r="C89" s="13" t="s">
        <v>2817</v>
      </c>
      <c r="D89" s="13" t="s">
        <v>2042</v>
      </c>
      <c r="E89" s="13" t="s">
        <v>3757</v>
      </c>
      <c r="F89" s="13" t="s">
        <v>3509</v>
      </c>
      <c r="G89" s="26" t="s">
        <v>29</v>
      </c>
      <c r="H89" s="27" t="s">
        <v>309</v>
      </c>
      <c r="I89" s="27" t="s">
        <v>309</v>
      </c>
      <c r="J89" s="14"/>
      <c r="K89" s="32" t="str">
        <f>"185,0"</f>
        <v>185,0</v>
      </c>
      <c r="L89" s="14" t="str">
        <f>"182,4374"</f>
        <v>182,4374</v>
      </c>
      <c r="M89" s="13"/>
    </row>
    <row r="90" spans="1:13">
      <c r="B90" s="5" t="s">
        <v>409</v>
      </c>
    </row>
    <row r="91" spans="1:13" ht="16">
      <c r="A91" s="57" t="s">
        <v>62</v>
      </c>
      <c r="B91" s="57"/>
      <c r="C91" s="57"/>
      <c r="D91" s="57"/>
      <c r="E91" s="57"/>
      <c r="F91" s="57"/>
      <c r="G91" s="57"/>
      <c r="H91" s="57"/>
      <c r="I91" s="57"/>
      <c r="J91" s="57"/>
    </row>
    <row r="92" spans="1:13">
      <c r="A92" s="10" t="s">
        <v>408</v>
      </c>
      <c r="B92" s="9" t="s">
        <v>1096</v>
      </c>
      <c r="C92" s="9" t="s">
        <v>1097</v>
      </c>
      <c r="D92" s="9" t="s">
        <v>145</v>
      </c>
      <c r="E92" s="9" t="s">
        <v>3752</v>
      </c>
      <c r="F92" s="9" t="s">
        <v>3545</v>
      </c>
      <c r="G92" s="23" t="s">
        <v>71</v>
      </c>
      <c r="H92" s="23" t="s">
        <v>97</v>
      </c>
      <c r="I92" s="22" t="s">
        <v>86</v>
      </c>
      <c r="J92" s="10"/>
      <c r="K92" s="30" t="str">
        <f>"220,0"</f>
        <v>220,0</v>
      </c>
      <c r="L92" s="10" t="str">
        <f>"147,9280"</f>
        <v>147,9280</v>
      </c>
      <c r="M92" s="9" t="s">
        <v>1098</v>
      </c>
    </row>
    <row r="93" spans="1:13">
      <c r="A93" s="12" t="s">
        <v>410</v>
      </c>
      <c r="B93" s="11" t="s">
        <v>2818</v>
      </c>
      <c r="C93" s="11" t="s">
        <v>2819</v>
      </c>
      <c r="D93" s="11" t="s">
        <v>1102</v>
      </c>
      <c r="E93" s="11" t="s">
        <v>3752</v>
      </c>
      <c r="F93" s="11" t="s">
        <v>3583</v>
      </c>
      <c r="G93" s="24" t="s">
        <v>37</v>
      </c>
      <c r="H93" s="24" t="s">
        <v>180</v>
      </c>
      <c r="I93" s="25" t="s">
        <v>71</v>
      </c>
      <c r="J93" s="12"/>
      <c r="K93" s="31" t="str">
        <f>"192,5"</f>
        <v>192,5</v>
      </c>
      <c r="L93" s="12" t="str">
        <f>"131,6315"</f>
        <v>131,6315</v>
      </c>
      <c r="M93" s="11"/>
    </row>
    <row r="94" spans="1:13">
      <c r="A94" s="12" t="s">
        <v>408</v>
      </c>
      <c r="B94" s="11" t="s">
        <v>468</v>
      </c>
      <c r="C94" s="11" t="s">
        <v>469</v>
      </c>
      <c r="D94" s="11" t="s">
        <v>470</v>
      </c>
      <c r="E94" s="11" t="s">
        <v>3754</v>
      </c>
      <c r="F94" s="11" t="s">
        <v>3526</v>
      </c>
      <c r="G94" s="25" t="s">
        <v>133</v>
      </c>
      <c r="H94" s="24" t="s">
        <v>134</v>
      </c>
      <c r="I94" s="24" t="s">
        <v>119</v>
      </c>
      <c r="J94" s="12"/>
      <c r="K94" s="31" t="str">
        <f>"260,0"</f>
        <v>260,0</v>
      </c>
      <c r="L94" s="12" t="str">
        <f>"175,3440"</f>
        <v>175,3440</v>
      </c>
      <c r="M94" s="11" t="s">
        <v>424</v>
      </c>
    </row>
    <row r="95" spans="1:13">
      <c r="A95" s="12" t="s">
        <v>410</v>
      </c>
      <c r="B95" s="11" t="s">
        <v>2820</v>
      </c>
      <c r="C95" s="11" t="s">
        <v>2821</v>
      </c>
      <c r="D95" s="11" t="s">
        <v>470</v>
      </c>
      <c r="E95" s="11" t="s">
        <v>3754</v>
      </c>
      <c r="F95" s="11" t="s">
        <v>3733</v>
      </c>
      <c r="G95" s="24" t="s">
        <v>154</v>
      </c>
      <c r="H95" s="24" t="s">
        <v>562</v>
      </c>
      <c r="I95" s="25" t="s">
        <v>205</v>
      </c>
      <c r="J95" s="12"/>
      <c r="K95" s="31" t="str">
        <f>"252,5"</f>
        <v>252,5</v>
      </c>
      <c r="L95" s="12" t="str">
        <f>"170,2860"</f>
        <v>170,2860</v>
      </c>
      <c r="M95" s="11"/>
    </row>
    <row r="96" spans="1:13">
      <c r="A96" s="12" t="s">
        <v>411</v>
      </c>
      <c r="B96" s="11" t="s">
        <v>1105</v>
      </c>
      <c r="C96" s="11" t="s">
        <v>1106</v>
      </c>
      <c r="D96" s="11" t="s">
        <v>1107</v>
      </c>
      <c r="E96" s="11" t="s">
        <v>3754</v>
      </c>
      <c r="F96" s="11" t="s">
        <v>199</v>
      </c>
      <c r="G96" s="24" t="s">
        <v>97</v>
      </c>
      <c r="H96" s="24" t="s">
        <v>98</v>
      </c>
      <c r="I96" s="25" t="s">
        <v>99</v>
      </c>
      <c r="J96" s="12"/>
      <c r="K96" s="31" t="str">
        <f>"230,0"</f>
        <v>230,0</v>
      </c>
      <c r="L96" s="12" t="str">
        <f>"155,2270"</f>
        <v>155,2270</v>
      </c>
      <c r="M96" s="11" t="s">
        <v>1108</v>
      </c>
    </row>
    <row r="97" spans="1:13">
      <c r="A97" s="12" t="s">
        <v>413</v>
      </c>
      <c r="B97" s="11" t="s">
        <v>3379</v>
      </c>
      <c r="C97" s="11" t="s">
        <v>2822</v>
      </c>
      <c r="D97" s="11" t="s">
        <v>123</v>
      </c>
      <c r="E97" s="11" t="s">
        <v>3754</v>
      </c>
      <c r="F97" s="11" t="s">
        <v>142</v>
      </c>
      <c r="G97" s="24" t="s">
        <v>66</v>
      </c>
      <c r="H97" s="24" t="s">
        <v>67</v>
      </c>
      <c r="I97" s="24" t="s">
        <v>68</v>
      </c>
      <c r="J97" s="12"/>
      <c r="K97" s="31" t="str">
        <f>"215,0"</f>
        <v>215,0</v>
      </c>
      <c r="L97" s="12" t="str">
        <f>"144,0285"</f>
        <v>144,0285</v>
      </c>
      <c r="M97" s="11"/>
    </row>
    <row r="98" spans="1:13">
      <c r="A98" s="12" t="s">
        <v>408</v>
      </c>
      <c r="B98" s="11" t="s">
        <v>1121</v>
      </c>
      <c r="C98" s="11" t="s">
        <v>1122</v>
      </c>
      <c r="D98" s="11" t="s">
        <v>145</v>
      </c>
      <c r="E98" s="11" t="s">
        <v>3751</v>
      </c>
      <c r="F98" s="11" t="s">
        <v>1123</v>
      </c>
      <c r="G98" s="24" t="s">
        <v>119</v>
      </c>
      <c r="H98" s="24" t="s">
        <v>110</v>
      </c>
      <c r="I98" s="25" t="s">
        <v>121</v>
      </c>
      <c r="J98" s="12"/>
      <c r="K98" s="31" t="str">
        <f>"275,0"</f>
        <v>275,0</v>
      </c>
      <c r="L98" s="12" t="str">
        <f>"184,9100"</f>
        <v>184,9100</v>
      </c>
      <c r="M98" s="11"/>
    </row>
    <row r="99" spans="1:13">
      <c r="A99" s="12" t="s">
        <v>410</v>
      </c>
      <c r="B99" s="11" t="s">
        <v>1132</v>
      </c>
      <c r="C99" s="11" t="s">
        <v>1133</v>
      </c>
      <c r="D99" s="11" t="s">
        <v>123</v>
      </c>
      <c r="E99" s="11" t="s">
        <v>3751</v>
      </c>
      <c r="F99" s="11" t="s">
        <v>199</v>
      </c>
      <c r="G99" s="24" t="s">
        <v>119</v>
      </c>
      <c r="H99" s="25" t="s">
        <v>501</v>
      </c>
      <c r="I99" s="25" t="s">
        <v>110</v>
      </c>
      <c r="J99" s="12"/>
      <c r="K99" s="31" t="str">
        <f>"260,0"</f>
        <v>260,0</v>
      </c>
      <c r="L99" s="12" t="str">
        <f>"174,1740"</f>
        <v>174,1740</v>
      </c>
      <c r="M99" s="11" t="s">
        <v>2685</v>
      </c>
    </row>
    <row r="100" spans="1:13">
      <c r="A100" s="12" t="s">
        <v>411</v>
      </c>
      <c r="B100" s="11" t="s">
        <v>1134</v>
      </c>
      <c r="C100" s="11" t="s">
        <v>1135</v>
      </c>
      <c r="D100" s="11" t="s">
        <v>1136</v>
      </c>
      <c r="E100" s="11" t="s">
        <v>3751</v>
      </c>
      <c r="F100" s="11" t="s">
        <v>3549</v>
      </c>
      <c r="G100" s="24" t="s">
        <v>133</v>
      </c>
      <c r="H100" s="24" t="s">
        <v>134</v>
      </c>
      <c r="I100" s="24" t="s">
        <v>205</v>
      </c>
      <c r="J100" s="12"/>
      <c r="K100" s="31" t="str">
        <f>"255,0"</f>
        <v>255,0</v>
      </c>
      <c r="L100" s="12" t="str">
        <f>"170,9520"</f>
        <v>170,9520</v>
      </c>
      <c r="M100" s="11" t="s">
        <v>1137</v>
      </c>
    </row>
    <row r="101" spans="1:13">
      <c r="A101" s="12" t="s">
        <v>413</v>
      </c>
      <c r="B101" s="11" t="s">
        <v>2081</v>
      </c>
      <c r="C101" s="11" t="s">
        <v>2082</v>
      </c>
      <c r="D101" s="11" t="s">
        <v>1144</v>
      </c>
      <c r="E101" s="11" t="s">
        <v>3751</v>
      </c>
      <c r="F101" s="11" t="s">
        <v>3597</v>
      </c>
      <c r="G101" s="24" t="s">
        <v>97</v>
      </c>
      <c r="H101" s="24" t="s">
        <v>87</v>
      </c>
      <c r="I101" s="24" t="s">
        <v>133</v>
      </c>
      <c r="J101" s="12"/>
      <c r="K101" s="31" t="str">
        <f>"240,0"</f>
        <v>240,0</v>
      </c>
      <c r="L101" s="12" t="str">
        <f>"161,0160"</f>
        <v>161,0160</v>
      </c>
      <c r="M101" s="11"/>
    </row>
    <row r="102" spans="1:13">
      <c r="A102" s="12" t="s">
        <v>414</v>
      </c>
      <c r="B102" s="11" t="s">
        <v>2823</v>
      </c>
      <c r="C102" s="11" t="s">
        <v>2824</v>
      </c>
      <c r="D102" s="11" t="s">
        <v>1144</v>
      </c>
      <c r="E102" s="11" t="s">
        <v>3751</v>
      </c>
      <c r="F102" s="11" t="s">
        <v>3509</v>
      </c>
      <c r="G102" s="24" t="s">
        <v>86</v>
      </c>
      <c r="H102" s="25" t="s">
        <v>663</v>
      </c>
      <c r="I102" s="25" t="s">
        <v>663</v>
      </c>
      <c r="J102" s="12"/>
      <c r="K102" s="31" t="str">
        <f>"225,0"</f>
        <v>225,0</v>
      </c>
      <c r="L102" s="12" t="str">
        <f>"150,9525"</f>
        <v>150,9525</v>
      </c>
      <c r="M102" s="11"/>
    </row>
    <row r="103" spans="1:13">
      <c r="A103" s="12" t="s">
        <v>415</v>
      </c>
      <c r="B103" s="11" t="s">
        <v>2825</v>
      </c>
      <c r="C103" s="11" t="s">
        <v>2826</v>
      </c>
      <c r="D103" s="11" t="s">
        <v>1136</v>
      </c>
      <c r="E103" s="11" t="s">
        <v>3751</v>
      </c>
      <c r="F103" s="11" t="s">
        <v>3509</v>
      </c>
      <c r="G103" s="24" t="s">
        <v>29</v>
      </c>
      <c r="H103" s="25" t="s">
        <v>66</v>
      </c>
      <c r="I103" s="24" t="s">
        <v>66</v>
      </c>
      <c r="J103" s="12"/>
      <c r="K103" s="31" t="str">
        <f>"195,0"</f>
        <v>195,0</v>
      </c>
      <c r="L103" s="12" t="str">
        <f>"130,7280"</f>
        <v>130,7280</v>
      </c>
      <c r="M103" s="11" t="s">
        <v>2237</v>
      </c>
    </row>
    <row r="104" spans="1:13">
      <c r="A104" s="12" t="s">
        <v>416</v>
      </c>
      <c r="B104" s="11" t="s">
        <v>2827</v>
      </c>
      <c r="C104" s="11" t="s">
        <v>2828</v>
      </c>
      <c r="D104" s="11" t="s">
        <v>123</v>
      </c>
      <c r="E104" s="11" t="s">
        <v>3751</v>
      </c>
      <c r="F104" s="11" t="s">
        <v>3509</v>
      </c>
      <c r="G104" s="24" t="s">
        <v>37</v>
      </c>
      <c r="H104" s="24" t="s">
        <v>29</v>
      </c>
      <c r="I104" s="24" t="s">
        <v>180</v>
      </c>
      <c r="J104" s="12"/>
      <c r="K104" s="31" t="str">
        <f>"192,5"</f>
        <v>192,5</v>
      </c>
      <c r="L104" s="12" t="str">
        <f>"128,9558"</f>
        <v>128,9558</v>
      </c>
      <c r="M104" s="11" t="s">
        <v>779</v>
      </c>
    </row>
    <row r="105" spans="1:13">
      <c r="A105" s="12" t="s">
        <v>417</v>
      </c>
      <c r="B105" s="11" t="s">
        <v>2829</v>
      </c>
      <c r="C105" s="11" t="s">
        <v>2830</v>
      </c>
      <c r="D105" s="11" t="s">
        <v>1113</v>
      </c>
      <c r="E105" s="11" t="s">
        <v>3751</v>
      </c>
      <c r="F105" s="11" t="s">
        <v>3678</v>
      </c>
      <c r="G105" s="24" t="s">
        <v>37</v>
      </c>
      <c r="H105" s="24" t="s">
        <v>40</v>
      </c>
      <c r="I105" s="25" t="s">
        <v>70</v>
      </c>
      <c r="J105" s="12"/>
      <c r="K105" s="31" t="str">
        <f>"180,0"</f>
        <v>180,0</v>
      </c>
      <c r="L105" s="12" t="str">
        <f>"121,5720"</f>
        <v>121,5720</v>
      </c>
      <c r="M105" s="11" t="s">
        <v>457</v>
      </c>
    </row>
    <row r="106" spans="1:13">
      <c r="A106" s="12" t="s">
        <v>408</v>
      </c>
      <c r="B106" s="11" t="s">
        <v>2081</v>
      </c>
      <c r="C106" s="11" t="s">
        <v>2121</v>
      </c>
      <c r="D106" s="11" t="s">
        <v>1144</v>
      </c>
      <c r="E106" s="11" t="s">
        <v>3753</v>
      </c>
      <c r="F106" s="11" t="s">
        <v>3597</v>
      </c>
      <c r="G106" s="24" t="s">
        <v>97</v>
      </c>
      <c r="H106" s="24" t="s">
        <v>87</v>
      </c>
      <c r="I106" s="24" t="s">
        <v>133</v>
      </c>
      <c r="J106" s="12"/>
      <c r="K106" s="31" t="str">
        <f>"240,0"</f>
        <v>240,0</v>
      </c>
      <c r="L106" s="12" t="str">
        <f>"161,8211"</f>
        <v>161,8211</v>
      </c>
      <c r="M106" s="11"/>
    </row>
    <row r="107" spans="1:13">
      <c r="A107" s="12" t="s">
        <v>410</v>
      </c>
      <c r="B107" s="11" t="s">
        <v>2831</v>
      </c>
      <c r="C107" s="11" t="s">
        <v>2832</v>
      </c>
      <c r="D107" s="11" t="s">
        <v>481</v>
      </c>
      <c r="E107" s="11" t="s">
        <v>3753</v>
      </c>
      <c r="F107" s="11" t="s">
        <v>2833</v>
      </c>
      <c r="G107" s="24" t="s">
        <v>71</v>
      </c>
      <c r="H107" s="25" t="s">
        <v>83</v>
      </c>
      <c r="I107" s="24" t="s">
        <v>97</v>
      </c>
      <c r="J107" s="12"/>
      <c r="K107" s="31" t="str">
        <f>"220,0"</f>
        <v>220,0</v>
      </c>
      <c r="L107" s="12" t="str">
        <f>"150,5912"</f>
        <v>150,5912</v>
      </c>
      <c r="M107" s="11"/>
    </row>
    <row r="108" spans="1:13">
      <c r="A108" s="12" t="s">
        <v>411</v>
      </c>
      <c r="B108" s="11" t="s">
        <v>2834</v>
      </c>
      <c r="C108" s="11" t="s">
        <v>2835</v>
      </c>
      <c r="D108" s="11" t="s">
        <v>2836</v>
      </c>
      <c r="E108" s="11" t="s">
        <v>3753</v>
      </c>
      <c r="F108" s="11" t="s">
        <v>3734</v>
      </c>
      <c r="G108" s="24" t="s">
        <v>71</v>
      </c>
      <c r="H108" s="24" t="s">
        <v>67</v>
      </c>
      <c r="I108" s="12"/>
      <c r="J108" s="12"/>
      <c r="K108" s="31" t="str">
        <f>"205,0"</f>
        <v>205,0</v>
      </c>
      <c r="L108" s="12" t="str">
        <f>"146,5068"</f>
        <v>146,5068</v>
      </c>
      <c r="M108" s="11"/>
    </row>
    <row r="109" spans="1:13">
      <c r="A109" s="14" t="s">
        <v>408</v>
      </c>
      <c r="B109" s="13" t="s">
        <v>1121</v>
      </c>
      <c r="C109" s="13" t="s">
        <v>1152</v>
      </c>
      <c r="D109" s="13" t="s">
        <v>145</v>
      </c>
      <c r="E109" s="13" t="s">
        <v>3756</v>
      </c>
      <c r="F109" s="13" t="s">
        <v>1123</v>
      </c>
      <c r="G109" s="26" t="s">
        <v>119</v>
      </c>
      <c r="H109" s="26" t="s">
        <v>110</v>
      </c>
      <c r="I109" s="27" t="s">
        <v>121</v>
      </c>
      <c r="J109" s="14"/>
      <c r="K109" s="32" t="str">
        <f>"275,0"</f>
        <v>275,0</v>
      </c>
      <c r="L109" s="14" t="str">
        <f>"231,1375"</f>
        <v>231,1375</v>
      </c>
      <c r="M109" s="13"/>
    </row>
    <row r="110" spans="1:13">
      <c r="B110" s="5" t="s">
        <v>409</v>
      </c>
    </row>
    <row r="111" spans="1:13" ht="16">
      <c r="A111" s="57" t="s">
        <v>150</v>
      </c>
      <c r="B111" s="57"/>
      <c r="C111" s="57"/>
      <c r="D111" s="57"/>
      <c r="E111" s="57"/>
      <c r="F111" s="57"/>
      <c r="G111" s="57"/>
      <c r="H111" s="57"/>
      <c r="I111" s="57"/>
      <c r="J111" s="57"/>
    </row>
    <row r="112" spans="1:13">
      <c r="A112" s="10" t="s">
        <v>408</v>
      </c>
      <c r="B112" s="9" t="s">
        <v>482</v>
      </c>
      <c r="C112" s="9" t="s">
        <v>483</v>
      </c>
      <c r="D112" s="9" t="s">
        <v>191</v>
      </c>
      <c r="E112" s="9" t="s">
        <v>3752</v>
      </c>
      <c r="F112" s="9" t="s">
        <v>199</v>
      </c>
      <c r="G112" s="23" t="s">
        <v>205</v>
      </c>
      <c r="H112" s="22" t="s">
        <v>120</v>
      </c>
      <c r="I112" s="22" t="s">
        <v>120</v>
      </c>
      <c r="J112" s="10"/>
      <c r="K112" s="30" t="str">
        <f>"255,0"</f>
        <v>255,0</v>
      </c>
      <c r="L112" s="10" t="str">
        <f>"163,8120"</f>
        <v>163,8120</v>
      </c>
      <c r="M112" s="9" t="s">
        <v>3347</v>
      </c>
    </row>
    <row r="113" spans="1:13">
      <c r="A113" s="12" t="s">
        <v>408</v>
      </c>
      <c r="B113" s="11" t="s">
        <v>2837</v>
      </c>
      <c r="C113" s="11" t="s">
        <v>2838</v>
      </c>
      <c r="D113" s="11" t="s">
        <v>1189</v>
      </c>
      <c r="E113" s="11" t="s">
        <v>3754</v>
      </c>
      <c r="F113" s="11" t="s">
        <v>3509</v>
      </c>
      <c r="G113" s="25" t="s">
        <v>121</v>
      </c>
      <c r="H113" s="24" t="s">
        <v>121</v>
      </c>
      <c r="I113" s="25" t="s">
        <v>128</v>
      </c>
      <c r="J113" s="12"/>
      <c r="K113" s="31" t="str">
        <f>"280,0"</f>
        <v>280,0</v>
      </c>
      <c r="L113" s="12" t="str">
        <f>"178,9480"</f>
        <v>178,9480</v>
      </c>
      <c r="M113" s="11" t="s">
        <v>2839</v>
      </c>
    </row>
    <row r="114" spans="1:13">
      <c r="A114" s="12" t="s">
        <v>408</v>
      </c>
      <c r="B114" s="11" t="s">
        <v>2840</v>
      </c>
      <c r="C114" s="11" t="s">
        <v>2841</v>
      </c>
      <c r="D114" s="11" t="s">
        <v>2155</v>
      </c>
      <c r="E114" s="11" t="s">
        <v>3751</v>
      </c>
      <c r="F114" s="11" t="s">
        <v>3571</v>
      </c>
      <c r="G114" s="24" t="s">
        <v>114</v>
      </c>
      <c r="H114" s="25" t="s">
        <v>216</v>
      </c>
      <c r="I114" s="25" t="s">
        <v>216</v>
      </c>
      <c r="J114" s="12"/>
      <c r="K114" s="31" t="str">
        <f>"290,0"</f>
        <v>290,0</v>
      </c>
      <c r="L114" s="12" t="str">
        <f>"193,9810"</f>
        <v>193,9810</v>
      </c>
      <c r="M114" s="11"/>
    </row>
    <row r="115" spans="1:13">
      <c r="A115" s="12" t="s">
        <v>410</v>
      </c>
      <c r="B115" s="11" t="s">
        <v>491</v>
      </c>
      <c r="C115" s="11" t="s">
        <v>492</v>
      </c>
      <c r="D115" s="11" t="s">
        <v>155</v>
      </c>
      <c r="E115" s="11" t="s">
        <v>3751</v>
      </c>
      <c r="F115" s="11" t="s">
        <v>493</v>
      </c>
      <c r="G115" s="24" t="s">
        <v>119</v>
      </c>
      <c r="H115" s="24" t="s">
        <v>120</v>
      </c>
      <c r="I115" s="24" t="s">
        <v>121</v>
      </c>
      <c r="J115" s="12"/>
      <c r="K115" s="31" t="str">
        <f>"280,0"</f>
        <v>280,0</v>
      </c>
      <c r="L115" s="12" t="str">
        <f>"179,7880"</f>
        <v>179,7880</v>
      </c>
      <c r="M115" s="11"/>
    </row>
    <row r="116" spans="1:13">
      <c r="A116" s="12" t="s">
        <v>411</v>
      </c>
      <c r="B116" s="11" t="s">
        <v>1226</v>
      </c>
      <c r="C116" s="11" t="s">
        <v>1227</v>
      </c>
      <c r="D116" s="11" t="s">
        <v>704</v>
      </c>
      <c r="E116" s="11" t="s">
        <v>3751</v>
      </c>
      <c r="F116" s="11" t="s">
        <v>3509</v>
      </c>
      <c r="G116" s="24" t="s">
        <v>134</v>
      </c>
      <c r="H116" s="25" t="s">
        <v>120</v>
      </c>
      <c r="I116" s="24" t="s">
        <v>120</v>
      </c>
      <c r="J116" s="12"/>
      <c r="K116" s="31" t="str">
        <f>"270,0"</f>
        <v>270,0</v>
      </c>
      <c r="L116" s="12" t="str">
        <f>"174,7170"</f>
        <v>174,7170</v>
      </c>
      <c r="M116" s="11"/>
    </row>
    <row r="117" spans="1:13">
      <c r="A117" s="12" t="s">
        <v>413</v>
      </c>
      <c r="B117" s="11" t="s">
        <v>2238</v>
      </c>
      <c r="C117" s="11" t="s">
        <v>2239</v>
      </c>
      <c r="D117" s="11" t="s">
        <v>2198</v>
      </c>
      <c r="E117" s="11" t="s">
        <v>3751</v>
      </c>
      <c r="F117" s="11" t="s">
        <v>3632</v>
      </c>
      <c r="G117" s="24" t="s">
        <v>205</v>
      </c>
      <c r="H117" s="24" t="s">
        <v>170</v>
      </c>
      <c r="I117" s="25" t="s">
        <v>120</v>
      </c>
      <c r="J117" s="12"/>
      <c r="K117" s="31" t="str">
        <f>"262,5"</f>
        <v>262,5</v>
      </c>
      <c r="L117" s="12" t="str">
        <f>"168,1575"</f>
        <v>168,1575</v>
      </c>
      <c r="M117" s="11" t="s">
        <v>3341</v>
      </c>
    </row>
    <row r="118" spans="1:13">
      <c r="A118" s="12" t="s">
        <v>414</v>
      </c>
      <c r="B118" s="11" t="s">
        <v>2842</v>
      </c>
      <c r="C118" s="11" t="s">
        <v>2843</v>
      </c>
      <c r="D118" s="11" t="s">
        <v>2208</v>
      </c>
      <c r="E118" s="11" t="s">
        <v>3751</v>
      </c>
      <c r="F118" s="11" t="s">
        <v>3545</v>
      </c>
      <c r="G118" s="24" t="s">
        <v>99</v>
      </c>
      <c r="H118" s="24" t="s">
        <v>134</v>
      </c>
      <c r="I118" s="24" t="s">
        <v>119</v>
      </c>
      <c r="J118" s="12"/>
      <c r="K118" s="31" t="str">
        <f>"260,0"</f>
        <v>260,0</v>
      </c>
      <c r="L118" s="12" t="str">
        <f>"168,0380"</f>
        <v>168,0380</v>
      </c>
      <c r="M118" s="11" t="s">
        <v>2844</v>
      </c>
    </row>
    <row r="119" spans="1:13">
      <c r="A119" s="12" t="s">
        <v>415</v>
      </c>
      <c r="B119" s="11" t="s">
        <v>3380</v>
      </c>
      <c r="C119" s="11" t="s">
        <v>2845</v>
      </c>
      <c r="D119" s="11" t="s">
        <v>1562</v>
      </c>
      <c r="E119" s="11" t="s">
        <v>3751</v>
      </c>
      <c r="F119" s="11" t="s">
        <v>926</v>
      </c>
      <c r="G119" s="25" t="s">
        <v>133</v>
      </c>
      <c r="H119" s="24" t="s">
        <v>549</v>
      </c>
      <c r="I119" s="25" t="s">
        <v>562</v>
      </c>
      <c r="J119" s="12"/>
      <c r="K119" s="31" t="str">
        <f>"247,5"</f>
        <v>247,5</v>
      </c>
      <c r="L119" s="12" t="str">
        <f>"158,6475"</f>
        <v>158,6475</v>
      </c>
      <c r="M119" s="11"/>
    </row>
    <row r="120" spans="1:13">
      <c r="A120" s="12" t="s">
        <v>416</v>
      </c>
      <c r="B120" s="11" t="s">
        <v>1205</v>
      </c>
      <c r="C120" s="11" t="s">
        <v>1206</v>
      </c>
      <c r="D120" s="11" t="s">
        <v>683</v>
      </c>
      <c r="E120" s="11" t="s">
        <v>3751</v>
      </c>
      <c r="F120" s="11" t="s">
        <v>3509</v>
      </c>
      <c r="G120" s="24" t="s">
        <v>133</v>
      </c>
      <c r="H120" s="24" t="s">
        <v>691</v>
      </c>
      <c r="I120" s="25" t="s">
        <v>170</v>
      </c>
      <c r="J120" s="12"/>
      <c r="K120" s="31" t="str">
        <f>"242,5"</f>
        <v>242,5</v>
      </c>
      <c r="L120" s="12" t="str">
        <f>"156,0730"</f>
        <v>156,0730</v>
      </c>
      <c r="M120" s="11" t="s">
        <v>1207</v>
      </c>
    </row>
    <row r="121" spans="1:13">
      <c r="A121" s="12" t="s">
        <v>417</v>
      </c>
      <c r="B121" s="11" t="s">
        <v>2846</v>
      </c>
      <c r="C121" s="11" t="s">
        <v>2847</v>
      </c>
      <c r="D121" s="11" t="s">
        <v>155</v>
      </c>
      <c r="E121" s="11" t="s">
        <v>3751</v>
      </c>
      <c r="F121" s="11" t="s">
        <v>3509</v>
      </c>
      <c r="G121" s="24" t="s">
        <v>87</v>
      </c>
      <c r="H121" s="24" t="s">
        <v>691</v>
      </c>
      <c r="I121" s="12"/>
      <c r="J121" s="12"/>
      <c r="K121" s="31" t="str">
        <f>"242,5"</f>
        <v>242,5</v>
      </c>
      <c r="L121" s="12" t="str">
        <f>"155,7092"</f>
        <v>155,7092</v>
      </c>
      <c r="M121" s="11" t="s">
        <v>923</v>
      </c>
    </row>
    <row r="122" spans="1:13">
      <c r="A122" s="12" t="s">
        <v>1364</v>
      </c>
      <c r="B122" s="11" t="s">
        <v>2848</v>
      </c>
      <c r="C122" s="11" t="s">
        <v>2849</v>
      </c>
      <c r="D122" s="11" t="s">
        <v>1556</v>
      </c>
      <c r="E122" s="11" t="s">
        <v>3751</v>
      </c>
      <c r="F122" s="11" t="s">
        <v>3509</v>
      </c>
      <c r="G122" s="24" t="s">
        <v>70</v>
      </c>
      <c r="H122" s="24" t="s">
        <v>92</v>
      </c>
      <c r="I122" s="25" t="s">
        <v>309</v>
      </c>
      <c r="J122" s="12"/>
      <c r="K122" s="31" t="str">
        <f>"202,5"</f>
        <v>202,5</v>
      </c>
      <c r="L122" s="12" t="str">
        <f>"131,8477"</f>
        <v>131,8477</v>
      </c>
      <c r="M122" s="11" t="s">
        <v>2850</v>
      </c>
    </row>
    <row r="123" spans="1:13">
      <c r="A123" s="12" t="s">
        <v>1365</v>
      </c>
      <c r="B123" s="11" t="s">
        <v>1220</v>
      </c>
      <c r="C123" s="11" t="s">
        <v>1221</v>
      </c>
      <c r="D123" s="11" t="s">
        <v>1210</v>
      </c>
      <c r="E123" s="11" t="s">
        <v>3751</v>
      </c>
      <c r="F123" s="11" t="s">
        <v>3509</v>
      </c>
      <c r="G123" s="24" t="s">
        <v>36</v>
      </c>
      <c r="H123" s="24" t="s">
        <v>61</v>
      </c>
      <c r="I123" s="25" t="s">
        <v>70</v>
      </c>
      <c r="J123" s="12"/>
      <c r="K123" s="31" t="str">
        <f>"177,5"</f>
        <v>177,5</v>
      </c>
      <c r="L123" s="12" t="str">
        <f>"114,3100"</f>
        <v>114,3100</v>
      </c>
      <c r="M123" s="11" t="s">
        <v>3373</v>
      </c>
    </row>
    <row r="124" spans="1:13">
      <c r="A124" s="12" t="s">
        <v>408</v>
      </c>
      <c r="B124" s="11" t="s">
        <v>2534</v>
      </c>
      <c r="C124" s="11" t="s">
        <v>2535</v>
      </c>
      <c r="D124" s="11" t="s">
        <v>704</v>
      </c>
      <c r="E124" s="11" t="s">
        <v>3753</v>
      </c>
      <c r="F124" s="11" t="s">
        <v>2536</v>
      </c>
      <c r="G124" s="24" t="s">
        <v>71</v>
      </c>
      <c r="H124" s="24" t="s">
        <v>97</v>
      </c>
      <c r="I124" s="25" t="s">
        <v>663</v>
      </c>
      <c r="J124" s="12"/>
      <c r="K124" s="31" t="str">
        <f>"220,0"</f>
        <v>220,0</v>
      </c>
      <c r="L124" s="12" t="str">
        <f>"148,6259"</f>
        <v>148,6259</v>
      </c>
      <c r="M124" s="11"/>
    </row>
    <row r="125" spans="1:13">
      <c r="A125" s="12" t="s">
        <v>410</v>
      </c>
      <c r="B125" s="11" t="s">
        <v>2851</v>
      </c>
      <c r="C125" s="11" t="s">
        <v>2852</v>
      </c>
      <c r="D125" s="11" t="s">
        <v>1210</v>
      </c>
      <c r="E125" s="11" t="s">
        <v>3753</v>
      </c>
      <c r="F125" s="11" t="s">
        <v>3509</v>
      </c>
      <c r="G125" s="24" t="s">
        <v>71</v>
      </c>
      <c r="H125" s="24" t="s">
        <v>97</v>
      </c>
      <c r="I125" s="25" t="s">
        <v>98</v>
      </c>
      <c r="J125" s="12"/>
      <c r="K125" s="31" t="str">
        <f>"220,0"</f>
        <v>220,0</v>
      </c>
      <c r="L125" s="12" t="str">
        <f>"143,6635"</f>
        <v>143,6635</v>
      </c>
      <c r="M125" s="11" t="s">
        <v>2237</v>
      </c>
    </row>
    <row r="126" spans="1:13">
      <c r="A126" s="12" t="s">
        <v>411</v>
      </c>
      <c r="B126" s="11" t="s">
        <v>1231</v>
      </c>
      <c r="C126" s="11" t="s">
        <v>1232</v>
      </c>
      <c r="D126" s="11" t="s">
        <v>1233</v>
      </c>
      <c r="E126" s="11" t="s">
        <v>3753</v>
      </c>
      <c r="F126" s="11" t="s">
        <v>3523</v>
      </c>
      <c r="G126" s="24" t="s">
        <v>71</v>
      </c>
      <c r="H126" s="24" t="s">
        <v>83</v>
      </c>
      <c r="I126" s="25" t="s">
        <v>288</v>
      </c>
      <c r="J126" s="12"/>
      <c r="K126" s="31" t="str">
        <f>"210,0"</f>
        <v>210,0</v>
      </c>
      <c r="L126" s="12" t="str">
        <f>"139,6096"</f>
        <v>139,6096</v>
      </c>
      <c r="M126" s="11" t="s">
        <v>779</v>
      </c>
    </row>
    <row r="127" spans="1:13">
      <c r="A127" s="14" t="s">
        <v>408</v>
      </c>
      <c r="B127" s="13" t="s">
        <v>1249</v>
      </c>
      <c r="C127" s="13" t="s">
        <v>1250</v>
      </c>
      <c r="D127" s="13" t="s">
        <v>1251</v>
      </c>
      <c r="E127" s="13" t="s">
        <v>3757</v>
      </c>
      <c r="F127" s="13" t="s">
        <v>3535</v>
      </c>
      <c r="G127" s="26" t="s">
        <v>76</v>
      </c>
      <c r="H127" s="26" t="s">
        <v>132</v>
      </c>
      <c r="I127" s="26" t="s">
        <v>45</v>
      </c>
      <c r="J127" s="14"/>
      <c r="K127" s="32" t="str">
        <f>"140,0"</f>
        <v>140,0</v>
      </c>
      <c r="L127" s="14" t="str">
        <f>"139,6532"</f>
        <v>139,6532</v>
      </c>
      <c r="M127" s="13" t="s">
        <v>509</v>
      </c>
    </row>
    <row r="128" spans="1:13">
      <c r="B128" s="5" t="s">
        <v>409</v>
      </c>
    </row>
    <row r="129" spans="1:13" ht="16">
      <c r="A129" s="57" t="s">
        <v>195</v>
      </c>
      <c r="B129" s="57"/>
      <c r="C129" s="57"/>
      <c r="D129" s="57"/>
      <c r="E129" s="57"/>
      <c r="F129" s="57"/>
      <c r="G129" s="57"/>
      <c r="H129" s="57"/>
      <c r="I129" s="57"/>
      <c r="J129" s="57"/>
    </row>
    <row r="130" spans="1:13">
      <c r="A130" s="10" t="s">
        <v>408</v>
      </c>
      <c r="B130" s="9" t="s">
        <v>2853</v>
      </c>
      <c r="C130" s="9" t="s">
        <v>2854</v>
      </c>
      <c r="D130" s="9" t="s">
        <v>2855</v>
      </c>
      <c r="E130" s="9" t="s">
        <v>3755</v>
      </c>
      <c r="F130" s="9" t="s">
        <v>3509</v>
      </c>
      <c r="G130" s="22" t="s">
        <v>38</v>
      </c>
      <c r="H130" s="22" t="s">
        <v>38</v>
      </c>
      <c r="I130" s="23" t="s">
        <v>38</v>
      </c>
      <c r="J130" s="10"/>
      <c r="K130" s="30" t="str">
        <f>"90,0"</f>
        <v>90,0</v>
      </c>
      <c r="L130" s="10" t="str">
        <f>"56,0340"</f>
        <v>56,0340</v>
      </c>
      <c r="M130" s="9" t="s">
        <v>3313</v>
      </c>
    </row>
    <row r="131" spans="1:13">
      <c r="A131" s="12" t="s">
        <v>408</v>
      </c>
      <c r="B131" s="11" t="s">
        <v>3381</v>
      </c>
      <c r="C131" s="11" t="s">
        <v>502</v>
      </c>
      <c r="D131" s="11" t="s">
        <v>503</v>
      </c>
      <c r="E131" s="11" t="s">
        <v>3754</v>
      </c>
      <c r="F131" s="11" t="s">
        <v>504</v>
      </c>
      <c r="G131" s="24" t="s">
        <v>70</v>
      </c>
      <c r="H131" s="24" t="s">
        <v>97</v>
      </c>
      <c r="I131" s="25" t="s">
        <v>133</v>
      </c>
      <c r="J131" s="12"/>
      <c r="K131" s="31" t="str">
        <f>"220,0"</f>
        <v>220,0</v>
      </c>
      <c r="L131" s="12" t="str">
        <f>"134,4420"</f>
        <v>134,4420</v>
      </c>
      <c r="M131" s="11" t="s">
        <v>3363</v>
      </c>
    </row>
    <row r="132" spans="1:13">
      <c r="A132" s="12" t="s">
        <v>410</v>
      </c>
      <c r="B132" s="11" t="s">
        <v>2856</v>
      </c>
      <c r="C132" s="11" t="s">
        <v>2857</v>
      </c>
      <c r="D132" s="11" t="s">
        <v>2858</v>
      </c>
      <c r="E132" s="11" t="s">
        <v>3754</v>
      </c>
      <c r="F132" s="11" t="s">
        <v>3509</v>
      </c>
      <c r="G132" s="24" t="s">
        <v>40</v>
      </c>
      <c r="H132" s="25" t="s">
        <v>83</v>
      </c>
      <c r="I132" s="24" t="s">
        <v>83</v>
      </c>
      <c r="J132" s="12"/>
      <c r="K132" s="31" t="str">
        <f>"210,0"</f>
        <v>210,0</v>
      </c>
      <c r="L132" s="12" t="str">
        <f>"129,3180"</f>
        <v>129,3180</v>
      </c>
      <c r="M132" s="11"/>
    </row>
    <row r="133" spans="1:13">
      <c r="A133" s="12" t="s">
        <v>408</v>
      </c>
      <c r="B133" s="11" t="s">
        <v>2859</v>
      </c>
      <c r="C133" s="11" t="s">
        <v>176</v>
      </c>
      <c r="D133" s="11" t="s">
        <v>241</v>
      </c>
      <c r="E133" s="11" t="s">
        <v>3751</v>
      </c>
      <c r="F133" s="11" t="s">
        <v>3545</v>
      </c>
      <c r="G133" s="24" t="s">
        <v>120</v>
      </c>
      <c r="H133" s="25" t="s">
        <v>337</v>
      </c>
      <c r="I133" s="24" t="s">
        <v>337</v>
      </c>
      <c r="J133" s="12"/>
      <c r="K133" s="31" t="str">
        <f>"292,5"</f>
        <v>292,5</v>
      </c>
      <c r="L133" s="12" t="str">
        <f>"180,0337"</f>
        <v>180,0337</v>
      </c>
      <c r="M133" s="11" t="s">
        <v>2860</v>
      </c>
    </row>
    <row r="134" spans="1:13">
      <c r="A134" s="12" t="s">
        <v>410</v>
      </c>
      <c r="B134" s="11" t="s">
        <v>506</v>
      </c>
      <c r="C134" s="11" t="s">
        <v>507</v>
      </c>
      <c r="D134" s="11" t="s">
        <v>508</v>
      </c>
      <c r="E134" s="11" t="s">
        <v>3751</v>
      </c>
      <c r="F134" s="11" t="s">
        <v>3535</v>
      </c>
      <c r="G134" s="24" t="s">
        <v>134</v>
      </c>
      <c r="H134" s="24" t="s">
        <v>120</v>
      </c>
      <c r="I134" s="24" t="s">
        <v>114</v>
      </c>
      <c r="J134" s="12"/>
      <c r="K134" s="31" t="str">
        <f>"290,0"</f>
        <v>290,0</v>
      </c>
      <c r="L134" s="12" t="str">
        <f>"180,0610"</f>
        <v>180,0610</v>
      </c>
      <c r="M134" s="11" t="s">
        <v>509</v>
      </c>
    </row>
    <row r="135" spans="1:13">
      <c r="A135" s="12" t="s">
        <v>411</v>
      </c>
      <c r="B135" s="11" t="s">
        <v>1679</v>
      </c>
      <c r="C135" s="11" t="s">
        <v>2861</v>
      </c>
      <c r="D135" s="11" t="s">
        <v>1624</v>
      </c>
      <c r="E135" s="11" t="s">
        <v>3751</v>
      </c>
      <c r="F135" s="11" t="s">
        <v>3528</v>
      </c>
      <c r="G135" s="24" t="s">
        <v>98</v>
      </c>
      <c r="H135" s="24" t="s">
        <v>1681</v>
      </c>
      <c r="I135" s="25" t="s">
        <v>1682</v>
      </c>
      <c r="J135" s="12"/>
      <c r="K135" s="31" t="str">
        <f>"245,5"</f>
        <v>245,5</v>
      </c>
      <c r="L135" s="12" t="str">
        <f>"151,3753"</f>
        <v>151,3753</v>
      </c>
      <c r="M135" s="11"/>
    </row>
    <row r="136" spans="1:13">
      <c r="A136" s="12" t="s">
        <v>413</v>
      </c>
      <c r="B136" s="11" t="s">
        <v>2862</v>
      </c>
      <c r="C136" s="11" t="s">
        <v>2863</v>
      </c>
      <c r="D136" s="11" t="s">
        <v>503</v>
      </c>
      <c r="E136" s="11" t="s">
        <v>3751</v>
      </c>
      <c r="F136" s="11" t="s">
        <v>3594</v>
      </c>
      <c r="G136" s="24" t="s">
        <v>87</v>
      </c>
      <c r="H136" s="24" t="s">
        <v>154</v>
      </c>
      <c r="I136" s="25" t="s">
        <v>134</v>
      </c>
      <c r="J136" s="12"/>
      <c r="K136" s="31" t="str">
        <f>"245,0"</f>
        <v>245,0</v>
      </c>
      <c r="L136" s="12" t="str">
        <f>"149,7195"</f>
        <v>149,7195</v>
      </c>
      <c r="M136" s="11"/>
    </row>
    <row r="137" spans="1:13">
      <c r="A137" s="12" t="s">
        <v>414</v>
      </c>
      <c r="B137" s="11" t="s">
        <v>516</v>
      </c>
      <c r="C137" s="11" t="s">
        <v>517</v>
      </c>
      <c r="D137" s="11" t="s">
        <v>518</v>
      </c>
      <c r="E137" s="11" t="s">
        <v>3751</v>
      </c>
      <c r="F137" s="11" t="s">
        <v>3509</v>
      </c>
      <c r="G137" s="25" t="s">
        <v>97</v>
      </c>
      <c r="H137" s="24" t="s">
        <v>97</v>
      </c>
      <c r="I137" s="24" t="s">
        <v>133</v>
      </c>
      <c r="J137" s="12"/>
      <c r="K137" s="31" t="str">
        <f>"240,0"</f>
        <v>240,0</v>
      </c>
      <c r="L137" s="12" t="str">
        <f>"148,8720"</f>
        <v>148,8720</v>
      </c>
      <c r="M137" s="11"/>
    </row>
    <row r="138" spans="1:13">
      <c r="A138" s="12" t="s">
        <v>415</v>
      </c>
      <c r="B138" s="11" t="s">
        <v>513</v>
      </c>
      <c r="C138" s="11" t="s">
        <v>514</v>
      </c>
      <c r="D138" s="11" t="s">
        <v>515</v>
      </c>
      <c r="E138" s="11" t="s">
        <v>3751</v>
      </c>
      <c r="F138" s="11" t="s">
        <v>3523</v>
      </c>
      <c r="G138" s="24" t="s">
        <v>86</v>
      </c>
      <c r="H138" s="24" t="s">
        <v>87</v>
      </c>
      <c r="I138" s="24" t="s">
        <v>133</v>
      </c>
      <c r="J138" s="12"/>
      <c r="K138" s="31" t="str">
        <f>"240,0"</f>
        <v>240,0</v>
      </c>
      <c r="L138" s="12" t="str">
        <f>"148,1760"</f>
        <v>148,1760</v>
      </c>
      <c r="M138" s="11"/>
    </row>
    <row r="139" spans="1:13">
      <c r="A139" s="12" t="s">
        <v>416</v>
      </c>
      <c r="B139" s="11" t="s">
        <v>2316</v>
      </c>
      <c r="C139" s="11" t="s">
        <v>2864</v>
      </c>
      <c r="D139" s="11" t="s">
        <v>2582</v>
      </c>
      <c r="E139" s="11" t="s">
        <v>3751</v>
      </c>
      <c r="F139" s="11" t="s">
        <v>3509</v>
      </c>
      <c r="G139" s="25" t="s">
        <v>29</v>
      </c>
      <c r="H139" s="25" t="s">
        <v>29</v>
      </c>
      <c r="I139" s="24" t="s">
        <v>83</v>
      </c>
      <c r="J139" s="12"/>
      <c r="K139" s="31" t="str">
        <f>"210,0"</f>
        <v>210,0</v>
      </c>
      <c r="L139" s="12" t="str">
        <f>"130,4940"</f>
        <v>130,4940</v>
      </c>
      <c r="M139" s="11" t="s">
        <v>3374</v>
      </c>
    </row>
    <row r="140" spans="1:13">
      <c r="A140" s="12" t="s">
        <v>417</v>
      </c>
      <c r="B140" s="11" t="s">
        <v>1277</v>
      </c>
      <c r="C140" s="11" t="s">
        <v>1278</v>
      </c>
      <c r="D140" s="11" t="s">
        <v>220</v>
      </c>
      <c r="E140" s="11" t="s">
        <v>3751</v>
      </c>
      <c r="F140" s="11" t="s">
        <v>3509</v>
      </c>
      <c r="G140" s="24" t="s">
        <v>70</v>
      </c>
      <c r="H140" s="24" t="s">
        <v>71</v>
      </c>
      <c r="I140" s="25" t="s">
        <v>83</v>
      </c>
      <c r="J140" s="12"/>
      <c r="K140" s="31" t="str">
        <f>"200,0"</f>
        <v>200,0</v>
      </c>
      <c r="L140" s="12" t="str">
        <f>"122,5800"</f>
        <v>122,5800</v>
      </c>
      <c r="M140" s="11"/>
    </row>
    <row r="141" spans="1:13">
      <c r="A141" s="12" t="s">
        <v>408</v>
      </c>
      <c r="B141" s="11" t="s">
        <v>2865</v>
      </c>
      <c r="C141" s="11" t="s">
        <v>2866</v>
      </c>
      <c r="D141" s="11" t="s">
        <v>1659</v>
      </c>
      <c r="E141" s="11" t="s">
        <v>3753</v>
      </c>
      <c r="F141" s="11" t="s">
        <v>3602</v>
      </c>
      <c r="G141" s="24" t="s">
        <v>97</v>
      </c>
      <c r="H141" s="24" t="s">
        <v>87</v>
      </c>
      <c r="I141" s="24" t="s">
        <v>134</v>
      </c>
      <c r="J141" s="12"/>
      <c r="K141" s="31" t="str">
        <f>"250,0"</f>
        <v>250,0</v>
      </c>
      <c r="L141" s="12" t="str">
        <f>"161,2197"</f>
        <v>161,2197</v>
      </c>
      <c r="M141" s="11"/>
    </row>
    <row r="142" spans="1:13">
      <c r="A142" s="12" t="s">
        <v>410</v>
      </c>
      <c r="B142" s="11" t="s">
        <v>2862</v>
      </c>
      <c r="C142" s="11" t="s">
        <v>2867</v>
      </c>
      <c r="D142" s="11" t="s">
        <v>503</v>
      </c>
      <c r="E142" s="11" t="s">
        <v>3753</v>
      </c>
      <c r="F142" s="11" t="s">
        <v>3594</v>
      </c>
      <c r="G142" s="24" t="s">
        <v>87</v>
      </c>
      <c r="H142" s="24" t="s">
        <v>154</v>
      </c>
      <c r="I142" s="25" t="s">
        <v>134</v>
      </c>
      <c r="J142" s="12"/>
      <c r="K142" s="31" t="str">
        <f>"245,0"</f>
        <v>245,0</v>
      </c>
      <c r="L142" s="12" t="str">
        <f>"164,0926"</f>
        <v>164,0926</v>
      </c>
      <c r="M142" s="11"/>
    </row>
    <row r="143" spans="1:13">
      <c r="A143" s="12" t="s">
        <v>411</v>
      </c>
      <c r="B143" s="11" t="s">
        <v>525</v>
      </c>
      <c r="C143" s="11" t="s">
        <v>526</v>
      </c>
      <c r="D143" s="11" t="s">
        <v>244</v>
      </c>
      <c r="E143" s="11" t="s">
        <v>3753</v>
      </c>
      <c r="F143" s="11" t="s">
        <v>3571</v>
      </c>
      <c r="G143" s="24" t="s">
        <v>71</v>
      </c>
      <c r="H143" s="24" t="s">
        <v>68</v>
      </c>
      <c r="I143" s="25" t="s">
        <v>289</v>
      </c>
      <c r="J143" s="12"/>
      <c r="K143" s="31" t="str">
        <f>"215,0"</f>
        <v>215,0</v>
      </c>
      <c r="L143" s="12" t="str">
        <f>"139,3836"</f>
        <v>139,3836</v>
      </c>
      <c r="M143" s="11" t="s">
        <v>3343</v>
      </c>
    </row>
    <row r="144" spans="1:13">
      <c r="A144" s="12" t="s">
        <v>413</v>
      </c>
      <c r="B144" s="11" t="s">
        <v>2868</v>
      </c>
      <c r="C144" s="11" t="s">
        <v>2869</v>
      </c>
      <c r="D144" s="11" t="s">
        <v>252</v>
      </c>
      <c r="E144" s="11" t="s">
        <v>3753</v>
      </c>
      <c r="F144" s="11" t="s">
        <v>3509</v>
      </c>
      <c r="G144" s="24" t="s">
        <v>70</v>
      </c>
      <c r="H144" s="24" t="s">
        <v>71</v>
      </c>
      <c r="I144" s="24" t="s">
        <v>83</v>
      </c>
      <c r="J144" s="12"/>
      <c r="K144" s="31" t="str">
        <f>"210,0"</f>
        <v>210,0</v>
      </c>
      <c r="L144" s="12" t="str">
        <f>"132,9597"</f>
        <v>132,9597</v>
      </c>
      <c r="M144" s="11" t="s">
        <v>228</v>
      </c>
    </row>
    <row r="145" spans="1:13">
      <c r="A145" s="12" t="s">
        <v>414</v>
      </c>
      <c r="B145" s="11" t="s">
        <v>2870</v>
      </c>
      <c r="C145" s="11" t="s">
        <v>2871</v>
      </c>
      <c r="D145" s="11" t="s">
        <v>2872</v>
      </c>
      <c r="E145" s="11" t="s">
        <v>3753</v>
      </c>
      <c r="F145" s="11" t="s">
        <v>3509</v>
      </c>
      <c r="G145" s="25" t="s">
        <v>59</v>
      </c>
      <c r="H145" s="24" t="s">
        <v>37</v>
      </c>
      <c r="I145" s="25" t="s">
        <v>40</v>
      </c>
      <c r="J145" s="12"/>
      <c r="K145" s="31" t="str">
        <f>"170,0"</f>
        <v>170,0</v>
      </c>
      <c r="L145" s="12" t="str">
        <f>"113,1476"</f>
        <v>113,1476</v>
      </c>
      <c r="M145" s="11" t="s">
        <v>2237</v>
      </c>
    </row>
    <row r="146" spans="1:13">
      <c r="A146" s="14" t="s">
        <v>408</v>
      </c>
      <c r="B146" s="13" t="s">
        <v>1679</v>
      </c>
      <c r="C146" s="13" t="s">
        <v>1680</v>
      </c>
      <c r="D146" s="13" t="s">
        <v>1624</v>
      </c>
      <c r="E146" s="13" t="s">
        <v>3756</v>
      </c>
      <c r="F146" s="13" t="s">
        <v>3528</v>
      </c>
      <c r="G146" s="26" t="s">
        <v>98</v>
      </c>
      <c r="H146" s="26" t="s">
        <v>1681</v>
      </c>
      <c r="I146" s="27" t="s">
        <v>1682</v>
      </c>
      <c r="J146" s="14"/>
      <c r="K146" s="32" t="str">
        <f>"245,5"</f>
        <v>245,5</v>
      </c>
      <c r="L146" s="14" t="str">
        <f>"192,7007"</f>
        <v>192,7007</v>
      </c>
      <c r="M146" s="13"/>
    </row>
    <row r="147" spans="1:13">
      <c r="B147" s="5" t="s">
        <v>409</v>
      </c>
    </row>
    <row r="148" spans="1:13" ht="16">
      <c r="A148" s="57" t="s">
        <v>258</v>
      </c>
      <c r="B148" s="57"/>
      <c r="C148" s="57"/>
      <c r="D148" s="57"/>
      <c r="E148" s="57"/>
      <c r="F148" s="57"/>
      <c r="G148" s="57"/>
      <c r="H148" s="57"/>
      <c r="I148" s="57"/>
      <c r="J148" s="57"/>
    </row>
    <row r="149" spans="1:13">
      <c r="A149" s="34" t="s">
        <v>408</v>
      </c>
      <c r="B149" s="47" t="s">
        <v>2873</v>
      </c>
      <c r="C149" s="47" t="s">
        <v>2874</v>
      </c>
      <c r="D149" s="9" t="s">
        <v>2875</v>
      </c>
      <c r="E149" s="35" t="s">
        <v>3755</v>
      </c>
      <c r="F149" s="38" t="s">
        <v>3509</v>
      </c>
      <c r="G149" s="36" t="s">
        <v>16</v>
      </c>
      <c r="H149" s="50" t="s">
        <v>51</v>
      </c>
      <c r="I149" s="23" t="s">
        <v>53</v>
      </c>
      <c r="J149" s="37"/>
      <c r="K149" s="30" t="str">
        <f>"60,0"</f>
        <v>60,0</v>
      </c>
      <c r="L149" s="53" t="str">
        <f>"36,3180"</f>
        <v>36,3180</v>
      </c>
      <c r="M149" s="38" t="s">
        <v>2876</v>
      </c>
    </row>
    <row r="150" spans="1:13">
      <c r="A150" s="39" t="s">
        <v>408</v>
      </c>
      <c r="B150" s="48" t="s">
        <v>2877</v>
      </c>
      <c r="C150" s="48" t="s">
        <v>757</v>
      </c>
      <c r="D150" s="11" t="s">
        <v>2878</v>
      </c>
      <c r="E150" s="5" t="s">
        <v>3751</v>
      </c>
      <c r="F150" s="40" t="s">
        <v>3509</v>
      </c>
      <c r="G150" s="33" t="s">
        <v>182</v>
      </c>
      <c r="H150" s="51" t="s">
        <v>121</v>
      </c>
      <c r="I150" s="24" t="s">
        <v>114</v>
      </c>
      <c r="K150" s="31" t="str">
        <f>"290,0"</f>
        <v>290,0</v>
      </c>
      <c r="L150" s="54" t="str">
        <f>"172,2890"</f>
        <v>172,2890</v>
      </c>
      <c r="M150" s="40"/>
    </row>
    <row r="151" spans="1:13">
      <c r="A151" s="39" t="s">
        <v>410</v>
      </c>
      <c r="B151" s="48" t="s">
        <v>3382</v>
      </c>
      <c r="C151" s="48" t="s">
        <v>543</v>
      </c>
      <c r="D151" s="11" t="s">
        <v>544</v>
      </c>
      <c r="E151" s="5" t="s">
        <v>3751</v>
      </c>
      <c r="F151" s="40" t="s">
        <v>545</v>
      </c>
      <c r="G151" s="33" t="s">
        <v>119</v>
      </c>
      <c r="H151" s="51" t="s">
        <v>120</v>
      </c>
      <c r="I151" s="25" t="s">
        <v>110</v>
      </c>
      <c r="K151" s="31" t="str">
        <f>"270,0"</f>
        <v>270,0</v>
      </c>
      <c r="L151" s="54" t="str">
        <f>"159,0300"</f>
        <v>159,0300</v>
      </c>
      <c r="M151" s="40"/>
    </row>
    <row r="152" spans="1:13">
      <c r="A152" s="39" t="s">
        <v>411</v>
      </c>
      <c r="B152" s="48" t="s">
        <v>2879</v>
      </c>
      <c r="C152" s="48" t="s">
        <v>2880</v>
      </c>
      <c r="D152" s="11" t="s">
        <v>268</v>
      </c>
      <c r="E152" s="5" t="s">
        <v>3751</v>
      </c>
      <c r="F152" s="40" t="s">
        <v>3510</v>
      </c>
      <c r="G152" s="33" t="s">
        <v>71</v>
      </c>
      <c r="H152" s="51" t="s">
        <v>68</v>
      </c>
      <c r="I152" s="24" t="s">
        <v>97</v>
      </c>
      <c r="K152" s="31" t="str">
        <f>"220,0"</f>
        <v>220,0</v>
      </c>
      <c r="L152" s="54" t="str">
        <f>"130,5260"</f>
        <v>130,5260</v>
      </c>
      <c r="M152" s="40" t="s">
        <v>997</v>
      </c>
    </row>
    <row r="153" spans="1:13">
      <c r="A153" s="39" t="s">
        <v>413</v>
      </c>
      <c r="B153" s="48" t="s">
        <v>1308</v>
      </c>
      <c r="C153" s="48" t="s">
        <v>1309</v>
      </c>
      <c r="D153" s="11" t="s">
        <v>1290</v>
      </c>
      <c r="E153" s="5" t="s">
        <v>3751</v>
      </c>
      <c r="F153" s="40" t="s">
        <v>3534</v>
      </c>
      <c r="G153" s="33" t="s">
        <v>70</v>
      </c>
      <c r="H153" s="51" t="s">
        <v>68</v>
      </c>
      <c r="I153" s="25" t="s">
        <v>86</v>
      </c>
      <c r="J153" s="28"/>
      <c r="K153" s="31">
        <v>215</v>
      </c>
      <c r="L153" s="55">
        <f>K153*0.591</f>
        <v>127.065</v>
      </c>
      <c r="M153" s="41"/>
    </row>
    <row r="154" spans="1:13">
      <c r="A154" s="42" t="s">
        <v>408</v>
      </c>
      <c r="B154" s="49" t="s">
        <v>546</v>
      </c>
      <c r="C154" s="49" t="s">
        <v>547</v>
      </c>
      <c r="D154" s="13" t="s">
        <v>548</v>
      </c>
      <c r="E154" s="43" t="s">
        <v>3753</v>
      </c>
      <c r="F154" s="46" t="s">
        <v>3509</v>
      </c>
      <c r="G154" s="44" t="s">
        <v>97</v>
      </c>
      <c r="H154" s="52" t="s">
        <v>133</v>
      </c>
      <c r="I154" s="26" t="s">
        <v>549</v>
      </c>
      <c r="J154" s="45"/>
      <c r="K154" s="32" t="str">
        <f>"247,5"</f>
        <v>247,5</v>
      </c>
      <c r="L154" s="56" t="str">
        <f>"163,0027"</f>
        <v>163,0027</v>
      </c>
      <c r="M154" s="46"/>
    </row>
    <row r="155" spans="1:13">
      <c r="B155" s="5" t="s">
        <v>409</v>
      </c>
    </row>
    <row r="156" spans="1:13" ht="16">
      <c r="A156" s="57" t="s">
        <v>280</v>
      </c>
      <c r="B156" s="57"/>
      <c r="C156" s="57"/>
      <c r="D156" s="57"/>
      <c r="E156" s="57"/>
      <c r="F156" s="57"/>
      <c r="G156" s="57"/>
      <c r="H156" s="57"/>
      <c r="I156" s="57"/>
      <c r="J156" s="57"/>
    </row>
    <row r="157" spans="1:13">
      <c r="A157" s="10" t="s">
        <v>408</v>
      </c>
      <c r="B157" s="9" t="s">
        <v>3383</v>
      </c>
      <c r="C157" s="9" t="s">
        <v>556</v>
      </c>
      <c r="D157" s="9" t="s">
        <v>557</v>
      </c>
      <c r="E157" s="9" t="s">
        <v>3751</v>
      </c>
      <c r="F157" s="9" t="s">
        <v>545</v>
      </c>
      <c r="G157" s="23" t="s">
        <v>114</v>
      </c>
      <c r="H157" s="23" t="s">
        <v>216</v>
      </c>
      <c r="I157" s="23" t="s">
        <v>211</v>
      </c>
      <c r="J157" s="10"/>
      <c r="K157" s="30" t="str">
        <f>"320,0"</f>
        <v>320,0</v>
      </c>
      <c r="L157" s="10" t="str">
        <f>"184,2880"</f>
        <v>184,2880</v>
      </c>
      <c r="M157" s="9"/>
    </row>
    <row r="158" spans="1:13">
      <c r="A158" s="12" t="s">
        <v>410</v>
      </c>
      <c r="B158" s="11" t="s">
        <v>1311</v>
      </c>
      <c r="C158" s="11" t="s">
        <v>1312</v>
      </c>
      <c r="D158" s="11" t="s">
        <v>1313</v>
      </c>
      <c r="E158" s="11" t="s">
        <v>3751</v>
      </c>
      <c r="F158" s="11" t="s">
        <v>3535</v>
      </c>
      <c r="G158" s="24" t="s">
        <v>134</v>
      </c>
      <c r="H158" s="24" t="s">
        <v>120</v>
      </c>
      <c r="I158" s="24" t="s">
        <v>121</v>
      </c>
      <c r="J158" s="12"/>
      <c r="K158" s="31" t="str">
        <f>"280,0"</f>
        <v>280,0</v>
      </c>
      <c r="L158" s="12" t="str">
        <f>"161,8400"</f>
        <v>161,8400</v>
      </c>
      <c r="M158" s="11"/>
    </row>
    <row r="159" spans="1:13">
      <c r="A159" s="12" t="s">
        <v>411</v>
      </c>
      <c r="B159" s="11" t="s">
        <v>3384</v>
      </c>
      <c r="C159" s="11" t="s">
        <v>2881</v>
      </c>
      <c r="D159" s="11" t="s">
        <v>2882</v>
      </c>
      <c r="E159" s="11" t="s">
        <v>3751</v>
      </c>
      <c r="F159" s="11" t="s">
        <v>2883</v>
      </c>
      <c r="G159" s="24" t="s">
        <v>119</v>
      </c>
      <c r="H159" s="25" t="s">
        <v>110</v>
      </c>
      <c r="I159" s="24" t="s">
        <v>110</v>
      </c>
      <c r="J159" s="12"/>
      <c r="K159" s="31" t="str">
        <f>"275,0"</f>
        <v>275,0</v>
      </c>
      <c r="L159" s="12" t="str">
        <f>"156,9150"</f>
        <v>156,9150</v>
      </c>
      <c r="M159" s="11" t="s">
        <v>3364</v>
      </c>
    </row>
    <row r="160" spans="1:13">
      <c r="A160" s="12" t="s">
        <v>408</v>
      </c>
      <c r="B160" s="11" t="s">
        <v>2884</v>
      </c>
      <c r="C160" s="11" t="s">
        <v>2885</v>
      </c>
      <c r="D160" s="11" t="s">
        <v>2886</v>
      </c>
      <c r="E160" s="11" t="s">
        <v>3756</v>
      </c>
      <c r="F160" s="11" t="s">
        <v>3609</v>
      </c>
      <c r="G160" s="24" t="s">
        <v>98</v>
      </c>
      <c r="H160" s="24" t="s">
        <v>133</v>
      </c>
      <c r="I160" s="25" t="s">
        <v>134</v>
      </c>
      <c r="J160" s="12"/>
      <c r="K160" s="31" t="str">
        <f>"240,0"</f>
        <v>240,0</v>
      </c>
      <c r="L160" s="12" t="str">
        <f>"182,0677"</f>
        <v>182,0677</v>
      </c>
      <c r="M160" s="11"/>
    </row>
    <row r="161" spans="1:13">
      <c r="A161" s="14" t="s">
        <v>410</v>
      </c>
      <c r="B161" s="13" t="s">
        <v>2887</v>
      </c>
      <c r="C161" s="13" t="s">
        <v>2888</v>
      </c>
      <c r="D161" s="13" t="s">
        <v>2889</v>
      </c>
      <c r="E161" s="13" t="s">
        <v>3756</v>
      </c>
      <c r="F161" s="13" t="s">
        <v>3509</v>
      </c>
      <c r="G161" s="26" t="s">
        <v>71</v>
      </c>
      <c r="H161" s="26" t="s">
        <v>68</v>
      </c>
      <c r="I161" s="26" t="s">
        <v>86</v>
      </c>
      <c r="J161" s="14"/>
      <c r="K161" s="32" t="str">
        <f>"225,0"</f>
        <v>225,0</v>
      </c>
      <c r="L161" s="14" t="str">
        <f>"151,2652"</f>
        <v>151,2652</v>
      </c>
      <c r="M161" s="13" t="s">
        <v>3375</v>
      </c>
    </row>
    <row r="162" spans="1:13">
      <c r="B162" s="5" t="s">
        <v>409</v>
      </c>
    </row>
    <row r="163" spans="1:13" ht="16">
      <c r="A163" s="57" t="s">
        <v>328</v>
      </c>
      <c r="B163" s="57"/>
      <c r="C163" s="57"/>
      <c r="D163" s="57"/>
      <c r="E163" s="57"/>
      <c r="F163" s="57"/>
      <c r="G163" s="57"/>
      <c r="H163" s="57"/>
      <c r="I163" s="57"/>
      <c r="J163" s="57"/>
    </row>
    <row r="164" spans="1:13">
      <c r="A164" s="10" t="s">
        <v>408</v>
      </c>
      <c r="B164" s="9" t="s">
        <v>1326</v>
      </c>
      <c r="C164" s="9" t="s">
        <v>1327</v>
      </c>
      <c r="D164" s="9" t="s">
        <v>1328</v>
      </c>
      <c r="E164" s="9" t="s">
        <v>3751</v>
      </c>
      <c r="F164" s="9" t="s">
        <v>3523</v>
      </c>
      <c r="G164" s="23" t="s">
        <v>133</v>
      </c>
      <c r="H164" s="23" t="s">
        <v>134</v>
      </c>
      <c r="I164" s="10"/>
      <c r="J164" s="10"/>
      <c r="K164" s="30" t="str">
        <f>"250,0"</f>
        <v>250,0</v>
      </c>
      <c r="L164" s="10" t="str">
        <f>"142,4500"</f>
        <v>142,4500</v>
      </c>
      <c r="M164" s="9" t="s">
        <v>1329</v>
      </c>
    </row>
    <row r="165" spans="1:13">
      <c r="A165" s="14" t="s">
        <v>410</v>
      </c>
      <c r="B165" s="13" t="s">
        <v>2890</v>
      </c>
      <c r="C165" s="13" t="s">
        <v>2891</v>
      </c>
      <c r="D165" s="13" t="s">
        <v>2892</v>
      </c>
      <c r="E165" s="13" t="s">
        <v>3751</v>
      </c>
      <c r="F165" s="13" t="s">
        <v>3511</v>
      </c>
      <c r="G165" s="26" t="s">
        <v>134</v>
      </c>
      <c r="H165" s="27" t="s">
        <v>120</v>
      </c>
      <c r="I165" s="27" t="s">
        <v>120</v>
      </c>
      <c r="J165" s="14"/>
      <c r="K165" s="32" t="str">
        <f>"250,0"</f>
        <v>250,0</v>
      </c>
      <c r="L165" s="14" t="str">
        <f>"140,2500"</f>
        <v>140,2500</v>
      </c>
      <c r="M165" s="13" t="s">
        <v>3376</v>
      </c>
    </row>
    <row r="166" spans="1:13">
      <c r="B166" s="5" t="s">
        <v>409</v>
      </c>
    </row>
    <row r="167" spans="1:13" ht="16">
      <c r="A167" s="57" t="s">
        <v>346</v>
      </c>
      <c r="B167" s="57"/>
      <c r="C167" s="57"/>
      <c r="D167" s="57"/>
      <c r="E167" s="57"/>
      <c r="F167" s="57"/>
      <c r="G167" s="57"/>
      <c r="H167" s="57"/>
      <c r="I167" s="57"/>
      <c r="J167" s="57"/>
    </row>
    <row r="168" spans="1:13">
      <c r="A168" s="8" t="s">
        <v>408</v>
      </c>
      <c r="B168" s="7" t="s">
        <v>352</v>
      </c>
      <c r="C168" s="7" t="s">
        <v>353</v>
      </c>
      <c r="D168" s="7" t="s">
        <v>1330</v>
      </c>
      <c r="E168" s="7" t="s">
        <v>3754</v>
      </c>
      <c r="F168" s="7" t="s">
        <v>75</v>
      </c>
      <c r="G168" s="21" t="s">
        <v>71</v>
      </c>
      <c r="H168" s="20" t="s">
        <v>71</v>
      </c>
      <c r="I168" s="20" t="s">
        <v>691</v>
      </c>
      <c r="J168" s="8"/>
      <c r="K168" s="29" t="str">
        <f>"242,5"</f>
        <v>242,5</v>
      </c>
      <c r="L168" s="8" t="str">
        <f>"133,8600"</f>
        <v>133,8600</v>
      </c>
      <c r="M168" s="7"/>
    </row>
    <row r="169" spans="1:13">
      <c r="B169" s="5" t="s">
        <v>409</v>
      </c>
    </row>
    <row r="170" spans="1:13">
      <c r="B170" s="5" t="s">
        <v>409</v>
      </c>
    </row>
    <row r="171" spans="1:13">
      <c r="B171" s="5" t="s">
        <v>409</v>
      </c>
    </row>
    <row r="172" spans="1:13" ht="18">
      <c r="B172" s="15" t="s">
        <v>365</v>
      </c>
      <c r="C172" s="15"/>
      <c r="F172" s="3"/>
    </row>
    <row r="173" spans="1:13" ht="16">
      <c r="B173" s="16" t="s">
        <v>366</v>
      </c>
      <c r="C173" s="16"/>
      <c r="F173" s="3"/>
    </row>
    <row r="174" spans="1:13" ht="14">
      <c r="B174" s="17"/>
      <c r="C174" s="18" t="s">
        <v>367</v>
      </c>
      <c r="F174" s="3"/>
    </row>
    <row r="175" spans="1:13" ht="14">
      <c r="B175" s="19" t="s">
        <v>368</v>
      </c>
      <c r="C175" s="19" t="s">
        <v>369</v>
      </c>
      <c r="D175" s="19" t="s">
        <v>3230</v>
      </c>
      <c r="E175" s="19" t="s">
        <v>1456</v>
      </c>
      <c r="F175" s="19" t="s">
        <v>372</v>
      </c>
    </row>
    <row r="176" spans="1:13">
      <c r="B176" s="5" t="s">
        <v>421</v>
      </c>
      <c r="C176" s="5" t="s">
        <v>367</v>
      </c>
      <c r="D176" s="6" t="s">
        <v>384</v>
      </c>
      <c r="E176" s="6" t="s">
        <v>40</v>
      </c>
      <c r="F176" s="6" t="s">
        <v>2893</v>
      </c>
    </row>
    <row r="177" spans="2:6">
      <c r="B177" s="5" t="s">
        <v>852</v>
      </c>
      <c r="C177" s="5" t="s">
        <v>367</v>
      </c>
      <c r="D177" s="6" t="s">
        <v>1335</v>
      </c>
      <c r="E177" s="6" t="s">
        <v>46</v>
      </c>
      <c r="F177" s="6" t="s">
        <v>2894</v>
      </c>
    </row>
    <row r="178" spans="2:6">
      <c r="B178" s="5" t="s">
        <v>425</v>
      </c>
      <c r="C178" s="5" t="s">
        <v>367</v>
      </c>
      <c r="D178" s="6" t="s">
        <v>384</v>
      </c>
      <c r="E178" s="6" t="s">
        <v>59</v>
      </c>
      <c r="F178" s="6" t="s">
        <v>2895</v>
      </c>
    </row>
    <row r="180" spans="2:6" ht="16">
      <c r="B180" s="16" t="s">
        <v>385</v>
      </c>
      <c r="C180" s="16"/>
    </row>
    <row r="181" spans="2:6" ht="14">
      <c r="B181" s="17"/>
      <c r="C181" s="18" t="s">
        <v>386</v>
      </c>
    </row>
    <row r="182" spans="2:6" ht="14">
      <c r="B182" s="19" t="s">
        <v>368</v>
      </c>
      <c r="C182" s="19" t="s">
        <v>369</v>
      </c>
      <c r="D182" s="19" t="s">
        <v>3230</v>
      </c>
      <c r="E182" s="19" t="s">
        <v>1456</v>
      </c>
      <c r="F182" s="19" t="s">
        <v>372</v>
      </c>
    </row>
    <row r="183" spans="2:6">
      <c r="B183" s="5" t="s">
        <v>482</v>
      </c>
      <c r="C183" s="5" t="s">
        <v>387</v>
      </c>
      <c r="D183" s="6" t="s">
        <v>394</v>
      </c>
      <c r="E183" s="6" t="s">
        <v>205</v>
      </c>
      <c r="F183" s="6" t="s">
        <v>2896</v>
      </c>
    </row>
    <row r="184" spans="2:6">
      <c r="B184" s="5" t="s">
        <v>458</v>
      </c>
      <c r="C184" s="5" t="s">
        <v>387</v>
      </c>
      <c r="D184" s="6" t="s">
        <v>376</v>
      </c>
      <c r="E184" s="6" t="s">
        <v>40</v>
      </c>
      <c r="F184" s="6" t="s">
        <v>2897</v>
      </c>
    </row>
    <row r="185" spans="2:6">
      <c r="B185" s="5" t="s">
        <v>2792</v>
      </c>
      <c r="C185" s="5" t="s">
        <v>387</v>
      </c>
      <c r="D185" s="6" t="s">
        <v>569</v>
      </c>
      <c r="E185" s="6" t="s">
        <v>71</v>
      </c>
      <c r="F185" s="6" t="s">
        <v>2898</v>
      </c>
    </row>
    <row r="187" spans="2:6" ht="14">
      <c r="B187" s="17"/>
      <c r="C187" s="18" t="s">
        <v>388</v>
      </c>
    </row>
    <row r="188" spans="2:6" ht="14">
      <c r="B188" s="19" t="s">
        <v>368</v>
      </c>
      <c r="C188" s="19" t="s">
        <v>369</v>
      </c>
      <c r="D188" s="19" t="s">
        <v>3230</v>
      </c>
      <c r="E188" s="19" t="s">
        <v>1456</v>
      </c>
      <c r="F188" s="19" t="s">
        <v>372</v>
      </c>
    </row>
    <row r="189" spans="2:6">
      <c r="B189" s="5" t="s">
        <v>2837</v>
      </c>
      <c r="C189" s="5" t="s">
        <v>388</v>
      </c>
      <c r="D189" s="6" t="s">
        <v>394</v>
      </c>
      <c r="E189" s="6" t="s">
        <v>121</v>
      </c>
      <c r="F189" s="6" t="s">
        <v>2899</v>
      </c>
    </row>
    <row r="190" spans="2:6">
      <c r="B190" s="5" t="s">
        <v>468</v>
      </c>
      <c r="C190" s="5" t="s">
        <v>388</v>
      </c>
      <c r="D190" s="6" t="s">
        <v>373</v>
      </c>
      <c r="E190" s="6" t="s">
        <v>119</v>
      </c>
      <c r="F190" s="6" t="s">
        <v>2900</v>
      </c>
    </row>
    <row r="191" spans="2:6">
      <c r="B191" s="5" t="s">
        <v>2820</v>
      </c>
      <c r="C191" s="5" t="s">
        <v>388</v>
      </c>
      <c r="D191" s="6" t="s">
        <v>373</v>
      </c>
      <c r="E191" s="6" t="s">
        <v>562</v>
      </c>
      <c r="F191" s="6" t="s">
        <v>2901</v>
      </c>
    </row>
    <row r="193" spans="2:6" ht="14">
      <c r="B193" s="17"/>
      <c r="C193" s="18" t="s">
        <v>367</v>
      </c>
    </row>
    <row r="194" spans="2:6" ht="14">
      <c r="B194" s="19" t="s">
        <v>368</v>
      </c>
      <c r="C194" s="19" t="s">
        <v>369</v>
      </c>
      <c r="D194" s="19" t="s">
        <v>3230</v>
      </c>
      <c r="E194" s="19" t="s">
        <v>1456</v>
      </c>
      <c r="F194" s="19" t="s">
        <v>372</v>
      </c>
    </row>
    <row r="195" spans="2:6">
      <c r="B195" s="5" t="s">
        <v>2840</v>
      </c>
      <c r="C195" s="5" t="s">
        <v>367</v>
      </c>
      <c r="D195" s="6" t="s">
        <v>394</v>
      </c>
      <c r="E195" s="6" t="s">
        <v>114</v>
      </c>
      <c r="F195" s="6" t="s">
        <v>2902</v>
      </c>
    </row>
    <row r="196" spans="2:6">
      <c r="B196" s="5" t="s">
        <v>1121</v>
      </c>
      <c r="C196" s="5" t="s">
        <v>367</v>
      </c>
      <c r="D196" s="6" t="s">
        <v>373</v>
      </c>
      <c r="E196" s="6" t="s">
        <v>110</v>
      </c>
      <c r="F196" s="6" t="s">
        <v>2903</v>
      </c>
    </row>
    <row r="197" spans="2:6">
      <c r="B197" s="5" t="s">
        <v>555</v>
      </c>
      <c r="C197" s="5" t="s">
        <v>367</v>
      </c>
      <c r="D197" s="6" t="s">
        <v>397</v>
      </c>
      <c r="E197" s="6" t="s">
        <v>211</v>
      </c>
      <c r="F197" s="6" t="s">
        <v>2904</v>
      </c>
    </row>
    <row r="199" spans="2:6" ht="14">
      <c r="B199" s="17"/>
      <c r="C199" s="18" t="s">
        <v>382</v>
      </c>
    </row>
    <row r="200" spans="2:6" ht="14">
      <c r="B200" s="19" t="s">
        <v>368</v>
      </c>
      <c r="C200" s="19" t="s">
        <v>369</v>
      </c>
      <c r="D200" s="19" t="s">
        <v>3230</v>
      </c>
      <c r="E200" s="19" t="s">
        <v>1456</v>
      </c>
      <c r="F200" s="19" t="s">
        <v>372</v>
      </c>
    </row>
    <row r="201" spans="2:6">
      <c r="B201" s="5" t="s">
        <v>1121</v>
      </c>
      <c r="C201" s="5" t="s">
        <v>1358</v>
      </c>
      <c r="D201" s="6" t="s">
        <v>373</v>
      </c>
      <c r="E201" s="6" t="s">
        <v>110</v>
      </c>
      <c r="F201" s="6" t="s">
        <v>2905</v>
      </c>
    </row>
    <row r="202" spans="2:6">
      <c r="B202" s="5" t="s">
        <v>1679</v>
      </c>
      <c r="C202" s="5" t="s">
        <v>1358</v>
      </c>
      <c r="D202" s="6" t="s">
        <v>390</v>
      </c>
      <c r="E202" s="6" t="s">
        <v>1681</v>
      </c>
      <c r="F202" s="6" t="s">
        <v>2906</v>
      </c>
    </row>
    <row r="203" spans="2:6">
      <c r="B203" s="5" t="s">
        <v>2816</v>
      </c>
      <c r="C203" s="5" t="s">
        <v>403</v>
      </c>
      <c r="D203" s="6" t="s">
        <v>569</v>
      </c>
      <c r="E203" s="6" t="s">
        <v>29</v>
      </c>
      <c r="F203" s="6" t="s">
        <v>2907</v>
      </c>
    </row>
    <row r="204" spans="2:6">
      <c r="B204" s="5" t="s">
        <v>409</v>
      </c>
    </row>
  </sheetData>
  <mergeCells count="30">
    <mergeCell ref="A1:M2"/>
    <mergeCell ref="A3:A4"/>
    <mergeCell ref="C3:C4"/>
    <mergeCell ref="D3:D4"/>
    <mergeCell ref="E3:E4"/>
    <mergeCell ref="F3:F4"/>
    <mergeCell ref="G3:J3"/>
    <mergeCell ref="A56:J56"/>
    <mergeCell ref="K3:K4"/>
    <mergeCell ref="L3:L4"/>
    <mergeCell ref="M3:M4"/>
    <mergeCell ref="A5:J5"/>
    <mergeCell ref="B3:B4"/>
    <mergeCell ref="A10:J10"/>
    <mergeCell ref="A21:J21"/>
    <mergeCell ref="A27:J27"/>
    <mergeCell ref="A40:J40"/>
    <mergeCell ref="A53:J53"/>
    <mergeCell ref="A167:J167"/>
    <mergeCell ref="A60:J60"/>
    <mergeCell ref="A63:J63"/>
    <mergeCell ref="A68:J68"/>
    <mergeCell ref="A72:J72"/>
    <mergeCell ref="A79:J79"/>
    <mergeCell ref="A91:J91"/>
    <mergeCell ref="A111:J111"/>
    <mergeCell ref="A129:J129"/>
    <mergeCell ref="A148:J148"/>
    <mergeCell ref="A156:J156"/>
    <mergeCell ref="A163:J1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U144"/>
  <sheetViews>
    <sheetView topLeftCell="A87" workbookViewId="0">
      <selection activeCell="E121" sqref="E121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6640625" style="5" bestFit="1" customWidth="1"/>
    <col min="7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7.83203125" style="5" customWidth="1"/>
    <col min="22" max="16384" width="9.1640625" style="3"/>
  </cols>
  <sheetData>
    <row r="1" spans="1:21" s="2" customFormat="1" ht="29" customHeight="1">
      <c r="A1" s="68" t="s">
        <v>3309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6</v>
      </c>
      <c r="H3" s="62"/>
      <c r="I3" s="62"/>
      <c r="J3" s="62"/>
      <c r="K3" s="62" t="s">
        <v>7</v>
      </c>
      <c r="L3" s="62"/>
      <c r="M3" s="62"/>
      <c r="N3" s="62"/>
      <c r="O3" s="62" t="s">
        <v>8</v>
      </c>
      <c r="P3" s="62"/>
      <c r="Q3" s="62"/>
      <c r="R3" s="62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9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408</v>
      </c>
      <c r="B6" s="7" t="s">
        <v>580</v>
      </c>
      <c r="C6" s="7" t="s">
        <v>581</v>
      </c>
      <c r="D6" s="7" t="s">
        <v>582</v>
      </c>
      <c r="E6" s="7" t="s">
        <v>3751</v>
      </c>
      <c r="F6" s="7" t="s">
        <v>3570</v>
      </c>
      <c r="G6" s="20" t="s">
        <v>15</v>
      </c>
      <c r="H6" s="20" t="s">
        <v>18</v>
      </c>
      <c r="I6" s="21" t="s">
        <v>38</v>
      </c>
      <c r="J6" s="8"/>
      <c r="K6" s="20" t="s">
        <v>16</v>
      </c>
      <c r="L6" s="20" t="s">
        <v>17</v>
      </c>
      <c r="M6" s="21" t="s">
        <v>51</v>
      </c>
      <c r="N6" s="8"/>
      <c r="O6" s="21" t="s">
        <v>106</v>
      </c>
      <c r="P6" s="20" t="s">
        <v>106</v>
      </c>
      <c r="Q6" s="21" t="s">
        <v>78</v>
      </c>
      <c r="R6" s="8"/>
      <c r="S6" s="29" t="str">
        <f>"235,0"</f>
        <v>235,0</v>
      </c>
      <c r="T6" s="8" t="str">
        <f>"302,7975"</f>
        <v>302,7975</v>
      </c>
      <c r="U6" s="7"/>
    </row>
    <row r="7" spans="1:21">
      <c r="B7" s="5" t="s">
        <v>409</v>
      </c>
    </row>
    <row r="8" spans="1:21" ht="16">
      <c r="A8" s="57" t="s">
        <v>21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10" t="s">
        <v>408</v>
      </c>
      <c r="B9" s="9" t="s">
        <v>583</v>
      </c>
      <c r="C9" s="9" t="s">
        <v>584</v>
      </c>
      <c r="D9" s="9" t="s">
        <v>585</v>
      </c>
      <c r="E9" s="9" t="s">
        <v>3751</v>
      </c>
      <c r="F9" s="9" t="s">
        <v>3511</v>
      </c>
      <c r="G9" s="23" t="s">
        <v>586</v>
      </c>
      <c r="H9" s="22" t="s">
        <v>79</v>
      </c>
      <c r="I9" s="23" t="s">
        <v>79</v>
      </c>
      <c r="J9" s="10"/>
      <c r="K9" s="23" t="s">
        <v>53</v>
      </c>
      <c r="L9" s="22" t="s">
        <v>13</v>
      </c>
      <c r="M9" s="22" t="s">
        <v>13</v>
      </c>
      <c r="N9" s="10"/>
      <c r="O9" s="23" t="s">
        <v>76</v>
      </c>
      <c r="P9" s="23" t="s">
        <v>521</v>
      </c>
      <c r="Q9" s="22" t="s">
        <v>45</v>
      </c>
      <c r="R9" s="10"/>
      <c r="S9" s="30" t="str">
        <f>"310,0"</f>
        <v>310,0</v>
      </c>
      <c r="T9" s="10" t="str">
        <f>"366,2960"</f>
        <v>366,2960</v>
      </c>
      <c r="U9" s="9" t="s">
        <v>587</v>
      </c>
    </row>
    <row r="10" spans="1:21">
      <c r="A10" s="14" t="s">
        <v>408</v>
      </c>
      <c r="B10" s="13" t="s">
        <v>588</v>
      </c>
      <c r="C10" s="13" t="s">
        <v>589</v>
      </c>
      <c r="D10" s="13" t="s">
        <v>590</v>
      </c>
      <c r="E10" s="13" t="s">
        <v>3753</v>
      </c>
      <c r="F10" s="13" t="s">
        <v>3571</v>
      </c>
      <c r="G10" s="26" t="s">
        <v>106</v>
      </c>
      <c r="H10" s="27" t="s">
        <v>78</v>
      </c>
      <c r="I10" s="27" t="s">
        <v>78</v>
      </c>
      <c r="J10" s="14"/>
      <c r="K10" s="26" t="s">
        <v>53</v>
      </c>
      <c r="L10" s="26" t="s">
        <v>13</v>
      </c>
      <c r="M10" s="26" t="s">
        <v>591</v>
      </c>
      <c r="N10" s="14"/>
      <c r="O10" s="26" t="s">
        <v>521</v>
      </c>
      <c r="P10" s="26" t="s">
        <v>474</v>
      </c>
      <c r="Q10" s="26" t="s">
        <v>248</v>
      </c>
      <c r="R10" s="14"/>
      <c r="S10" s="32" t="str">
        <f>"320,0"</f>
        <v>320,0</v>
      </c>
      <c r="T10" s="14" t="str">
        <f>"380,2560"</f>
        <v>380,2560</v>
      </c>
      <c r="U10" s="13" t="s">
        <v>592</v>
      </c>
    </row>
    <row r="11" spans="1:21">
      <c r="B11" s="5" t="s">
        <v>409</v>
      </c>
    </row>
    <row r="12" spans="1:21" ht="16">
      <c r="A12" s="57" t="s">
        <v>55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</row>
    <row r="13" spans="1:21">
      <c r="A13" s="10" t="s">
        <v>408</v>
      </c>
      <c r="B13" s="9" t="s">
        <v>593</v>
      </c>
      <c r="C13" s="9" t="s">
        <v>594</v>
      </c>
      <c r="D13" s="9" t="s">
        <v>595</v>
      </c>
      <c r="E13" s="9" t="s">
        <v>3751</v>
      </c>
      <c r="F13" s="9" t="s">
        <v>3553</v>
      </c>
      <c r="G13" s="23" t="s">
        <v>37</v>
      </c>
      <c r="H13" s="23" t="s">
        <v>40</v>
      </c>
      <c r="I13" s="22" t="s">
        <v>596</v>
      </c>
      <c r="J13" s="10"/>
      <c r="K13" s="23" t="s">
        <v>54</v>
      </c>
      <c r="L13" s="23" t="s">
        <v>106</v>
      </c>
      <c r="M13" s="23" t="s">
        <v>597</v>
      </c>
      <c r="N13" s="10"/>
      <c r="O13" s="23" t="s">
        <v>37</v>
      </c>
      <c r="P13" s="23" t="s">
        <v>40</v>
      </c>
      <c r="Q13" s="23" t="s">
        <v>70</v>
      </c>
      <c r="R13" s="10"/>
      <c r="S13" s="30" t="str">
        <f>"482,5"</f>
        <v>482,5</v>
      </c>
      <c r="T13" s="10" t="str">
        <f>"506,7698"</f>
        <v>506,7698</v>
      </c>
      <c r="U13" s="9" t="s">
        <v>3482</v>
      </c>
    </row>
    <row r="14" spans="1:21">
      <c r="A14" s="14" t="s">
        <v>410</v>
      </c>
      <c r="B14" s="13" t="s">
        <v>598</v>
      </c>
      <c r="C14" s="13" t="s">
        <v>507</v>
      </c>
      <c r="D14" s="13" t="s">
        <v>599</v>
      </c>
      <c r="E14" s="13" t="s">
        <v>3751</v>
      </c>
      <c r="F14" s="13" t="s">
        <v>3552</v>
      </c>
      <c r="G14" s="26" t="s">
        <v>36</v>
      </c>
      <c r="H14" s="26" t="s">
        <v>37</v>
      </c>
      <c r="I14" s="27" t="s">
        <v>28</v>
      </c>
      <c r="J14" s="14"/>
      <c r="K14" s="26" t="s">
        <v>19</v>
      </c>
      <c r="L14" s="27" t="s">
        <v>600</v>
      </c>
      <c r="M14" s="27" t="s">
        <v>600</v>
      </c>
      <c r="N14" s="14"/>
      <c r="O14" s="26" t="s">
        <v>70</v>
      </c>
      <c r="P14" s="27" t="s">
        <v>71</v>
      </c>
      <c r="Q14" s="27" t="s">
        <v>71</v>
      </c>
      <c r="R14" s="14"/>
      <c r="S14" s="32" t="str">
        <f>"447,5"</f>
        <v>447,5</v>
      </c>
      <c r="T14" s="14" t="str">
        <f>"481,1967"</f>
        <v>481,1967</v>
      </c>
      <c r="U14" s="13" t="s">
        <v>601</v>
      </c>
    </row>
    <row r="15" spans="1:21">
      <c r="B15" s="5" t="s">
        <v>409</v>
      </c>
    </row>
    <row r="16" spans="1:21" ht="16">
      <c r="A16" s="57" t="s">
        <v>93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21">
      <c r="A17" s="10" t="s">
        <v>408</v>
      </c>
      <c r="B17" s="9" t="s">
        <v>602</v>
      </c>
      <c r="C17" s="9" t="s">
        <v>603</v>
      </c>
      <c r="D17" s="9" t="s">
        <v>604</v>
      </c>
      <c r="E17" s="9" t="s">
        <v>3751</v>
      </c>
      <c r="F17" s="9" t="s">
        <v>3509</v>
      </c>
      <c r="G17" s="22" t="s">
        <v>59</v>
      </c>
      <c r="H17" s="23" t="s">
        <v>59</v>
      </c>
      <c r="I17" s="23" t="s">
        <v>226</v>
      </c>
      <c r="J17" s="10"/>
      <c r="K17" s="23" t="s">
        <v>605</v>
      </c>
      <c r="L17" s="23" t="s">
        <v>428</v>
      </c>
      <c r="M17" s="23" t="s">
        <v>586</v>
      </c>
      <c r="N17" s="10"/>
      <c r="O17" s="23" t="s">
        <v>29</v>
      </c>
      <c r="P17" s="23" t="s">
        <v>66</v>
      </c>
      <c r="Q17" s="10"/>
      <c r="R17" s="10"/>
      <c r="S17" s="30" t="str">
        <f>"475,0"</f>
        <v>475,0</v>
      </c>
      <c r="T17" s="10" t="str">
        <f>"454,2425"</f>
        <v>454,2425</v>
      </c>
      <c r="U17" s="9" t="s">
        <v>606</v>
      </c>
    </row>
    <row r="18" spans="1:21">
      <c r="A18" s="12" t="s">
        <v>410</v>
      </c>
      <c r="B18" s="11" t="s">
        <v>607</v>
      </c>
      <c r="C18" s="11" t="s">
        <v>608</v>
      </c>
      <c r="D18" s="11" t="s">
        <v>609</v>
      </c>
      <c r="E18" s="11" t="s">
        <v>3751</v>
      </c>
      <c r="F18" s="11" t="s">
        <v>3572</v>
      </c>
      <c r="G18" s="24" t="s">
        <v>35</v>
      </c>
      <c r="H18" s="25" t="s">
        <v>36</v>
      </c>
      <c r="I18" s="24" t="s">
        <v>36</v>
      </c>
      <c r="J18" s="12"/>
      <c r="K18" s="24" t="s">
        <v>435</v>
      </c>
      <c r="L18" s="24" t="s">
        <v>38</v>
      </c>
      <c r="M18" s="25" t="s">
        <v>600</v>
      </c>
      <c r="N18" s="12"/>
      <c r="O18" s="24" t="s">
        <v>29</v>
      </c>
      <c r="P18" s="24" t="s">
        <v>66</v>
      </c>
      <c r="Q18" s="25" t="s">
        <v>181</v>
      </c>
      <c r="R18" s="12"/>
      <c r="S18" s="31" t="str">
        <f>"445,0"</f>
        <v>445,0</v>
      </c>
      <c r="T18" s="12" t="str">
        <f>"430,8045"</f>
        <v>430,8045</v>
      </c>
      <c r="U18" s="11" t="s">
        <v>610</v>
      </c>
    </row>
    <row r="19" spans="1:21">
      <c r="A19" s="14" t="s">
        <v>408</v>
      </c>
      <c r="B19" s="13" t="s">
        <v>611</v>
      </c>
      <c r="C19" s="13" t="s">
        <v>612</v>
      </c>
      <c r="D19" s="13" t="s">
        <v>96</v>
      </c>
      <c r="E19" s="13" t="s">
        <v>3753</v>
      </c>
      <c r="F19" s="13" t="s">
        <v>3573</v>
      </c>
      <c r="G19" s="27" t="s">
        <v>494</v>
      </c>
      <c r="H19" s="26" t="s">
        <v>494</v>
      </c>
      <c r="I19" s="26" t="s">
        <v>36</v>
      </c>
      <c r="J19" s="14"/>
      <c r="K19" s="26" t="s">
        <v>19</v>
      </c>
      <c r="L19" s="26" t="s">
        <v>38</v>
      </c>
      <c r="M19" s="26" t="s">
        <v>600</v>
      </c>
      <c r="N19" s="14"/>
      <c r="O19" s="26" t="s">
        <v>40</v>
      </c>
      <c r="P19" s="27" t="s">
        <v>70</v>
      </c>
      <c r="Q19" s="27" t="s">
        <v>70</v>
      </c>
      <c r="R19" s="14"/>
      <c r="S19" s="32" t="str">
        <f>"432,5"</f>
        <v>432,5</v>
      </c>
      <c r="T19" s="14" t="str">
        <f>"426,6477"</f>
        <v>426,6477</v>
      </c>
      <c r="U19" s="13" t="s">
        <v>613</v>
      </c>
    </row>
    <row r="20" spans="1:21">
      <c r="B20" s="5" t="s">
        <v>409</v>
      </c>
    </row>
    <row r="21" spans="1:21" ht="16">
      <c r="A21" s="57" t="s">
        <v>62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21">
      <c r="A22" s="8" t="s">
        <v>408</v>
      </c>
      <c r="B22" s="7" t="s">
        <v>614</v>
      </c>
      <c r="C22" s="7" t="s">
        <v>615</v>
      </c>
      <c r="D22" s="7" t="s">
        <v>616</v>
      </c>
      <c r="E22" s="7" t="s">
        <v>3753</v>
      </c>
      <c r="F22" s="7" t="s">
        <v>3509</v>
      </c>
      <c r="G22" s="20" t="s">
        <v>35</v>
      </c>
      <c r="H22" s="21" t="s">
        <v>36</v>
      </c>
      <c r="I22" s="20" t="s">
        <v>36</v>
      </c>
      <c r="J22" s="8"/>
      <c r="K22" s="20" t="s">
        <v>586</v>
      </c>
      <c r="L22" s="20" t="s">
        <v>597</v>
      </c>
      <c r="M22" s="21" t="s">
        <v>79</v>
      </c>
      <c r="N22" s="8"/>
      <c r="O22" s="20" t="s">
        <v>37</v>
      </c>
      <c r="P22" s="20" t="s">
        <v>40</v>
      </c>
      <c r="Q22" s="21" t="s">
        <v>70</v>
      </c>
      <c r="R22" s="8"/>
      <c r="S22" s="29" t="str">
        <f>"452,5"</f>
        <v>452,5</v>
      </c>
      <c r="T22" s="8" t="str">
        <f>"435,4922"</f>
        <v>435,4922</v>
      </c>
      <c r="U22" s="7"/>
    </row>
    <row r="23" spans="1:21">
      <c r="B23" s="5" t="s">
        <v>409</v>
      </c>
    </row>
    <row r="24" spans="1:21" ht="16">
      <c r="A24" s="57" t="s">
        <v>150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1:21">
      <c r="A25" s="10" t="s">
        <v>408</v>
      </c>
      <c r="B25" s="9" t="s">
        <v>617</v>
      </c>
      <c r="C25" s="9" t="s">
        <v>618</v>
      </c>
      <c r="D25" s="9" t="s">
        <v>619</v>
      </c>
      <c r="E25" s="9" t="s">
        <v>3751</v>
      </c>
      <c r="F25" s="9" t="s">
        <v>3560</v>
      </c>
      <c r="G25" s="23" t="s">
        <v>37</v>
      </c>
      <c r="H25" s="23" t="s">
        <v>40</v>
      </c>
      <c r="I25" s="23" t="s">
        <v>70</v>
      </c>
      <c r="J25" s="10"/>
      <c r="K25" s="23" t="s">
        <v>77</v>
      </c>
      <c r="L25" s="22" t="s">
        <v>521</v>
      </c>
      <c r="M25" s="23" t="s">
        <v>474</v>
      </c>
      <c r="N25" s="10"/>
      <c r="O25" s="23" t="s">
        <v>67</v>
      </c>
      <c r="P25" s="22" t="s">
        <v>68</v>
      </c>
      <c r="Q25" s="22" t="s">
        <v>97</v>
      </c>
      <c r="R25" s="10"/>
      <c r="S25" s="30" t="str">
        <f>"532,5"</f>
        <v>532,5</v>
      </c>
      <c r="T25" s="10" t="str">
        <f>"471,0495"</f>
        <v>471,0495</v>
      </c>
      <c r="U25" s="9" t="s">
        <v>72</v>
      </c>
    </row>
    <row r="26" spans="1:21">
      <c r="A26" s="14" t="s">
        <v>410</v>
      </c>
      <c r="B26" s="13" t="s">
        <v>620</v>
      </c>
      <c r="C26" s="13" t="s">
        <v>621</v>
      </c>
      <c r="D26" s="13" t="s">
        <v>191</v>
      </c>
      <c r="E26" s="13" t="s">
        <v>3751</v>
      </c>
      <c r="F26" s="13" t="s">
        <v>3509</v>
      </c>
      <c r="G26" s="27" t="s">
        <v>46</v>
      </c>
      <c r="H26" s="27" t="s">
        <v>46</v>
      </c>
      <c r="I26" s="26" t="s">
        <v>46</v>
      </c>
      <c r="J26" s="14"/>
      <c r="K26" s="26" t="s">
        <v>14</v>
      </c>
      <c r="L26" s="27" t="s">
        <v>622</v>
      </c>
      <c r="M26" s="27" t="s">
        <v>622</v>
      </c>
      <c r="N26" s="14"/>
      <c r="O26" s="26" t="s">
        <v>59</v>
      </c>
      <c r="P26" s="27" t="s">
        <v>226</v>
      </c>
      <c r="Q26" s="27" t="s">
        <v>226</v>
      </c>
      <c r="R26" s="14"/>
      <c r="S26" s="32" t="str">
        <f>"390,0"</f>
        <v>390,0</v>
      </c>
      <c r="T26" s="14" t="str">
        <f>"338,7540"</f>
        <v>338,7540</v>
      </c>
      <c r="U26" s="13" t="s">
        <v>623</v>
      </c>
    </row>
    <row r="27" spans="1:21">
      <c r="B27" s="5" t="s">
        <v>409</v>
      </c>
    </row>
    <row r="28" spans="1:21" ht="16">
      <c r="A28" s="57" t="s">
        <v>21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</row>
    <row r="29" spans="1:21">
      <c r="A29" s="8" t="s">
        <v>408</v>
      </c>
      <c r="B29" s="7" t="s">
        <v>624</v>
      </c>
      <c r="C29" s="7" t="s">
        <v>625</v>
      </c>
      <c r="D29" s="7" t="s">
        <v>626</v>
      </c>
      <c r="E29" s="7" t="s">
        <v>3751</v>
      </c>
      <c r="F29" s="7" t="s">
        <v>3574</v>
      </c>
      <c r="G29" s="20" t="s">
        <v>14</v>
      </c>
      <c r="H29" s="21" t="s">
        <v>622</v>
      </c>
      <c r="I29" s="20" t="s">
        <v>622</v>
      </c>
      <c r="J29" s="8"/>
      <c r="K29" s="20" t="s">
        <v>14</v>
      </c>
      <c r="L29" s="20" t="s">
        <v>622</v>
      </c>
      <c r="M29" s="20" t="s">
        <v>15</v>
      </c>
      <c r="N29" s="8"/>
      <c r="O29" s="20" t="s">
        <v>38</v>
      </c>
      <c r="P29" s="20" t="s">
        <v>600</v>
      </c>
      <c r="Q29" s="20" t="s">
        <v>69</v>
      </c>
      <c r="R29" s="8"/>
      <c r="S29" s="29" t="str">
        <f>"242,5"</f>
        <v>242,5</v>
      </c>
      <c r="T29" s="8" t="str">
        <f>"230,1810"</f>
        <v>230,1810</v>
      </c>
      <c r="U29" s="7"/>
    </row>
    <row r="30" spans="1:21">
      <c r="B30" s="5" t="s">
        <v>409</v>
      </c>
    </row>
    <row r="31" spans="1:21" ht="16">
      <c r="A31" s="57" t="s">
        <v>31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</row>
    <row r="32" spans="1:21">
      <c r="A32" s="8" t="s">
        <v>408</v>
      </c>
      <c r="B32" s="7" t="s">
        <v>627</v>
      </c>
      <c r="C32" s="7" t="s">
        <v>628</v>
      </c>
      <c r="D32" s="7" t="s">
        <v>50</v>
      </c>
      <c r="E32" s="7" t="s">
        <v>3751</v>
      </c>
      <c r="F32" s="7" t="s">
        <v>3511</v>
      </c>
      <c r="G32" s="20" t="s">
        <v>37</v>
      </c>
      <c r="H32" s="20" t="s">
        <v>28</v>
      </c>
      <c r="I32" s="21" t="s">
        <v>61</v>
      </c>
      <c r="J32" s="8"/>
      <c r="K32" s="20" t="s">
        <v>79</v>
      </c>
      <c r="L32" s="20" t="s">
        <v>451</v>
      </c>
      <c r="M32" s="8"/>
      <c r="N32" s="8"/>
      <c r="O32" s="20" t="s">
        <v>71</v>
      </c>
      <c r="P32" s="21" t="s">
        <v>83</v>
      </c>
      <c r="Q32" s="21" t="s">
        <v>83</v>
      </c>
      <c r="R32" s="8"/>
      <c r="S32" s="29" t="str">
        <f>"497,5"</f>
        <v>497,5</v>
      </c>
      <c r="T32" s="8" t="str">
        <f>"429,5912"</f>
        <v>429,5912</v>
      </c>
      <c r="U32" s="7" t="s">
        <v>587</v>
      </c>
    </row>
    <row r="33" spans="1:21">
      <c r="B33" s="5" t="s">
        <v>409</v>
      </c>
    </row>
    <row r="34" spans="1:21" ht="16">
      <c r="A34" s="57" t="s">
        <v>55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21">
      <c r="A35" s="8" t="s">
        <v>408</v>
      </c>
      <c r="B35" s="7" t="s">
        <v>629</v>
      </c>
      <c r="C35" s="7" t="s">
        <v>630</v>
      </c>
      <c r="D35" s="7" t="s">
        <v>631</v>
      </c>
      <c r="E35" s="7" t="s">
        <v>3751</v>
      </c>
      <c r="F35" s="7" t="s">
        <v>199</v>
      </c>
      <c r="G35" s="20" t="s">
        <v>83</v>
      </c>
      <c r="H35" s="20" t="s">
        <v>97</v>
      </c>
      <c r="I35" s="21" t="s">
        <v>632</v>
      </c>
      <c r="J35" s="8"/>
      <c r="K35" s="20" t="s">
        <v>85</v>
      </c>
      <c r="L35" s="20" t="s">
        <v>248</v>
      </c>
      <c r="M35" s="21" t="s">
        <v>25</v>
      </c>
      <c r="N35" s="8"/>
      <c r="O35" s="20" t="s">
        <v>87</v>
      </c>
      <c r="P35" s="20" t="s">
        <v>133</v>
      </c>
      <c r="Q35" s="20" t="s">
        <v>633</v>
      </c>
      <c r="R35" s="8"/>
      <c r="S35" s="29" t="str">
        <f>"613,5"</f>
        <v>613,5</v>
      </c>
      <c r="T35" s="8" t="str">
        <f>"481,7202"</f>
        <v>481,7202</v>
      </c>
      <c r="U35" s="7" t="s">
        <v>3481</v>
      </c>
    </row>
    <row r="36" spans="1:21">
      <c r="B36" s="5" t="s">
        <v>409</v>
      </c>
    </row>
    <row r="37" spans="1:21" ht="16">
      <c r="A37" s="57" t="s">
        <v>93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</row>
    <row r="38" spans="1:21">
      <c r="A38" s="10" t="s">
        <v>408</v>
      </c>
      <c r="B38" s="9" t="s">
        <v>634</v>
      </c>
      <c r="C38" s="9" t="s">
        <v>635</v>
      </c>
      <c r="D38" s="9" t="s">
        <v>636</v>
      </c>
      <c r="E38" s="9" t="s">
        <v>3754</v>
      </c>
      <c r="F38" s="9" t="s">
        <v>3562</v>
      </c>
      <c r="G38" s="22" t="s">
        <v>181</v>
      </c>
      <c r="H38" s="23" t="s">
        <v>309</v>
      </c>
      <c r="I38" s="22" t="s">
        <v>288</v>
      </c>
      <c r="J38" s="10"/>
      <c r="K38" s="23" t="s">
        <v>36</v>
      </c>
      <c r="L38" s="23" t="s">
        <v>59</v>
      </c>
      <c r="M38" s="23" t="s">
        <v>37</v>
      </c>
      <c r="N38" s="10"/>
      <c r="O38" s="23" t="s">
        <v>98</v>
      </c>
      <c r="P38" s="22" t="s">
        <v>133</v>
      </c>
      <c r="Q38" s="23" t="s">
        <v>133</v>
      </c>
      <c r="R38" s="10"/>
      <c r="S38" s="30" t="str">
        <f>"617,5"</f>
        <v>617,5</v>
      </c>
      <c r="T38" s="10" t="str">
        <f>"440,0305"</f>
        <v>440,0305</v>
      </c>
      <c r="U38" s="9" t="s">
        <v>192</v>
      </c>
    </row>
    <row r="39" spans="1:21">
      <c r="A39" s="12" t="s">
        <v>412</v>
      </c>
      <c r="B39" s="11" t="s">
        <v>637</v>
      </c>
      <c r="C39" s="11" t="s">
        <v>638</v>
      </c>
      <c r="D39" s="11" t="s">
        <v>639</v>
      </c>
      <c r="E39" s="11" t="s">
        <v>3754</v>
      </c>
      <c r="F39" s="11" t="s">
        <v>3510</v>
      </c>
      <c r="G39" s="25" t="s">
        <v>132</v>
      </c>
      <c r="H39" s="25" t="s">
        <v>132</v>
      </c>
      <c r="I39" s="25" t="s">
        <v>132</v>
      </c>
      <c r="J39" s="12"/>
      <c r="K39" s="25"/>
      <c r="L39" s="12"/>
      <c r="M39" s="12"/>
      <c r="N39" s="12"/>
      <c r="O39" s="25"/>
      <c r="P39" s="12"/>
      <c r="Q39" s="12"/>
      <c r="R39" s="12"/>
      <c r="S39" s="31">
        <v>0</v>
      </c>
      <c r="T39" s="12" t="str">
        <f>"0,0000"</f>
        <v>0,0000</v>
      </c>
      <c r="U39" s="11" t="s">
        <v>640</v>
      </c>
    </row>
    <row r="40" spans="1:21">
      <c r="A40" s="12" t="s">
        <v>408</v>
      </c>
      <c r="B40" s="11" t="s">
        <v>641</v>
      </c>
      <c r="C40" s="11" t="s">
        <v>642</v>
      </c>
      <c r="D40" s="11" t="s">
        <v>636</v>
      </c>
      <c r="E40" s="11" t="s">
        <v>3751</v>
      </c>
      <c r="F40" s="11" t="s">
        <v>3575</v>
      </c>
      <c r="G40" s="24" t="s">
        <v>83</v>
      </c>
      <c r="H40" s="24" t="s">
        <v>97</v>
      </c>
      <c r="I40" s="24" t="s">
        <v>98</v>
      </c>
      <c r="J40" s="12"/>
      <c r="K40" s="24" t="s">
        <v>25</v>
      </c>
      <c r="L40" s="24" t="s">
        <v>35</v>
      </c>
      <c r="M40" s="24" t="s">
        <v>46</v>
      </c>
      <c r="N40" s="12"/>
      <c r="O40" s="24" t="s">
        <v>128</v>
      </c>
      <c r="P40" s="25" t="s">
        <v>217</v>
      </c>
      <c r="Q40" s="25" t="s">
        <v>217</v>
      </c>
      <c r="R40" s="12"/>
      <c r="S40" s="31" t="str">
        <f>"685,0"</f>
        <v>685,0</v>
      </c>
      <c r="T40" s="12" t="str">
        <f>"488,1310"</f>
        <v>488,1310</v>
      </c>
      <c r="U40" s="11"/>
    </row>
    <row r="41" spans="1:21">
      <c r="A41" s="12" t="s">
        <v>410</v>
      </c>
      <c r="B41" s="11" t="s">
        <v>643</v>
      </c>
      <c r="C41" s="11" t="s">
        <v>644</v>
      </c>
      <c r="D41" s="11" t="s">
        <v>96</v>
      </c>
      <c r="E41" s="11" t="s">
        <v>3751</v>
      </c>
      <c r="F41" s="11" t="s">
        <v>3576</v>
      </c>
      <c r="G41" s="24" t="s">
        <v>87</v>
      </c>
      <c r="H41" s="24" t="s">
        <v>645</v>
      </c>
      <c r="I41" s="12"/>
      <c r="J41" s="12"/>
      <c r="K41" s="24" t="s">
        <v>132</v>
      </c>
      <c r="L41" s="24" t="s">
        <v>85</v>
      </c>
      <c r="M41" s="25" t="s">
        <v>45</v>
      </c>
      <c r="N41" s="12"/>
      <c r="O41" s="24" t="s">
        <v>134</v>
      </c>
      <c r="P41" s="25" t="s">
        <v>119</v>
      </c>
      <c r="Q41" s="12"/>
      <c r="R41" s="12"/>
      <c r="S41" s="31" t="str">
        <f>"631,0"</f>
        <v>631,0</v>
      </c>
      <c r="T41" s="12" t="str">
        <f>"454,3200"</f>
        <v>454,3200</v>
      </c>
      <c r="U41" s="11" t="s">
        <v>646</v>
      </c>
    </row>
    <row r="42" spans="1:21">
      <c r="A42" s="14" t="s">
        <v>411</v>
      </c>
      <c r="B42" s="13" t="s">
        <v>647</v>
      </c>
      <c r="C42" s="13" t="s">
        <v>648</v>
      </c>
      <c r="D42" s="13" t="s">
        <v>604</v>
      </c>
      <c r="E42" s="13" t="s">
        <v>3751</v>
      </c>
      <c r="F42" s="13" t="s">
        <v>3577</v>
      </c>
      <c r="G42" s="27" t="s">
        <v>66</v>
      </c>
      <c r="H42" s="26" t="s">
        <v>67</v>
      </c>
      <c r="I42" s="26" t="s">
        <v>83</v>
      </c>
      <c r="J42" s="14"/>
      <c r="K42" s="26" t="s">
        <v>77</v>
      </c>
      <c r="L42" s="27" t="s">
        <v>84</v>
      </c>
      <c r="M42" s="26" t="s">
        <v>84</v>
      </c>
      <c r="N42" s="14"/>
      <c r="O42" s="26" t="s">
        <v>119</v>
      </c>
      <c r="P42" s="26" t="s">
        <v>169</v>
      </c>
      <c r="Q42" s="27" t="s">
        <v>121</v>
      </c>
      <c r="R42" s="14"/>
      <c r="S42" s="32" t="str">
        <f>"610,0"</f>
        <v>610,0</v>
      </c>
      <c r="T42" s="14" t="str">
        <f>"437,5530"</f>
        <v>437,5530</v>
      </c>
      <c r="U42" s="13"/>
    </row>
    <row r="43" spans="1:21">
      <c r="B43" s="5" t="s">
        <v>409</v>
      </c>
    </row>
    <row r="44" spans="1:21" ht="16">
      <c r="A44" s="57" t="s">
        <v>62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</row>
    <row r="45" spans="1:21">
      <c r="A45" s="10" t="s">
        <v>408</v>
      </c>
      <c r="B45" s="9" t="s">
        <v>649</v>
      </c>
      <c r="C45" s="9" t="s">
        <v>650</v>
      </c>
      <c r="D45" s="9" t="s">
        <v>651</v>
      </c>
      <c r="E45" s="9" t="s">
        <v>3754</v>
      </c>
      <c r="F45" s="9" t="s">
        <v>3543</v>
      </c>
      <c r="G45" s="23" t="s">
        <v>83</v>
      </c>
      <c r="H45" s="23" t="s">
        <v>97</v>
      </c>
      <c r="I45" s="22" t="s">
        <v>86</v>
      </c>
      <c r="J45" s="10"/>
      <c r="K45" s="23" t="s">
        <v>35</v>
      </c>
      <c r="L45" s="22" t="s">
        <v>36</v>
      </c>
      <c r="M45" s="22" t="s">
        <v>36</v>
      </c>
      <c r="N45" s="10"/>
      <c r="O45" s="23" t="s">
        <v>133</v>
      </c>
      <c r="P45" s="23" t="s">
        <v>134</v>
      </c>
      <c r="Q45" s="23" t="s">
        <v>119</v>
      </c>
      <c r="R45" s="10"/>
      <c r="S45" s="30" t="str">
        <f>"630,0"</f>
        <v>630,0</v>
      </c>
      <c r="T45" s="10" t="str">
        <f>"426,4470"</f>
        <v>426,4470</v>
      </c>
      <c r="U45" s="9" t="s">
        <v>652</v>
      </c>
    </row>
    <row r="46" spans="1:21">
      <c r="A46" s="12" t="s">
        <v>410</v>
      </c>
      <c r="B46" s="11" t="s">
        <v>653</v>
      </c>
      <c r="C46" s="11" t="s">
        <v>654</v>
      </c>
      <c r="D46" s="11" t="s">
        <v>655</v>
      </c>
      <c r="E46" s="11" t="s">
        <v>3754</v>
      </c>
      <c r="F46" s="11" t="s">
        <v>3577</v>
      </c>
      <c r="G46" s="24" t="s">
        <v>37</v>
      </c>
      <c r="H46" s="25" t="s">
        <v>61</v>
      </c>
      <c r="I46" s="24" t="s">
        <v>61</v>
      </c>
      <c r="J46" s="12"/>
      <c r="K46" s="24" t="s">
        <v>521</v>
      </c>
      <c r="L46" s="24" t="s">
        <v>474</v>
      </c>
      <c r="M46" s="25" t="s">
        <v>248</v>
      </c>
      <c r="N46" s="12"/>
      <c r="O46" s="25" t="s">
        <v>66</v>
      </c>
      <c r="P46" s="24" t="s">
        <v>66</v>
      </c>
      <c r="Q46" s="25" t="s">
        <v>71</v>
      </c>
      <c r="R46" s="12"/>
      <c r="S46" s="31" t="str">
        <f>"510,0"</f>
        <v>510,0</v>
      </c>
      <c r="T46" s="12" t="str">
        <f>"345,7290"</f>
        <v>345,7290</v>
      </c>
      <c r="U46" s="11"/>
    </row>
    <row r="47" spans="1:21">
      <c r="A47" s="12" t="s">
        <v>408</v>
      </c>
      <c r="B47" s="11" t="s">
        <v>656</v>
      </c>
      <c r="C47" s="11" t="s">
        <v>657</v>
      </c>
      <c r="D47" s="11" t="s">
        <v>473</v>
      </c>
      <c r="E47" s="11" t="s">
        <v>3751</v>
      </c>
      <c r="F47" s="11" t="s">
        <v>3542</v>
      </c>
      <c r="G47" s="24" t="s">
        <v>119</v>
      </c>
      <c r="H47" s="24" t="s">
        <v>120</v>
      </c>
      <c r="I47" s="25" t="s">
        <v>110</v>
      </c>
      <c r="J47" s="12"/>
      <c r="K47" s="24" t="s">
        <v>70</v>
      </c>
      <c r="L47" s="24" t="s">
        <v>181</v>
      </c>
      <c r="M47" s="25" t="s">
        <v>71</v>
      </c>
      <c r="N47" s="12"/>
      <c r="O47" s="24" t="s">
        <v>114</v>
      </c>
      <c r="P47" s="24" t="s">
        <v>128</v>
      </c>
      <c r="Q47" s="25" t="s">
        <v>128</v>
      </c>
      <c r="R47" s="12"/>
      <c r="S47" s="31" t="str">
        <f>"767,5"</f>
        <v>767,5</v>
      </c>
      <c r="T47" s="12" t="str">
        <f>"515,2995"</f>
        <v>515,2995</v>
      </c>
      <c r="U47" s="11" t="s">
        <v>658</v>
      </c>
    </row>
    <row r="48" spans="1:21">
      <c r="A48" s="12" t="s">
        <v>410</v>
      </c>
      <c r="B48" s="11" t="s">
        <v>659</v>
      </c>
      <c r="C48" s="11" t="s">
        <v>660</v>
      </c>
      <c r="D48" s="11" t="s">
        <v>651</v>
      </c>
      <c r="E48" s="11" t="s">
        <v>3751</v>
      </c>
      <c r="F48" s="11" t="s">
        <v>199</v>
      </c>
      <c r="G48" s="24" t="s">
        <v>119</v>
      </c>
      <c r="H48" s="24" t="s">
        <v>110</v>
      </c>
      <c r="I48" s="24" t="s">
        <v>225</v>
      </c>
      <c r="J48" s="12"/>
      <c r="K48" s="24" t="s">
        <v>59</v>
      </c>
      <c r="L48" s="25" t="s">
        <v>226</v>
      </c>
      <c r="M48" s="25" t="s">
        <v>226</v>
      </c>
      <c r="N48" s="12"/>
      <c r="O48" s="24" t="s">
        <v>121</v>
      </c>
      <c r="P48" s="24" t="s">
        <v>337</v>
      </c>
      <c r="Q48" s="25" t="s">
        <v>211</v>
      </c>
      <c r="R48" s="12"/>
      <c r="S48" s="31" t="str">
        <f>"740,0"</f>
        <v>740,0</v>
      </c>
      <c r="T48" s="12" t="str">
        <f>"500,9060"</f>
        <v>500,9060</v>
      </c>
      <c r="U48" s="11"/>
    </row>
    <row r="49" spans="1:21">
      <c r="A49" s="12" t="s">
        <v>411</v>
      </c>
      <c r="B49" s="11" t="s">
        <v>661</v>
      </c>
      <c r="C49" s="11" t="s">
        <v>662</v>
      </c>
      <c r="D49" s="11" t="s">
        <v>131</v>
      </c>
      <c r="E49" s="11" t="s">
        <v>3751</v>
      </c>
      <c r="F49" s="11" t="s">
        <v>3578</v>
      </c>
      <c r="G49" s="24" t="s">
        <v>97</v>
      </c>
      <c r="H49" s="24" t="s">
        <v>663</v>
      </c>
      <c r="I49" s="24" t="s">
        <v>133</v>
      </c>
      <c r="J49" s="12"/>
      <c r="K49" s="25" t="s">
        <v>187</v>
      </c>
      <c r="L49" s="24" t="s">
        <v>187</v>
      </c>
      <c r="M49" s="25" t="s">
        <v>226</v>
      </c>
      <c r="N49" s="12"/>
      <c r="O49" s="24" t="s">
        <v>121</v>
      </c>
      <c r="P49" s="25" t="s">
        <v>337</v>
      </c>
      <c r="Q49" s="25" t="s">
        <v>112</v>
      </c>
      <c r="R49" s="12"/>
      <c r="S49" s="31" t="str">
        <f>"687,5"</f>
        <v>687,5</v>
      </c>
      <c r="T49" s="12" t="str">
        <f>"461,9312"</f>
        <v>461,9312</v>
      </c>
      <c r="U49" s="11" t="s">
        <v>664</v>
      </c>
    </row>
    <row r="50" spans="1:21">
      <c r="A50" s="12" t="s">
        <v>413</v>
      </c>
      <c r="B50" s="11" t="s">
        <v>665</v>
      </c>
      <c r="C50" s="11" t="s">
        <v>666</v>
      </c>
      <c r="D50" s="11" t="s">
        <v>149</v>
      </c>
      <c r="E50" s="11" t="s">
        <v>3751</v>
      </c>
      <c r="F50" s="11" t="s">
        <v>3511</v>
      </c>
      <c r="G50" s="25" t="s">
        <v>97</v>
      </c>
      <c r="H50" s="24" t="s">
        <v>97</v>
      </c>
      <c r="I50" s="24" t="s">
        <v>317</v>
      </c>
      <c r="J50" s="12"/>
      <c r="K50" s="24" t="s">
        <v>474</v>
      </c>
      <c r="L50" s="25" t="s">
        <v>35</v>
      </c>
      <c r="M50" s="25" t="s">
        <v>35</v>
      </c>
      <c r="N50" s="12"/>
      <c r="O50" s="24" t="s">
        <v>98</v>
      </c>
      <c r="P50" s="25" t="s">
        <v>133</v>
      </c>
      <c r="Q50" s="24" t="s">
        <v>133</v>
      </c>
      <c r="R50" s="12"/>
      <c r="S50" s="31" t="str">
        <f>"605,0"</f>
        <v>605,0</v>
      </c>
      <c r="T50" s="12" t="str">
        <f>"407,1045"</f>
        <v>407,1045</v>
      </c>
      <c r="U50" s="11" t="s">
        <v>587</v>
      </c>
    </row>
    <row r="51" spans="1:21">
      <c r="A51" s="12" t="s">
        <v>412</v>
      </c>
      <c r="B51" s="11" t="s">
        <v>667</v>
      </c>
      <c r="C51" s="11" t="s">
        <v>668</v>
      </c>
      <c r="D51" s="11" t="s">
        <v>669</v>
      </c>
      <c r="E51" s="11" t="s">
        <v>3751</v>
      </c>
      <c r="F51" s="11" t="s">
        <v>3543</v>
      </c>
      <c r="G51" s="25" t="s">
        <v>98</v>
      </c>
      <c r="H51" s="25" t="s">
        <v>98</v>
      </c>
      <c r="I51" s="25" t="s">
        <v>133</v>
      </c>
      <c r="J51" s="12"/>
      <c r="K51" s="25"/>
      <c r="L51" s="12"/>
      <c r="M51" s="12"/>
      <c r="N51" s="12"/>
      <c r="O51" s="25"/>
      <c r="P51" s="12"/>
      <c r="Q51" s="12"/>
      <c r="R51" s="12"/>
      <c r="S51" s="31">
        <v>0</v>
      </c>
      <c r="T51" s="12" t="str">
        <f>"0,0000"</f>
        <v>0,0000</v>
      </c>
      <c r="U51" s="11" t="s">
        <v>670</v>
      </c>
    </row>
    <row r="52" spans="1:21">
      <c r="A52" s="12" t="s">
        <v>412</v>
      </c>
      <c r="B52" s="11" t="s">
        <v>671</v>
      </c>
      <c r="C52" s="11" t="s">
        <v>672</v>
      </c>
      <c r="D52" s="11" t="s">
        <v>655</v>
      </c>
      <c r="E52" s="11" t="s">
        <v>3751</v>
      </c>
      <c r="F52" s="11" t="s">
        <v>3509</v>
      </c>
      <c r="G52" s="24" t="s">
        <v>28</v>
      </c>
      <c r="H52" s="24" t="s">
        <v>596</v>
      </c>
      <c r="I52" s="25" t="s">
        <v>66</v>
      </c>
      <c r="J52" s="12"/>
      <c r="K52" s="25" t="s">
        <v>84</v>
      </c>
      <c r="L52" s="25" t="s">
        <v>84</v>
      </c>
      <c r="M52" s="25" t="s">
        <v>85</v>
      </c>
      <c r="N52" s="12"/>
      <c r="O52" s="25"/>
      <c r="P52" s="12"/>
      <c r="Q52" s="12"/>
      <c r="R52" s="12"/>
      <c r="S52" s="31">
        <v>0</v>
      </c>
      <c r="T52" s="12" t="str">
        <f>"0,0000"</f>
        <v>0,0000</v>
      </c>
      <c r="U52" s="11" t="s">
        <v>673</v>
      </c>
    </row>
    <row r="53" spans="1:21">
      <c r="A53" s="12" t="s">
        <v>412</v>
      </c>
      <c r="B53" s="11" t="s">
        <v>674</v>
      </c>
      <c r="C53" s="11" t="s">
        <v>675</v>
      </c>
      <c r="D53" s="11" t="s">
        <v>676</v>
      </c>
      <c r="E53" s="11" t="s">
        <v>3751</v>
      </c>
      <c r="F53" s="11" t="s">
        <v>3579</v>
      </c>
      <c r="G53" s="25" t="s">
        <v>97</v>
      </c>
      <c r="H53" s="25" t="s">
        <v>97</v>
      </c>
      <c r="I53" s="25" t="s">
        <v>97</v>
      </c>
      <c r="J53" s="12"/>
      <c r="K53" s="12"/>
      <c r="L53" s="25"/>
      <c r="M53" s="25"/>
      <c r="N53" s="12"/>
      <c r="O53" s="25"/>
      <c r="P53" s="12"/>
      <c r="Q53" s="25"/>
      <c r="R53" s="12"/>
      <c r="S53" s="31">
        <v>0</v>
      </c>
      <c r="T53" s="12" t="str">
        <f>"0,0000"</f>
        <v>0,0000</v>
      </c>
      <c r="U53" s="11"/>
    </row>
    <row r="54" spans="1:21">
      <c r="A54" s="12" t="s">
        <v>412</v>
      </c>
      <c r="B54" s="11" t="s">
        <v>674</v>
      </c>
      <c r="C54" s="11" t="s">
        <v>677</v>
      </c>
      <c r="D54" s="11" t="s">
        <v>676</v>
      </c>
      <c r="E54" s="11" t="s">
        <v>3753</v>
      </c>
      <c r="F54" s="11" t="s">
        <v>3579</v>
      </c>
      <c r="G54" s="25" t="s">
        <v>97</v>
      </c>
      <c r="H54" s="25" t="s">
        <v>97</v>
      </c>
      <c r="I54" s="25" t="s">
        <v>97</v>
      </c>
      <c r="J54" s="12"/>
      <c r="K54" s="12"/>
      <c r="L54" s="25"/>
      <c r="M54" s="25"/>
      <c r="N54" s="12"/>
      <c r="O54" s="25"/>
      <c r="P54" s="12"/>
      <c r="Q54" s="25"/>
      <c r="R54" s="12"/>
      <c r="S54" s="31">
        <v>0</v>
      </c>
      <c r="T54" s="12" t="str">
        <f>"0,0000"</f>
        <v>0,0000</v>
      </c>
      <c r="U54" s="11"/>
    </row>
    <row r="55" spans="1:21">
      <c r="A55" s="14" t="s">
        <v>408</v>
      </c>
      <c r="B55" s="13" t="s">
        <v>678</v>
      </c>
      <c r="C55" s="13" t="s">
        <v>679</v>
      </c>
      <c r="D55" s="13" t="s">
        <v>680</v>
      </c>
      <c r="E55" s="13" t="s">
        <v>3758</v>
      </c>
      <c r="F55" s="13" t="s">
        <v>3580</v>
      </c>
      <c r="G55" s="26" t="s">
        <v>45</v>
      </c>
      <c r="H55" s="27" t="s">
        <v>35</v>
      </c>
      <c r="I55" s="26" t="s">
        <v>35</v>
      </c>
      <c r="J55" s="14"/>
      <c r="K55" s="26" t="s">
        <v>18</v>
      </c>
      <c r="L55" s="26" t="s">
        <v>435</v>
      </c>
      <c r="M55" s="27" t="s">
        <v>38</v>
      </c>
      <c r="N55" s="14"/>
      <c r="O55" s="27" t="s">
        <v>28</v>
      </c>
      <c r="P55" s="26" t="s">
        <v>28</v>
      </c>
      <c r="Q55" s="27" t="s">
        <v>67</v>
      </c>
      <c r="R55" s="14"/>
      <c r="S55" s="32" t="str">
        <f>"410,0"</f>
        <v>410,0</v>
      </c>
      <c r="T55" s="14" t="str">
        <f>"479,6754"</f>
        <v>479,6754</v>
      </c>
      <c r="U55" s="13"/>
    </row>
    <row r="56" spans="1:21">
      <c r="B56" s="5" t="s">
        <v>409</v>
      </c>
    </row>
    <row r="57" spans="1:21" ht="16">
      <c r="A57" s="57" t="s">
        <v>150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21">
      <c r="A58" s="10" t="s">
        <v>412</v>
      </c>
      <c r="B58" s="9" t="s">
        <v>681</v>
      </c>
      <c r="C58" s="9" t="s">
        <v>682</v>
      </c>
      <c r="D58" s="9" t="s">
        <v>683</v>
      </c>
      <c r="E58" s="9" t="s">
        <v>3754</v>
      </c>
      <c r="F58" s="9" t="s">
        <v>75</v>
      </c>
      <c r="G58" s="22" t="s">
        <v>128</v>
      </c>
      <c r="H58" s="22" t="s">
        <v>128</v>
      </c>
      <c r="I58" s="22" t="s">
        <v>128</v>
      </c>
      <c r="J58" s="10"/>
      <c r="K58" s="22"/>
      <c r="L58" s="10"/>
      <c r="M58" s="10"/>
      <c r="N58" s="10"/>
      <c r="O58" s="22"/>
      <c r="P58" s="10"/>
      <c r="Q58" s="10"/>
      <c r="R58" s="10"/>
      <c r="S58" s="30">
        <v>0</v>
      </c>
      <c r="T58" s="10" t="str">
        <f>"0,0000"</f>
        <v>0,0000</v>
      </c>
      <c r="U58" s="9"/>
    </row>
    <row r="59" spans="1:21">
      <c r="A59" s="12" t="s">
        <v>408</v>
      </c>
      <c r="B59" s="11" t="s">
        <v>684</v>
      </c>
      <c r="C59" s="11" t="s">
        <v>685</v>
      </c>
      <c r="D59" s="11" t="s">
        <v>191</v>
      </c>
      <c r="E59" s="11" t="s">
        <v>3751</v>
      </c>
      <c r="F59" s="11" t="s">
        <v>3510</v>
      </c>
      <c r="G59" s="25" t="s">
        <v>133</v>
      </c>
      <c r="H59" s="24" t="s">
        <v>133</v>
      </c>
      <c r="I59" s="24" t="s">
        <v>134</v>
      </c>
      <c r="J59" s="12"/>
      <c r="K59" s="24" t="s">
        <v>37</v>
      </c>
      <c r="L59" s="24" t="s">
        <v>40</v>
      </c>
      <c r="M59" s="24" t="s">
        <v>29</v>
      </c>
      <c r="N59" s="12"/>
      <c r="O59" s="25" t="s">
        <v>211</v>
      </c>
      <c r="P59" s="25" t="s">
        <v>211</v>
      </c>
      <c r="Q59" s="24" t="s">
        <v>211</v>
      </c>
      <c r="R59" s="12"/>
      <c r="S59" s="31" t="str">
        <f>"755,0"</f>
        <v>755,0</v>
      </c>
      <c r="T59" s="12" t="str">
        <f>"485,0120"</f>
        <v>485,0120</v>
      </c>
      <c r="U59" s="11" t="s">
        <v>72</v>
      </c>
    </row>
    <row r="60" spans="1:21">
      <c r="A60" s="12" t="s">
        <v>410</v>
      </c>
      <c r="B60" s="11" t="s">
        <v>686</v>
      </c>
      <c r="C60" s="11" t="s">
        <v>687</v>
      </c>
      <c r="D60" s="11" t="s">
        <v>152</v>
      </c>
      <c r="E60" s="11" t="s">
        <v>3751</v>
      </c>
      <c r="F60" s="11" t="s">
        <v>3573</v>
      </c>
      <c r="G60" s="24" t="s">
        <v>87</v>
      </c>
      <c r="H60" s="25" t="s">
        <v>134</v>
      </c>
      <c r="I60" s="24" t="s">
        <v>119</v>
      </c>
      <c r="J60" s="12"/>
      <c r="K60" s="24" t="s">
        <v>40</v>
      </c>
      <c r="L60" s="24" t="s">
        <v>70</v>
      </c>
      <c r="M60" s="24" t="s">
        <v>71</v>
      </c>
      <c r="N60" s="12"/>
      <c r="O60" s="24" t="s">
        <v>182</v>
      </c>
      <c r="P60" s="24" t="s">
        <v>110</v>
      </c>
      <c r="Q60" s="25" t="s">
        <v>111</v>
      </c>
      <c r="R60" s="12"/>
      <c r="S60" s="31" t="str">
        <f>"735,0"</f>
        <v>735,0</v>
      </c>
      <c r="T60" s="12" t="str">
        <f>"469,2240"</f>
        <v>469,2240</v>
      </c>
      <c r="U60" s="11"/>
    </row>
    <row r="61" spans="1:21">
      <c r="A61" s="12" t="s">
        <v>411</v>
      </c>
      <c r="B61" s="11" t="s">
        <v>688</v>
      </c>
      <c r="C61" s="11" t="s">
        <v>689</v>
      </c>
      <c r="D61" s="11" t="s">
        <v>690</v>
      </c>
      <c r="E61" s="11" t="s">
        <v>3751</v>
      </c>
      <c r="F61" s="11" t="s">
        <v>3581</v>
      </c>
      <c r="G61" s="24" t="s">
        <v>87</v>
      </c>
      <c r="H61" s="25" t="s">
        <v>691</v>
      </c>
      <c r="I61" s="25" t="s">
        <v>154</v>
      </c>
      <c r="J61" s="12"/>
      <c r="K61" s="24" t="s">
        <v>46</v>
      </c>
      <c r="L61" s="24" t="s">
        <v>36</v>
      </c>
      <c r="M61" s="24" t="s">
        <v>47</v>
      </c>
      <c r="N61" s="12"/>
      <c r="O61" s="24" t="s">
        <v>121</v>
      </c>
      <c r="P61" s="25" t="s">
        <v>128</v>
      </c>
      <c r="Q61" s="25" t="s">
        <v>692</v>
      </c>
      <c r="R61" s="12"/>
      <c r="S61" s="31" t="str">
        <f>"677,5"</f>
        <v>677,5</v>
      </c>
      <c r="T61" s="12" t="str">
        <f>"438,9522"</f>
        <v>438,9522</v>
      </c>
      <c r="U61" s="11"/>
    </row>
    <row r="62" spans="1:21">
      <c r="A62" s="12" t="s">
        <v>413</v>
      </c>
      <c r="B62" s="11" t="s">
        <v>693</v>
      </c>
      <c r="C62" s="11" t="s">
        <v>694</v>
      </c>
      <c r="D62" s="11" t="s">
        <v>695</v>
      </c>
      <c r="E62" s="11" t="s">
        <v>3751</v>
      </c>
      <c r="F62" s="11" t="s">
        <v>3521</v>
      </c>
      <c r="G62" s="24" t="s">
        <v>97</v>
      </c>
      <c r="H62" s="24" t="s">
        <v>663</v>
      </c>
      <c r="I62" s="24" t="s">
        <v>154</v>
      </c>
      <c r="J62" s="12"/>
      <c r="K62" s="24" t="s">
        <v>35</v>
      </c>
      <c r="L62" s="25" t="s">
        <v>26</v>
      </c>
      <c r="M62" s="12"/>
      <c r="N62" s="12"/>
      <c r="O62" s="24" t="s">
        <v>134</v>
      </c>
      <c r="P62" s="25" t="s">
        <v>120</v>
      </c>
      <c r="Q62" s="25" t="s">
        <v>120</v>
      </c>
      <c r="R62" s="12"/>
      <c r="S62" s="31" t="str">
        <f>"645,0"</f>
        <v>645,0</v>
      </c>
      <c r="T62" s="12" t="str">
        <f>"421,3140"</f>
        <v>421,3140</v>
      </c>
      <c r="U62" s="11"/>
    </row>
    <row r="63" spans="1:21">
      <c r="A63" s="12" t="s">
        <v>414</v>
      </c>
      <c r="B63" s="11" t="s">
        <v>696</v>
      </c>
      <c r="C63" s="11" t="s">
        <v>697</v>
      </c>
      <c r="D63" s="11" t="s">
        <v>489</v>
      </c>
      <c r="E63" s="11" t="s">
        <v>3751</v>
      </c>
      <c r="F63" s="11" t="s">
        <v>3509</v>
      </c>
      <c r="G63" s="24" t="s">
        <v>28</v>
      </c>
      <c r="H63" s="24" t="s">
        <v>70</v>
      </c>
      <c r="I63" s="24" t="s">
        <v>71</v>
      </c>
      <c r="J63" s="12"/>
      <c r="K63" s="24" t="s">
        <v>59</v>
      </c>
      <c r="L63" s="24" t="s">
        <v>37</v>
      </c>
      <c r="M63" s="25" t="s">
        <v>28</v>
      </c>
      <c r="N63" s="12"/>
      <c r="O63" s="24" t="s">
        <v>83</v>
      </c>
      <c r="P63" s="24" t="s">
        <v>98</v>
      </c>
      <c r="Q63" s="24" t="s">
        <v>133</v>
      </c>
      <c r="R63" s="12"/>
      <c r="S63" s="31" t="str">
        <f>"610,0"</f>
        <v>610,0</v>
      </c>
      <c r="T63" s="12" t="str">
        <f>"390,2780"</f>
        <v>390,2780</v>
      </c>
      <c r="U63" s="11" t="s">
        <v>698</v>
      </c>
    </row>
    <row r="64" spans="1:21">
      <c r="A64" s="12" t="s">
        <v>412</v>
      </c>
      <c r="B64" s="11" t="s">
        <v>177</v>
      </c>
      <c r="C64" s="11" t="s">
        <v>178</v>
      </c>
      <c r="D64" s="11" t="s">
        <v>179</v>
      </c>
      <c r="E64" s="11" t="s">
        <v>3751</v>
      </c>
      <c r="F64" s="11" t="s">
        <v>3509</v>
      </c>
      <c r="G64" s="25" t="s">
        <v>98</v>
      </c>
      <c r="H64" s="25" t="s">
        <v>663</v>
      </c>
      <c r="I64" s="12"/>
      <c r="J64" s="12"/>
      <c r="K64" s="25"/>
      <c r="L64" s="12"/>
      <c r="M64" s="12"/>
      <c r="N64" s="12"/>
      <c r="O64" s="25"/>
      <c r="P64" s="12"/>
      <c r="Q64" s="12"/>
      <c r="R64" s="12"/>
      <c r="S64" s="31">
        <v>0</v>
      </c>
      <c r="T64" s="12" t="str">
        <f>"0,0000"</f>
        <v>0,0000</v>
      </c>
      <c r="U64" s="11" t="s">
        <v>183</v>
      </c>
    </row>
    <row r="65" spans="1:21">
      <c r="A65" s="12" t="s">
        <v>412</v>
      </c>
      <c r="B65" s="11" t="s">
        <v>681</v>
      </c>
      <c r="C65" s="11" t="s">
        <v>699</v>
      </c>
      <c r="D65" s="11" t="s">
        <v>683</v>
      </c>
      <c r="E65" s="11" t="s">
        <v>3751</v>
      </c>
      <c r="F65" s="11" t="s">
        <v>75</v>
      </c>
      <c r="G65" s="25" t="s">
        <v>128</v>
      </c>
      <c r="H65" s="25" t="s">
        <v>128</v>
      </c>
      <c r="I65" s="25" t="s">
        <v>128</v>
      </c>
      <c r="J65" s="12"/>
      <c r="K65" s="25"/>
      <c r="L65" s="12"/>
      <c r="M65" s="12"/>
      <c r="N65" s="12"/>
      <c r="O65" s="25"/>
      <c r="P65" s="12"/>
      <c r="Q65" s="12"/>
      <c r="R65" s="12"/>
      <c r="S65" s="31">
        <v>0</v>
      </c>
      <c r="T65" s="12" t="str">
        <f>"0,0000"</f>
        <v>0,0000</v>
      </c>
      <c r="U65" s="11"/>
    </row>
    <row r="66" spans="1:21">
      <c r="A66" s="12" t="s">
        <v>408</v>
      </c>
      <c r="B66" s="11" t="s">
        <v>688</v>
      </c>
      <c r="C66" s="11" t="s">
        <v>700</v>
      </c>
      <c r="D66" s="11" t="s">
        <v>690</v>
      </c>
      <c r="E66" s="11" t="s">
        <v>3753</v>
      </c>
      <c r="F66" s="11" t="s">
        <v>3581</v>
      </c>
      <c r="G66" s="24" t="s">
        <v>87</v>
      </c>
      <c r="H66" s="25" t="s">
        <v>691</v>
      </c>
      <c r="I66" s="25" t="s">
        <v>154</v>
      </c>
      <c r="J66" s="12"/>
      <c r="K66" s="24" t="s">
        <v>46</v>
      </c>
      <c r="L66" s="24" t="s">
        <v>36</v>
      </c>
      <c r="M66" s="24" t="s">
        <v>47</v>
      </c>
      <c r="N66" s="12"/>
      <c r="O66" s="24" t="s">
        <v>121</v>
      </c>
      <c r="P66" s="25" t="s">
        <v>128</v>
      </c>
      <c r="Q66" s="25" t="s">
        <v>692</v>
      </c>
      <c r="R66" s="12"/>
      <c r="S66" s="31" t="str">
        <f>"677,5"</f>
        <v>677,5</v>
      </c>
      <c r="T66" s="12" t="str">
        <f>"441,1470"</f>
        <v>441,1470</v>
      </c>
      <c r="U66" s="11"/>
    </row>
    <row r="67" spans="1:21">
      <c r="A67" s="12" t="s">
        <v>410</v>
      </c>
      <c r="B67" s="11" t="s">
        <v>693</v>
      </c>
      <c r="C67" s="11" t="s">
        <v>701</v>
      </c>
      <c r="D67" s="11" t="s">
        <v>695</v>
      </c>
      <c r="E67" s="11" t="s">
        <v>3753</v>
      </c>
      <c r="F67" s="11" t="s">
        <v>3521</v>
      </c>
      <c r="G67" s="24" t="s">
        <v>97</v>
      </c>
      <c r="H67" s="24" t="s">
        <v>663</v>
      </c>
      <c r="I67" s="24" t="s">
        <v>154</v>
      </c>
      <c r="J67" s="12"/>
      <c r="K67" s="24" t="s">
        <v>35</v>
      </c>
      <c r="L67" s="25" t="s">
        <v>26</v>
      </c>
      <c r="M67" s="12"/>
      <c r="N67" s="12"/>
      <c r="O67" s="24" t="s">
        <v>134</v>
      </c>
      <c r="P67" s="25" t="s">
        <v>120</v>
      </c>
      <c r="Q67" s="25" t="s">
        <v>120</v>
      </c>
      <c r="R67" s="12"/>
      <c r="S67" s="31" t="str">
        <f>"645,0"</f>
        <v>645,0</v>
      </c>
      <c r="T67" s="12" t="str">
        <f>"439,8518"</f>
        <v>439,8518</v>
      </c>
      <c r="U67" s="11"/>
    </row>
    <row r="68" spans="1:21">
      <c r="A68" s="12" t="s">
        <v>411</v>
      </c>
      <c r="B68" s="11" t="s">
        <v>702</v>
      </c>
      <c r="C68" s="11" t="s">
        <v>703</v>
      </c>
      <c r="D68" s="11" t="s">
        <v>704</v>
      </c>
      <c r="E68" s="11" t="s">
        <v>3753</v>
      </c>
      <c r="F68" s="11" t="s">
        <v>3582</v>
      </c>
      <c r="G68" s="24" t="s">
        <v>70</v>
      </c>
      <c r="H68" s="25" t="s">
        <v>71</v>
      </c>
      <c r="I68" s="24" t="s">
        <v>71</v>
      </c>
      <c r="J68" s="12"/>
      <c r="K68" s="24" t="s">
        <v>45</v>
      </c>
      <c r="L68" s="25" t="s">
        <v>253</v>
      </c>
      <c r="M68" s="25" t="s">
        <v>253</v>
      </c>
      <c r="N68" s="12"/>
      <c r="O68" s="24" t="s">
        <v>86</v>
      </c>
      <c r="P68" s="24" t="s">
        <v>87</v>
      </c>
      <c r="Q68" s="25" t="s">
        <v>154</v>
      </c>
      <c r="R68" s="12"/>
      <c r="S68" s="31" t="str">
        <f>"575,0"</f>
        <v>575,0</v>
      </c>
      <c r="T68" s="12" t="str">
        <f>"407,8024"</f>
        <v>407,8024</v>
      </c>
      <c r="U68" s="11" t="s">
        <v>705</v>
      </c>
    </row>
    <row r="69" spans="1:21">
      <c r="A69" s="14" t="s">
        <v>408</v>
      </c>
      <c r="B69" s="13" t="s">
        <v>3480</v>
      </c>
      <c r="C69" s="13" t="s">
        <v>706</v>
      </c>
      <c r="D69" s="13" t="s">
        <v>164</v>
      </c>
      <c r="E69" s="13" t="s">
        <v>3757</v>
      </c>
      <c r="F69" s="13" t="s">
        <v>707</v>
      </c>
      <c r="G69" s="27" t="s">
        <v>132</v>
      </c>
      <c r="H69" s="26" t="s">
        <v>85</v>
      </c>
      <c r="I69" s="26" t="s">
        <v>45</v>
      </c>
      <c r="J69" s="14"/>
      <c r="K69" s="26" t="s">
        <v>586</v>
      </c>
      <c r="L69" s="27" t="s">
        <v>106</v>
      </c>
      <c r="M69" s="26" t="s">
        <v>106</v>
      </c>
      <c r="N69" s="14"/>
      <c r="O69" s="26" t="s">
        <v>37</v>
      </c>
      <c r="P69" s="27" t="s">
        <v>29</v>
      </c>
      <c r="Q69" s="14"/>
      <c r="R69" s="14"/>
      <c r="S69" s="32" t="str">
        <f>"420,0"</f>
        <v>420,0</v>
      </c>
      <c r="T69" s="14" t="str">
        <f>"420,8035"</f>
        <v>420,8035</v>
      </c>
      <c r="U69" s="13"/>
    </row>
    <row r="70" spans="1:21">
      <c r="B70" s="5" t="s">
        <v>409</v>
      </c>
    </row>
    <row r="71" spans="1:21" ht="16">
      <c r="A71" s="57" t="s">
        <v>195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</row>
    <row r="72" spans="1:21">
      <c r="A72" s="10" t="s">
        <v>408</v>
      </c>
      <c r="B72" s="9" t="s">
        <v>708</v>
      </c>
      <c r="C72" s="9" t="s">
        <v>709</v>
      </c>
      <c r="D72" s="9" t="s">
        <v>710</v>
      </c>
      <c r="E72" s="9" t="s">
        <v>3754</v>
      </c>
      <c r="F72" s="9" t="s">
        <v>3583</v>
      </c>
      <c r="G72" s="23" t="s">
        <v>134</v>
      </c>
      <c r="H72" s="22" t="s">
        <v>119</v>
      </c>
      <c r="I72" s="23" t="s">
        <v>119</v>
      </c>
      <c r="J72" s="10"/>
      <c r="K72" s="23" t="s">
        <v>35</v>
      </c>
      <c r="L72" s="23" t="s">
        <v>36</v>
      </c>
      <c r="M72" s="23" t="s">
        <v>59</v>
      </c>
      <c r="N72" s="10"/>
      <c r="O72" s="23" t="s">
        <v>120</v>
      </c>
      <c r="P72" s="23" t="s">
        <v>111</v>
      </c>
      <c r="Q72" s="23" t="s">
        <v>128</v>
      </c>
      <c r="R72" s="10"/>
      <c r="S72" s="30" t="str">
        <f>"725,0"</f>
        <v>725,0</v>
      </c>
      <c r="T72" s="10" t="str">
        <f>"448,6300"</f>
        <v>448,6300</v>
      </c>
      <c r="U72" s="9" t="s">
        <v>711</v>
      </c>
    </row>
    <row r="73" spans="1:21">
      <c r="A73" s="12" t="s">
        <v>408</v>
      </c>
      <c r="B73" s="11" t="s">
        <v>712</v>
      </c>
      <c r="C73" s="11" t="s">
        <v>713</v>
      </c>
      <c r="D73" s="11" t="s">
        <v>714</v>
      </c>
      <c r="E73" s="11" t="s">
        <v>3751</v>
      </c>
      <c r="F73" s="11" t="s">
        <v>3584</v>
      </c>
      <c r="G73" s="25" t="s">
        <v>114</v>
      </c>
      <c r="H73" s="25" t="s">
        <v>114</v>
      </c>
      <c r="I73" s="24" t="s">
        <v>114</v>
      </c>
      <c r="J73" s="12"/>
      <c r="K73" s="24" t="s">
        <v>70</v>
      </c>
      <c r="L73" s="24" t="s">
        <v>66</v>
      </c>
      <c r="M73" s="24" t="s">
        <v>181</v>
      </c>
      <c r="N73" s="12"/>
      <c r="O73" s="24" t="s">
        <v>128</v>
      </c>
      <c r="P73" s="24" t="s">
        <v>160</v>
      </c>
      <c r="Q73" s="25" t="s">
        <v>227</v>
      </c>
      <c r="R73" s="12"/>
      <c r="S73" s="31" t="str">
        <f>"802,5"</f>
        <v>802,5</v>
      </c>
      <c r="T73" s="12" t="str">
        <f>"490,0065"</f>
        <v>490,0065</v>
      </c>
      <c r="U73" s="11" t="s">
        <v>3483</v>
      </c>
    </row>
    <row r="74" spans="1:21">
      <c r="A74" s="12" t="s">
        <v>410</v>
      </c>
      <c r="B74" s="11" t="s">
        <v>715</v>
      </c>
      <c r="C74" s="11" t="s">
        <v>716</v>
      </c>
      <c r="D74" s="11" t="s">
        <v>524</v>
      </c>
      <c r="E74" s="11" t="s">
        <v>3751</v>
      </c>
      <c r="F74" s="11" t="s">
        <v>3538</v>
      </c>
      <c r="G74" s="24" t="s">
        <v>119</v>
      </c>
      <c r="H74" s="24" t="s">
        <v>120</v>
      </c>
      <c r="I74" s="24" t="s">
        <v>121</v>
      </c>
      <c r="J74" s="12"/>
      <c r="K74" s="24" t="s">
        <v>66</v>
      </c>
      <c r="L74" s="24" t="s">
        <v>67</v>
      </c>
      <c r="M74" s="24" t="s">
        <v>83</v>
      </c>
      <c r="N74" s="12"/>
      <c r="O74" s="24" t="s">
        <v>114</v>
      </c>
      <c r="P74" s="24" t="s">
        <v>128</v>
      </c>
      <c r="Q74" s="25" t="s">
        <v>201</v>
      </c>
      <c r="R74" s="12"/>
      <c r="S74" s="31" t="str">
        <f>"790,0"</f>
        <v>790,0</v>
      </c>
      <c r="T74" s="12" t="str">
        <f>"484,7440"</f>
        <v>484,7440</v>
      </c>
      <c r="U74" s="11"/>
    </row>
    <row r="75" spans="1:21">
      <c r="A75" s="12" t="s">
        <v>411</v>
      </c>
      <c r="B75" s="11" t="s">
        <v>717</v>
      </c>
      <c r="C75" s="11" t="s">
        <v>718</v>
      </c>
      <c r="D75" s="11" t="s">
        <v>503</v>
      </c>
      <c r="E75" s="11" t="s">
        <v>3751</v>
      </c>
      <c r="F75" s="11" t="s">
        <v>3585</v>
      </c>
      <c r="G75" s="24" t="s">
        <v>133</v>
      </c>
      <c r="H75" s="24" t="s">
        <v>134</v>
      </c>
      <c r="I75" s="12"/>
      <c r="J75" s="12"/>
      <c r="K75" s="24" t="s">
        <v>36</v>
      </c>
      <c r="L75" s="24" t="s">
        <v>37</v>
      </c>
      <c r="M75" s="24" t="s">
        <v>28</v>
      </c>
      <c r="N75" s="12"/>
      <c r="O75" s="25" t="s">
        <v>128</v>
      </c>
      <c r="P75" s="24" t="s">
        <v>217</v>
      </c>
      <c r="Q75" s="24" t="s">
        <v>211</v>
      </c>
      <c r="R75" s="12"/>
      <c r="S75" s="31" t="str">
        <f>"745,0"</f>
        <v>745,0</v>
      </c>
      <c r="T75" s="12" t="str">
        <f>"455,2695"</f>
        <v>455,2695</v>
      </c>
      <c r="U75" s="11" t="s">
        <v>218</v>
      </c>
    </row>
    <row r="76" spans="1:21">
      <c r="A76" s="12" t="s">
        <v>413</v>
      </c>
      <c r="B76" s="11" t="s">
        <v>719</v>
      </c>
      <c r="C76" s="11" t="s">
        <v>272</v>
      </c>
      <c r="D76" s="11" t="s">
        <v>720</v>
      </c>
      <c r="E76" s="11" t="s">
        <v>3751</v>
      </c>
      <c r="F76" s="11" t="s">
        <v>3586</v>
      </c>
      <c r="G76" s="24" t="s">
        <v>133</v>
      </c>
      <c r="H76" s="25" t="s">
        <v>205</v>
      </c>
      <c r="I76" s="24" t="s">
        <v>205</v>
      </c>
      <c r="J76" s="25" t="s">
        <v>119</v>
      </c>
      <c r="K76" s="24" t="s">
        <v>40</v>
      </c>
      <c r="L76" s="24" t="s">
        <v>70</v>
      </c>
      <c r="M76" s="25" t="s">
        <v>180</v>
      </c>
      <c r="N76" s="12"/>
      <c r="O76" s="24" t="s">
        <v>134</v>
      </c>
      <c r="P76" s="24" t="s">
        <v>182</v>
      </c>
      <c r="Q76" s="24" t="s">
        <v>125</v>
      </c>
      <c r="R76" s="12"/>
      <c r="S76" s="31" t="str">
        <f>"722,5"</f>
        <v>722,5</v>
      </c>
      <c r="T76" s="12" t="str">
        <f>"447,9500"</f>
        <v>447,9500</v>
      </c>
      <c r="U76" s="11"/>
    </row>
    <row r="77" spans="1:21">
      <c r="A77" s="12" t="s">
        <v>414</v>
      </c>
      <c r="B77" s="11" t="s">
        <v>721</v>
      </c>
      <c r="C77" s="11" t="s">
        <v>722</v>
      </c>
      <c r="D77" s="11" t="s">
        <v>198</v>
      </c>
      <c r="E77" s="11" t="s">
        <v>3751</v>
      </c>
      <c r="F77" s="11" t="s">
        <v>3587</v>
      </c>
      <c r="G77" s="24" t="s">
        <v>87</v>
      </c>
      <c r="H77" s="24" t="s">
        <v>154</v>
      </c>
      <c r="I77" s="24" t="s">
        <v>205</v>
      </c>
      <c r="J77" s="12"/>
      <c r="K77" s="24" t="s">
        <v>28</v>
      </c>
      <c r="L77" s="24" t="s">
        <v>29</v>
      </c>
      <c r="M77" s="24" t="s">
        <v>70</v>
      </c>
      <c r="N77" s="12"/>
      <c r="O77" s="24" t="s">
        <v>98</v>
      </c>
      <c r="P77" s="24" t="s">
        <v>99</v>
      </c>
      <c r="Q77" s="25" t="s">
        <v>134</v>
      </c>
      <c r="R77" s="12"/>
      <c r="S77" s="31" t="str">
        <f>"682,5"</f>
        <v>682,5</v>
      </c>
      <c r="T77" s="12" t="str">
        <f>"421,0343"</f>
        <v>421,0343</v>
      </c>
      <c r="U77" s="11" t="s">
        <v>723</v>
      </c>
    </row>
    <row r="78" spans="1:21">
      <c r="A78" s="12" t="s">
        <v>415</v>
      </c>
      <c r="B78" s="11" t="s">
        <v>724</v>
      </c>
      <c r="C78" s="11" t="s">
        <v>725</v>
      </c>
      <c r="D78" s="11" t="s">
        <v>241</v>
      </c>
      <c r="E78" s="11" t="s">
        <v>3751</v>
      </c>
      <c r="F78" s="11" t="s">
        <v>3588</v>
      </c>
      <c r="G78" s="25" t="s">
        <v>71</v>
      </c>
      <c r="H78" s="25" t="s">
        <v>68</v>
      </c>
      <c r="I78" s="24" t="s">
        <v>68</v>
      </c>
      <c r="J78" s="12"/>
      <c r="K78" s="24" t="s">
        <v>85</v>
      </c>
      <c r="L78" s="24" t="s">
        <v>25</v>
      </c>
      <c r="M78" s="25" t="s">
        <v>35</v>
      </c>
      <c r="N78" s="12"/>
      <c r="O78" s="24" t="s">
        <v>71</v>
      </c>
      <c r="P78" s="24" t="s">
        <v>68</v>
      </c>
      <c r="Q78" s="24" t="s">
        <v>98</v>
      </c>
      <c r="R78" s="12"/>
      <c r="S78" s="31" t="str">
        <f>"590,0"</f>
        <v>590,0</v>
      </c>
      <c r="T78" s="12" t="str">
        <f>"363,1450"</f>
        <v>363,1450</v>
      </c>
      <c r="U78" s="11"/>
    </row>
    <row r="79" spans="1:21">
      <c r="A79" s="12" t="s">
        <v>416</v>
      </c>
      <c r="B79" s="11" t="s">
        <v>726</v>
      </c>
      <c r="C79" s="11" t="s">
        <v>727</v>
      </c>
      <c r="D79" s="11" t="s">
        <v>728</v>
      </c>
      <c r="E79" s="11" t="s">
        <v>3751</v>
      </c>
      <c r="F79" s="11" t="s">
        <v>3589</v>
      </c>
      <c r="G79" s="24" t="s">
        <v>36</v>
      </c>
      <c r="H79" s="24" t="s">
        <v>37</v>
      </c>
      <c r="I79" s="24" t="s">
        <v>40</v>
      </c>
      <c r="J79" s="12"/>
      <c r="K79" s="24" t="s">
        <v>76</v>
      </c>
      <c r="L79" s="24" t="s">
        <v>77</v>
      </c>
      <c r="M79" s="24" t="s">
        <v>132</v>
      </c>
      <c r="N79" s="12"/>
      <c r="O79" s="24" t="s">
        <v>70</v>
      </c>
      <c r="P79" s="24" t="s">
        <v>71</v>
      </c>
      <c r="Q79" s="25" t="s">
        <v>83</v>
      </c>
      <c r="R79" s="12"/>
      <c r="S79" s="31" t="str">
        <f>"510,0"</f>
        <v>510,0</v>
      </c>
      <c r="T79" s="12" t="str">
        <f>"315,3330"</f>
        <v>315,3330</v>
      </c>
      <c r="U79" s="11" t="s">
        <v>729</v>
      </c>
    </row>
    <row r="80" spans="1:21">
      <c r="A80" s="12" t="s">
        <v>412</v>
      </c>
      <c r="B80" s="11" t="s">
        <v>730</v>
      </c>
      <c r="C80" s="11" t="s">
        <v>731</v>
      </c>
      <c r="D80" s="11" t="s">
        <v>732</v>
      </c>
      <c r="E80" s="11" t="s">
        <v>3751</v>
      </c>
      <c r="F80" s="11" t="s">
        <v>3538</v>
      </c>
      <c r="G80" s="25" t="s">
        <v>83</v>
      </c>
      <c r="H80" s="25" t="s">
        <v>83</v>
      </c>
      <c r="I80" s="25" t="s">
        <v>83</v>
      </c>
      <c r="J80" s="12"/>
      <c r="K80" s="12"/>
      <c r="L80" s="12"/>
      <c r="M80" s="12"/>
      <c r="N80" s="12"/>
      <c r="O80" s="12"/>
      <c r="P80" s="12"/>
      <c r="Q80" s="12"/>
      <c r="R80" s="12"/>
      <c r="S80" s="31">
        <v>0</v>
      </c>
      <c r="T80" s="12" t="str">
        <f>"0,0000"</f>
        <v>0,0000</v>
      </c>
      <c r="U80" s="11"/>
    </row>
    <row r="81" spans="1:21">
      <c r="A81" s="12" t="s">
        <v>412</v>
      </c>
      <c r="B81" s="11" t="s">
        <v>733</v>
      </c>
      <c r="C81" s="11" t="s">
        <v>734</v>
      </c>
      <c r="D81" s="11" t="s">
        <v>735</v>
      </c>
      <c r="E81" s="11" t="s">
        <v>3751</v>
      </c>
      <c r="F81" s="11" t="s">
        <v>3590</v>
      </c>
      <c r="G81" s="24" t="s">
        <v>97</v>
      </c>
      <c r="H81" s="24" t="s">
        <v>98</v>
      </c>
      <c r="I81" s="24" t="s">
        <v>87</v>
      </c>
      <c r="J81" s="12"/>
      <c r="K81" s="24" t="s">
        <v>37</v>
      </c>
      <c r="L81" s="24" t="s">
        <v>113</v>
      </c>
      <c r="M81" s="25" t="s">
        <v>70</v>
      </c>
      <c r="N81" s="12"/>
      <c r="O81" s="25" t="s">
        <v>120</v>
      </c>
      <c r="P81" s="25" t="s">
        <v>121</v>
      </c>
      <c r="Q81" s="25" t="s">
        <v>121</v>
      </c>
      <c r="R81" s="12"/>
      <c r="S81" s="31">
        <v>0</v>
      </c>
      <c r="T81" s="12" t="str">
        <f>"0,0000"</f>
        <v>0,0000</v>
      </c>
      <c r="U81" s="11" t="s">
        <v>923</v>
      </c>
    </row>
    <row r="82" spans="1:21">
      <c r="A82" s="12" t="s">
        <v>412</v>
      </c>
      <c r="B82" s="11" t="s">
        <v>736</v>
      </c>
      <c r="C82" s="11" t="s">
        <v>737</v>
      </c>
      <c r="D82" s="11" t="s">
        <v>234</v>
      </c>
      <c r="E82" s="11" t="s">
        <v>3751</v>
      </c>
      <c r="F82" s="11" t="s">
        <v>3582</v>
      </c>
      <c r="G82" s="25" t="s">
        <v>201</v>
      </c>
      <c r="H82" s="25" t="s">
        <v>211</v>
      </c>
      <c r="I82" s="25" t="s">
        <v>211</v>
      </c>
      <c r="J82" s="12"/>
      <c r="K82" s="12"/>
      <c r="L82" s="12"/>
      <c r="M82" s="12"/>
      <c r="N82" s="12"/>
      <c r="O82" s="12"/>
      <c r="P82" s="12"/>
      <c r="Q82" s="12"/>
      <c r="R82" s="12"/>
      <c r="S82" s="31">
        <v>0</v>
      </c>
      <c r="T82" s="12" t="str">
        <f>"0,0000"</f>
        <v>0,0000</v>
      </c>
      <c r="U82" s="11"/>
    </row>
    <row r="83" spans="1:21">
      <c r="A83" s="12" t="s">
        <v>408</v>
      </c>
      <c r="B83" s="11" t="s">
        <v>738</v>
      </c>
      <c r="C83" s="11" t="s">
        <v>739</v>
      </c>
      <c r="D83" s="11" t="s">
        <v>732</v>
      </c>
      <c r="E83" s="11" t="s">
        <v>3756</v>
      </c>
      <c r="F83" s="11" t="s">
        <v>3523</v>
      </c>
      <c r="G83" s="24" t="s">
        <v>97</v>
      </c>
      <c r="H83" s="24" t="s">
        <v>86</v>
      </c>
      <c r="I83" s="24" t="s">
        <v>98</v>
      </c>
      <c r="J83" s="12"/>
      <c r="K83" s="24" t="s">
        <v>25</v>
      </c>
      <c r="L83" s="24" t="s">
        <v>26</v>
      </c>
      <c r="M83" s="25" t="s">
        <v>46</v>
      </c>
      <c r="N83" s="12"/>
      <c r="O83" s="24" t="s">
        <v>98</v>
      </c>
      <c r="P83" s="24" t="s">
        <v>87</v>
      </c>
      <c r="Q83" s="24" t="s">
        <v>133</v>
      </c>
      <c r="R83" s="12"/>
      <c r="S83" s="31" t="str">
        <f>"622,5"</f>
        <v>622,5</v>
      </c>
      <c r="T83" s="12" t="str">
        <f>"439,1177"</f>
        <v>439,1177</v>
      </c>
      <c r="U83" s="11" t="s">
        <v>740</v>
      </c>
    </row>
    <row r="84" spans="1:21">
      <c r="A84" s="12" t="s">
        <v>408</v>
      </c>
      <c r="B84" s="11" t="s">
        <v>741</v>
      </c>
      <c r="C84" s="11" t="s">
        <v>742</v>
      </c>
      <c r="D84" s="11" t="s">
        <v>743</v>
      </c>
      <c r="E84" s="11" t="s">
        <v>3757</v>
      </c>
      <c r="F84" s="11" t="s">
        <v>3523</v>
      </c>
      <c r="G84" s="25" t="s">
        <v>70</v>
      </c>
      <c r="H84" s="25" t="s">
        <v>66</v>
      </c>
      <c r="I84" s="24" t="s">
        <v>66</v>
      </c>
      <c r="J84" s="12"/>
      <c r="K84" s="24" t="s">
        <v>435</v>
      </c>
      <c r="L84" s="24" t="s">
        <v>69</v>
      </c>
      <c r="M84" s="25" t="s">
        <v>39</v>
      </c>
      <c r="N84" s="12"/>
      <c r="O84" s="24" t="s">
        <v>86</v>
      </c>
      <c r="P84" s="24" t="s">
        <v>98</v>
      </c>
      <c r="Q84" s="24" t="s">
        <v>87</v>
      </c>
      <c r="R84" s="12"/>
      <c r="S84" s="31" t="str">
        <f>"525,0"</f>
        <v>525,0</v>
      </c>
      <c r="T84" s="12" t="str">
        <f>"455,1309"</f>
        <v>455,1309</v>
      </c>
      <c r="U84" s="11" t="s">
        <v>744</v>
      </c>
    </row>
    <row r="85" spans="1:21">
      <c r="A85" s="14" t="s">
        <v>408</v>
      </c>
      <c r="B85" s="13" t="s">
        <v>745</v>
      </c>
      <c r="C85" s="13" t="s">
        <v>746</v>
      </c>
      <c r="D85" s="13" t="s">
        <v>747</v>
      </c>
      <c r="E85" s="13" t="s">
        <v>3758</v>
      </c>
      <c r="F85" s="13" t="s">
        <v>3591</v>
      </c>
      <c r="G85" s="26" t="s">
        <v>54</v>
      </c>
      <c r="H85" s="26" t="s">
        <v>78</v>
      </c>
      <c r="I85" s="26" t="s">
        <v>77</v>
      </c>
      <c r="J85" s="14"/>
      <c r="K85" s="26" t="s">
        <v>435</v>
      </c>
      <c r="L85" s="26" t="s">
        <v>69</v>
      </c>
      <c r="M85" s="26" t="s">
        <v>54</v>
      </c>
      <c r="N85" s="14"/>
      <c r="O85" s="26" t="s">
        <v>46</v>
      </c>
      <c r="P85" s="26" t="s">
        <v>59</v>
      </c>
      <c r="Q85" s="14"/>
      <c r="R85" s="14"/>
      <c r="S85" s="32" t="str">
        <f>"395,0"</f>
        <v>395,0</v>
      </c>
      <c r="T85" s="14" t="str">
        <f>"428,7504"</f>
        <v>428,7504</v>
      </c>
      <c r="U85" s="13"/>
    </row>
    <row r="86" spans="1:21">
      <c r="B86" s="5" t="s">
        <v>409</v>
      </c>
    </row>
    <row r="87" spans="1:21" ht="16">
      <c r="A87" s="57" t="s">
        <v>258</v>
      </c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</row>
    <row r="88" spans="1:21">
      <c r="A88" s="10" t="s">
        <v>408</v>
      </c>
      <c r="B88" s="9" t="s">
        <v>748</v>
      </c>
      <c r="C88" s="9" t="s">
        <v>749</v>
      </c>
      <c r="D88" s="9" t="s">
        <v>750</v>
      </c>
      <c r="E88" s="9" t="s">
        <v>3754</v>
      </c>
      <c r="F88" s="9" t="s">
        <v>3509</v>
      </c>
      <c r="G88" s="23" t="s">
        <v>97</v>
      </c>
      <c r="H88" s="22" t="s">
        <v>87</v>
      </c>
      <c r="I88" s="23" t="s">
        <v>87</v>
      </c>
      <c r="J88" s="10"/>
      <c r="K88" s="23" t="s">
        <v>76</v>
      </c>
      <c r="L88" s="23" t="s">
        <v>132</v>
      </c>
      <c r="M88" s="23" t="s">
        <v>474</v>
      </c>
      <c r="N88" s="10"/>
      <c r="O88" s="23" t="s">
        <v>97</v>
      </c>
      <c r="P88" s="23" t="s">
        <v>133</v>
      </c>
      <c r="Q88" s="22" t="s">
        <v>134</v>
      </c>
      <c r="R88" s="10"/>
      <c r="S88" s="30" t="str">
        <f>"612,5"</f>
        <v>612,5</v>
      </c>
      <c r="T88" s="10" t="str">
        <f>"360,4563"</f>
        <v>360,4563</v>
      </c>
      <c r="U88" s="9" t="s">
        <v>751</v>
      </c>
    </row>
    <row r="89" spans="1:21">
      <c r="A89" s="12" t="s">
        <v>410</v>
      </c>
      <c r="B89" s="11" t="s">
        <v>752</v>
      </c>
      <c r="C89" s="11" t="s">
        <v>753</v>
      </c>
      <c r="D89" s="11" t="s">
        <v>754</v>
      </c>
      <c r="E89" s="11" t="s">
        <v>3754</v>
      </c>
      <c r="F89" s="11" t="s">
        <v>3592</v>
      </c>
      <c r="G89" s="25" t="s">
        <v>37</v>
      </c>
      <c r="H89" s="24" t="s">
        <v>37</v>
      </c>
      <c r="I89" s="24" t="s">
        <v>40</v>
      </c>
      <c r="J89" s="12"/>
      <c r="K89" s="24" t="s">
        <v>45</v>
      </c>
      <c r="L89" s="24" t="s">
        <v>35</v>
      </c>
      <c r="M89" s="24" t="s">
        <v>46</v>
      </c>
      <c r="N89" s="12"/>
      <c r="O89" s="24" t="s">
        <v>97</v>
      </c>
      <c r="P89" s="24" t="s">
        <v>98</v>
      </c>
      <c r="Q89" s="25" t="s">
        <v>133</v>
      </c>
      <c r="R89" s="12"/>
      <c r="S89" s="31" t="str">
        <f>"565,0"</f>
        <v>565,0</v>
      </c>
      <c r="T89" s="12" t="str">
        <f>"335,8925"</f>
        <v>335,8925</v>
      </c>
      <c r="U89" s="11" t="s">
        <v>755</v>
      </c>
    </row>
    <row r="90" spans="1:21">
      <c r="A90" s="12" t="s">
        <v>408</v>
      </c>
      <c r="B90" s="11" t="s">
        <v>756</v>
      </c>
      <c r="C90" s="11" t="s">
        <v>757</v>
      </c>
      <c r="D90" s="11" t="s">
        <v>758</v>
      </c>
      <c r="E90" s="11" t="s">
        <v>3751</v>
      </c>
      <c r="F90" s="11" t="s">
        <v>3593</v>
      </c>
      <c r="G90" s="24" t="s">
        <v>128</v>
      </c>
      <c r="H90" s="24" t="s">
        <v>217</v>
      </c>
      <c r="I90" s="25" t="s">
        <v>160</v>
      </c>
      <c r="J90" s="12"/>
      <c r="K90" s="24" t="s">
        <v>37</v>
      </c>
      <c r="L90" s="24" t="s">
        <v>40</v>
      </c>
      <c r="M90" s="25" t="s">
        <v>29</v>
      </c>
      <c r="N90" s="12"/>
      <c r="O90" s="24" t="s">
        <v>759</v>
      </c>
      <c r="P90" s="24" t="s">
        <v>284</v>
      </c>
      <c r="Q90" s="24" t="s">
        <v>297</v>
      </c>
      <c r="R90" s="12"/>
      <c r="S90" s="31" t="str">
        <f>"850,0"</f>
        <v>850,0</v>
      </c>
      <c r="T90" s="12" t="str">
        <f>"500,8200"</f>
        <v>500,8200</v>
      </c>
      <c r="U90" s="11"/>
    </row>
    <row r="91" spans="1:21">
      <c r="A91" s="12" t="s">
        <v>410</v>
      </c>
      <c r="B91" s="11" t="s">
        <v>760</v>
      </c>
      <c r="C91" s="11" t="s">
        <v>761</v>
      </c>
      <c r="D91" s="11" t="s">
        <v>762</v>
      </c>
      <c r="E91" s="11" t="s">
        <v>3751</v>
      </c>
      <c r="F91" s="11" t="s">
        <v>3513</v>
      </c>
      <c r="G91" s="24" t="s">
        <v>121</v>
      </c>
      <c r="H91" s="25" t="s">
        <v>114</v>
      </c>
      <c r="I91" s="24" t="s">
        <v>128</v>
      </c>
      <c r="J91" s="12"/>
      <c r="K91" s="24" t="s">
        <v>40</v>
      </c>
      <c r="L91" s="24" t="s">
        <v>70</v>
      </c>
      <c r="M91" s="25" t="s">
        <v>66</v>
      </c>
      <c r="N91" s="12"/>
      <c r="O91" s="24" t="s">
        <v>211</v>
      </c>
      <c r="P91" s="24" t="s">
        <v>763</v>
      </c>
      <c r="Q91" s="12"/>
      <c r="R91" s="12"/>
      <c r="S91" s="31" t="str">
        <f>"822,5"</f>
        <v>822,5</v>
      </c>
      <c r="T91" s="12" t="str">
        <f>"485,0282"</f>
        <v>485,0282</v>
      </c>
      <c r="U91" s="11" t="s">
        <v>3484</v>
      </c>
    </row>
    <row r="92" spans="1:21">
      <c r="A92" s="12" t="s">
        <v>411</v>
      </c>
      <c r="B92" s="11" t="s">
        <v>764</v>
      </c>
      <c r="C92" s="11" t="s">
        <v>765</v>
      </c>
      <c r="D92" s="11" t="s">
        <v>766</v>
      </c>
      <c r="E92" s="11" t="s">
        <v>3751</v>
      </c>
      <c r="F92" s="11" t="s">
        <v>3594</v>
      </c>
      <c r="G92" s="24" t="s">
        <v>110</v>
      </c>
      <c r="H92" s="24" t="s">
        <v>767</v>
      </c>
      <c r="I92" s="25" t="s">
        <v>114</v>
      </c>
      <c r="J92" s="12"/>
      <c r="K92" s="24" t="s">
        <v>71</v>
      </c>
      <c r="L92" s="24" t="s">
        <v>309</v>
      </c>
      <c r="M92" s="25" t="s">
        <v>83</v>
      </c>
      <c r="N92" s="12"/>
      <c r="O92" s="24" t="s">
        <v>128</v>
      </c>
      <c r="P92" s="24" t="s">
        <v>217</v>
      </c>
      <c r="Q92" s="25" t="s">
        <v>160</v>
      </c>
      <c r="R92" s="12"/>
      <c r="S92" s="31" t="str">
        <f>"805,0"</f>
        <v>805,0</v>
      </c>
      <c r="T92" s="12" t="str">
        <f>"474,5475"</f>
        <v>474,5475</v>
      </c>
      <c r="U92" s="11"/>
    </row>
    <row r="93" spans="1:21">
      <c r="A93" s="12" t="s">
        <v>413</v>
      </c>
      <c r="B93" s="11" t="s">
        <v>768</v>
      </c>
      <c r="C93" s="11" t="s">
        <v>769</v>
      </c>
      <c r="D93" s="11" t="s">
        <v>770</v>
      </c>
      <c r="E93" s="11" t="s">
        <v>3751</v>
      </c>
      <c r="F93" s="11" t="s">
        <v>3509</v>
      </c>
      <c r="G93" s="24" t="s">
        <v>110</v>
      </c>
      <c r="H93" s="24" t="s">
        <v>111</v>
      </c>
      <c r="I93" s="25" t="s">
        <v>337</v>
      </c>
      <c r="J93" s="12"/>
      <c r="K93" s="24" t="s">
        <v>71</v>
      </c>
      <c r="L93" s="24" t="s">
        <v>83</v>
      </c>
      <c r="M93" s="24" t="s">
        <v>288</v>
      </c>
      <c r="N93" s="25" t="s">
        <v>771</v>
      </c>
      <c r="O93" s="24" t="s">
        <v>121</v>
      </c>
      <c r="P93" s="25" t="s">
        <v>112</v>
      </c>
      <c r="Q93" s="25" t="s">
        <v>128</v>
      </c>
      <c r="R93" s="12"/>
      <c r="S93" s="31" t="str">
        <f>"782,5"</f>
        <v>782,5</v>
      </c>
      <c r="T93" s="12" t="str">
        <f>"460,6577"</f>
        <v>460,6577</v>
      </c>
      <c r="U93" s="11" t="s">
        <v>772</v>
      </c>
    </row>
    <row r="94" spans="1:21">
      <c r="A94" s="12" t="s">
        <v>414</v>
      </c>
      <c r="B94" s="11" t="s">
        <v>773</v>
      </c>
      <c r="C94" s="11" t="s">
        <v>774</v>
      </c>
      <c r="D94" s="11" t="s">
        <v>775</v>
      </c>
      <c r="E94" s="11" t="s">
        <v>3751</v>
      </c>
      <c r="F94" s="11" t="s">
        <v>341</v>
      </c>
      <c r="G94" s="24" t="s">
        <v>121</v>
      </c>
      <c r="H94" s="25" t="s">
        <v>337</v>
      </c>
      <c r="I94" s="25" t="s">
        <v>337</v>
      </c>
      <c r="J94" s="12"/>
      <c r="K94" s="24" t="s">
        <v>66</v>
      </c>
      <c r="L94" s="24" t="s">
        <v>71</v>
      </c>
      <c r="M94" s="25" t="s">
        <v>92</v>
      </c>
      <c r="N94" s="12"/>
      <c r="O94" s="24" t="s">
        <v>128</v>
      </c>
      <c r="P94" s="25" t="s">
        <v>201</v>
      </c>
      <c r="Q94" s="12"/>
      <c r="R94" s="12"/>
      <c r="S94" s="31" t="str">
        <f>"780,0"</f>
        <v>780,0</v>
      </c>
      <c r="T94" s="12" t="str">
        <f>"465,1920"</f>
        <v>465,1920</v>
      </c>
      <c r="U94" s="11"/>
    </row>
    <row r="95" spans="1:21">
      <c r="A95" s="12" t="s">
        <v>415</v>
      </c>
      <c r="B95" s="11" t="s">
        <v>773</v>
      </c>
      <c r="C95" s="11" t="s">
        <v>774</v>
      </c>
      <c r="D95" s="11" t="s">
        <v>775</v>
      </c>
      <c r="E95" s="11" t="s">
        <v>3751</v>
      </c>
      <c r="F95" s="11" t="s">
        <v>341</v>
      </c>
      <c r="G95" s="24" t="s">
        <v>121</v>
      </c>
      <c r="H95" s="25" t="s">
        <v>337</v>
      </c>
      <c r="I95" s="25" t="s">
        <v>337</v>
      </c>
      <c r="J95" s="12"/>
      <c r="K95" s="24" t="s">
        <v>66</v>
      </c>
      <c r="L95" s="24" t="s">
        <v>71</v>
      </c>
      <c r="M95" s="25" t="s">
        <v>92</v>
      </c>
      <c r="N95" s="12"/>
      <c r="O95" s="24" t="s">
        <v>128</v>
      </c>
      <c r="P95" s="25" t="s">
        <v>201</v>
      </c>
      <c r="Q95" s="12"/>
      <c r="R95" s="12"/>
      <c r="S95" s="31" t="str">
        <f>"780,0"</f>
        <v>780,0</v>
      </c>
      <c r="T95" s="12" t="str">
        <f>"465,1920"</f>
        <v>465,1920</v>
      </c>
      <c r="U95" s="11"/>
    </row>
    <row r="96" spans="1:21">
      <c r="A96" s="12" t="s">
        <v>416</v>
      </c>
      <c r="B96" s="11" t="s">
        <v>776</v>
      </c>
      <c r="C96" s="11" t="s">
        <v>777</v>
      </c>
      <c r="D96" s="11" t="s">
        <v>778</v>
      </c>
      <c r="E96" s="11" t="s">
        <v>3751</v>
      </c>
      <c r="F96" s="11" t="s">
        <v>3509</v>
      </c>
      <c r="G96" s="24" t="s">
        <v>110</v>
      </c>
      <c r="H96" s="25" t="s">
        <v>114</v>
      </c>
      <c r="I96" s="24" t="s">
        <v>114</v>
      </c>
      <c r="J96" s="12"/>
      <c r="K96" s="24" t="s">
        <v>28</v>
      </c>
      <c r="L96" s="25" t="s">
        <v>29</v>
      </c>
      <c r="M96" s="25" t="s">
        <v>70</v>
      </c>
      <c r="N96" s="12"/>
      <c r="O96" s="24" t="s">
        <v>114</v>
      </c>
      <c r="P96" s="24" t="s">
        <v>216</v>
      </c>
      <c r="Q96" s="25" t="s">
        <v>211</v>
      </c>
      <c r="R96" s="12"/>
      <c r="S96" s="31" t="str">
        <f>"770,0"</f>
        <v>770,0</v>
      </c>
      <c r="T96" s="12" t="str">
        <f>"454,1460"</f>
        <v>454,1460</v>
      </c>
      <c r="U96" s="11" t="s">
        <v>779</v>
      </c>
    </row>
    <row r="97" spans="1:21">
      <c r="A97" s="12" t="s">
        <v>417</v>
      </c>
      <c r="B97" s="11" t="s">
        <v>780</v>
      </c>
      <c r="C97" s="11" t="s">
        <v>781</v>
      </c>
      <c r="D97" s="11" t="s">
        <v>782</v>
      </c>
      <c r="E97" s="11" t="s">
        <v>3751</v>
      </c>
      <c r="F97" s="11" t="s">
        <v>3509</v>
      </c>
      <c r="G97" s="25" t="s">
        <v>71</v>
      </c>
      <c r="H97" s="24" t="s">
        <v>71</v>
      </c>
      <c r="I97" s="25" t="s">
        <v>83</v>
      </c>
      <c r="J97" s="12"/>
      <c r="K97" s="25" t="s">
        <v>113</v>
      </c>
      <c r="L97" s="24" t="s">
        <v>596</v>
      </c>
      <c r="M97" s="24" t="s">
        <v>70</v>
      </c>
      <c r="N97" s="12"/>
      <c r="O97" s="24" t="s">
        <v>97</v>
      </c>
      <c r="P97" s="24" t="s">
        <v>98</v>
      </c>
      <c r="Q97" s="25" t="s">
        <v>133</v>
      </c>
      <c r="R97" s="12"/>
      <c r="S97" s="31" t="str">
        <f>"620,0"</f>
        <v>620,0</v>
      </c>
      <c r="T97" s="12" t="str">
        <f>"367,5360"</f>
        <v>367,5360</v>
      </c>
      <c r="U97" s="11" t="s">
        <v>218</v>
      </c>
    </row>
    <row r="98" spans="1:21">
      <c r="A98" s="12" t="s">
        <v>412</v>
      </c>
      <c r="B98" s="11" t="s">
        <v>783</v>
      </c>
      <c r="C98" s="11" t="s">
        <v>784</v>
      </c>
      <c r="D98" s="11" t="s">
        <v>750</v>
      </c>
      <c r="E98" s="11" t="s">
        <v>3751</v>
      </c>
      <c r="F98" s="11" t="s">
        <v>75</v>
      </c>
      <c r="G98" s="25" t="s">
        <v>284</v>
      </c>
      <c r="H98" s="25" t="s">
        <v>284</v>
      </c>
      <c r="I98" s="25" t="s">
        <v>284</v>
      </c>
      <c r="J98" s="12"/>
      <c r="K98" s="25"/>
      <c r="L98" s="12"/>
      <c r="M98" s="12"/>
      <c r="N98" s="12"/>
      <c r="O98" s="25"/>
      <c r="P98" s="12"/>
      <c r="Q98" s="12"/>
      <c r="R98" s="12"/>
      <c r="S98" s="31">
        <v>0</v>
      </c>
      <c r="T98" s="12" t="str">
        <f>"0,0000"</f>
        <v>0,0000</v>
      </c>
      <c r="U98" s="11" t="s">
        <v>785</v>
      </c>
    </row>
    <row r="99" spans="1:21">
      <c r="A99" s="12" t="s">
        <v>408</v>
      </c>
      <c r="B99" s="11" t="s">
        <v>786</v>
      </c>
      <c r="C99" s="11" t="s">
        <v>787</v>
      </c>
      <c r="D99" s="11" t="s">
        <v>788</v>
      </c>
      <c r="E99" s="11" t="s">
        <v>3753</v>
      </c>
      <c r="F99" s="11" t="s">
        <v>3537</v>
      </c>
      <c r="G99" s="24" t="s">
        <v>98</v>
      </c>
      <c r="H99" s="24" t="s">
        <v>134</v>
      </c>
      <c r="I99" s="25" t="s">
        <v>182</v>
      </c>
      <c r="J99" s="12"/>
      <c r="K99" s="25" t="s">
        <v>40</v>
      </c>
      <c r="L99" s="24" t="s">
        <v>40</v>
      </c>
      <c r="M99" s="24" t="s">
        <v>70</v>
      </c>
      <c r="N99" s="12"/>
      <c r="O99" s="24" t="s">
        <v>119</v>
      </c>
      <c r="P99" s="24" t="s">
        <v>121</v>
      </c>
      <c r="Q99" s="24" t="s">
        <v>337</v>
      </c>
      <c r="R99" s="12"/>
      <c r="S99" s="31" t="str">
        <f>"732,5"</f>
        <v>732,5</v>
      </c>
      <c r="T99" s="12" t="str">
        <f>"440,3724"</f>
        <v>440,3724</v>
      </c>
      <c r="U99" s="11" t="s">
        <v>789</v>
      </c>
    </row>
    <row r="100" spans="1:21">
      <c r="A100" s="14" t="s">
        <v>410</v>
      </c>
      <c r="B100" s="13" t="s">
        <v>790</v>
      </c>
      <c r="C100" s="13" t="s">
        <v>791</v>
      </c>
      <c r="D100" s="13" t="s">
        <v>775</v>
      </c>
      <c r="E100" s="13" t="s">
        <v>3753</v>
      </c>
      <c r="F100" s="13" t="s">
        <v>3595</v>
      </c>
      <c r="G100" s="26" t="s">
        <v>133</v>
      </c>
      <c r="H100" s="26" t="s">
        <v>691</v>
      </c>
      <c r="I100" s="26" t="s">
        <v>182</v>
      </c>
      <c r="J100" s="14"/>
      <c r="K100" s="27" t="s">
        <v>45</v>
      </c>
      <c r="L100" s="26" t="s">
        <v>36</v>
      </c>
      <c r="M100" s="27" t="s">
        <v>37</v>
      </c>
      <c r="N100" s="14"/>
      <c r="O100" s="26" t="s">
        <v>134</v>
      </c>
      <c r="P100" s="26" t="s">
        <v>182</v>
      </c>
      <c r="Q100" s="27" t="s">
        <v>120</v>
      </c>
      <c r="R100" s="14"/>
      <c r="S100" s="32" t="str">
        <f>"690,0"</f>
        <v>690,0</v>
      </c>
      <c r="T100" s="14" t="str">
        <f>"443,6143"</f>
        <v>443,6143</v>
      </c>
      <c r="U100" s="13"/>
    </row>
    <row r="101" spans="1:21">
      <c r="B101" s="5" t="s">
        <v>409</v>
      </c>
    </row>
    <row r="102" spans="1:21" ht="16">
      <c r="A102" s="57" t="s">
        <v>280</v>
      </c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</row>
    <row r="103" spans="1:21">
      <c r="A103" s="10" t="s">
        <v>408</v>
      </c>
      <c r="B103" s="9" t="s">
        <v>792</v>
      </c>
      <c r="C103" s="9" t="s">
        <v>793</v>
      </c>
      <c r="D103" s="9" t="s">
        <v>794</v>
      </c>
      <c r="E103" s="9" t="s">
        <v>3751</v>
      </c>
      <c r="F103" s="9" t="s">
        <v>3582</v>
      </c>
      <c r="G103" s="23" t="s">
        <v>114</v>
      </c>
      <c r="H103" s="23" t="s">
        <v>128</v>
      </c>
      <c r="I103" s="22" t="s">
        <v>217</v>
      </c>
      <c r="J103" s="10"/>
      <c r="K103" s="23" t="s">
        <v>92</v>
      </c>
      <c r="L103" s="23" t="s">
        <v>309</v>
      </c>
      <c r="M103" s="22" t="s">
        <v>210</v>
      </c>
      <c r="N103" s="10"/>
      <c r="O103" s="22" t="s">
        <v>212</v>
      </c>
      <c r="P103" s="23" t="s">
        <v>212</v>
      </c>
      <c r="Q103" s="22" t="s">
        <v>333</v>
      </c>
      <c r="R103" s="10"/>
      <c r="S103" s="30" t="str">
        <f>"837,5"</f>
        <v>837,5</v>
      </c>
      <c r="T103" s="10" t="str">
        <f>"481,3950"</f>
        <v>481,3950</v>
      </c>
      <c r="U103" s="9" t="s">
        <v>3485</v>
      </c>
    </row>
    <row r="104" spans="1:21">
      <c r="A104" s="12" t="s">
        <v>410</v>
      </c>
      <c r="B104" s="11" t="s">
        <v>795</v>
      </c>
      <c r="C104" s="11" t="s">
        <v>796</v>
      </c>
      <c r="D104" s="11" t="s">
        <v>797</v>
      </c>
      <c r="E104" s="11" t="s">
        <v>3751</v>
      </c>
      <c r="F104" s="11" t="s">
        <v>3596</v>
      </c>
      <c r="G104" s="24" t="s">
        <v>110</v>
      </c>
      <c r="H104" s="24" t="s">
        <v>111</v>
      </c>
      <c r="I104" s="24" t="s">
        <v>112</v>
      </c>
      <c r="J104" s="12"/>
      <c r="K104" s="24" t="s">
        <v>71</v>
      </c>
      <c r="L104" s="24" t="s">
        <v>92</v>
      </c>
      <c r="M104" s="25" t="s">
        <v>67</v>
      </c>
      <c r="N104" s="12"/>
      <c r="O104" s="24" t="s">
        <v>211</v>
      </c>
      <c r="P104" s="24" t="s">
        <v>162</v>
      </c>
      <c r="Q104" s="25" t="s">
        <v>798</v>
      </c>
      <c r="R104" s="12"/>
      <c r="S104" s="31" t="str">
        <f>"832,5"</f>
        <v>832,5</v>
      </c>
      <c r="T104" s="12" t="str">
        <f>"475,2743"</f>
        <v>475,2743</v>
      </c>
      <c r="U104" s="11"/>
    </row>
    <row r="105" spans="1:21">
      <c r="A105" s="12" t="s">
        <v>411</v>
      </c>
      <c r="B105" s="11" t="s">
        <v>799</v>
      </c>
      <c r="C105" s="11" t="s">
        <v>800</v>
      </c>
      <c r="D105" s="11" t="s">
        <v>801</v>
      </c>
      <c r="E105" s="11" t="s">
        <v>3751</v>
      </c>
      <c r="F105" s="11" t="s">
        <v>3597</v>
      </c>
      <c r="G105" s="24" t="s">
        <v>134</v>
      </c>
      <c r="H105" s="24" t="s">
        <v>119</v>
      </c>
      <c r="I105" s="24" t="s">
        <v>120</v>
      </c>
      <c r="J105" s="12"/>
      <c r="K105" s="24" t="s">
        <v>83</v>
      </c>
      <c r="L105" s="24" t="s">
        <v>97</v>
      </c>
      <c r="M105" s="25" t="s">
        <v>87</v>
      </c>
      <c r="N105" s="12"/>
      <c r="O105" s="24" t="s">
        <v>120</v>
      </c>
      <c r="P105" s="24" t="s">
        <v>114</v>
      </c>
      <c r="Q105" s="24" t="s">
        <v>217</v>
      </c>
      <c r="R105" s="12"/>
      <c r="S105" s="31" t="str">
        <f>"800,0"</f>
        <v>800,0</v>
      </c>
      <c r="T105" s="12" t="str">
        <f>"457,2800"</f>
        <v>457,2800</v>
      </c>
      <c r="U105" s="11"/>
    </row>
    <row r="106" spans="1:21">
      <c r="A106" s="12" t="s">
        <v>413</v>
      </c>
      <c r="B106" s="11" t="s">
        <v>802</v>
      </c>
      <c r="C106" s="11" t="s">
        <v>803</v>
      </c>
      <c r="D106" s="11" t="s">
        <v>804</v>
      </c>
      <c r="E106" s="11" t="s">
        <v>3751</v>
      </c>
      <c r="F106" s="11" t="s">
        <v>3552</v>
      </c>
      <c r="G106" s="24" t="s">
        <v>121</v>
      </c>
      <c r="H106" s="24" t="s">
        <v>128</v>
      </c>
      <c r="I106" s="25" t="s">
        <v>217</v>
      </c>
      <c r="J106" s="12"/>
      <c r="K106" s="24" t="s">
        <v>46</v>
      </c>
      <c r="L106" s="24" t="s">
        <v>36</v>
      </c>
      <c r="M106" s="24" t="s">
        <v>59</v>
      </c>
      <c r="N106" s="12"/>
      <c r="O106" s="24" t="s">
        <v>114</v>
      </c>
      <c r="P106" s="24" t="s">
        <v>217</v>
      </c>
      <c r="Q106" s="25" t="s">
        <v>211</v>
      </c>
      <c r="R106" s="12"/>
      <c r="S106" s="31" t="str">
        <f>"775,0"</f>
        <v>775,0</v>
      </c>
      <c r="T106" s="12" t="str">
        <f>"446,7875"</f>
        <v>446,7875</v>
      </c>
      <c r="U106" s="11"/>
    </row>
    <row r="107" spans="1:21">
      <c r="A107" s="12" t="s">
        <v>414</v>
      </c>
      <c r="B107" s="11" t="s">
        <v>805</v>
      </c>
      <c r="C107" s="11" t="s">
        <v>806</v>
      </c>
      <c r="D107" s="11" t="s">
        <v>807</v>
      </c>
      <c r="E107" s="11" t="s">
        <v>3751</v>
      </c>
      <c r="F107" s="11" t="s">
        <v>3598</v>
      </c>
      <c r="G107" s="24" t="s">
        <v>134</v>
      </c>
      <c r="H107" s="24" t="s">
        <v>205</v>
      </c>
      <c r="I107" s="25" t="s">
        <v>119</v>
      </c>
      <c r="J107" s="12"/>
      <c r="K107" s="24" t="s">
        <v>187</v>
      </c>
      <c r="L107" s="24" t="s">
        <v>226</v>
      </c>
      <c r="M107" s="24" t="s">
        <v>28</v>
      </c>
      <c r="N107" s="12"/>
      <c r="O107" s="24" t="s">
        <v>120</v>
      </c>
      <c r="P107" s="24" t="s">
        <v>121</v>
      </c>
      <c r="Q107" s="25" t="s">
        <v>111</v>
      </c>
      <c r="R107" s="12"/>
      <c r="S107" s="31" t="str">
        <f>"710,0"</f>
        <v>710,0</v>
      </c>
      <c r="T107" s="12" t="str">
        <f>"414,0010"</f>
        <v>414,0010</v>
      </c>
      <c r="U107" s="11" t="s">
        <v>192</v>
      </c>
    </row>
    <row r="108" spans="1:21">
      <c r="A108" s="12" t="s">
        <v>415</v>
      </c>
      <c r="B108" s="11" t="s">
        <v>808</v>
      </c>
      <c r="C108" s="11" t="s">
        <v>809</v>
      </c>
      <c r="D108" s="11" t="s">
        <v>810</v>
      </c>
      <c r="E108" s="11" t="s">
        <v>3751</v>
      </c>
      <c r="F108" s="11" t="s">
        <v>3516</v>
      </c>
      <c r="G108" s="24" t="s">
        <v>71</v>
      </c>
      <c r="H108" s="25" t="s">
        <v>68</v>
      </c>
      <c r="I108" s="24" t="s">
        <v>68</v>
      </c>
      <c r="J108" s="12"/>
      <c r="K108" s="24" t="s">
        <v>46</v>
      </c>
      <c r="L108" s="25" t="s">
        <v>59</v>
      </c>
      <c r="M108" s="25" t="s">
        <v>59</v>
      </c>
      <c r="N108" s="12"/>
      <c r="O108" s="24" t="s">
        <v>83</v>
      </c>
      <c r="P108" s="25" t="s">
        <v>86</v>
      </c>
      <c r="Q108" s="24" t="s">
        <v>86</v>
      </c>
      <c r="R108" s="12"/>
      <c r="S108" s="31" t="str">
        <f>"595,0"</f>
        <v>595,0</v>
      </c>
      <c r="T108" s="12" t="str">
        <f>"342,8985"</f>
        <v>342,8985</v>
      </c>
      <c r="U108" s="11" t="s">
        <v>811</v>
      </c>
    </row>
    <row r="109" spans="1:21">
      <c r="A109" s="12" t="s">
        <v>412</v>
      </c>
      <c r="B109" s="11" t="s">
        <v>812</v>
      </c>
      <c r="C109" s="11" t="s">
        <v>813</v>
      </c>
      <c r="D109" s="11" t="s">
        <v>814</v>
      </c>
      <c r="E109" s="11" t="s">
        <v>3751</v>
      </c>
      <c r="F109" s="11" t="s">
        <v>199</v>
      </c>
      <c r="G109" s="25" t="s">
        <v>119</v>
      </c>
      <c r="H109" s="24" t="s">
        <v>119</v>
      </c>
      <c r="I109" s="24" t="s">
        <v>120</v>
      </c>
      <c r="J109" s="12"/>
      <c r="K109" s="25" t="s">
        <v>87</v>
      </c>
      <c r="L109" s="25" t="s">
        <v>87</v>
      </c>
      <c r="M109" s="25" t="s">
        <v>87</v>
      </c>
      <c r="N109" s="12"/>
      <c r="O109" s="12"/>
      <c r="P109" s="12"/>
      <c r="Q109" s="25"/>
      <c r="R109" s="12"/>
      <c r="S109" s="31">
        <v>0</v>
      </c>
      <c r="T109" s="12" t="str">
        <f>"0,0000"</f>
        <v>0,0000</v>
      </c>
      <c r="U109" s="11"/>
    </row>
    <row r="110" spans="1:21">
      <c r="A110" s="12" t="s">
        <v>408</v>
      </c>
      <c r="B110" s="11" t="s">
        <v>792</v>
      </c>
      <c r="C110" s="11" t="s">
        <v>815</v>
      </c>
      <c r="D110" s="11" t="s">
        <v>794</v>
      </c>
      <c r="E110" s="11" t="s">
        <v>3753</v>
      </c>
      <c r="F110" s="11" t="s">
        <v>3582</v>
      </c>
      <c r="G110" s="24" t="s">
        <v>114</v>
      </c>
      <c r="H110" s="24" t="s">
        <v>128</v>
      </c>
      <c r="I110" s="25" t="s">
        <v>217</v>
      </c>
      <c r="J110" s="12"/>
      <c r="K110" s="24" t="s">
        <v>92</v>
      </c>
      <c r="L110" s="24" t="s">
        <v>309</v>
      </c>
      <c r="M110" s="25" t="s">
        <v>210</v>
      </c>
      <c r="N110" s="12"/>
      <c r="O110" s="25" t="s">
        <v>212</v>
      </c>
      <c r="P110" s="24" t="s">
        <v>212</v>
      </c>
      <c r="Q110" s="25" t="s">
        <v>333</v>
      </c>
      <c r="R110" s="12"/>
      <c r="S110" s="31" t="str">
        <f>"837,5"</f>
        <v>837,5</v>
      </c>
      <c r="T110" s="12" t="str">
        <f>"488,1345"</f>
        <v>488,1345</v>
      </c>
      <c r="U110" s="11" t="s">
        <v>3485</v>
      </c>
    </row>
    <row r="111" spans="1:21">
      <c r="A111" s="12" t="s">
        <v>410</v>
      </c>
      <c r="B111" s="11" t="s">
        <v>816</v>
      </c>
      <c r="C111" s="11" t="s">
        <v>817</v>
      </c>
      <c r="D111" s="11" t="s">
        <v>818</v>
      </c>
      <c r="E111" s="11" t="s">
        <v>3753</v>
      </c>
      <c r="F111" s="11" t="s">
        <v>3599</v>
      </c>
      <c r="G111" s="24" t="s">
        <v>120</v>
      </c>
      <c r="H111" s="24" t="s">
        <v>121</v>
      </c>
      <c r="I111" s="24" t="s">
        <v>114</v>
      </c>
      <c r="J111" s="12"/>
      <c r="K111" s="24" t="s">
        <v>29</v>
      </c>
      <c r="L111" s="24" t="s">
        <v>70</v>
      </c>
      <c r="M111" s="25" t="s">
        <v>66</v>
      </c>
      <c r="N111" s="12"/>
      <c r="O111" s="24" t="s">
        <v>121</v>
      </c>
      <c r="P111" s="24" t="s">
        <v>114</v>
      </c>
      <c r="Q111" s="24" t="s">
        <v>128</v>
      </c>
      <c r="R111" s="12"/>
      <c r="S111" s="31" t="str">
        <f>"780,0"</f>
        <v>780,0</v>
      </c>
      <c r="T111" s="12" t="str">
        <f>"450,3720"</f>
        <v>450,3720</v>
      </c>
      <c r="U111" s="11" t="s">
        <v>310</v>
      </c>
    </row>
    <row r="112" spans="1:21">
      <c r="A112" s="14" t="s">
        <v>411</v>
      </c>
      <c r="B112" s="13" t="s">
        <v>808</v>
      </c>
      <c r="C112" s="13" t="s">
        <v>819</v>
      </c>
      <c r="D112" s="13" t="s">
        <v>810</v>
      </c>
      <c r="E112" s="13" t="s">
        <v>3753</v>
      </c>
      <c r="F112" s="13" t="s">
        <v>3516</v>
      </c>
      <c r="G112" s="26" t="s">
        <v>71</v>
      </c>
      <c r="H112" s="27" t="s">
        <v>68</v>
      </c>
      <c r="I112" s="26" t="s">
        <v>68</v>
      </c>
      <c r="J112" s="14"/>
      <c r="K112" s="26" t="s">
        <v>46</v>
      </c>
      <c r="L112" s="27" t="s">
        <v>59</v>
      </c>
      <c r="M112" s="27" t="s">
        <v>59</v>
      </c>
      <c r="N112" s="14"/>
      <c r="O112" s="26" t="s">
        <v>83</v>
      </c>
      <c r="P112" s="27" t="s">
        <v>86</v>
      </c>
      <c r="Q112" s="26" t="s">
        <v>86</v>
      </c>
      <c r="R112" s="14"/>
      <c r="S112" s="32" t="str">
        <f>"595,0"</f>
        <v>595,0</v>
      </c>
      <c r="T112" s="14" t="str">
        <f>"342,8985"</f>
        <v>342,8985</v>
      </c>
      <c r="U112" s="13" t="s">
        <v>811</v>
      </c>
    </row>
    <row r="113" spans="1:21">
      <c r="B113" s="5" t="s">
        <v>409</v>
      </c>
    </row>
    <row r="114" spans="1:21" ht="16">
      <c r="A114" s="57" t="s">
        <v>328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</row>
    <row r="115" spans="1:21">
      <c r="A115" s="10" t="s">
        <v>408</v>
      </c>
      <c r="B115" s="9" t="s">
        <v>820</v>
      </c>
      <c r="C115" s="9" t="s">
        <v>821</v>
      </c>
      <c r="D115" s="9" t="s">
        <v>822</v>
      </c>
      <c r="E115" s="9" t="s">
        <v>3751</v>
      </c>
      <c r="F115" s="9" t="s">
        <v>3600</v>
      </c>
      <c r="G115" s="23" t="s">
        <v>128</v>
      </c>
      <c r="H115" s="23" t="s">
        <v>201</v>
      </c>
      <c r="I115" s="22" t="s">
        <v>160</v>
      </c>
      <c r="J115" s="10"/>
      <c r="K115" s="23" t="s">
        <v>68</v>
      </c>
      <c r="L115" s="23" t="s">
        <v>86</v>
      </c>
      <c r="M115" s="22" t="s">
        <v>663</v>
      </c>
      <c r="N115" s="10"/>
      <c r="O115" s="23" t="s">
        <v>212</v>
      </c>
      <c r="P115" s="23" t="s">
        <v>333</v>
      </c>
      <c r="Q115" s="22" t="s">
        <v>823</v>
      </c>
      <c r="R115" s="10"/>
      <c r="S115" s="30" t="str">
        <f>"887,5"</f>
        <v>887,5</v>
      </c>
      <c r="T115" s="10" t="str">
        <f>"503,2125"</f>
        <v>503,2125</v>
      </c>
      <c r="U115" s="9" t="s">
        <v>3486</v>
      </c>
    </row>
    <row r="116" spans="1:21">
      <c r="A116" s="12" t="s">
        <v>410</v>
      </c>
      <c r="B116" s="11" t="s">
        <v>824</v>
      </c>
      <c r="C116" s="11" t="s">
        <v>825</v>
      </c>
      <c r="D116" s="11" t="s">
        <v>826</v>
      </c>
      <c r="E116" s="11" t="s">
        <v>3751</v>
      </c>
      <c r="F116" s="11" t="s">
        <v>3509</v>
      </c>
      <c r="G116" s="24" t="s">
        <v>205</v>
      </c>
      <c r="H116" s="24" t="s">
        <v>182</v>
      </c>
      <c r="I116" s="24" t="s">
        <v>110</v>
      </c>
      <c r="J116" s="12"/>
      <c r="K116" s="24" t="s">
        <v>61</v>
      </c>
      <c r="L116" s="24" t="s">
        <v>29</v>
      </c>
      <c r="M116" s="24" t="s">
        <v>70</v>
      </c>
      <c r="N116" s="12"/>
      <c r="O116" s="24" t="s">
        <v>114</v>
      </c>
      <c r="P116" s="24" t="s">
        <v>216</v>
      </c>
      <c r="Q116" s="25" t="s">
        <v>160</v>
      </c>
      <c r="R116" s="12"/>
      <c r="S116" s="31" t="str">
        <f>"770,0"</f>
        <v>770,0</v>
      </c>
      <c r="T116" s="12" t="str">
        <f>"436,0510"</f>
        <v>436,0510</v>
      </c>
      <c r="U116" s="11" t="s">
        <v>3487</v>
      </c>
    </row>
    <row r="117" spans="1:21">
      <c r="A117" s="14" t="s">
        <v>411</v>
      </c>
      <c r="B117" s="13" t="s">
        <v>827</v>
      </c>
      <c r="C117" s="13" t="s">
        <v>828</v>
      </c>
      <c r="D117" s="13" t="s">
        <v>829</v>
      </c>
      <c r="E117" s="13" t="s">
        <v>3751</v>
      </c>
      <c r="F117" s="13" t="s">
        <v>3509</v>
      </c>
      <c r="G117" s="26" t="s">
        <v>119</v>
      </c>
      <c r="H117" s="26" t="s">
        <v>110</v>
      </c>
      <c r="I117" s="26" t="s">
        <v>114</v>
      </c>
      <c r="J117" s="14"/>
      <c r="K117" s="26" t="s">
        <v>35</v>
      </c>
      <c r="L117" s="26" t="s">
        <v>494</v>
      </c>
      <c r="M117" s="27" t="s">
        <v>47</v>
      </c>
      <c r="N117" s="14"/>
      <c r="O117" s="26" t="s">
        <v>120</v>
      </c>
      <c r="P117" s="26" t="s">
        <v>112</v>
      </c>
      <c r="Q117" s="27" t="s">
        <v>216</v>
      </c>
      <c r="R117" s="14"/>
      <c r="S117" s="32" t="str">
        <f>"742,5"</f>
        <v>742,5</v>
      </c>
      <c r="T117" s="14" t="str">
        <f>"416,0227"</f>
        <v>416,0227</v>
      </c>
      <c r="U117" s="13"/>
    </row>
    <row r="118" spans="1:21">
      <c r="B118" s="5" t="s">
        <v>409</v>
      </c>
    </row>
    <row r="119" spans="1:21" ht="16">
      <c r="A119" s="57" t="s">
        <v>346</v>
      </c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</row>
    <row r="120" spans="1:21">
      <c r="A120" s="8" t="s">
        <v>408</v>
      </c>
      <c r="B120" s="7" t="s">
        <v>830</v>
      </c>
      <c r="C120" s="7" t="s">
        <v>831</v>
      </c>
      <c r="D120" s="7" t="s">
        <v>832</v>
      </c>
      <c r="E120" s="7" t="s">
        <v>3751</v>
      </c>
      <c r="F120" s="7" t="s">
        <v>3587</v>
      </c>
      <c r="G120" s="20" t="s">
        <v>121</v>
      </c>
      <c r="H120" s="20" t="s">
        <v>128</v>
      </c>
      <c r="I120" s="8"/>
      <c r="J120" s="8"/>
      <c r="K120" s="20" t="s">
        <v>70</v>
      </c>
      <c r="L120" s="20" t="s">
        <v>71</v>
      </c>
      <c r="M120" s="20" t="s">
        <v>67</v>
      </c>
      <c r="N120" s="8"/>
      <c r="O120" s="20" t="s">
        <v>114</v>
      </c>
      <c r="P120" s="20" t="s">
        <v>216</v>
      </c>
      <c r="Q120" s="20" t="s">
        <v>160</v>
      </c>
      <c r="R120" s="8"/>
      <c r="S120" s="29" t="str">
        <f>"820,0"</f>
        <v>820,0</v>
      </c>
      <c r="T120" s="8" t="str">
        <f>"457,2320"</f>
        <v>457,2320</v>
      </c>
      <c r="U120" s="7"/>
    </row>
    <row r="121" spans="1:21">
      <c r="B121" s="5" t="s">
        <v>409</v>
      </c>
    </row>
    <row r="122" spans="1:21">
      <c r="B122" s="5" t="s">
        <v>409</v>
      </c>
    </row>
    <row r="123" spans="1:21">
      <c r="B123" s="5" t="s">
        <v>409</v>
      </c>
    </row>
    <row r="124" spans="1:21" ht="18">
      <c r="B124" s="15" t="s">
        <v>365</v>
      </c>
      <c r="C124" s="15"/>
      <c r="F124" s="3"/>
    </row>
    <row r="125" spans="1:21" ht="16">
      <c r="B125" s="16" t="s">
        <v>366</v>
      </c>
      <c r="C125" s="16"/>
      <c r="F125" s="3"/>
    </row>
    <row r="126" spans="1:21" ht="14">
      <c r="B126" s="17"/>
      <c r="C126" s="18" t="s">
        <v>367</v>
      </c>
      <c r="F126" s="3"/>
    </row>
    <row r="127" spans="1:21" ht="14">
      <c r="B127" s="19" t="s">
        <v>368</v>
      </c>
      <c r="C127" s="19" t="s">
        <v>369</v>
      </c>
      <c r="D127" s="19" t="s">
        <v>3230</v>
      </c>
      <c r="E127" s="19" t="s">
        <v>371</v>
      </c>
      <c r="F127" s="19" t="s">
        <v>372</v>
      </c>
    </row>
    <row r="128" spans="1:21">
      <c r="B128" s="5" t="s">
        <v>593</v>
      </c>
      <c r="C128" s="5" t="s">
        <v>367</v>
      </c>
      <c r="D128" s="6" t="s">
        <v>379</v>
      </c>
      <c r="E128" s="6" t="s">
        <v>833</v>
      </c>
      <c r="F128" s="6" t="s">
        <v>834</v>
      </c>
    </row>
    <row r="129" spans="2:6">
      <c r="B129" s="5" t="s">
        <v>598</v>
      </c>
      <c r="C129" s="5" t="s">
        <v>367</v>
      </c>
      <c r="D129" s="6" t="s">
        <v>379</v>
      </c>
      <c r="E129" s="6" t="s">
        <v>835</v>
      </c>
      <c r="F129" s="6" t="s">
        <v>836</v>
      </c>
    </row>
    <row r="130" spans="2:6">
      <c r="B130" s="5" t="s">
        <v>617</v>
      </c>
      <c r="C130" s="5" t="s">
        <v>367</v>
      </c>
      <c r="D130" s="6" t="s">
        <v>394</v>
      </c>
      <c r="E130" s="6" t="s">
        <v>837</v>
      </c>
      <c r="F130" s="6" t="s">
        <v>838</v>
      </c>
    </row>
    <row r="132" spans="2:6" ht="16">
      <c r="B132" s="16" t="s">
        <v>385</v>
      </c>
      <c r="C132" s="16"/>
    </row>
    <row r="133" spans="2:6" ht="14">
      <c r="B133" s="17"/>
      <c r="C133" s="18" t="s">
        <v>367</v>
      </c>
    </row>
    <row r="134" spans="2:6" ht="14">
      <c r="B134" s="19" t="s">
        <v>368</v>
      </c>
      <c r="C134" s="19" t="s">
        <v>369</v>
      </c>
      <c r="D134" s="19" t="s">
        <v>3230</v>
      </c>
      <c r="E134" s="19" t="s">
        <v>371</v>
      </c>
      <c r="F134" s="19" t="s">
        <v>372</v>
      </c>
    </row>
    <row r="135" spans="2:6">
      <c r="B135" s="5" t="s">
        <v>656</v>
      </c>
      <c r="C135" s="5" t="s">
        <v>367</v>
      </c>
      <c r="D135" s="6" t="s">
        <v>373</v>
      </c>
      <c r="E135" s="6" t="s">
        <v>839</v>
      </c>
      <c r="F135" s="6" t="s">
        <v>840</v>
      </c>
    </row>
    <row r="136" spans="2:6">
      <c r="B136" s="5" t="s">
        <v>820</v>
      </c>
      <c r="C136" s="5" t="s">
        <v>367</v>
      </c>
      <c r="D136" s="6" t="s">
        <v>389</v>
      </c>
      <c r="E136" s="6" t="s">
        <v>841</v>
      </c>
      <c r="F136" s="6" t="s">
        <v>842</v>
      </c>
    </row>
    <row r="137" spans="2:6">
      <c r="B137" s="5" t="s">
        <v>659</v>
      </c>
      <c r="C137" s="5" t="s">
        <v>367</v>
      </c>
      <c r="D137" s="6" t="s">
        <v>373</v>
      </c>
      <c r="E137" s="6" t="s">
        <v>843</v>
      </c>
      <c r="F137" s="6" t="s">
        <v>844</v>
      </c>
    </row>
    <row r="139" spans="2:6" ht="14">
      <c r="B139" s="17"/>
      <c r="C139" s="18" t="s">
        <v>382</v>
      </c>
    </row>
    <row r="140" spans="2:6" ht="14">
      <c r="B140" s="19" t="s">
        <v>368</v>
      </c>
      <c r="C140" s="19" t="s">
        <v>369</v>
      </c>
      <c r="D140" s="19" t="s">
        <v>3230</v>
      </c>
      <c r="E140" s="19" t="s">
        <v>371</v>
      </c>
      <c r="F140" s="19" t="s">
        <v>372</v>
      </c>
    </row>
    <row r="141" spans="2:6">
      <c r="B141" s="5" t="s">
        <v>792</v>
      </c>
      <c r="C141" s="5" t="s">
        <v>383</v>
      </c>
      <c r="D141" s="6" t="s">
        <v>397</v>
      </c>
      <c r="E141" s="6" t="s">
        <v>845</v>
      </c>
      <c r="F141" s="6" t="s">
        <v>846</v>
      </c>
    </row>
    <row r="142" spans="2:6">
      <c r="B142" s="5" t="s">
        <v>678</v>
      </c>
      <c r="C142" s="5" t="s">
        <v>400</v>
      </c>
      <c r="D142" s="6" t="s">
        <v>373</v>
      </c>
      <c r="E142" s="6" t="s">
        <v>847</v>
      </c>
      <c r="F142" s="6" t="s">
        <v>848</v>
      </c>
    </row>
    <row r="143" spans="2:6">
      <c r="B143" s="5" t="s">
        <v>741</v>
      </c>
      <c r="C143" s="5" t="s">
        <v>403</v>
      </c>
      <c r="D143" s="6" t="s">
        <v>390</v>
      </c>
      <c r="E143" s="6" t="s">
        <v>849</v>
      </c>
      <c r="F143" s="6" t="s">
        <v>850</v>
      </c>
    </row>
    <row r="144" spans="2:6">
      <c r="B144" s="5" t="s">
        <v>409</v>
      </c>
    </row>
  </sheetData>
  <mergeCells count="30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A28:R28"/>
    <mergeCell ref="S3:S4"/>
    <mergeCell ref="T3:T4"/>
    <mergeCell ref="U3:U4"/>
    <mergeCell ref="A5:R5"/>
    <mergeCell ref="A87:R87"/>
    <mergeCell ref="A102:R102"/>
    <mergeCell ref="A114:R114"/>
    <mergeCell ref="A119:R119"/>
    <mergeCell ref="B3:B4"/>
    <mergeCell ref="A31:R31"/>
    <mergeCell ref="A34:R34"/>
    <mergeCell ref="A37:R37"/>
    <mergeCell ref="A44:R44"/>
    <mergeCell ref="A57:R57"/>
    <mergeCell ref="A71:R71"/>
    <mergeCell ref="A8:R8"/>
    <mergeCell ref="A12:R12"/>
    <mergeCell ref="A16:R16"/>
    <mergeCell ref="A21:R21"/>
    <mergeCell ref="A24:R2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136"/>
  <sheetViews>
    <sheetView topLeftCell="A68" workbookViewId="0">
      <selection activeCell="E107" sqref="E107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3.1640625" style="5" bestFit="1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4.1640625" style="5" customWidth="1"/>
    <col min="14" max="16384" width="9.1640625" style="3"/>
  </cols>
  <sheetData>
    <row r="1" spans="1:13" s="2" customFormat="1" ht="29" customHeight="1">
      <c r="A1" s="68" t="s">
        <v>3298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8</v>
      </c>
      <c r="H3" s="62"/>
      <c r="I3" s="62"/>
      <c r="J3" s="62"/>
      <c r="K3" s="62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9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2594</v>
      </c>
      <c r="C6" s="7" t="s">
        <v>2595</v>
      </c>
      <c r="D6" s="7" t="s">
        <v>2596</v>
      </c>
      <c r="E6" s="7" t="s">
        <v>3751</v>
      </c>
      <c r="F6" s="7" t="s">
        <v>3697</v>
      </c>
      <c r="G6" s="20" t="s">
        <v>106</v>
      </c>
      <c r="H6" s="20" t="s">
        <v>76</v>
      </c>
      <c r="I6" s="21" t="s">
        <v>84</v>
      </c>
      <c r="J6" s="8"/>
      <c r="K6" s="8" t="str">
        <f>"120,0"</f>
        <v>120,0</v>
      </c>
      <c r="L6" s="8" t="str">
        <f>"150,7200"</f>
        <v>150,7200</v>
      </c>
      <c r="M6" s="7"/>
    </row>
    <row r="7" spans="1:13">
      <c r="B7" s="5" t="s">
        <v>409</v>
      </c>
    </row>
    <row r="8" spans="1:13" ht="16">
      <c r="A8" s="57" t="s">
        <v>55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408</v>
      </c>
      <c r="B9" s="7" t="s">
        <v>2597</v>
      </c>
      <c r="C9" s="7" t="s">
        <v>2598</v>
      </c>
      <c r="D9" s="7" t="s">
        <v>2599</v>
      </c>
      <c r="E9" s="7" t="s">
        <v>3751</v>
      </c>
      <c r="F9" s="7" t="s">
        <v>3538</v>
      </c>
      <c r="G9" s="21" t="s">
        <v>26</v>
      </c>
      <c r="H9" s="20" t="s">
        <v>36</v>
      </c>
      <c r="I9" s="21" t="s">
        <v>37</v>
      </c>
      <c r="J9" s="8"/>
      <c r="K9" s="8" t="str">
        <f>"160,0"</f>
        <v>160,0</v>
      </c>
      <c r="L9" s="8" t="str">
        <f>"169,0240"</f>
        <v>169,0240</v>
      </c>
      <c r="M9" s="7" t="s">
        <v>923</v>
      </c>
    </row>
    <row r="10" spans="1:13">
      <c r="B10" s="5" t="s">
        <v>409</v>
      </c>
    </row>
    <row r="11" spans="1:13" ht="16">
      <c r="A11" s="57" t="s">
        <v>93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0" t="s">
        <v>408</v>
      </c>
      <c r="B12" s="9" t="s">
        <v>607</v>
      </c>
      <c r="C12" s="9" t="s">
        <v>608</v>
      </c>
      <c r="D12" s="9" t="s">
        <v>609</v>
      </c>
      <c r="E12" s="9" t="s">
        <v>3751</v>
      </c>
      <c r="F12" s="9" t="s">
        <v>3572</v>
      </c>
      <c r="G12" s="23" t="s">
        <v>29</v>
      </c>
      <c r="H12" s="23" t="s">
        <v>66</v>
      </c>
      <c r="I12" s="22" t="s">
        <v>181</v>
      </c>
      <c r="J12" s="10"/>
      <c r="K12" s="10" t="str">
        <f>"195,0"</f>
        <v>195,0</v>
      </c>
      <c r="L12" s="10" t="str">
        <f>"188,7795"</f>
        <v>188,7795</v>
      </c>
      <c r="M12" s="9" t="s">
        <v>610</v>
      </c>
    </row>
    <row r="13" spans="1:13">
      <c r="A13" s="12" t="s">
        <v>410</v>
      </c>
      <c r="B13" s="11" t="s">
        <v>1485</v>
      </c>
      <c r="C13" s="11" t="s">
        <v>1486</v>
      </c>
      <c r="D13" s="11" t="s">
        <v>96</v>
      </c>
      <c r="E13" s="11" t="s">
        <v>3751</v>
      </c>
      <c r="F13" s="11" t="s">
        <v>3591</v>
      </c>
      <c r="G13" s="24" t="s">
        <v>45</v>
      </c>
      <c r="H13" s="24" t="s">
        <v>46</v>
      </c>
      <c r="I13" s="24" t="s">
        <v>59</v>
      </c>
      <c r="J13" s="12"/>
      <c r="K13" s="12" t="str">
        <f>"165,0"</f>
        <v>165,0</v>
      </c>
      <c r="L13" s="12" t="str">
        <f>"158,3340"</f>
        <v>158,3340</v>
      </c>
      <c r="M13" s="11" t="s">
        <v>72</v>
      </c>
    </row>
    <row r="14" spans="1:13">
      <c r="A14" s="14" t="s">
        <v>408</v>
      </c>
      <c r="B14" s="13" t="s">
        <v>611</v>
      </c>
      <c r="C14" s="13" t="s">
        <v>612</v>
      </c>
      <c r="D14" s="13" t="s">
        <v>96</v>
      </c>
      <c r="E14" s="13" t="s">
        <v>3753</v>
      </c>
      <c r="F14" s="13" t="s">
        <v>3573</v>
      </c>
      <c r="G14" s="26" t="s">
        <v>40</v>
      </c>
      <c r="H14" s="27" t="s">
        <v>70</v>
      </c>
      <c r="I14" s="27" t="s">
        <v>70</v>
      </c>
      <c r="J14" s="14"/>
      <c r="K14" s="14" t="str">
        <f>"180,0"</f>
        <v>180,0</v>
      </c>
      <c r="L14" s="14" t="str">
        <f>"177,5644"</f>
        <v>177,5644</v>
      </c>
      <c r="M14" s="13" t="s">
        <v>613</v>
      </c>
    </row>
    <row r="15" spans="1:13">
      <c r="B15" s="5" t="s">
        <v>409</v>
      </c>
    </row>
    <row r="16" spans="1:13" ht="16">
      <c r="A16" s="57" t="s">
        <v>62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8" t="s">
        <v>408</v>
      </c>
      <c r="B17" s="7" t="s">
        <v>1832</v>
      </c>
      <c r="C17" s="7" t="s">
        <v>1493</v>
      </c>
      <c r="D17" s="7" t="s">
        <v>1494</v>
      </c>
      <c r="E17" s="7" t="s">
        <v>3751</v>
      </c>
      <c r="F17" s="7" t="s">
        <v>1495</v>
      </c>
      <c r="G17" s="21" t="s">
        <v>39</v>
      </c>
      <c r="H17" s="20" t="s">
        <v>39</v>
      </c>
      <c r="I17" s="20" t="s">
        <v>76</v>
      </c>
      <c r="J17" s="8"/>
      <c r="K17" s="8" t="str">
        <f>"120,0"</f>
        <v>120,0</v>
      </c>
      <c r="L17" s="8" t="str">
        <f>"113,5080"</f>
        <v>113,5080</v>
      </c>
      <c r="M17" s="7"/>
    </row>
    <row r="18" spans="1:13">
      <c r="B18" s="5" t="s">
        <v>409</v>
      </c>
    </row>
    <row r="19" spans="1:13" ht="16">
      <c r="A19" s="57" t="s">
        <v>2600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3">
      <c r="A20" s="10" t="s">
        <v>408</v>
      </c>
      <c r="B20" s="9" t="s">
        <v>2601</v>
      </c>
      <c r="C20" s="9" t="s">
        <v>2602</v>
      </c>
      <c r="D20" s="9" t="s">
        <v>2318</v>
      </c>
      <c r="E20" s="9" t="s">
        <v>3751</v>
      </c>
      <c r="F20" s="9" t="s">
        <v>3575</v>
      </c>
      <c r="G20" s="23" t="s">
        <v>28</v>
      </c>
      <c r="H20" s="23" t="s">
        <v>29</v>
      </c>
      <c r="I20" s="23" t="s">
        <v>70</v>
      </c>
      <c r="J20" s="10"/>
      <c r="K20" s="10" t="str">
        <f>"190,0"</f>
        <v>190,0</v>
      </c>
      <c r="L20" s="10" t="str">
        <f>"162,7920"</f>
        <v>162,7920</v>
      </c>
      <c r="M20" s="9" t="s">
        <v>1707</v>
      </c>
    </row>
    <row r="21" spans="1:13">
      <c r="A21" s="14" t="s">
        <v>408</v>
      </c>
      <c r="B21" s="13" t="s">
        <v>2601</v>
      </c>
      <c r="C21" s="13" t="s">
        <v>2603</v>
      </c>
      <c r="D21" s="13" t="s">
        <v>2318</v>
      </c>
      <c r="E21" s="13" t="s">
        <v>3753</v>
      </c>
      <c r="F21" s="13" t="s">
        <v>3575</v>
      </c>
      <c r="G21" s="26" t="s">
        <v>28</v>
      </c>
      <c r="H21" s="26" t="s">
        <v>29</v>
      </c>
      <c r="I21" s="26" t="s">
        <v>70</v>
      </c>
      <c r="J21" s="14"/>
      <c r="K21" s="14" t="str">
        <f>"190,0"</f>
        <v>190,0</v>
      </c>
      <c r="L21" s="14" t="str">
        <f>"175,4898"</f>
        <v>175,4898</v>
      </c>
      <c r="M21" s="13" t="s">
        <v>1707</v>
      </c>
    </row>
    <row r="22" spans="1:13">
      <c r="B22" s="5" t="s">
        <v>409</v>
      </c>
    </row>
    <row r="23" spans="1:13" ht="16">
      <c r="A23" s="57" t="s">
        <v>55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3">
      <c r="A24" s="10" t="s">
        <v>408</v>
      </c>
      <c r="B24" s="9" t="s">
        <v>2604</v>
      </c>
      <c r="C24" s="9" t="s">
        <v>2605</v>
      </c>
      <c r="D24" s="9" t="s">
        <v>2606</v>
      </c>
      <c r="E24" s="9" t="s">
        <v>3755</v>
      </c>
      <c r="F24" s="9" t="s">
        <v>3591</v>
      </c>
      <c r="G24" s="23" t="s">
        <v>46</v>
      </c>
      <c r="H24" s="23" t="s">
        <v>59</v>
      </c>
      <c r="I24" s="22" t="s">
        <v>37</v>
      </c>
      <c r="J24" s="10"/>
      <c r="K24" s="10" t="str">
        <f>"165,0"</f>
        <v>165,0</v>
      </c>
      <c r="L24" s="10" t="str">
        <f>"132,7590"</f>
        <v>132,7590</v>
      </c>
      <c r="M24" s="9"/>
    </row>
    <row r="25" spans="1:13">
      <c r="A25" s="12" t="s">
        <v>408</v>
      </c>
      <c r="B25" s="11" t="s">
        <v>2607</v>
      </c>
      <c r="C25" s="11" t="s">
        <v>2608</v>
      </c>
      <c r="D25" s="11" t="s">
        <v>964</v>
      </c>
      <c r="E25" s="11" t="s">
        <v>3752</v>
      </c>
      <c r="F25" s="11" t="s">
        <v>1495</v>
      </c>
      <c r="G25" s="24" t="s">
        <v>132</v>
      </c>
      <c r="H25" s="24" t="s">
        <v>35</v>
      </c>
      <c r="I25" s="24" t="s">
        <v>46</v>
      </c>
      <c r="J25" s="12"/>
      <c r="K25" s="12" t="str">
        <f>"155,0"</f>
        <v>155,0</v>
      </c>
      <c r="L25" s="12" t="str">
        <f>"119,9390"</f>
        <v>119,9390</v>
      </c>
      <c r="M25" s="11"/>
    </row>
    <row r="26" spans="1:13">
      <c r="A26" s="12" t="s">
        <v>408</v>
      </c>
      <c r="B26" s="11" t="s">
        <v>2716</v>
      </c>
      <c r="C26" s="11" t="s">
        <v>2609</v>
      </c>
      <c r="D26" s="11" t="s">
        <v>2610</v>
      </c>
      <c r="E26" s="11" t="s">
        <v>3754</v>
      </c>
      <c r="F26" s="11" t="s">
        <v>1495</v>
      </c>
      <c r="G26" s="25" t="s">
        <v>106</v>
      </c>
      <c r="H26" s="24" t="s">
        <v>106</v>
      </c>
      <c r="I26" s="24" t="s">
        <v>132</v>
      </c>
      <c r="J26" s="12"/>
      <c r="K26" s="12" t="str">
        <f>"130,0"</f>
        <v>130,0</v>
      </c>
      <c r="L26" s="12" t="str">
        <f>"110,5390"</f>
        <v>110,5390</v>
      </c>
      <c r="M26" s="11"/>
    </row>
    <row r="27" spans="1:13">
      <c r="A27" s="12" t="s">
        <v>408</v>
      </c>
      <c r="B27" s="11" t="s">
        <v>2611</v>
      </c>
      <c r="C27" s="11" t="s">
        <v>2612</v>
      </c>
      <c r="D27" s="11" t="s">
        <v>91</v>
      </c>
      <c r="E27" s="11" t="s">
        <v>3751</v>
      </c>
      <c r="F27" s="11" t="s">
        <v>3735</v>
      </c>
      <c r="G27" s="24" t="s">
        <v>87</v>
      </c>
      <c r="H27" s="24" t="s">
        <v>154</v>
      </c>
      <c r="I27" s="24" t="s">
        <v>205</v>
      </c>
      <c r="J27" s="24" t="s">
        <v>119</v>
      </c>
      <c r="K27" s="12" t="str">
        <f>"255,0"</f>
        <v>255,0</v>
      </c>
      <c r="L27" s="12" t="str">
        <f>"196,6050"</f>
        <v>196,6050</v>
      </c>
      <c r="M27" s="11" t="s">
        <v>2613</v>
      </c>
    </row>
    <row r="28" spans="1:13">
      <c r="A28" s="14" t="s">
        <v>410</v>
      </c>
      <c r="B28" s="13" t="s">
        <v>3335</v>
      </c>
      <c r="C28" s="13" t="s">
        <v>80</v>
      </c>
      <c r="D28" s="13" t="s">
        <v>81</v>
      </c>
      <c r="E28" s="13" t="s">
        <v>3751</v>
      </c>
      <c r="F28" s="13" t="s">
        <v>82</v>
      </c>
      <c r="G28" s="27" t="s">
        <v>68</v>
      </c>
      <c r="H28" s="26" t="s">
        <v>68</v>
      </c>
      <c r="I28" s="26" t="s">
        <v>86</v>
      </c>
      <c r="J28" s="27" t="s">
        <v>87</v>
      </c>
      <c r="K28" s="14" t="str">
        <f>"225,0"</f>
        <v>225,0</v>
      </c>
      <c r="L28" s="14" t="str">
        <f>"175,1625"</f>
        <v>175,1625</v>
      </c>
      <c r="M28" s="13" t="s">
        <v>88</v>
      </c>
    </row>
    <row r="29" spans="1:13">
      <c r="B29" s="5" t="s">
        <v>409</v>
      </c>
    </row>
    <row r="30" spans="1:13" ht="16">
      <c r="A30" s="57" t="s">
        <v>93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3">
      <c r="A31" s="10" t="s">
        <v>408</v>
      </c>
      <c r="B31" s="9" t="s">
        <v>647</v>
      </c>
      <c r="C31" s="9" t="s">
        <v>648</v>
      </c>
      <c r="D31" s="9" t="s">
        <v>604</v>
      </c>
      <c r="E31" s="9" t="s">
        <v>3751</v>
      </c>
      <c r="F31" s="9" t="s">
        <v>3577</v>
      </c>
      <c r="G31" s="23" t="s">
        <v>119</v>
      </c>
      <c r="H31" s="23" t="s">
        <v>169</v>
      </c>
      <c r="I31" s="22" t="s">
        <v>121</v>
      </c>
      <c r="J31" s="10"/>
      <c r="K31" s="10" t="str">
        <f>"272,5"</f>
        <v>272,5</v>
      </c>
      <c r="L31" s="10" t="str">
        <f>"195,4642"</f>
        <v>195,4642</v>
      </c>
      <c r="M31" s="9"/>
    </row>
    <row r="32" spans="1:13">
      <c r="A32" s="12" t="s">
        <v>410</v>
      </c>
      <c r="B32" s="11" t="s">
        <v>643</v>
      </c>
      <c r="C32" s="11" t="s">
        <v>644</v>
      </c>
      <c r="D32" s="11" t="s">
        <v>96</v>
      </c>
      <c r="E32" s="11" t="s">
        <v>3751</v>
      </c>
      <c r="F32" s="11" t="s">
        <v>3576</v>
      </c>
      <c r="G32" s="24" t="s">
        <v>134</v>
      </c>
      <c r="H32" s="25" t="s">
        <v>119</v>
      </c>
      <c r="I32" s="12"/>
      <c r="J32" s="12"/>
      <c r="K32" s="12" t="str">
        <f>"250,0"</f>
        <v>250,0</v>
      </c>
      <c r="L32" s="12" t="str">
        <f>"180,0000"</f>
        <v>180,0000</v>
      </c>
      <c r="M32" s="11" t="s">
        <v>646</v>
      </c>
    </row>
    <row r="33" spans="1:13">
      <c r="A33" s="12" t="s">
        <v>411</v>
      </c>
      <c r="B33" s="11" t="s">
        <v>94</v>
      </c>
      <c r="C33" s="11" t="s">
        <v>95</v>
      </c>
      <c r="D33" s="11" t="s">
        <v>96</v>
      </c>
      <c r="E33" s="11" t="s">
        <v>3751</v>
      </c>
      <c r="F33" s="11" t="s">
        <v>75</v>
      </c>
      <c r="G33" s="24" t="s">
        <v>97</v>
      </c>
      <c r="H33" s="24" t="s">
        <v>98</v>
      </c>
      <c r="I33" s="24" t="s">
        <v>99</v>
      </c>
      <c r="J33" s="12"/>
      <c r="K33" s="12" t="str">
        <f>"237,5"</f>
        <v>237,5</v>
      </c>
      <c r="L33" s="12" t="str">
        <f>"171,0000"</f>
        <v>171,0000</v>
      </c>
      <c r="M33" s="11"/>
    </row>
    <row r="34" spans="1:13">
      <c r="A34" s="14" t="s">
        <v>408</v>
      </c>
      <c r="B34" s="13" t="s">
        <v>3354</v>
      </c>
      <c r="C34" s="13" t="s">
        <v>103</v>
      </c>
      <c r="D34" s="13" t="s">
        <v>104</v>
      </c>
      <c r="E34" s="13" t="s">
        <v>3756</v>
      </c>
      <c r="F34" s="13" t="s">
        <v>105</v>
      </c>
      <c r="G34" s="26" t="s">
        <v>35</v>
      </c>
      <c r="H34" s="26" t="s">
        <v>36</v>
      </c>
      <c r="I34" s="26" t="s">
        <v>37</v>
      </c>
      <c r="J34" s="14"/>
      <c r="K34" s="14" t="str">
        <f>"170,0"</f>
        <v>170,0</v>
      </c>
      <c r="L34" s="14" t="str">
        <f>"152,8512"</f>
        <v>152,8512</v>
      </c>
      <c r="M34" s="13"/>
    </row>
    <row r="35" spans="1:13">
      <c r="B35" s="5" t="s">
        <v>409</v>
      </c>
    </row>
    <row r="36" spans="1:13" ht="16">
      <c r="A36" s="57" t="s">
        <v>62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3">
      <c r="A37" s="10" t="s">
        <v>408</v>
      </c>
      <c r="B37" s="9" t="s">
        <v>2614</v>
      </c>
      <c r="C37" s="9" t="s">
        <v>2615</v>
      </c>
      <c r="D37" s="9" t="s">
        <v>676</v>
      </c>
      <c r="E37" s="9" t="s">
        <v>3755</v>
      </c>
      <c r="F37" s="9" t="s">
        <v>1495</v>
      </c>
      <c r="G37" s="23" t="s">
        <v>132</v>
      </c>
      <c r="H37" s="23" t="s">
        <v>25</v>
      </c>
      <c r="I37" s="22" t="s">
        <v>26</v>
      </c>
      <c r="J37" s="10"/>
      <c r="K37" s="10" t="str">
        <f>"145,0"</f>
        <v>145,0</v>
      </c>
      <c r="L37" s="10" t="str">
        <f>"97,6430"</f>
        <v>97,6430</v>
      </c>
      <c r="M37" s="9"/>
    </row>
    <row r="38" spans="1:13">
      <c r="A38" s="12" t="s">
        <v>408</v>
      </c>
      <c r="B38" s="11" t="s">
        <v>656</v>
      </c>
      <c r="C38" s="11" t="s">
        <v>657</v>
      </c>
      <c r="D38" s="11" t="s">
        <v>473</v>
      </c>
      <c r="E38" s="11" t="s">
        <v>3751</v>
      </c>
      <c r="F38" s="11" t="s">
        <v>3542</v>
      </c>
      <c r="G38" s="24" t="s">
        <v>114</v>
      </c>
      <c r="H38" s="24" t="s">
        <v>128</v>
      </c>
      <c r="I38" s="25" t="s">
        <v>128</v>
      </c>
      <c r="J38" s="12"/>
      <c r="K38" s="12" t="str">
        <f>"300,0"</f>
        <v>300,0</v>
      </c>
      <c r="L38" s="12" t="str">
        <f>"201,4200"</f>
        <v>201,4200</v>
      </c>
      <c r="M38" s="11" t="s">
        <v>658</v>
      </c>
    </row>
    <row r="39" spans="1:13">
      <c r="A39" s="12" t="s">
        <v>410</v>
      </c>
      <c r="B39" s="11" t="s">
        <v>659</v>
      </c>
      <c r="C39" s="11" t="s">
        <v>660</v>
      </c>
      <c r="D39" s="11" t="s">
        <v>651</v>
      </c>
      <c r="E39" s="11" t="s">
        <v>3751</v>
      </c>
      <c r="F39" s="11" t="s">
        <v>199</v>
      </c>
      <c r="G39" s="24" t="s">
        <v>121</v>
      </c>
      <c r="H39" s="24" t="s">
        <v>337</v>
      </c>
      <c r="I39" s="25" t="s">
        <v>211</v>
      </c>
      <c r="J39" s="12"/>
      <c r="K39" s="12" t="str">
        <f>"292,5"</f>
        <v>292,5</v>
      </c>
      <c r="L39" s="12" t="str">
        <f>"197,9933"</f>
        <v>197,9933</v>
      </c>
      <c r="M39" s="11"/>
    </row>
    <row r="40" spans="1:13">
      <c r="A40" s="12" t="s">
        <v>411</v>
      </c>
      <c r="B40" s="11" t="s">
        <v>2616</v>
      </c>
      <c r="C40" s="11" t="s">
        <v>2617</v>
      </c>
      <c r="D40" s="11" t="s">
        <v>108</v>
      </c>
      <c r="E40" s="11" t="s">
        <v>3751</v>
      </c>
      <c r="F40" s="11" t="s">
        <v>3509</v>
      </c>
      <c r="G40" s="24" t="s">
        <v>125</v>
      </c>
      <c r="H40" s="25" t="s">
        <v>225</v>
      </c>
      <c r="I40" s="25" t="s">
        <v>225</v>
      </c>
      <c r="J40" s="12"/>
      <c r="K40" s="12" t="str">
        <f>"277,5"</f>
        <v>277,5</v>
      </c>
      <c r="L40" s="12" t="str">
        <f>"187,7010"</f>
        <v>187,7010</v>
      </c>
      <c r="M40" s="11"/>
    </row>
    <row r="41" spans="1:13">
      <c r="A41" s="12" t="s">
        <v>413</v>
      </c>
      <c r="B41" s="11" t="s">
        <v>2618</v>
      </c>
      <c r="C41" s="11" t="s">
        <v>2619</v>
      </c>
      <c r="D41" s="11" t="s">
        <v>118</v>
      </c>
      <c r="E41" s="11" t="s">
        <v>3751</v>
      </c>
      <c r="F41" s="11" t="s">
        <v>3571</v>
      </c>
      <c r="G41" s="24" t="s">
        <v>134</v>
      </c>
      <c r="H41" s="25" t="s">
        <v>120</v>
      </c>
      <c r="I41" s="12"/>
      <c r="J41" s="12"/>
      <c r="K41" s="12" t="str">
        <f>"250,0"</f>
        <v>250,0</v>
      </c>
      <c r="L41" s="12" t="str">
        <f>"168,4750"</f>
        <v>168,4750</v>
      </c>
      <c r="M41" s="11"/>
    </row>
    <row r="42" spans="1:13">
      <c r="A42" s="12" t="s">
        <v>414</v>
      </c>
      <c r="B42" s="11" t="s">
        <v>2620</v>
      </c>
      <c r="C42" s="11" t="s">
        <v>2621</v>
      </c>
      <c r="D42" s="11" t="s">
        <v>1144</v>
      </c>
      <c r="E42" s="11" t="s">
        <v>3751</v>
      </c>
      <c r="F42" s="11" t="s">
        <v>3557</v>
      </c>
      <c r="G42" s="24" t="s">
        <v>98</v>
      </c>
      <c r="H42" s="25" t="s">
        <v>134</v>
      </c>
      <c r="I42" s="25" t="s">
        <v>134</v>
      </c>
      <c r="J42" s="12"/>
      <c r="K42" s="12" t="str">
        <f>"230,0"</f>
        <v>230,0</v>
      </c>
      <c r="L42" s="12" t="str">
        <f>"154,3070"</f>
        <v>154,3070</v>
      </c>
      <c r="M42" s="11" t="s">
        <v>2622</v>
      </c>
    </row>
    <row r="43" spans="1:13">
      <c r="A43" s="14" t="s">
        <v>408</v>
      </c>
      <c r="B43" s="13" t="s">
        <v>678</v>
      </c>
      <c r="C43" s="13" t="s">
        <v>679</v>
      </c>
      <c r="D43" s="13" t="s">
        <v>680</v>
      </c>
      <c r="E43" s="13" t="s">
        <v>3758</v>
      </c>
      <c r="F43" s="13" t="s">
        <v>3580</v>
      </c>
      <c r="G43" s="26" t="s">
        <v>28</v>
      </c>
      <c r="H43" s="27" t="s">
        <v>61</v>
      </c>
      <c r="I43" s="27" t="s">
        <v>61</v>
      </c>
      <c r="J43" s="14"/>
      <c r="K43" s="14" t="str">
        <f>"175,0"</f>
        <v>175,0</v>
      </c>
      <c r="L43" s="14" t="str">
        <f>"204,7395"</f>
        <v>204,7395</v>
      </c>
      <c r="M43" s="13"/>
    </row>
    <row r="44" spans="1:13">
      <c r="B44" s="5" t="s">
        <v>409</v>
      </c>
    </row>
    <row r="45" spans="1:13" ht="16">
      <c r="A45" s="57" t="s">
        <v>150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3">
      <c r="A46" s="10" t="s">
        <v>408</v>
      </c>
      <c r="B46" s="9" t="s">
        <v>681</v>
      </c>
      <c r="C46" s="9" t="s">
        <v>682</v>
      </c>
      <c r="D46" s="9" t="s">
        <v>683</v>
      </c>
      <c r="E46" s="9" t="s">
        <v>3754</v>
      </c>
      <c r="F46" s="9" t="s">
        <v>75</v>
      </c>
      <c r="G46" s="23" t="s">
        <v>120</v>
      </c>
      <c r="H46" s="23" t="s">
        <v>114</v>
      </c>
      <c r="I46" s="22" t="s">
        <v>128</v>
      </c>
      <c r="J46" s="10"/>
      <c r="K46" s="10" t="str">
        <f>"290,0"</f>
        <v>290,0</v>
      </c>
      <c r="L46" s="10" t="str">
        <f>"186,6440"</f>
        <v>186,6440</v>
      </c>
      <c r="M46" s="9"/>
    </row>
    <row r="47" spans="1:13">
      <c r="A47" s="12" t="s">
        <v>410</v>
      </c>
      <c r="B47" s="11" t="s">
        <v>3355</v>
      </c>
      <c r="C47" s="11" t="s">
        <v>151</v>
      </c>
      <c r="D47" s="11" t="s">
        <v>152</v>
      </c>
      <c r="E47" s="11" t="s">
        <v>3754</v>
      </c>
      <c r="F47" s="11" t="s">
        <v>153</v>
      </c>
      <c r="G47" s="24" t="s">
        <v>86</v>
      </c>
      <c r="H47" s="24" t="s">
        <v>154</v>
      </c>
      <c r="I47" s="25" t="s">
        <v>134</v>
      </c>
      <c r="J47" s="12"/>
      <c r="K47" s="12" t="str">
        <f>"245,0"</f>
        <v>245,0</v>
      </c>
      <c r="L47" s="12" t="str">
        <f>"156,4080"</f>
        <v>156,4080</v>
      </c>
      <c r="M47" s="11"/>
    </row>
    <row r="48" spans="1:13">
      <c r="A48" s="12" t="s">
        <v>408</v>
      </c>
      <c r="B48" s="11" t="s">
        <v>3385</v>
      </c>
      <c r="C48" s="11" t="s">
        <v>2623</v>
      </c>
      <c r="D48" s="11" t="s">
        <v>152</v>
      </c>
      <c r="E48" s="11" t="s">
        <v>3751</v>
      </c>
      <c r="F48" s="11" t="s">
        <v>199</v>
      </c>
      <c r="G48" s="24" t="s">
        <v>121</v>
      </c>
      <c r="H48" s="25" t="s">
        <v>114</v>
      </c>
      <c r="I48" s="24" t="s">
        <v>112</v>
      </c>
      <c r="J48" s="12"/>
      <c r="K48" s="12" t="str">
        <f>"295,0"</f>
        <v>295,0</v>
      </c>
      <c r="L48" s="12" t="str">
        <f>"188,3280"</f>
        <v>188,3280</v>
      </c>
      <c r="M48" s="11"/>
    </row>
    <row r="49" spans="1:13">
      <c r="A49" s="12" t="s">
        <v>410</v>
      </c>
      <c r="B49" s="11" t="s">
        <v>3358</v>
      </c>
      <c r="C49" s="11" t="s">
        <v>172</v>
      </c>
      <c r="D49" s="11" t="s">
        <v>173</v>
      </c>
      <c r="E49" s="11" t="s">
        <v>3751</v>
      </c>
      <c r="F49" s="11" t="s">
        <v>174</v>
      </c>
      <c r="G49" s="25" t="s">
        <v>121</v>
      </c>
      <c r="H49" s="24" t="s">
        <v>121</v>
      </c>
      <c r="I49" s="25" t="s">
        <v>128</v>
      </c>
      <c r="J49" s="12"/>
      <c r="K49" s="12" t="str">
        <f>"280,0"</f>
        <v>280,0</v>
      </c>
      <c r="L49" s="12" t="str">
        <f>"183,0080"</f>
        <v>183,0080</v>
      </c>
      <c r="M49" s="11"/>
    </row>
    <row r="50" spans="1:13">
      <c r="A50" s="12" t="s">
        <v>411</v>
      </c>
      <c r="B50" s="11" t="s">
        <v>3386</v>
      </c>
      <c r="C50" s="11" t="s">
        <v>2625</v>
      </c>
      <c r="D50" s="11" t="s">
        <v>158</v>
      </c>
      <c r="E50" s="11" t="s">
        <v>3751</v>
      </c>
      <c r="F50" s="11" t="s">
        <v>199</v>
      </c>
      <c r="G50" s="24" t="s">
        <v>121</v>
      </c>
      <c r="H50" s="25" t="s">
        <v>114</v>
      </c>
      <c r="I50" s="25" t="s">
        <v>114</v>
      </c>
      <c r="J50" s="12"/>
      <c r="K50" s="12" t="str">
        <f>"280,0"</f>
        <v>280,0</v>
      </c>
      <c r="L50" s="12" t="str">
        <f>"179,9840"</f>
        <v>179,9840</v>
      </c>
      <c r="M50" s="11"/>
    </row>
    <row r="51" spans="1:13">
      <c r="A51" s="12" t="s">
        <v>413</v>
      </c>
      <c r="B51" s="11" t="s">
        <v>2626</v>
      </c>
      <c r="C51" s="11" t="s">
        <v>2627</v>
      </c>
      <c r="D51" s="11" t="s">
        <v>1210</v>
      </c>
      <c r="E51" s="11" t="s">
        <v>3751</v>
      </c>
      <c r="F51" s="11" t="s">
        <v>75</v>
      </c>
      <c r="G51" s="24" t="s">
        <v>97</v>
      </c>
      <c r="H51" s="24" t="s">
        <v>133</v>
      </c>
      <c r="I51" s="25" t="s">
        <v>119</v>
      </c>
      <c r="J51" s="12"/>
      <c r="K51" s="12" t="str">
        <f>"240,0"</f>
        <v>240,0</v>
      </c>
      <c r="L51" s="12" t="str">
        <f>"154,5600"</f>
        <v>154,5600</v>
      </c>
      <c r="M51" s="11"/>
    </row>
    <row r="52" spans="1:13">
      <c r="A52" s="12" t="s">
        <v>414</v>
      </c>
      <c r="B52" s="11" t="s">
        <v>2628</v>
      </c>
      <c r="C52" s="11" t="s">
        <v>1510</v>
      </c>
      <c r="D52" s="11" t="s">
        <v>1233</v>
      </c>
      <c r="E52" s="11" t="s">
        <v>3751</v>
      </c>
      <c r="F52" s="11" t="s">
        <v>3577</v>
      </c>
      <c r="G52" s="24" t="s">
        <v>83</v>
      </c>
      <c r="H52" s="24" t="s">
        <v>97</v>
      </c>
      <c r="I52" s="24" t="s">
        <v>87</v>
      </c>
      <c r="J52" s="12"/>
      <c r="K52" s="12" t="str">
        <f>"235,0"</f>
        <v>235,0</v>
      </c>
      <c r="L52" s="12" t="str">
        <f>"151,9745"</f>
        <v>151,9745</v>
      </c>
      <c r="M52" s="11"/>
    </row>
    <row r="53" spans="1:13">
      <c r="A53" s="12" t="s">
        <v>415</v>
      </c>
      <c r="B53" s="11" t="s">
        <v>2629</v>
      </c>
      <c r="C53" s="11" t="s">
        <v>2630</v>
      </c>
      <c r="D53" s="11" t="s">
        <v>2631</v>
      </c>
      <c r="E53" s="11" t="s">
        <v>3751</v>
      </c>
      <c r="F53" s="11" t="s">
        <v>1495</v>
      </c>
      <c r="G53" s="24" t="s">
        <v>40</v>
      </c>
      <c r="H53" s="24" t="s">
        <v>71</v>
      </c>
      <c r="I53" s="24" t="s">
        <v>97</v>
      </c>
      <c r="J53" s="12"/>
      <c r="K53" s="12" t="str">
        <f>"220,0"</f>
        <v>220,0</v>
      </c>
      <c r="L53" s="12" t="str">
        <f>"142,8020"</f>
        <v>142,8020</v>
      </c>
      <c r="M53" s="11"/>
    </row>
    <row r="54" spans="1:13">
      <c r="A54" s="12" t="s">
        <v>408</v>
      </c>
      <c r="B54" s="11" t="s">
        <v>2624</v>
      </c>
      <c r="C54" s="11" t="s">
        <v>2632</v>
      </c>
      <c r="D54" s="11" t="s">
        <v>158</v>
      </c>
      <c r="E54" s="11" t="s">
        <v>3753</v>
      </c>
      <c r="F54" s="11" t="s">
        <v>199</v>
      </c>
      <c r="G54" s="24" t="s">
        <v>121</v>
      </c>
      <c r="H54" s="25" t="s">
        <v>114</v>
      </c>
      <c r="I54" s="25" t="s">
        <v>114</v>
      </c>
      <c r="J54" s="12"/>
      <c r="K54" s="12" t="str">
        <f>"280,0"</f>
        <v>280,0</v>
      </c>
      <c r="L54" s="12" t="str">
        <f>"179,9840"</f>
        <v>179,9840</v>
      </c>
      <c r="M54" s="11"/>
    </row>
    <row r="55" spans="1:13">
      <c r="A55" s="12" t="s">
        <v>410</v>
      </c>
      <c r="B55" s="11" t="s">
        <v>2633</v>
      </c>
      <c r="C55" s="11" t="s">
        <v>2121</v>
      </c>
      <c r="D55" s="11" t="s">
        <v>2198</v>
      </c>
      <c r="E55" s="11" t="s">
        <v>3753</v>
      </c>
      <c r="F55" s="11" t="s">
        <v>3572</v>
      </c>
      <c r="G55" s="25" t="s">
        <v>110</v>
      </c>
      <c r="H55" s="24" t="s">
        <v>110</v>
      </c>
      <c r="I55" s="25" t="s">
        <v>337</v>
      </c>
      <c r="J55" s="12"/>
      <c r="K55" s="12" t="str">
        <f>"275,0"</f>
        <v>275,0</v>
      </c>
      <c r="L55" s="12" t="str">
        <f>"177,0458"</f>
        <v>177,0458</v>
      </c>
      <c r="M55" s="11" t="s">
        <v>359</v>
      </c>
    </row>
    <row r="56" spans="1:13">
      <c r="A56" s="12" t="s">
        <v>411</v>
      </c>
      <c r="B56" s="11" t="s">
        <v>2634</v>
      </c>
      <c r="C56" s="11" t="s">
        <v>2635</v>
      </c>
      <c r="D56" s="11" t="s">
        <v>1192</v>
      </c>
      <c r="E56" s="11" t="s">
        <v>3753</v>
      </c>
      <c r="F56" s="11" t="s">
        <v>3736</v>
      </c>
      <c r="G56" s="25" t="s">
        <v>68</v>
      </c>
      <c r="H56" s="25" t="s">
        <v>68</v>
      </c>
      <c r="I56" s="24" t="s">
        <v>97</v>
      </c>
      <c r="J56" s="12"/>
      <c r="K56" s="12" t="str">
        <f>"220,0"</f>
        <v>220,0</v>
      </c>
      <c r="L56" s="12" t="str">
        <f>"145,4661"</f>
        <v>145,4661</v>
      </c>
      <c r="M56" s="11" t="s">
        <v>2636</v>
      </c>
    </row>
    <row r="57" spans="1:13">
      <c r="A57" s="12" t="s">
        <v>408</v>
      </c>
      <c r="B57" s="11" t="s">
        <v>2637</v>
      </c>
      <c r="C57" s="11" t="s">
        <v>2638</v>
      </c>
      <c r="D57" s="11" t="s">
        <v>1216</v>
      </c>
      <c r="E57" s="11" t="s">
        <v>3757</v>
      </c>
      <c r="F57" s="11" t="s">
        <v>3571</v>
      </c>
      <c r="G57" s="24" t="s">
        <v>134</v>
      </c>
      <c r="H57" s="25" t="s">
        <v>2639</v>
      </c>
      <c r="I57" s="25" t="s">
        <v>2639</v>
      </c>
      <c r="J57" s="12"/>
      <c r="K57" s="12" t="str">
        <f>"250,0"</f>
        <v>250,0</v>
      </c>
      <c r="L57" s="12" t="str">
        <f>"252,1215"</f>
        <v>252,1215</v>
      </c>
      <c r="M57" s="11"/>
    </row>
    <row r="58" spans="1:13">
      <c r="A58" s="14" t="s">
        <v>408</v>
      </c>
      <c r="B58" s="13" t="s">
        <v>2640</v>
      </c>
      <c r="C58" s="13" t="s">
        <v>2641</v>
      </c>
      <c r="D58" s="13" t="s">
        <v>155</v>
      </c>
      <c r="E58" s="13" t="s">
        <v>3758</v>
      </c>
      <c r="F58" s="13" t="s">
        <v>3613</v>
      </c>
      <c r="G58" s="26" t="s">
        <v>98</v>
      </c>
      <c r="H58" s="27" t="s">
        <v>133</v>
      </c>
      <c r="I58" s="14"/>
      <c r="J58" s="14"/>
      <c r="K58" s="14" t="str">
        <f>"230,0"</f>
        <v>230,0</v>
      </c>
      <c r="L58" s="14" t="str">
        <f>"251,0611"</f>
        <v>251,0611</v>
      </c>
      <c r="M58" s="13"/>
    </row>
    <row r="59" spans="1:13">
      <c r="B59" s="5" t="s">
        <v>409</v>
      </c>
    </row>
    <row r="60" spans="1:13" ht="16">
      <c r="A60" s="57" t="s">
        <v>195</v>
      </c>
      <c r="B60" s="57"/>
      <c r="C60" s="57"/>
      <c r="D60" s="57"/>
      <c r="E60" s="57"/>
      <c r="F60" s="57"/>
      <c r="G60" s="57"/>
      <c r="H60" s="57"/>
      <c r="I60" s="57"/>
      <c r="J60" s="57"/>
    </row>
    <row r="61" spans="1:13">
      <c r="A61" s="10" t="s">
        <v>408</v>
      </c>
      <c r="B61" s="9" t="s">
        <v>2642</v>
      </c>
      <c r="C61" s="9" t="s">
        <v>2643</v>
      </c>
      <c r="D61" s="9" t="s">
        <v>508</v>
      </c>
      <c r="E61" s="9" t="s">
        <v>3754</v>
      </c>
      <c r="F61" s="9" t="s">
        <v>3531</v>
      </c>
      <c r="G61" s="22" t="s">
        <v>128</v>
      </c>
      <c r="H61" s="10"/>
      <c r="I61" s="23" t="s">
        <v>162</v>
      </c>
      <c r="J61" s="10"/>
      <c r="K61" s="10" t="str">
        <f>"335,0"</f>
        <v>335,0</v>
      </c>
      <c r="L61" s="10" t="str">
        <f>"208,0015"</f>
        <v>208,0015</v>
      </c>
      <c r="M61" s="9" t="s">
        <v>2644</v>
      </c>
    </row>
    <row r="62" spans="1:13">
      <c r="A62" s="12" t="s">
        <v>410</v>
      </c>
      <c r="B62" s="11" t="s">
        <v>2645</v>
      </c>
      <c r="C62" s="11" t="s">
        <v>2646</v>
      </c>
      <c r="D62" s="11" t="s">
        <v>1672</v>
      </c>
      <c r="E62" s="11" t="s">
        <v>3754</v>
      </c>
      <c r="F62" s="11" t="s">
        <v>3608</v>
      </c>
      <c r="G62" s="25" t="s">
        <v>119</v>
      </c>
      <c r="H62" s="24" t="s">
        <v>119</v>
      </c>
      <c r="I62" s="25" t="s">
        <v>110</v>
      </c>
      <c r="J62" s="12"/>
      <c r="K62" s="12" t="str">
        <f>"260,0"</f>
        <v>260,0</v>
      </c>
      <c r="L62" s="12" t="str">
        <f>"163,0720"</f>
        <v>163,0720</v>
      </c>
      <c r="M62" s="11" t="s">
        <v>2647</v>
      </c>
    </row>
    <row r="63" spans="1:13">
      <c r="A63" s="12" t="s">
        <v>408</v>
      </c>
      <c r="B63" s="11" t="s">
        <v>2648</v>
      </c>
      <c r="C63" s="11" t="s">
        <v>2649</v>
      </c>
      <c r="D63" s="11" t="s">
        <v>1617</v>
      </c>
      <c r="E63" s="11" t="s">
        <v>3751</v>
      </c>
      <c r="F63" s="11" t="s">
        <v>199</v>
      </c>
      <c r="G63" s="24" t="s">
        <v>211</v>
      </c>
      <c r="H63" s="24" t="s">
        <v>2650</v>
      </c>
      <c r="I63" s="25" t="s">
        <v>162</v>
      </c>
      <c r="J63" s="12"/>
      <c r="K63" s="12" t="str">
        <f>"327,5"</f>
        <v>327,5</v>
      </c>
      <c r="L63" s="12" t="str">
        <f>"202,5915"</f>
        <v>202,5915</v>
      </c>
      <c r="M63" s="11" t="s">
        <v>2651</v>
      </c>
    </row>
    <row r="64" spans="1:13">
      <c r="A64" s="12" t="s">
        <v>410</v>
      </c>
      <c r="B64" s="11" t="s">
        <v>236</v>
      </c>
      <c r="C64" s="11" t="s">
        <v>237</v>
      </c>
      <c r="D64" s="11" t="s">
        <v>1659</v>
      </c>
      <c r="E64" s="11" t="s">
        <v>3751</v>
      </c>
      <c r="F64" s="11" t="s">
        <v>1495</v>
      </c>
      <c r="G64" s="24" t="s">
        <v>114</v>
      </c>
      <c r="H64" s="24" t="s">
        <v>2652</v>
      </c>
      <c r="I64" s="24" t="s">
        <v>211</v>
      </c>
      <c r="J64" s="12"/>
      <c r="K64" s="12" t="str">
        <f>"320,0"</f>
        <v>320,0</v>
      </c>
      <c r="L64" s="12" t="str">
        <f>"197,6640"</f>
        <v>197,6640</v>
      </c>
      <c r="M64" s="11"/>
    </row>
    <row r="65" spans="1:13">
      <c r="A65" s="12" t="s">
        <v>411</v>
      </c>
      <c r="B65" s="11" t="s">
        <v>3387</v>
      </c>
      <c r="C65" s="11" t="s">
        <v>219</v>
      </c>
      <c r="D65" s="11" t="s">
        <v>220</v>
      </c>
      <c r="E65" s="11" t="s">
        <v>3751</v>
      </c>
      <c r="F65" s="11" t="s">
        <v>3388</v>
      </c>
      <c r="G65" s="24" t="s">
        <v>128</v>
      </c>
      <c r="H65" s="24" t="s">
        <v>211</v>
      </c>
      <c r="I65" s="25" t="s">
        <v>221</v>
      </c>
      <c r="J65" s="12"/>
      <c r="K65" s="12" t="str">
        <f>"320,0"</f>
        <v>320,0</v>
      </c>
      <c r="L65" s="12" t="str">
        <f>"196,1280"</f>
        <v>196,1280</v>
      </c>
      <c r="M65" s="11" t="s">
        <v>1408</v>
      </c>
    </row>
    <row r="66" spans="1:13">
      <c r="A66" s="12" t="s">
        <v>413</v>
      </c>
      <c r="B66" s="11" t="s">
        <v>207</v>
      </c>
      <c r="C66" s="11" t="s">
        <v>208</v>
      </c>
      <c r="D66" s="11" t="s">
        <v>209</v>
      </c>
      <c r="E66" s="11" t="s">
        <v>3751</v>
      </c>
      <c r="F66" s="11" t="s">
        <v>199</v>
      </c>
      <c r="G66" s="24" t="s">
        <v>211</v>
      </c>
      <c r="H66" s="25" t="s">
        <v>212</v>
      </c>
      <c r="I66" s="25" t="s">
        <v>212</v>
      </c>
      <c r="J66" s="12"/>
      <c r="K66" s="12" t="str">
        <f>"320,0"</f>
        <v>320,0</v>
      </c>
      <c r="L66" s="12" t="str">
        <f>"195,8720"</f>
        <v>195,8720</v>
      </c>
      <c r="M66" s="11" t="s">
        <v>3389</v>
      </c>
    </row>
    <row r="67" spans="1:13">
      <c r="A67" s="12" t="s">
        <v>414</v>
      </c>
      <c r="B67" s="11" t="s">
        <v>2653</v>
      </c>
      <c r="C67" s="11" t="s">
        <v>2654</v>
      </c>
      <c r="D67" s="11" t="s">
        <v>1652</v>
      </c>
      <c r="E67" s="11" t="s">
        <v>3751</v>
      </c>
      <c r="F67" s="11" t="s">
        <v>3737</v>
      </c>
      <c r="G67" s="24" t="s">
        <v>217</v>
      </c>
      <c r="H67" s="25" t="s">
        <v>211</v>
      </c>
      <c r="I67" s="24" t="s">
        <v>211</v>
      </c>
      <c r="J67" s="12"/>
      <c r="K67" s="12" t="str">
        <f>"320,0"</f>
        <v>320,0</v>
      </c>
      <c r="L67" s="12" t="str">
        <f>"195,6160"</f>
        <v>195,6160</v>
      </c>
      <c r="M67" s="11"/>
    </row>
    <row r="68" spans="1:13">
      <c r="A68" s="12" t="s">
        <v>415</v>
      </c>
      <c r="B68" s="11" t="s">
        <v>239</v>
      </c>
      <c r="C68" s="11" t="s">
        <v>240</v>
      </c>
      <c r="D68" s="11" t="s">
        <v>241</v>
      </c>
      <c r="E68" s="11" t="s">
        <v>3751</v>
      </c>
      <c r="F68" s="11" t="s">
        <v>75</v>
      </c>
      <c r="G68" s="24" t="s">
        <v>121</v>
      </c>
      <c r="H68" s="24" t="s">
        <v>201</v>
      </c>
      <c r="I68" s="25" t="s">
        <v>212</v>
      </c>
      <c r="J68" s="12"/>
      <c r="K68" s="12" t="str">
        <f>"312,5"</f>
        <v>312,5</v>
      </c>
      <c r="L68" s="12" t="str">
        <f>"192,3437"</f>
        <v>192,3437</v>
      </c>
      <c r="M68" s="11"/>
    </row>
    <row r="69" spans="1:13">
      <c r="A69" s="12" t="s">
        <v>416</v>
      </c>
      <c r="B69" s="11" t="s">
        <v>2655</v>
      </c>
      <c r="C69" s="11" t="s">
        <v>2656</v>
      </c>
      <c r="D69" s="11" t="s">
        <v>244</v>
      </c>
      <c r="E69" s="11" t="s">
        <v>3751</v>
      </c>
      <c r="F69" s="11" t="s">
        <v>199</v>
      </c>
      <c r="G69" s="25" t="s">
        <v>225</v>
      </c>
      <c r="H69" s="24" t="s">
        <v>225</v>
      </c>
      <c r="I69" s="24" t="s">
        <v>159</v>
      </c>
      <c r="J69" s="12"/>
      <c r="K69" s="12" t="str">
        <f>"297,5"</f>
        <v>297,5</v>
      </c>
      <c r="L69" s="12" t="str">
        <f>"181,9510"</f>
        <v>181,9510</v>
      </c>
      <c r="M69" s="11" t="s">
        <v>2685</v>
      </c>
    </row>
    <row r="70" spans="1:13">
      <c r="A70" s="12" t="s">
        <v>417</v>
      </c>
      <c r="B70" s="11" t="s">
        <v>2657</v>
      </c>
      <c r="C70" s="11" t="s">
        <v>2658</v>
      </c>
      <c r="D70" s="11" t="s">
        <v>244</v>
      </c>
      <c r="E70" s="11" t="s">
        <v>3751</v>
      </c>
      <c r="F70" s="11" t="s">
        <v>3509</v>
      </c>
      <c r="G70" s="24" t="s">
        <v>87</v>
      </c>
      <c r="H70" s="24" t="s">
        <v>154</v>
      </c>
      <c r="I70" s="24" t="s">
        <v>562</v>
      </c>
      <c r="J70" s="12"/>
      <c r="K70" s="12" t="str">
        <f>"252,5"</f>
        <v>252,5</v>
      </c>
      <c r="L70" s="12" t="str">
        <f>"154,4290"</f>
        <v>154,4290</v>
      </c>
      <c r="M70" s="11" t="s">
        <v>2659</v>
      </c>
    </row>
    <row r="71" spans="1:13">
      <c r="A71" s="12" t="s">
        <v>1364</v>
      </c>
      <c r="B71" s="11" t="s">
        <v>2660</v>
      </c>
      <c r="C71" s="11" t="s">
        <v>2661</v>
      </c>
      <c r="D71" s="11" t="s">
        <v>2662</v>
      </c>
      <c r="E71" s="11" t="s">
        <v>3751</v>
      </c>
      <c r="F71" s="11" t="s">
        <v>75</v>
      </c>
      <c r="G71" s="24" t="s">
        <v>71</v>
      </c>
      <c r="H71" s="25" t="s">
        <v>83</v>
      </c>
      <c r="I71" s="24" t="s">
        <v>97</v>
      </c>
      <c r="J71" s="12"/>
      <c r="K71" s="12" t="str">
        <f>"220,0"</f>
        <v>220,0</v>
      </c>
      <c r="L71" s="12" t="str">
        <f>"138,5560"</f>
        <v>138,5560</v>
      </c>
      <c r="M71" s="11"/>
    </row>
    <row r="72" spans="1:13">
      <c r="A72" s="12" t="s">
        <v>412</v>
      </c>
      <c r="B72" s="11" t="s">
        <v>2663</v>
      </c>
      <c r="C72" s="11" t="s">
        <v>2664</v>
      </c>
      <c r="D72" s="11" t="s">
        <v>234</v>
      </c>
      <c r="E72" s="11" t="s">
        <v>3751</v>
      </c>
      <c r="F72" s="11" t="s">
        <v>3664</v>
      </c>
      <c r="G72" s="25" t="s">
        <v>121</v>
      </c>
      <c r="H72" s="25" t="s">
        <v>114</v>
      </c>
      <c r="I72" s="25" t="s">
        <v>114</v>
      </c>
      <c r="J72" s="12"/>
      <c r="K72" s="12" t="str">
        <f>"0.00"</f>
        <v>0.00</v>
      </c>
      <c r="L72" s="12" t="str">
        <f>"0,0000"</f>
        <v>0,0000</v>
      </c>
      <c r="M72" s="11"/>
    </row>
    <row r="73" spans="1:13">
      <c r="A73" s="12" t="s">
        <v>408</v>
      </c>
      <c r="B73" s="11" t="s">
        <v>2665</v>
      </c>
      <c r="C73" s="11" t="s">
        <v>2666</v>
      </c>
      <c r="D73" s="11" t="s">
        <v>1608</v>
      </c>
      <c r="E73" s="11" t="s">
        <v>3753</v>
      </c>
      <c r="F73" s="11" t="s">
        <v>1495</v>
      </c>
      <c r="G73" s="24" t="s">
        <v>37</v>
      </c>
      <c r="H73" s="24" t="s">
        <v>29</v>
      </c>
      <c r="I73" s="24" t="s">
        <v>71</v>
      </c>
      <c r="J73" s="12"/>
      <c r="K73" s="12" t="str">
        <f>"200,0"</f>
        <v>200,0</v>
      </c>
      <c r="L73" s="12" t="str">
        <f>"137,8330"</f>
        <v>137,8330</v>
      </c>
      <c r="M73" s="11"/>
    </row>
    <row r="74" spans="1:13">
      <c r="A74" s="12" t="s">
        <v>408</v>
      </c>
      <c r="B74" s="11" t="s">
        <v>1679</v>
      </c>
      <c r="C74" s="11" t="s">
        <v>1680</v>
      </c>
      <c r="D74" s="11" t="s">
        <v>1624</v>
      </c>
      <c r="E74" s="11" t="s">
        <v>3756</v>
      </c>
      <c r="F74" s="11" t="s">
        <v>3528</v>
      </c>
      <c r="G74" s="24" t="s">
        <v>98</v>
      </c>
      <c r="H74" s="24" t="s">
        <v>1681</v>
      </c>
      <c r="I74" s="25" t="s">
        <v>1682</v>
      </c>
      <c r="J74" s="12"/>
      <c r="K74" s="12" t="str">
        <f>"245,5"</f>
        <v>245,5</v>
      </c>
      <c r="L74" s="12" t="str">
        <f>"192,7007"</f>
        <v>192,7007</v>
      </c>
      <c r="M74" s="11"/>
    </row>
    <row r="75" spans="1:13">
      <c r="A75" s="12" t="s">
        <v>408</v>
      </c>
      <c r="B75" s="11" t="s">
        <v>741</v>
      </c>
      <c r="C75" s="11" t="s">
        <v>742</v>
      </c>
      <c r="D75" s="11" t="s">
        <v>743</v>
      </c>
      <c r="E75" s="11" t="s">
        <v>3757</v>
      </c>
      <c r="F75" s="11" t="s">
        <v>3523</v>
      </c>
      <c r="G75" s="24" t="s">
        <v>86</v>
      </c>
      <c r="H75" s="24" t="s">
        <v>98</v>
      </c>
      <c r="I75" s="24" t="s">
        <v>87</v>
      </c>
      <c r="J75" s="12"/>
      <c r="K75" s="12" t="str">
        <f>"235,0"</f>
        <v>235,0</v>
      </c>
      <c r="L75" s="12" t="str">
        <f>"203,7253"</f>
        <v>203,7253</v>
      </c>
      <c r="M75" s="11" t="s">
        <v>744</v>
      </c>
    </row>
    <row r="76" spans="1:13">
      <c r="A76" s="14" t="s">
        <v>408</v>
      </c>
      <c r="B76" s="13" t="s">
        <v>2667</v>
      </c>
      <c r="C76" s="13" t="s">
        <v>2668</v>
      </c>
      <c r="D76" s="13" t="s">
        <v>1256</v>
      </c>
      <c r="E76" s="13" t="s">
        <v>3758</v>
      </c>
      <c r="F76" s="13" t="s">
        <v>3640</v>
      </c>
      <c r="G76" s="26" t="s">
        <v>35</v>
      </c>
      <c r="H76" s="26" t="s">
        <v>36</v>
      </c>
      <c r="I76" s="26" t="s">
        <v>2669</v>
      </c>
      <c r="J76" s="26" t="s">
        <v>37</v>
      </c>
      <c r="K76" s="14" t="str">
        <f>"166,0"</f>
        <v>166,0</v>
      </c>
      <c r="L76" s="14" t="str">
        <f>"193,6241"</f>
        <v>193,6241</v>
      </c>
      <c r="M76" s="13"/>
    </row>
    <row r="77" spans="1:13">
      <c r="B77" s="5" t="s">
        <v>409</v>
      </c>
    </row>
    <row r="78" spans="1:13" ht="16">
      <c r="A78" s="57" t="s">
        <v>258</v>
      </c>
      <c r="B78" s="57"/>
      <c r="C78" s="57"/>
      <c r="D78" s="57"/>
      <c r="E78" s="57"/>
      <c r="F78" s="57"/>
      <c r="G78" s="57"/>
      <c r="H78" s="57"/>
      <c r="I78" s="57"/>
      <c r="J78" s="57"/>
    </row>
    <row r="79" spans="1:13">
      <c r="A79" s="10" t="s">
        <v>408</v>
      </c>
      <c r="B79" s="9" t="s">
        <v>2670</v>
      </c>
      <c r="C79" s="9" t="s">
        <v>335</v>
      </c>
      <c r="D79" s="9" t="s">
        <v>782</v>
      </c>
      <c r="E79" s="9" t="s">
        <v>3754</v>
      </c>
      <c r="F79" s="9" t="s">
        <v>3738</v>
      </c>
      <c r="G79" s="23" t="s">
        <v>2671</v>
      </c>
      <c r="H79" s="23" t="s">
        <v>798</v>
      </c>
      <c r="I79" s="22" t="s">
        <v>333</v>
      </c>
      <c r="J79" s="10"/>
      <c r="K79" s="10" t="str">
        <f>"342,5"</f>
        <v>342,5</v>
      </c>
      <c r="L79" s="10" t="str">
        <f>"203,0340"</f>
        <v>203,0340</v>
      </c>
      <c r="M79" s="9"/>
    </row>
    <row r="80" spans="1:13">
      <c r="A80" s="12" t="s">
        <v>410</v>
      </c>
      <c r="B80" s="11" t="s">
        <v>2672</v>
      </c>
      <c r="C80" s="11" t="s">
        <v>2673</v>
      </c>
      <c r="D80" s="11" t="s">
        <v>544</v>
      </c>
      <c r="E80" s="11" t="s">
        <v>3754</v>
      </c>
      <c r="F80" s="11" t="s">
        <v>3552</v>
      </c>
      <c r="G80" s="24" t="s">
        <v>70</v>
      </c>
      <c r="H80" s="24" t="s">
        <v>67</v>
      </c>
      <c r="I80" s="25" t="s">
        <v>288</v>
      </c>
      <c r="J80" s="12"/>
      <c r="K80" s="12" t="str">
        <f>"205,0"</f>
        <v>205,0</v>
      </c>
      <c r="L80" s="12" t="str">
        <f>"120,7450"</f>
        <v>120,7450</v>
      </c>
      <c r="M80" s="11" t="s">
        <v>601</v>
      </c>
    </row>
    <row r="81" spans="1:13">
      <c r="A81" s="12" t="s">
        <v>408</v>
      </c>
      <c r="B81" s="11" t="s">
        <v>3359</v>
      </c>
      <c r="C81" s="11" t="s">
        <v>260</v>
      </c>
      <c r="D81" s="11" t="s">
        <v>261</v>
      </c>
      <c r="E81" s="11" t="s">
        <v>3751</v>
      </c>
      <c r="F81" s="11" t="s">
        <v>262</v>
      </c>
      <c r="G81" s="24" t="s">
        <v>221</v>
      </c>
      <c r="H81" s="24" t="s">
        <v>263</v>
      </c>
      <c r="I81" s="25" t="s">
        <v>264</v>
      </c>
      <c r="J81" s="12"/>
      <c r="K81" s="12" t="str">
        <f>"370,0"</f>
        <v>370,0</v>
      </c>
      <c r="L81" s="12" t="str">
        <f>"219,1510"</f>
        <v>219,1510</v>
      </c>
      <c r="M81" s="11" t="s">
        <v>265</v>
      </c>
    </row>
    <row r="82" spans="1:13">
      <c r="A82" s="12" t="s">
        <v>410</v>
      </c>
      <c r="B82" s="11" t="s">
        <v>756</v>
      </c>
      <c r="C82" s="11" t="s">
        <v>757</v>
      </c>
      <c r="D82" s="11" t="s">
        <v>758</v>
      </c>
      <c r="E82" s="11" t="s">
        <v>3751</v>
      </c>
      <c r="F82" s="11" t="s">
        <v>3593</v>
      </c>
      <c r="G82" s="24" t="s">
        <v>759</v>
      </c>
      <c r="H82" s="24" t="s">
        <v>284</v>
      </c>
      <c r="I82" s="24" t="s">
        <v>297</v>
      </c>
      <c r="J82" s="12"/>
      <c r="K82" s="12" t="str">
        <f>"360,0"</f>
        <v>360,0</v>
      </c>
      <c r="L82" s="12" t="str">
        <f>"212,1120"</f>
        <v>212,1120</v>
      </c>
      <c r="M82" s="11"/>
    </row>
    <row r="83" spans="1:13">
      <c r="A83" s="12" t="s">
        <v>411</v>
      </c>
      <c r="B83" s="11" t="s">
        <v>2674</v>
      </c>
      <c r="C83" s="11" t="s">
        <v>2675</v>
      </c>
      <c r="D83" s="11" t="s">
        <v>270</v>
      </c>
      <c r="E83" s="11" t="s">
        <v>3751</v>
      </c>
      <c r="F83" s="11" t="s">
        <v>3657</v>
      </c>
      <c r="G83" s="24" t="s">
        <v>182</v>
      </c>
      <c r="H83" s="24" t="s">
        <v>121</v>
      </c>
      <c r="I83" s="24" t="s">
        <v>114</v>
      </c>
      <c r="J83" s="12"/>
      <c r="K83" s="12" t="str">
        <f>"290,0"</f>
        <v>290,0</v>
      </c>
      <c r="L83" s="12" t="str">
        <f>"171,7960"</f>
        <v>171,7960</v>
      </c>
      <c r="M83" s="11" t="s">
        <v>72</v>
      </c>
    </row>
    <row r="84" spans="1:13">
      <c r="A84" s="12" t="s">
        <v>413</v>
      </c>
      <c r="B84" s="11" t="s">
        <v>768</v>
      </c>
      <c r="C84" s="11" t="s">
        <v>769</v>
      </c>
      <c r="D84" s="11" t="s">
        <v>770</v>
      </c>
      <c r="E84" s="11" t="s">
        <v>3751</v>
      </c>
      <c r="F84" s="11" t="s">
        <v>3509</v>
      </c>
      <c r="G84" s="24" t="s">
        <v>121</v>
      </c>
      <c r="H84" s="25" t="s">
        <v>112</v>
      </c>
      <c r="I84" s="25" t="s">
        <v>128</v>
      </c>
      <c r="J84" s="12"/>
      <c r="K84" s="12" t="str">
        <f>"280,0"</f>
        <v>280,0</v>
      </c>
      <c r="L84" s="12" t="str">
        <f>"164,8360"</f>
        <v>164,8360</v>
      </c>
      <c r="M84" s="11" t="s">
        <v>772</v>
      </c>
    </row>
    <row r="85" spans="1:13">
      <c r="A85" s="12" t="s">
        <v>414</v>
      </c>
      <c r="B85" s="11" t="s">
        <v>2717</v>
      </c>
      <c r="C85" s="11" t="s">
        <v>2676</v>
      </c>
      <c r="D85" s="11" t="s">
        <v>1699</v>
      </c>
      <c r="E85" s="11" t="s">
        <v>3751</v>
      </c>
      <c r="F85" s="11" t="s">
        <v>1495</v>
      </c>
      <c r="G85" s="24" t="s">
        <v>133</v>
      </c>
      <c r="H85" s="24" t="s">
        <v>119</v>
      </c>
      <c r="I85" s="24" t="s">
        <v>120</v>
      </c>
      <c r="J85" s="12"/>
      <c r="K85" s="12" t="str">
        <f>"270,0"</f>
        <v>270,0</v>
      </c>
      <c r="L85" s="12" t="str">
        <f>"159,8670"</f>
        <v>159,8670</v>
      </c>
      <c r="M85" s="11"/>
    </row>
    <row r="86" spans="1:13">
      <c r="A86" s="12" t="s">
        <v>408</v>
      </c>
      <c r="B86" s="11" t="s">
        <v>2677</v>
      </c>
      <c r="C86" s="11" t="s">
        <v>2678</v>
      </c>
      <c r="D86" s="11" t="s">
        <v>529</v>
      </c>
      <c r="E86" s="11" t="s">
        <v>3753</v>
      </c>
      <c r="F86" s="11" t="s">
        <v>75</v>
      </c>
      <c r="G86" s="24" t="s">
        <v>36</v>
      </c>
      <c r="H86" s="24" t="s">
        <v>37</v>
      </c>
      <c r="I86" s="24" t="s">
        <v>40</v>
      </c>
      <c r="J86" s="12"/>
      <c r="K86" s="12" t="str">
        <f>"180,0"</f>
        <v>180,0</v>
      </c>
      <c r="L86" s="12" t="str">
        <f>"115,5676"</f>
        <v>115,5676</v>
      </c>
      <c r="M86" s="11"/>
    </row>
    <row r="87" spans="1:13">
      <c r="A87" s="14" t="s">
        <v>408</v>
      </c>
      <c r="B87" s="13" t="s">
        <v>278</v>
      </c>
      <c r="C87" s="13" t="s">
        <v>279</v>
      </c>
      <c r="D87" s="13" t="s">
        <v>270</v>
      </c>
      <c r="E87" s="13" t="s">
        <v>3756</v>
      </c>
      <c r="F87" s="13" t="s">
        <v>3520</v>
      </c>
      <c r="G87" s="26" t="s">
        <v>133</v>
      </c>
      <c r="H87" s="27" t="s">
        <v>134</v>
      </c>
      <c r="I87" s="27" t="s">
        <v>205</v>
      </c>
      <c r="J87" s="14"/>
      <c r="K87" s="14" t="str">
        <f>"240,0"</f>
        <v>240,0</v>
      </c>
      <c r="L87" s="14" t="str">
        <f>"184,4023"</f>
        <v>184,4023</v>
      </c>
      <c r="M87" s="13"/>
    </row>
    <row r="88" spans="1:13">
      <c r="B88" s="5" t="s">
        <v>409</v>
      </c>
    </row>
    <row r="89" spans="1:13" ht="16">
      <c r="A89" s="57" t="s">
        <v>280</v>
      </c>
      <c r="B89" s="57"/>
      <c r="C89" s="57"/>
      <c r="D89" s="57"/>
      <c r="E89" s="57"/>
      <c r="F89" s="57"/>
      <c r="G89" s="57"/>
      <c r="H89" s="57"/>
      <c r="I89" s="57"/>
      <c r="J89" s="57"/>
    </row>
    <row r="90" spans="1:13">
      <c r="A90" s="10" t="s">
        <v>408</v>
      </c>
      <c r="B90" s="9" t="s">
        <v>2679</v>
      </c>
      <c r="C90" s="9" t="s">
        <v>2680</v>
      </c>
      <c r="D90" s="9" t="s">
        <v>1783</v>
      </c>
      <c r="E90" s="9" t="s">
        <v>3752</v>
      </c>
      <c r="F90" s="9" t="s">
        <v>1495</v>
      </c>
      <c r="G90" s="23" t="s">
        <v>35</v>
      </c>
      <c r="H90" s="23" t="s">
        <v>36</v>
      </c>
      <c r="I90" s="23" t="s">
        <v>59</v>
      </c>
      <c r="J90" s="10"/>
      <c r="K90" s="10" t="str">
        <f>"165,0"</f>
        <v>165,0</v>
      </c>
      <c r="L90" s="10" t="str">
        <f>"94,5120"</f>
        <v>94,5120</v>
      </c>
      <c r="M90" s="9"/>
    </row>
    <row r="91" spans="1:13">
      <c r="A91" s="12" t="s">
        <v>408</v>
      </c>
      <c r="B91" s="11" t="s">
        <v>2681</v>
      </c>
      <c r="C91" s="11" t="s">
        <v>2682</v>
      </c>
      <c r="D91" s="11" t="s">
        <v>2683</v>
      </c>
      <c r="E91" s="11" t="s">
        <v>3751</v>
      </c>
      <c r="F91" s="11" t="s">
        <v>199</v>
      </c>
      <c r="G91" s="25" t="s">
        <v>284</v>
      </c>
      <c r="H91" s="24" t="s">
        <v>284</v>
      </c>
      <c r="I91" s="25" t="s">
        <v>2684</v>
      </c>
      <c r="J91" s="12"/>
      <c r="K91" s="12" t="str">
        <f>"355,0"</f>
        <v>355,0</v>
      </c>
      <c r="L91" s="12" t="str">
        <f>"203,7700"</f>
        <v>203,7700</v>
      </c>
      <c r="M91" s="11" t="s">
        <v>2685</v>
      </c>
    </row>
    <row r="92" spans="1:13">
      <c r="A92" s="12" t="s">
        <v>410</v>
      </c>
      <c r="B92" s="11" t="s">
        <v>795</v>
      </c>
      <c r="C92" s="11" t="s">
        <v>796</v>
      </c>
      <c r="D92" s="11" t="s">
        <v>797</v>
      </c>
      <c r="E92" s="11" t="s">
        <v>3751</v>
      </c>
      <c r="F92" s="11" t="s">
        <v>3596</v>
      </c>
      <c r="G92" s="24" t="s">
        <v>211</v>
      </c>
      <c r="H92" s="24" t="s">
        <v>162</v>
      </c>
      <c r="I92" s="25" t="s">
        <v>798</v>
      </c>
      <c r="J92" s="12"/>
      <c r="K92" s="12" t="str">
        <f>"335,0"</f>
        <v>335,0</v>
      </c>
      <c r="L92" s="12" t="str">
        <f>"191,2515"</f>
        <v>191,2515</v>
      </c>
      <c r="M92" s="11"/>
    </row>
    <row r="93" spans="1:13">
      <c r="A93" s="12" t="s">
        <v>411</v>
      </c>
      <c r="B93" s="11" t="s">
        <v>812</v>
      </c>
      <c r="C93" s="11" t="s">
        <v>813</v>
      </c>
      <c r="D93" s="11" t="s">
        <v>814</v>
      </c>
      <c r="E93" s="11" t="s">
        <v>3751</v>
      </c>
      <c r="F93" s="11" t="s">
        <v>199</v>
      </c>
      <c r="G93" s="24" t="s">
        <v>114</v>
      </c>
      <c r="H93" s="24" t="s">
        <v>128</v>
      </c>
      <c r="I93" s="25" t="s">
        <v>216</v>
      </c>
      <c r="J93" s="12"/>
      <c r="K93" s="12" t="str">
        <f>"300,0"</f>
        <v>300,0</v>
      </c>
      <c r="L93" s="12" t="str">
        <f>"171,9300"</f>
        <v>171,9300</v>
      </c>
      <c r="M93" s="11"/>
    </row>
    <row r="94" spans="1:13">
      <c r="A94" s="12" t="s">
        <v>413</v>
      </c>
      <c r="B94" s="11" t="s">
        <v>2686</v>
      </c>
      <c r="C94" s="11" t="s">
        <v>2687</v>
      </c>
      <c r="D94" s="11" t="s">
        <v>557</v>
      </c>
      <c r="E94" s="11" t="s">
        <v>3751</v>
      </c>
      <c r="F94" s="11" t="s">
        <v>3509</v>
      </c>
      <c r="G94" s="24" t="s">
        <v>121</v>
      </c>
      <c r="H94" s="25" t="s">
        <v>114</v>
      </c>
      <c r="I94" s="24" t="s">
        <v>112</v>
      </c>
      <c r="J94" s="12"/>
      <c r="K94" s="12" t="str">
        <f>"295,0"</f>
        <v>295,0</v>
      </c>
      <c r="L94" s="12" t="str">
        <f>"169,8905"</f>
        <v>169,8905</v>
      </c>
      <c r="M94" s="11"/>
    </row>
    <row r="95" spans="1:13">
      <c r="A95" s="12" t="s">
        <v>414</v>
      </c>
      <c r="B95" s="11" t="s">
        <v>1779</v>
      </c>
      <c r="C95" s="11" t="s">
        <v>2688</v>
      </c>
      <c r="D95" s="11" t="s">
        <v>1448</v>
      </c>
      <c r="E95" s="11" t="s">
        <v>3751</v>
      </c>
      <c r="F95" s="11" t="s">
        <v>3719</v>
      </c>
      <c r="G95" s="24" t="s">
        <v>120</v>
      </c>
      <c r="H95" s="24" t="s">
        <v>125</v>
      </c>
      <c r="I95" s="12"/>
      <c r="J95" s="12"/>
      <c r="K95" s="12" t="str">
        <f>"277,5"</f>
        <v>277,5</v>
      </c>
      <c r="L95" s="12" t="str">
        <f>"159,8677"</f>
        <v>159,8677</v>
      </c>
      <c r="M95" s="11"/>
    </row>
    <row r="96" spans="1:13">
      <c r="A96" s="12" t="s">
        <v>408</v>
      </c>
      <c r="B96" s="11" t="s">
        <v>1779</v>
      </c>
      <c r="C96" s="11" t="s">
        <v>1780</v>
      </c>
      <c r="D96" s="11" t="s">
        <v>1448</v>
      </c>
      <c r="E96" s="11" t="s">
        <v>3753</v>
      </c>
      <c r="F96" s="11" t="s">
        <v>3719</v>
      </c>
      <c r="G96" s="24" t="s">
        <v>120</v>
      </c>
      <c r="H96" s="24" t="s">
        <v>125</v>
      </c>
      <c r="I96" s="12"/>
      <c r="J96" s="12"/>
      <c r="K96" s="12" t="str">
        <f>"277,5"</f>
        <v>277,5</v>
      </c>
      <c r="L96" s="12" t="str">
        <f>"172,3374"</f>
        <v>172,3374</v>
      </c>
      <c r="M96" s="11"/>
    </row>
    <row r="97" spans="1:13">
      <c r="A97" s="14" t="s">
        <v>408</v>
      </c>
      <c r="B97" s="13" t="s">
        <v>325</v>
      </c>
      <c r="C97" s="13" t="s">
        <v>326</v>
      </c>
      <c r="D97" s="13" t="s">
        <v>327</v>
      </c>
      <c r="E97" s="13" t="s">
        <v>3756</v>
      </c>
      <c r="F97" s="13" t="s">
        <v>3623</v>
      </c>
      <c r="G97" s="26" t="s">
        <v>71</v>
      </c>
      <c r="H97" s="26" t="s">
        <v>97</v>
      </c>
      <c r="I97" s="14"/>
      <c r="J97" s="14"/>
      <c r="K97" s="14" t="str">
        <f>"220,0"</f>
        <v>220,0</v>
      </c>
      <c r="L97" s="14" t="str">
        <f>"152,4996"</f>
        <v>152,4996</v>
      </c>
      <c r="M97" s="13" t="s">
        <v>3390</v>
      </c>
    </row>
    <row r="98" spans="1:13">
      <c r="B98" s="5" t="s">
        <v>409</v>
      </c>
    </row>
    <row r="99" spans="1:13" ht="16">
      <c r="A99" s="57" t="s">
        <v>328</v>
      </c>
      <c r="B99" s="57"/>
      <c r="C99" s="57"/>
      <c r="D99" s="57"/>
      <c r="E99" s="57"/>
      <c r="F99" s="57"/>
      <c r="G99" s="57"/>
      <c r="H99" s="57"/>
      <c r="I99" s="57"/>
      <c r="J99" s="57"/>
    </row>
    <row r="100" spans="1:13">
      <c r="A100" s="10" t="s">
        <v>408</v>
      </c>
      <c r="B100" s="9" t="s">
        <v>2689</v>
      </c>
      <c r="C100" s="9" t="s">
        <v>2690</v>
      </c>
      <c r="D100" s="9" t="s">
        <v>2691</v>
      </c>
      <c r="E100" s="9" t="s">
        <v>3752</v>
      </c>
      <c r="F100" s="9" t="s">
        <v>1495</v>
      </c>
      <c r="G100" s="23" t="s">
        <v>37</v>
      </c>
      <c r="H100" s="23" t="s">
        <v>29</v>
      </c>
      <c r="I100" s="23" t="s">
        <v>66</v>
      </c>
      <c r="J100" s="10"/>
      <c r="K100" s="10" t="str">
        <f>"195,0"</f>
        <v>195,0</v>
      </c>
      <c r="L100" s="10" t="str">
        <f>"110,1360"</f>
        <v>110,1360</v>
      </c>
      <c r="M100" s="9"/>
    </row>
    <row r="101" spans="1:13">
      <c r="A101" s="12" t="s">
        <v>408</v>
      </c>
      <c r="B101" s="11" t="s">
        <v>334</v>
      </c>
      <c r="C101" s="11" t="s">
        <v>335</v>
      </c>
      <c r="D101" s="11" t="s">
        <v>336</v>
      </c>
      <c r="E101" s="11" t="s">
        <v>3754</v>
      </c>
      <c r="F101" s="11" t="s">
        <v>75</v>
      </c>
      <c r="G101" s="24" t="s">
        <v>119</v>
      </c>
      <c r="H101" s="24" t="s">
        <v>110</v>
      </c>
      <c r="I101" s="24" t="s">
        <v>111</v>
      </c>
      <c r="J101" s="12"/>
      <c r="K101" s="12" t="str">
        <f>"285,0"</f>
        <v>285,0</v>
      </c>
      <c r="L101" s="12" t="str">
        <f>"161,1390"</f>
        <v>161,1390</v>
      </c>
      <c r="M101" s="11"/>
    </row>
    <row r="102" spans="1:13">
      <c r="A102" s="12" t="s">
        <v>408</v>
      </c>
      <c r="B102" s="11" t="s">
        <v>2692</v>
      </c>
      <c r="C102" s="11" t="s">
        <v>2693</v>
      </c>
      <c r="D102" s="11" t="s">
        <v>2694</v>
      </c>
      <c r="E102" s="11" t="s">
        <v>3751</v>
      </c>
      <c r="F102" s="11" t="s">
        <v>3739</v>
      </c>
      <c r="G102" s="24" t="s">
        <v>221</v>
      </c>
      <c r="H102" s="25" t="s">
        <v>297</v>
      </c>
      <c r="I102" s="25" t="s">
        <v>297</v>
      </c>
      <c r="J102" s="12"/>
      <c r="K102" s="12" t="str">
        <f>"340,0"</f>
        <v>340,0</v>
      </c>
      <c r="L102" s="12" t="str">
        <f>"191,4880"</f>
        <v>191,4880</v>
      </c>
      <c r="M102" s="11"/>
    </row>
    <row r="103" spans="1:13">
      <c r="A103" s="12" t="s">
        <v>410</v>
      </c>
      <c r="B103" s="11" t="s">
        <v>2695</v>
      </c>
      <c r="C103" s="11" t="s">
        <v>2696</v>
      </c>
      <c r="D103" s="11" t="s">
        <v>2697</v>
      </c>
      <c r="E103" s="11" t="s">
        <v>3751</v>
      </c>
      <c r="F103" s="11" t="s">
        <v>3740</v>
      </c>
      <c r="G103" s="24" t="s">
        <v>205</v>
      </c>
      <c r="H103" s="24" t="s">
        <v>120</v>
      </c>
      <c r="I103" s="25" t="s">
        <v>121</v>
      </c>
      <c r="J103" s="12"/>
      <c r="K103" s="12" t="str">
        <f>"270,0"</f>
        <v>270,0</v>
      </c>
      <c r="L103" s="12" t="str">
        <f>"153,2250"</f>
        <v>153,2250</v>
      </c>
      <c r="M103" s="11"/>
    </row>
    <row r="104" spans="1:13">
      <c r="A104" s="12" t="s">
        <v>408</v>
      </c>
      <c r="B104" s="11" t="s">
        <v>2698</v>
      </c>
      <c r="C104" s="11" t="s">
        <v>2699</v>
      </c>
      <c r="D104" s="11" t="s">
        <v>2700</v>
      </c>
      <c r="E104" s="11" t="s">
        <v>3753</v>
      </c>
      <c r="F104" s="11" t="s">
        <v>3690</v>
      </c>
      <c r="G104" s="24" t="s">
        <v>212</v>
      </c>
      <c r="H104" s="24" t="s">
        <v>333</v>
      </c>
      <c r="I104" s="25" t="s">
        <v>297</v>
      </c>
      <c r="J104" s="12"/>
      <c r="K104" s="12" t="str">
        <f>"350,0"</f>
        <v>350,0</v>
      </c>
      <c r="L104" s="12" t="str">
        <f>"220,8784"</f>
        <v>220,8784</v>
      </c>
      <c r="M104" s="11" t="s">
        <v>2701</v>
      </c>
    </row>
    <row r="105" spans="1:13">
      <c r="A105" s="12" t="s">
        <v>410</v>
      </c>
      <c r="B105" s="11" t="s">
        <v>343</v>
      </c>
      <c r="C105" s="11" t="s">
        <v>344</v>
      </c>
      <c r="D105" s="11" t="s">
        <v>345</v>
      </c>
      <c r="E105" s="11" t="s">
        <v>3753</v>
      </c>
      <c r="F105" s="11" t="s">
        <v>3580</v>
      </c>
      <c r="G105" s="24" t="s">
        <v>86</v>
      </c>
      <c r="H105" s="24" t="s">
        <v>134</v>
      </c>
      <c r="I105" s="24" t="s">
        <v>110</v>
      </c>
      <c r="J105" s="12"/>
      <c r="K105" s="12" t="str">
        <f>"275,0"</f>
        <v>275,0</v>
      </c>
      <c r="L105" s="12" t="str">
        <f>"171,8623"</f>
        <v>171,8623</v>
      </c>
      <c r="M105" s="11" t="s">
        <v>188</v>
      </c>
    </row>
    <row r="106" spans="1:13">
      <c r="A106" s="14" t="s">
        <v>411</v>
      </c>
      <c r="B106" s="13" t="s">
        <v>2695</v>
      </c>
      <c r="C106" s="13" t="s">
        <v>2702</v>
      </c>
      <c r="D106" s="13" t="s">
        <v>2697</v>
      </c>
      <c r="E106" s="13" t="s">
        <v>3753</v>
      </c>
      <c r="F106" s="13" t="s">
        <v>3740</v>
      </c>
      <c r="G106" s="26" t="s">
        <v>205</v>
      </c>
      <c r="H106" s="26" t="s">
        <v>120</v>
      </c>
      <c r="I106" s="27" t="s">
        <v>121</v>
      </c>
      <c r="J106" s="14"/>
      <c r="K106" s="14" t="str">
        <f>"270,0"</f>
        <v>270,0</v>
      </c>
      <c r="L106" s="14" t="str">
        <f>"170,6926"</f>
        <v>170,6926</v>
      </c>
      <c r="M106" s="13"/>
    </row>
    <row r="107" spans="1:13">
      <c r="B107" s="5" t="s">
        <v>409</v>
      </c>
    </row>
    <row r="108" spans="1:13">
      <c r="B108" s="5" t="s">
        <v>409</v>
      </c>
    </row>
    <row r="109" spans="1:13">
      <c r="B109" s="5" t="s">
        <v>409</v>
      </c>
    </row>
    <row r="110" spans="1:13" ht="18">
      <c r="B110" s="15" t="s">
        <v>365</v>
      </c>
      <c r="C110" s="15"/>
      <c r="F110" s="3"/>
    </row>
    <row r="111" spans="1:13" ht="16">
      <c r="B111" s="16" t="s">
        <v>366</v>
      </c>
      <c r="C111" s="16"/>
      <c r="F111" s="3"/>
    </row>
    <row r="112" spans="1:13" ht="14">
      <c r="B112" s="17"/>
      <c r="C112" s="18" t="s">
        <v>367</v>
      </c>
      <c r="F112" s="3"/>
    </row>
    <row r="113" spans="2:6" ht="14">
      <c r="B113" s="19" t="s">
        <v>368</v>
      </c>
      <c r="C113" s="19" t="s">
        <v>369</v>
      </c>
      <c r="D113" s="19" t="s">
        <v>3230</v>
      </c>
      <c r="E113" s="19" t="s">
        <v>1456</v>
      </c>
      <c r="F113" s="19" t="s">
        <v>372</v>
      </c>
    </row>
    <row r="114" spans="2:6">
      <c r="B114" s="5" t="s">
        <v>607</v>
      </c>
      <c r="C114" s="5" t="s">
        <v>367</v>
      </c>
      <c r="D114" s="6" t="s">
        <v>569</v>
      </c>
      <c r="E114" s="6" t="s">
        <v>66</v>
      </c>
      <c r="F114" s="6" t="s">
        <v>2703</v>
      </c>
    </row>
    <row r="115" spans="2:6">
      <c r="B115" s="5" t="s">
        <v>2597</v>
      </c>
      <c r="C115" s="5" t="s">
        <v>367</v>
      </c>
      <c r="D115" s="6" t="s">
        <v>379</v>
      </c>
      <c r="E115" s="6" t="s">
        <v>36</v>
      </c>
      <c r="F115" s="6" t="s">
        <v>2704</v>
      </c>
    </row>
    <row r="116" spans="2:6">
      <c r="B116" s="5" t="s">
        <v>2601</v>
      </c>
      <c r="C116" s="5" t="s">
        <v>367</v>
      </c>
      <c r="D116" s="6" t="s">
        <v>2705</v>
      </c>
      <c r="E116" s="6" t="s">
        <v>70</v>
      </c>
      <c r="F116" s="6" t="s">
        <v>2706</v>
      </c>
    </row>
    <row r="118" spans="2:6" ht="16">
      <c r="B118" s="16" t="s">
        <v>385</v>
      </c>
      <c r="C118" s="16"/>
    </row>
    <row r="119" spans="2:6" ht="14">
      <c r="B119" s="17"/>
      <c r="C119" s="18" t="s">
        <v>388</v>
      </c>
    </row>
    <row r="120" spans="2:6" ht="14">
      <c r="B120" s="19" t="s">
        <v>368</v>
      </c>
      <c r="C120" s="19" t="s">
        <v>369</v>
      </c>
      <c r="D120" s="19" t="s">
        <v>3230</v>
      </c>
      <c r="E120" s="19" t="s">
        <v>1456</v>
      </c>
      <c r="F120" s="19" t="s">
        <v>372</v>
      </c>
    </row>
    <row r="121" spans="2:6">
      <c r="B121" s="5" t="s">
        <v>2642</v>
      </c>
      <c r="C121" s="5" t="s">
        <v>388</v>
      </c>
      <c r="D121" s="6" t="s">
        <v>390</v>
      </c>
      <c r="E121" s="6" t="s">
        <v>162</v>
      </c>
      <c r="F121" s="6" t="s">
        <v>2707</v>
      </c>
    </row>
    <row r="122" spans="2:6">
      <c r="B122" s="5" t="s">
        <v>2670</v>
      </c>
      <c r="C122" s="5" t="s">
        <v>388</v>
      </c>
      <c r="D122" s="6" t="s">
        <v>391</v>
      </c>
      <c r="E122" s="6" t="s">
        <v>798</v>
      </c>
      <c r="F122" s="6" t="s">
        <v>2708</v>
      </c>
    </row>
    <row r="123" spans="2:6">
      <c r="B123" s="5" t="s">
        <v>681</v>
      </c>
      <c r="C123" s="5" t="s">
        <v>388</v>
      </c>
      <c r="D123" s="6" t="s">
        <v>394</v>
      </c>
      <c r="E123" s="6" t="s">
        <v>114</v>
      </c>
      <c r="F123" s="6" t="s">
        <v>2709</v>
      </c>
    </row>
    <row r="125" spans="2:6" ht="14">
      <c r="B125" s="17"/>
      <c r="C125" s="18" t="s">
        <v>367</v>
      </c>
    </row>
    <row r="126" spans="2:6" ht="14">
      <c r="B126" s="19" t="s">
        <v>368</v>
      </c>
      <c r="C126" s="19" t="s">
        <v>369</v>
      </c>
      <c r="D126" s="19" t="s">
        <v>3230</v>
      </c>
      <c r="E126" s="19" t="s">
        <v>1456</v>
      </c>
      <c r="F126" s="19" t="s">
        <v>372</v>
      </c>
    </row>
    <row r="127" spans="2:6">
      <c r="B127" s="5" t="s">
        <v>259</v>
      </c>
      <c r="C127" s="5" t="s">
        <v>367</v>
      </c>
      <c r="D127" s="6" t="s">
        <v>391</v>
      </c>
      <c r="E127" s="6" t="s">
        <v>263</v>
      </c>
      <c r="F127" s="6" t="s">
        <v>2710</v>
      </c>
    </row>
    <row r="128" spans="2:6">
      <c r="B128" s="5" t="s">
        <v>756</v>
      </c>
      <c r="C128" s="5" t="s">
        <v>367</v>
      </c>
      <c r="D128" s="6" t="s">
        <v>391</v>
      </c>
      <c r="E128" s="6" t="s">
        <v>297</v>
      </c>
      <c r="F128" s="6" t="s">
        <v>2711</v>
      </c>
    </row>
    <row r="129" spans="2:6">
      <c r="B129" s="5" t="s">
        <v>2681</v>
      </c>
      <c r="C129" s="5" t="s">
        <v>367</v>
      </c>
      <c r="D129" s="6" t="s">
        <v>397</v>
      </c>
      <c r="E129" s="6" t="s">
        <v>284</v>
      </c>
      <c r="F129" s="6" t="s">
        <v>2712</v>
      </c>
    </row>
    <row r="131" spans="2:6" ht="14">
      <c r="B131" s="17"/>
      <c r="C131" s="18" t="s">
        <v>382</v>
      </c>
    </row>
    <row r="132" spans="2:6" ht="14">
      <c r="B132" s="19" t="s">
        <v>368</v>
      </c>
      <c r="C132" s="19" t="s">
        <v>369</v>
      </c>
      <c r="D132" s="19" t="s">
        <v>3230</v>
      </c>
      <c r="E132" s="19" t="s">
        <v>1456</v>
      </c>
      <c r="F132" s="19" t="s">
        <v>372</v>
      </c>
    </row>
    <row r="133" spans="2:6">
      <c r="B133" s="5" t="s">
        <v>2637</v>
      </c>
      <c r="C133" s="5" t="s">
        <v>403</v>
      </c>
      <c r="D133" s="6" t="s">
        <v>394</v>
      </c>
      <c r="E133" s="6" t="s">
        <v>134</v>
      </c>
      <c r="F133" s="6" t="s">
        <v>2713</v>
      </c>
    </row>
    <row r="134" spans="2:6">
      <c r="B134" s="5" t="s">
        <v>2640</v>
      </c>
      <c r="C134" s="5" t="s">
        <v>400</v>
      </c>
      <c r="D134" s="6" t="s">
        <v>394</v>
      </c>
      <c r="E134" s="6" t="s">
        <v>98</v>
      </c>
      <c r="F134" s="6" t="s">
        <v>2714</v>
      </c>
    </row>
    <row r="135" spans="2:6">
      <c r="B135" s="5" t="s">
        <v>2698</v>
      </c>
      <c r="C135" s="5" t="s">
        <v>383</v>
      </c>
      <c r="D135" s="6" t="s">
        <v>389</v>
      </c>
      <c r="E135" s="6" t="s">
        <v>333</v>
      </c>
      <c r="F135" s="6" t="s">
        <v>2715</v>
      </c>
    </row>
    <row r="136" spans="2:6">
      <c r="B136" s="5" t="s">
        <v>409</v>
      </c>
    </row>
  </sheetData>
  <mergeCells count="24"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  <mergeCell ref="A5:J5"/>
    <mergeCell ref="B3:B4"/>
    <mergeCell ref="A99:J99"/>
    <mergeCell ref="A8:J8"/>
    <mergeCell ref="A11:J11"/>
    <mergeCell ref="A16:J16"/>
    <mergeCell ref="A19:J19"/>
    <mergeCell ref="A23:J23"/>
    <mergeCell ref="A30:J30"/>
    <mergeCell ref="A36:J36"/>
    <mergeCell ref="A45:J45"/>
    <mergeCell ref="A60:J60"/>
    <mergeCell ref="A78:J78"/>
    <mergeCell ref="A89:J89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M17"/>
  <sheetViews>
    <sheetView workbookViewId="0">
      <selection activeCell="E17" sqref="E17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6640625" style="5" customWidth="1"/>
    <col min="14" max="16384" width="9.1640625" style="3"/>
  </cols>
  <sheetData>
    <row r="1" spans="1:13" s="2" customFormat="1" ht="29" customHeight="1">
      <c r="A1" s="68" t="s">
        <v>3295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8</v>
      </c>
      <c r="H3" s="62"/>
      <c r="I3" s="62"/>
      <c r="J3" s="62"/>
      <c r="K3" s="62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66" t="s">
        <v>93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2804</v>
      </c>
      <c r="C6" s="7" t="s">
        <v>2805</v>
      </c>
      <c r="D6" s="7" t="s">
        <v>104</v>
      </c>
      <c r="E6" s="7" t="s">
        <v>3751</v>
      </c>
      <c r="F6" s="7" t="s">
        <v>3630</v>
      </c>
      <c r="G6" s="20" t="s">
        <v>97</v>
      </c>
      <c r="H6" s="21" t="s">
        <v>87</v>
      </c>
      <c r="I6" s="8"/>
      <c r="J6" s="8"/>
      <c r="K6" s="8" t="str">
        <f>"220,0"</f>
        <v>220,0</v>
      </c>
      <c r="L6" s="8" t="str">
        <f>"158,2460"</f>
        <v>158,2460</v>
      </c>
      <c r="M6" s="7"/>
    </row>
    <row r="7" spans="1:13">
      <c r="B7" s="5" t="s">
        <v>409</v>
      </c>
    </row>
    <row r="8" spans="1:13" ht="16">
      <c r="A8" s="57" t="s">
        <v>150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408</v>
      </c>
      <c r="B9" s="7" t="s">
        <v>2534</v>
      </c>
      <c r="C9" s="7" t="s">
        <v>2535</v>
      </c>
      <c r="D9" s="7" t="s">
        <v>704</v>
      </c>
      <c r="E9" s="7" t="s">
        <v>3753</v>
      </c>
      <c r="F9" s="7" t="s">
        <v>2536</v>
      </c>
      <c r="G9" s="20" t="s">
        <v>40</v>
      </c>
      <c r="H9" s="20" t="s">
        <v>71</v>
      </c>
      <c r="I9" s="20" t="s">
        <v>86</v>
      </c>
      <c r="J9" s="8"/>
      <c r="K9" s="8" t="str">
        <f>"225,0"</f>
        <v>225,0</v>
      </c>
      <c r="L9" s="8" t="str">
        <f>"152,0038"</f>
        <v>152,0038</v>
      </c>
      <c r="M9" s="7"/>
    </row>
    <row r="10" spans="1:13">
      <c r="B10" s="5" t="s">
        <v>409</v>
      </c>
    </row>
    <row r="11" spans="1:13" ht="16">
      <c r="A11" s="57" t="s">
        <v>195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10" t="s">
        <v>408</v>
      </c>
      <c r="B12" s="9" t="s">
        <v>2912</v>
      </c>
      <c r="C12" s="9" t="s">
        <v>2913</v>
      </c>
      <c r="D12" s="9" t="s">
        <v>2914</v>
      </c>
      <c r="E12" s="9" t="s">
        <v>3751</v>
      </c>
      <c r="F12" s="9" t="s">
        <v>3595</v>
      </c>
      <c r="G12" s="23" t="s">
        <v>28</v>
      </c>
      <c r="H12" s="23" t="s">
        <v>67</v>
      </c>
      <c r="I12" s="23" t="s">
        <v>97</v>
      </c>
      <c r="J12" s="10"/>
      <c r="K12" s="10" t="str">
        <f>"220,0"</f>
        <v>220,0</v>
      </c>
      <c r="L12" s="10" t="str">
        <f>"139,5900"</f>
        <v>139,5900</v>
      </c>
      <c r="M12" s="9"/>
    </row>
    <row r="13" spans="1:13">
      <c r="A13" s="14" t="s">
        <v>410</v>
      </c>
      <c r="B13" s="13" t="s">
        <v>2915</v>
      </c>
      <c r="C13" s="13" t="s">
        <v>2916</v>
      </c>
      <c r="D13" s="13" t="s">
        <v>1632</v>
      </c>
      <c r="E13" s="13" t="s">
        <v>3751</v>
      </c>
      <c r="F13" s="13" t="s">
        <v>3741</v>
      </c>
      <c r="G13" s="26" t="s">
        <v>97</v>
      </c>
      <c r="H13" s="27" t="s">
        <v>133</v>
      </c>
      <c r="I13" s="27" t="s">
        <v>133</v>
      </c>
      <c r="J13" s="14"/>
      <c r="K13" s="14" t="str">
        <f>"220,0"</f>
        <v>220,0</v>
      </c>
      <c r="L13" s="14" t="str">
        <f>"134,7060"</f>
        <v>134,7060</v>
      </c>
      <c r="M13" s="13"/>
    </row>
    <row r="14" spans="1:13">
      <c r="B14" s="5" t="s">
        <v>409</v>
      </c>
    </row>
    <row r="15" spans="1:13" ht="16">
      <c r="A15" s="57" t="s">
        <v>258</v>
      </c>
      <c r="B15" s="57"/>
      <c r="C15" s="57"/>
      <c r="D15" s="57"/>
      <c r="E15" s="57"/>
      <c r="F15" s="57"/>
      <c r="G15" s="57"/>
      <c r="H15" s="57"/>
      <c r="I15" s="57"/>
      <c r="J15" s="57"/>
    </row>
    <row r="16" spans="1:13">
      <c r="A16" s="8" t="s">
        <v>408</v>
      </c>
      <c r="B16" s="7" t="s">
        <v>2917</v>
      </c>
      <c r="C16" s="7" t="s">
        <v>2918</v>
      </c>
      <c r="D16" s="7" t="s">
        <v>2919</v>
      </c>
      <c r="E16" s="7" t="s">
        <v>3751</v>
      </c>
      <c r="F16" s="7" t="s">
        <v>1127</v>
      </c>
      <c r="G16" s="20" t="s">
        <v>211</v>
      </c>
      <c r="H16" s="20" t="s">
        <v>221</v>
      </c>
      <c r="I16" s="21" t="s">
        <v>759</v>
      </c>
      <c r="J16" s="8"/>
      <c r="K16" s="8" t="str">
        <f>"340,0"</f>
        <v>340,0</v>
      </c>
      <c r="L16" s="8" t="str">
        <f>"204,6460"</f>
        <v>204,6460</v>
      </c>
      <c r="M16" s="7"/>
    </row>
    <row r="17" spans="2:2">
      <c r="B17" s="5" t="s">
        <v>409</v>
      </c>
    </row>
  </sheetData>
  <mergeCells count="15"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8:J8"/>
    <mergeCell ref="A11:J11"/>
    <mergeCell ref="A15:J15"/>
    <mergeCell ref="B3:B4"/>
    <mergeCell ref="K3:K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24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5.83203125" style="5" customWidth="1"/>
    <col min="14" max="16384" width="9.1640625" style="3"/>
  </cols>
  <sheetData>
    <row r="1" spans="1:13" s="2" customFormat="1" ht="29" customHeight="1">
      <c r="A1" s="68" t="s">
        <v>3296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8</v>
      </c>
      <c r="H3" s="62"/>
      <c r="I3" s="62"/>
      <c r="J3" s="62"/>
      <c r="K3" s="62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3"/>
      <c r="L4" s="63"/>
      <c r="M4" s="65"/>
    </row>
    <row r="5" spans="1:13" ht="16">
      <c r="A5" s="57" t="s">
        <v>55</v>
      </c>
      <c r="B5" s="57"/>
      <c r="C5" s="57"/>
      <c r="D5" s="57"/>
      <c r="E5" s="57"/>
      <c r="F5" s="57"/>
      <c r="G5" s="57"/>
      <c r="H5" s="57"/>
      <c r="I5" s="57"/>
      <c r="J5" s="57"/>
    </row>
    <row r="6" spans="1:13">
      <c r="A6" s="8" t="s">
        <v>408</v>
      </c>
      <c r="B6" s="7" t="s">
        <v>89</v>
      </c>
      <c r="C6" s="7" t="s">
        <v>90</v>
      </c>
      <c r="D6" s="7" t="s">
        <v>91</v>
      </c>
      <c r="E6" s="7" t="s">
        <v>3751</v>
      </c>
      <c r="F6" s="7" t="s">
        <v>75</v>
      </c>
      <c r="G6" s="20" t="s">
        <v>70</v>
      </c>
      <c r="H6" s="21" t="s">
        <v>210</v>
      </c>
      <c r="I6" s="21" t="s">
        <v>210</v>
      </c>
      <c r="J6" s="8"/>
      <c r="K6" s="8" t="str">
        <f>"190,0"</f>
        <v>190,0</v>
      </c>
      <c r="L6" s="8" t="str">
        <f>"146,4900"</f>
        <v>146,4900</v>
      </c>
      <c r="M6" s="7"/>
    </row>
    <row r="7" spans="1:13">
      <c r="B7" s="5" t="s">
        <v>409</v>
      </c>
    </row>
    <row r="8" spans="1:13" ht="16">
      <c r="A8" s="57" t="s">
        <v>93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8" t="s">
        <v>408</v>
      </c>
      <c r="B9" s="7" t="s">
        <v>94</v>
      </c>
      <c r="C9" s="7" t="s">
        <v>95</v>
      </c>
      <c r="D9" s="7" t="s">
        <v>96</v>
      </c>
      <c r="E9" s="7" t="s">
        <v>3751</v>
      </c>
      <c r="F9" s="7" t="s">
        <v>75</v>
      </c>
      <c r="G9" s="20" t="s">
        <v>134</v>
      </c>
      <c r="H9" s="20" t="s">
        <v>562</v>
      </c>
      <c r="I9" s="21" t="s">
        <v>205</v>
      </c>
      <c r="J9" s="8"/>
      <c r="K9" s="8" t="str">
        <f>"252,5"</f>
        <v>252,5</v>
      </c>
      <c r="L9" s="8" t="str">
        <f>"181,8000"</f>
        <v>181,8000</v>
      </c>
      <c r="M9" s="7"/>
    </row>
    <row r="10" spans="1:13">
      <c r="B10" s="5" t="s">
        <v>409</v>
      </c>
    </row>
    <row r="11" spans="1:13" ht="16">
      <c r="A11" s="57" t="s">
        <v>62</v>
      </c>
      <c r="B11" s="57"/>
      <c r="C11" s="57"/>
      <c r="D11" s="57"/>
      <c r="E11" s="57"/>
      <c r="F11" s="57"/>
      <c r="G11" s="57"/>
      <c r="H11" s="57"/>
      <c r="I11" s="57"/>
      <c r="J11" s="57"/>
    </row>
    <row r="12" spans="1:13">
      <c r="A12" s="8" t="s">
        <v>408</v>
      </c>
      <c r="B12" s="7" t="s">
        <v>1517</v>
      </c>
      <c r="C12" s="7" t="s">
        <v>1518</v>
      </c>
      <c r="D12" s="7" t="s">
        <v>1519</v>
      </c>
      <c r="E12" s="7" t="s">
        <v>3760</v>
      </c>
      <c r="F12" s="7" t="s">
        <v>3509</v>
      </c>
      <c r="G12" s="21" t="s">
        <v>76</v>
      </c>
      <c r="H12" s="20" t="s">
        <v>76</v>
      </c>
      <c r="I12" s="20" t="s">
        <v>85</v>
      </c>
      <c r="J12" s="8"/>
      <c r="K12" s="8" t="str">
        <f>"135,0"</f>
        <v>135,0</v>
      </c>
      <c r="L12" s="8" t="str">
        <f>"94,8915"</f>
        <v>94,8915</v>
      </c>
      <c r="M12" s="7"/>
    </row>
    <row r="13" spans="1:13">
      <c r="B13" s="5" t="s">
        <v>409</v>
      </c>
    </row>
    <row r="14" spans="1:13" ht="16">
      <c r="A14" s="57" t="s">
        <v>195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8" t="s">
        <v>408</v>
      </c>
      <c r="B15" s="7" t="s">
        <v>239</v>
      </c>
      <c r="C15" s="7" t="s">
        <v>240</v>
      </c>
      <c r="D15" s="7" t="s">
        <v>241</v>
      </c>
      <c r="E15" s="7" t="s">
        <v>3751</v>
      </c>
      <c r="F15" s="7" t="s">
        <v>75</v>
      </c>
      <c r="G15" s="20" t="s">
        <v>128</v>
      </c>
      <c r="H15" s="20" t="s">
        <v>217</v>
      </c>
      <c r="I15" s="20" t="s">
        <v>211</v>
      </c>
      <c r="J15" s="8"/>
      <c r="K15" s="8" t="str">
        <f>"320,0"</f>
        <v>320,0</v>
      </c>
      <c r="L15" s="8" t="str">
        <f>"196,9600"</f>
        <v>196,9600</v>
      </c>
      <c r="M15" s="7"/>
    </row>
    <row r="16" spans="1:13">
      <c r="B16" s="5" t="s">
        <v>409</v>
      </c>
    </row>
    <row r="17" spans="1:13" ht="16">
      <c r="A17" s="57" t="s">
        <v>280</v>
      </c>
      <c r="B17" s="57"/>
      <c r="C17" s="57"/>
      <c r="D17" s="57"/>
      <c r="E17" s="57"/>
      <c r="F17" s="57"/>
      <c r="G17" s="57"/>
      <c r="H17" s="57"/>
      <c r="I17" s="57"/>
      <c r="J17" s="57"/>
    </row>
    <row r="18" spans="1:13">
      <c r="A18" s="10" t="s">
        <v>408</v>
      </c>
      <c r="B18" s="9" t="s">
        <v>3360</v>
      </c>
      <c r="C18" s="9" t="s">
        <v>315</v>
      </c>
      <c r="D18" s="9" t="s">
        <v>304</v>
      </c>
      <c r="E18" s="9" t="s">
        <v>3751</v>
      </c>
      <c r="F18" s="9" t="s">
        <v>316</v>
      </c>
      <c r="G18" s="23" t="s">
        <v>128</v>
      </c>
      <c r="H18" s="23" t="s">
        <v>217</v>
      </c>
      <c r="I18" s="23" t="s">
        <v>211</v>
      </c>
      <c r="J18" s="10"/>
      <c r="K18" s="10" t="str">
        <f>"320,0"</f>
        <v>320,0</v>
      </c>
      <c r="L18" s="10" t="str">
        <f>"182,9440"</f>
        <v>182,9440</v>
      </c>
      <c r="M18" s="9" t="s">
        <v>3329</v>
      </c>
    </row>
    <row r="19" spans="1:13">
      <c r="A19" s="12" t="s">
        <v>410</v>
      </c>
      <c r="B19" s="11" t="s">
        <v>2908</v>
      </c>
      <c r="C19" s="11" t="s">
        <v>2909</v>
      </c>
      <c r="D19" s="11" t="s">
        <v>2910</v>
      </c>
      <c r="E19" s="11" t="s">
        <v>3751</v>
      </c>
      <c r="F19" s="11" t="s">
        <v>3732</v>
      </c>
      <c r="G19" s="24" t="s">
        <v>205</v>
      </c>
      <c r="H19" s="24" t="s">
        <v>110</v>
      </c>
      <c r="I19" s="24" t="s">
        <v>114</v>
      </c>
      <c r="J19" s="25" t="s">
        <v>128</v>
      </c>
      <c r="K19" s="12" t="str">
        <f>"290,0"</f>
        <v>290,0</v>
      </c>
      <c r="L19" s="12" t="str">
        <f>"165,9670"</f>
        <v>165,9670</v>
      </c>
      <c r="M19" s="11"/>
    </row>
    <row r="20" spans="1:13">
      <c r="A20" s="14" t="s">
        <v>408</v>
      </c>
      <c r="B20" s="13" t="s">
        <v>2908</v>
      </c>
      <c r="C20" s="13" t="s">
        <v>2911</v>
      </c>
      <c r="D20" s="13" t="s">
        <v>2910</v>
      </c>
      <c r="E20" s="13" t="s">
        <v>3756</v>
      </c>
      <c r="F20" s="13" t="s">
        <v>3732</v>
      </c>
      <c r="G20" s="26" t="s">
        <v>205</v>
      </c>
      <c r="H20" s="26" t="s">
        <v>110</v>
      </c>
      <c r="I20" s="26" t="s">
        <v>114</v>
      </c>
      <c r="J20" s="27" t="s">
        <v>128</v>
      </c>
      <c r="K20" s="14" t="str">
        <f>"290,0"</f>
        <v>290,0</v>
      </c>
      <c r="L20" s="14" t="str">
        <f>"219,4084"</f>
        <v>219,4084</v>
      </c>
      <c r="M20" s="13"/>
    </row>
    <row r="21" spans="1:13">
      <c r="B21" s="5" t="s">
        <v>409</v>
      </c>
    </row>
    <row r="22" spans="1:13" ht="16">
      <c r="A22" s="57" t="s">
        <v>328</v>
      </c>
      <c r="B22" s="57"/>
      <c r="C22" s="57"/>
      <c r="D22" s="57"/>
      <c r="E22" s="57"/>
      <c r="F22" s="57"/>
      <c r="G22" s="57"/>
      <c r="H22" s="57"/>
      <c r="I22" s="57"/>
      <c r="J22" s="57"/>
    </row>
    <row r="23" spans="1:13">
      <c r="A23" s="8" t="s">
        <v>408</v>
      </c>
      <c r="B23" s="7" t="s">
        <v>1797</v>
      </c>
      <c r="C23" s="7" t="s">
        <v>1798</v>
      </c>
      <c r="D23" s="7" t="s">
        <v>1799</v>
      </c>
      <c r="E23" s="7" t="s">
        <v>3751</v>
      </c>
      <c r="F23" s="7" t="s">
        <v>3641</v>
      </c>
      <c r="G23" s="21" t="s">
        <v>161</v>
      </c>
      <c r="H23" s="20" t="s">
        <v>161</v>
      </c>
      <c r="I23" s="20" t="s">
        <v>1800</v>
      </c>
      <c r="J23" s="8"/>
      <c r="K23" s="8" t="str">
        <f>"337,5"</f>
        <v>337,5</v>
      </c>
      <c r="L23" s="8" t="str">
        <f>"190,2150"</f>
        <v>190,2150</v>
      </c>
      <c r="M23" s="7"/>
    </row>
    <row r="24" spans="1:13">
      <c r="B24" s="5" t="s">
        <v>409</v>
      </c>
    </row>
  </sheetData>
  <mergeCells count="17">
    <mergeCell ref="A1:M2"/>
    <mergeCell ref="A3:A4"/>
    <mergeCell ref="C3:C4"/>
    <mergeCell ref="D3:D4"/>
    <mergeCell ref="E3:E4"/>
    <mergeCell ref="F3:F4"/>
    <mergeCell ref="G3:J3"/>
    <mergeCell ref="A22:J22"/>
    <mergeCell ref="K3:K4"/>
    <mergeCell ref="L3:L4"/>
    <mergeCell ref="M3:M4"/>
    <mergeCell ref="B3:B4"/>
    <mergeCell ref="A5:J5"/>
    <mergeCell ref="A8:J8"/>
    <mergeCell ref="A11:J11"/>
    <mergeCell ref="A14:J14"/>
    <mergeCell ref="A17:J1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175"/>
  <sheetViews>
    <sheetView tabSelected="1" topLeftCell="A21" workbookViewId="0">
      <selection activeCell="E140" sqref="E140"/>
    </sheetView>
  </sheetViews>
  <sheetFormatPr baseColWidth="10" defaultColWidth="9.1640625" defaultRowHeight="13"/>
  <cols>
    <col min="1" max="1" width="7.5" style="5" bestFit="1" customWidth="1"/>
    <col min="2" max="2" width="23.6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7.5" style="6" bestFit="1" customWidth="1"/>
    <col min="13" max="13" width="20.5" style="5" bestFit="1" customWidth="1"/>
    <col min="14" max="16384" width="9.1640625" style="3"/>
  </cols>
  <sheetData>
    <row r="1" spans="1:13" s="2" customFormat="1" ht="29" customHeight="1">
      <c r="A1" s="68" t="s">
        <v>3291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3748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1835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8" t="s">
        <v>408</v>
      </c>
      <c r="B6" s="7" t="s">
        <v>3034</v>
      </c>
      <c r="C6" s="7" t="s">
        <v>3237</v>
      </c>
      <c r="D6" s="7" t="s">
        <v>3035</v>
      </c>
      <c r="E6" s="7" t="s">
        <v>3760</v>
      </c>
      <c r="F6" s="7" t="s">
        <v>3548</v>
      </c>
      <c r="G6" s="20" t="s">
        <v>3027</v>
      </c>
      <c r="H6" s="20" t="s">
        <v>3028</v>
      </c>
      <c r="I6" s="20" t="s">
        <v>3023</v>
      </c>
      <c r="J6" s="8"/>
      <c r="K6" s="29" t="str">
        <f>"22,0"</f>
        <v>22,0</v>
      </c>
      <c r="L6" s="8" t="str">
        <f>"29,5614"</f>
        <v>29,5614</v>
      </c>
      <c r="M6" s="7" t="s">
        <v>3036</v>
      </c>
    </row>
    <row r="7" spans="1:13">
      <c r="B7" s="5" t="s">
        <v>409</v>
      </c>
    </row>
    <row r="8" spans="1:13" ht="16">
      <c r="A8" s="57" t="s">
        <v>21</v>
      </c>
      <c r="B8" s="57"/>
      <c r="C8" s="57"/>
      <c r="D8" s="57"/>
      <c r="E8" s="57"/>
      <c r="F8" s="57"/>
      <c r="G8" s="57"/>
      <c r="H8" s="57"/>
      <c r="I8" s="57"/>
      <c r="J8" s="57"/>
    </row>
    <row r="9" spans="1:13">
      <c r="A9" s="10" t="s">
        <v>408</v>
      </c>
      <c r="B9" s="9" t="s">
        <v>3037</v>
      </c>
      <c r="C9" s="9" t="s">
        <v>3241</v>
      </c>
      <c r="D9" s="9" t="s">
        <v>420</v>
      </c>
      <c r="E9" s="9" t="s">
        <v>3760</v>
      </c>
      <c r="F9" s="9" t="s">
        <v>3528</v>
      </c>
      <c r="G9" s="22" t="s">
        <v>914</v>
      </c>
      <c r="H9" s="23" t="s">
        <v>914</v>
      </c>
      <c r="I9" s="22" t="s">
        <v>915</v>
      </c>
      <c r="J9" s="10"/>
      <c r="K9" s="30" t="str">
        <f>"27,5"</f>
        <v>27,5</v>
      </c>
      <c r="L9" s="10" t="str">
        <f>"29,0428"</f>
        <v>29,0428</v>
      </c>
      <c r="M9" s="9" t="s">
        <v>3038</v>
      </c>
    </row>
    <row r="10" spans="1:13">
      <c r="A10" s="12" t="s">
        <v>408</v>
      </c>
      <c r="B10" s="11" t="s">
        <v>3039</v>
      </c>
      <c r="C10" s="11" t="s">
        <v>3040</v>
      </c>
      <c r="D10" s="11" t="s">
        <v>423</v>
      </c>
      <c r="E10" s="11" t="s">
        <v>3751</v>
      </c>
      <c r="F10" s="11" t="s">
        <v>3509</v>
      </c>
      <c r="G10" s="24" t="s">
        <v>16</v>
      </c>
      <c r="H10" s="25" t="s">
        <v>440</v>
      </c>
      <c r="I10" s="25" t="s">
        <v>440</v>
      </c>
      <c r="J10" s="12"/>
      <c r="K10" s="31" t="str">
        <f>"40,0"</f>
        <v>40,0</v>
      </c>
      <c r="L10" s="12" t="str">
        <f>"41,8160"</f>
        <v>41,8160</v>
      </c>
      <c r="M10" s="11" t="s">
        <v>856</v>
      </c>
    </row>
    <row r="11" spans="1:13">
      <c r="A11" s="12" t="s">
        <v>410</v>
      </c>
      <c r="B11" s="11" t="s">
        <v>3041</v>
      </c>
      <c r="C11" s="11" t="s">
        <v>1847</v>
      </c>
      <c r="D11" s="11" t="s">
        <v>909</v>
      </c>
      <c r="E11" s="11" t="s">
        <v>3751</v>
      </c>
      <c r="F11" s="11" t="s">
        <v>3742</v>
      </c>
      <c r="G11" s="25" t="s">
        <v>915</v>
      </c>
      <c r="H11" s="25" t="s">
        <v>915</v>
      </c>
      <c r="I11" s="24" t="s">
        <v>915</v>
      </c>
      <c r="J11" s="12"/>
      <c r="K11" s="31" t="str">
        <f>"30,0"</f>
        <v>30,0</v>
      </c>
      <c r="L11" s="12" t="str">
        <f>"31,9140"</f>
        <v>31,9140</v>
      </c>
      <c r="M11" s="11" t="s">
        <v>3042</v>
      </c>
    </row>
    <row r="12" spans="1:13">
      <c r="A12" s="14" t="s">
        <v>411</v>
      </c>
      <c r="B12" s="13" t="s">
        <v>3031</v>
      </c>
      <c r="C12" s="13" t="s">
        <v>3032</v>
      </c>
      <c r="D12" s="13" t="s">
        <v>590</v>
      </c>
      <c r="E12" s="13" t="s">
        <v>3751</v>
      </c>
      <c r="F12" s="13" t="s">
        <v>3531</v>
      </c>
      <c r="G12" s="26" t="s">
        <v>3027</v>
      </c>
      <c r="H12" s="26" t="s">
        <v>914</v>
      </c>
      <c r="I12" s="27" t="s">
        <v>1009</v>
      </c>
      <c r="J12" s="14"/>
      <c r="K12" s="32" t="str">
        <f>"27,5"</f>
        <v>27,5</v>
      </c>
      <c r="L12" s="14" t="str">
        <f>"28,9987"</f>
        <v>28,9987</v>
      </c>
      <c r="M12" s="13" t="s">
        <v>3033</v>
      </c>
    </row>
    <row r="13" spans="1:13">
      <c r="B13" s="5" t="s">
        <v>409</v>
      </c>
    </row>
    <row r="14" spans="1:13" ht="16">
      <c r="A14" s="57" t="s">
        <v>55</v>
      </c>
      <c r="B14" s="57"/>
      <c r="C14" s="57"/>
      <c r="D14" s="57"/>
      <c r="E14" s="57"/>
      <c r="F14" s="57"/>
      <c r="G14" s="57"/>
      <c r="H14" s="57"/>
      <c r="I14" s="57"/>
      <c r="J14" s="57"/>
    </row>
    <row r="15" spans="1:13">
      <c r="A15" s="10" t="s">
        <v>408</v>
      </c>
      <c r="B15" s="9" t="s">
        <v>1910</v>
      </c>
      <c r="C15" s="9" t="s">
        <v>3242</v>
      </c>
      <c r="D15" s="9" t="s">
        <v>1384</v>
      </c>
      <c r="E15" s="9" t="s">
        <v>3760</v>
      </c>
      <c r="F15" s="9" t="s">
        <v>3509</v>
      </c>
      <c r="G15" s="23" t="s">
        <v>1009</v>
      </c>
      <c r="H15" s="23" t="s">
        <v>869</v>
      </c>
      <c r="I15" s="22" t="s">
        <v>439</v>
      </c>
      <c r="J15" s="10"/>
      <c r="K15" s="30" t="str">
        <f>"35,0"</f>
        <v>35,0</v>
      </c>
      <c r="L15" s="10" t="str">
        <f>"32,1230"</f>
        <v>32,1230</v>
      </c>
      <c r="M15" s="9" t="s">
        <v>1912</v>
      </c>
    </row>
    <row r="16" spans="1:13">
      <c r="A16" s="12" t="s">
        <v>410</v>
      </c>
      <c r="B16" s="11" t="s">
        <v>3323</v>
      </c>
      <c r="C16" s="11" t="s">
        <v>3243</v>
      </c>
      <c r="D16" s="11" t="s">
        <v>2787</v>
      </c>
      <c r="E16" s="11" t="s">
        <v>3760</v>
      </c>
      <c r="F16" s="11" t="s">
        <v>1480</v>
      </c>
      <c r="G16" s="25" t="s">
        <v>914</v>
      </c>
      <c r="H16" s="25" t="s">
        <v>914</v>
      </c>
      <c r="I16" s="24" t="s">
        <v>914</v>
      </c>
      <c r="J16" s="12"/>
      <c r="K16" s="31" t="str">
        <f>"27,5"</f>
        <v>27,5</v>
      </c>
      <c r="L16" s="12" t="str">
        <f>"25,5448"</f>
        <v>25,5448</v>
      </c>
      <c r="M16" s="11"/>
    </row>
    <row r="17" spans="1:13">
      <c r="A17" s="12" t="s">
        <v>412</v>
      </c>
      <c r="B17" s="11" t="s">
        <v>951</v>
      </c>
      <c r="C17" s="11" t="s">
        <v>3244</v>
      </c>
      <c r="D17" s="11" t="s">
        <v>961</v>
      </c>
      <c r="E17" s="11" t="s">
        <v>3760</v>
      </c>
      <c r="F17" s="11" t="s">
        <v>3509</v>
      </c>
      <c r="G17" s="25" t="s">
        <v>915</v>
      </c>
      <c r="H17" s="25" t="s">
        <v>1009</v>
      </c>
      <c r="I17" s="25" t="s">
        <v>1009</v>
      </c>
      <c r="J17" s="12"/>
      <c r="K17" s="31">
        <v>0</v>
      </c>
      <c r="L17" s="12" t="str">
        <f>"0,0000"</f>
        <v>0,0000</v>
      </c>
      <c r="M17" s="11"/>
    </row>
    <row r="18" spans="1:13">
      <c r="A18" s="12" t="s">
        <v>408</v>
      </c>
      <c r="B18" s="11" t="s">
        <v>3043</v>
      </c>
      <c r="C18" s="11" t="s">
        <v>3044</v>
      </c>
      <c r="D18" s="11" t="s">
        <v>1384</v>
      </c>
      <c r="E18" s="11" t="s">
        <v>3751</v>
      </c>
      <c r="F18" s="11" t="s">
        <v>3678</v>
      </c>
      <c r="G18" s="24" t="s">
        <v>1009</v>
      </c>
      <c r="H18" s="24" t="s">
        <v>440</v>
      </c>
      <c r="I18" s="24" t="s">
        <v>17</v>
      </c>
      <c r="J18" s="25" t="s">
        <v>864</v>
      </c>
      <c r="K18" s="31" t="str">
        <f>"45,0"</f>
        <v>45,0</v>
      </c>
      <c r="L18" s="12" t="str">
        <f>"41,3010"</f>
        <v>41,3010</v>
      </c>
      <c r="M18" s="11" t="s">
        <v>3318</v>
      </c>
    </row>
    <row r="19" spans="1:13">
      <c r="A19" s="12" t="s">
        <v>410</v>
      </c>
      <c r="B19" s="11" t="s">
        <v>1910</v>
      </c>
      <c r="C19" s="11" t="s">
        <v>3045</v>
      </c>
      <c r="D19" s="11" t="s">
        <v>1384</v>
      </c>
      <c r="E19" s="11" t="s">
        <v>3751</v>
      </c>
      <c r="F19" s="11" t="s">
        <v>3509</v>
      </c>
      <c r="G19" s="24" t="s">
        <v>1009</v>
      </c>
      <c r="H19" s="24" t="s">
        <v>869</v>
      </c>
      <c r="I19" s="25" t="s">
        <v>439</v>
      </c>
      <c r="J19" s="12"/>
      <c r="K19" s="31" t="str">
        <f>"35,0"</f>
        <v>35,0</v>
      </c>
      <c r="L19" s="12" t="str">
        <f>"32,1230"</f>
        <v>32,1230</v>
      </c>
      <c r="M19" s="11" t="s">
        <v>1912</v>
      </c>
    </row>
    <row r="20" spans="1:13">
      <c r="A20" s="12" t="s">
        <v>411</v>
      </c>
      <c r="B20" s="11" t="s">
        <v>3046</v>
      </c>
      <c r="C20" s="11" t="s">
        <v>3047</v>
      </c>
      <c r="D20" s="11" t="s">
        <v>3048</v>
      </c>
      <c r="E20" s="11" t="s">
        <v>3751</v>
      </c>
      <c r="F20" s="11" t="s">
        <v>3509</v>
      </c>
      <c r="G20" s="25" t="s">
        <v>1009</v>
      </c>
      <c r="H20" s="25" t="s">
        <v>1009</v>
      </c>
      <c r="I20" s="24" t="s">
        <v>1009</v>
      </c>
      <c r="J20" s="12"/>
      <c r="K20" s="31" t="str">
        <f>"32,5"</f>
        <v>32,5</v>
      </c>
      <c r="L20" s="12" t="str">
        <f>"31,3869"</f>
        <v>31,3869</v>
      </c>
      <c r="M20" s="11" t="s">
        <v>3049</v>
      </c>
    </row>
    <row r="21" spans="1:13">
      <c r="A21" s="14" t="s">
        <v>408</v>
      </c>
      <c r="B21" s="13" t="s">
        <v>3043</v>
      </c>
      <c r="C21" s="13" t="s">
        <v>3245</v>
      </c>
      <c r="D21" s="13" t="s">
        <v>1384</v>
      </c>
      <c r="E21" s="13" t="s">
        <v>3753</v>
      </c>
      <c r="F21" s="13" t="s">
        <v>3678</v>
      </c>
      <c r="G21" s="26" t="s">
        <v>1009</v>
      </c>
      <c r="H21" s="26" t="s">
        <v>440</v>
      </c>
      <c r="I21" s="26" t="s">
        <v>17</v>
      </c>
      <c r="J21" s="27" t="s">
        <v>864</v>
      </c>
      <c r="K21" s="32" t="str">
        <f>"45,0"</f>
        <v>45,0</v>
      </c>
      <c r="L21" s="14" t="str">
        <f>"41,3010"</f>
        <v>41,3010</v>
      </c>
      <c r="M21" s="13" t="s">
        <v>3318</v>
      </c>
    </row>
    <row r="22" spans="1:13">
      <c r="B22" s="5" t="s">
        <v>409</v>
      </c>
    </row>
    <row r="23" spans="1:13" ht="16">
      <c r="A23" s="57" t="s">
        <v>93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3">
      <c r="A24" s="10" t="s">
        <v>408</v>
      </c>
      <c r="B24" s="9" t="s">
        <v>962</v>
      </c>
      <c r="C24" s="9" t="s">
        <v>963</v>
      </c>
      <c r="D24" s="9" t="s">
        <v>1005</v>
      </c>
      <c r="E24" s="9" t="s">
        <v>3751</v>
      </c>
      <c r="F24" s="9" t="s">
        <v>3525</v>
      </c>
      <c r="G24" s="23" t="s">
        <v>16</v>
      </c>
      <c r="H24" s="23" t="s">
        <v>17</v>
      </c>
      <c r="I24" s="22" t="s">
        <v>864</v>
      </c>
      <c r="J24" s="10"/>
      <c r="K24" s="30" t="str">
        <f>"45,0"</f>
        <v>45,0</v>
      </c>
      <c r="L24" s="10" t="str">
        <f>"39,4785"</f>
        <v>39,4785</v>
      </c>
      <c r="M24" s="9" t="s">
        <v>965</v>
      </c>
    </row>
    <row r="25" spans="1:13">
      <c r="A25" s="14" t="s">
        <v>408</v>
      </c>
      <c r="B25" s="13" t="s">
        <v>1942</v>
      </c>
      <c r="C25" s="13" t="s">
        <v>1957</v>
      </c>
      <c r="D25" s="13" t="s">
        <v>1393</v>
      </c>
      <c r="E25" s="13" t="s">
        <v>3756</v>
      </c>
      <c r="F25" s="13" t="s">
        <v>3509</v>
      </c>
      <c r="G25" s="26" t="s">
        <v>439</v>
      </c>
      <c r="H25" s="27" t="s">
        <v>16</v>
      </c>
      <c r="I25" s="26" t="s">
        <v>16</v>
      </c>
      <c r="J25" s="14"/>
      <c r="K25" s="32" t="str">
        <f>"40,0"</f>
        <v>40,0</v>
      </c>
      <c r="L25" s="14" t="str">
        <f>"42,8186"</f>
        <v>42,8186</v>
      </c>
      <c r="M25" s="13" t="s">
        <v>1944</v>
      </c>
    </row>
    <row r="26" spans="1:13">
      <c r="B26" s="5" t="s">
        <v>409</v>
      </c>
    </row>
    <row r="27" spans="1:13" ht="16">
      <c r="A27" s="57" t="s">
        <v>62</v>
      </c>
      <c r="B27" s="57"/>
      <c r="C27" s="57"/>
      <c r="D27" s="57"/>
      <c r="E27" s="57"/>
      <c r="F27" s="57"/>
      <c r="G27" s="57"/>
      <c r="H27" s="57"/>
      <c r="I27" s="57"/>
      <c r="J27" s="57"/>
    </row>
    <row r="28" spans="1:13">
      <c r="A28" s="8" t="s">
        <v>408</v>
      </c>
      <c r="B28" s="7" t="s">
        <v>3324</v>
      </c>
      <c r="C28" s="7" t="s">
        <v>3050</v>
      </c>
      <c r="D28" s="7" t="s">
        <v>3051</v>
      </c>
      <c r="E28" s="7" t="s">
        <v>3751</v>
      </c>
      <c r="F28" s="7" t="s">
        <v>316</v>
      </c>
      <c r="G28" s="20" t="s">
        <v>16</v>
      </c>
      <c r="H28" s="21" t="s">
        <v>17</v>
      </c>
      <c r="I28" s="21" t="s">
        <v>17</v>
      </c>
      <c r="J28" s="8"/>
      <c r="K28" s="29" t="str">
        <f>"40,0"</f>
        <v>40,0</v>
      </c>
      <c r="L28" s="8" t="str">
        <f>"32,4880"</f>
        <v>32,4880</v>
      </c>
      <c r="M28" s="7" t="s">
        <v>3329</v>
      </c>
    </row>
    <row r="29" spans="1:13">
      <c r="B29" s="5" t="s">
        <v>409</v>
      </c>
    </row>
    <row r="30" spans="1:13" ht="16">
      <c r="A30" s="57" t="s">
        <v>9</v>
      </c>
      <c r="B30" s="57"/>
      <c r="C30" s="57"/>
      <c r="D30" s="57"/>
      <c r="E30" s="57"/>
      <c r="F30" s="57"/>
      <c r="G30" s="57"/>
      <c r="H30" s="57"/>
      <c r="I30" s="57"/>
      <c r="J30" s="57"/>
    </row>
    <row r="31" spans="1:13">
      <c r="A31" s="10" t="s">
        <v>408</v>
      </c>
      <c r="B31" s="9" t="s">
        <v>1963</v>
      </c>
      <c r="C31" s="9" t="s">
        <v>3246</v>
      </c>
      <c r="D31" s="9" t="s">
        <v>1965</v>
      </c>
      <c r="E31" s="9" t="s">
        <v>3760</v>
      </c>
      <c r="F31" s="9" t="s">
        <v>3594</v>
      </c>
      <c r="G31" s="23" t="s">
        <v>3052</v>
      </c>
      <c r="H31" s="23" t="s">
        <v>3027</v>
      </c>
      <c r="I31" s="23" t="s">
        <v>913</v>
      </c>
      <c r="J31" s="10"/>
      <c r="K31" s="30" t="str">
        <f>"22,5"</f>
        <v>22,5</v>
      </c>
      <c r="L31" s="10" t="str">
        <f>"28,6110"</f>
        <v>28,6110</v>
      </c>
      <c r="M31" s="9" t="s">
        <v>3319</v>
      </c>
    </row>
    <row r="32" spans="1:13">
      <c r="A32" s="14" t="s">
        <v>408</v>
      </c>
      <c r="B32" s="13" t="s">
        <v>3053</v>
      </c>
      <c r="C32" s="13" t="s">
        <v>3247</v>
      </c>
      <c r="D32" s="13" t="s">
        <v>874</v>
      </c>
      <c r="E32" s="13" t="s">
        <v>3754</v>
      </c>
      <c r="F32" s="13" t="s">
        <v>3519</v>
      </c>
      <c r="G32" s="26" t="s">
        <v>16</v>
      </c>
      <c r="H32" s="26" t="s">
        <v>440</v>
      </c>
      <c r="I32" s="27" t="s">
        <v>17</v>
      </c>
      <c r="J32" s="14"/>
      <c r="K32" s="32" t="str">
        <f>"42,5"</f>
        <v>42,5</v>
      </c>
      <c r="L32" s="14" t="str">
        <f>"41,2484"</f>
        <v>41,2484</v>
      </c>
      <c r="M32" s="13"/>
    </row>
    <row r="33" spans="1:13">
      <c r="B33" s="5" t="s">
        <v>409</v>
      </c>
    </row>
    <row r="34" spans="1:13" ht="16">
      <c r="A34" s="57" t="s">
        <v>21</v>
      </c>
      <c r="B34" s="57"/>
      <c r="C34" s="57"/>
      <c r="D34" s="57"/>
      <c r="E34" s="57"/>
      <c r="F34" s="57"/>
      <c r="G34" s="57"/>
      <c r="H34" s="57"/>
      <c r="I34" s="57"/>
      <c r="J34" s="57"/>
    </row>
    <row r="35" spans="1:13">
      <c r="A35" s="10" t="s">
        <v>408</v>
      </c>
      <c r="B35" s="9" t="s">
        <v>3316</v>
      </c>
      <c r="C35" s="9" t="s">
        <v>3238</v>
      </c>
      <c r="D35" s="9" t="s">
        <v>3055</v>
      </c>
      <c r="E35" s="9" t="s">
        <v>3760</v>
      </c>
      <c r="F35" s="9" t="s">
        <v>3056</v>
      </c>
      <c r="G35" s="23" t="s">
        <v>51</v>
      </c>
      <c r="H35" s="23" t="s">
        <v>865</v>
      </c>
      <c r="I35" s="23" t="s">
        <v>52</v>
      </c>
      <c r="J35" s="22" t="s">
        <v>889</v>
      </c>
      <c r="K35" s="30" t="str">
        <f>"55,0"</f>
        <v>55,0</v>
      </c>
      <c r="L35" s="10" t="str">
        <f>"49,5523"</f>
        <v>49,5523</v>
      </c>
      <c r="M35" s="9" t="s">
        <v>3330</v>
      </c>
    </row>
    <row r="36" spans="1:13">
      <c r="A36" s="12" t="s">
        <v>410</v>
      </c>
      <c r="B36" s="11" t="s">
        <v>3058</v>
      </c>
      <c r="C36" s="11" t="s">
        <v>3248</v>
      </c>
      <c r="D36" s="11" t="s">
        <v>1889</v>
      </c>
      <c r="E36" s="11" t="s">
        <v>3760</v>
      </c>
      <c r="F36" s="11" t="s">
        <v>3509</v>
      </c>
      <c r="G36" s="24" t="s">
        <v>17</v>
      </c>
      <c r="H36" s="24" t="s">
        <v>51</v>
      </c>
      <c r="I36" s="25" t="s">
        <v>52</v>
      </c>
      <c r="J36" s="12"/>
      <c r="K36" s="31" t="str">
        <f>"50,0"</f>
        <v>50,0</v>
      </c>
      <c r="L36" s="12" t="str">
        <f>"44,9625"</f>
        <v>44,9625</v>
      </c>
      <c r="M36" s="11" t="s">
        <v>3059</v>
      </c>
    </row>
    <row r="37" spans="1:13">
      <c r="A37" s="14" t="s">
        <v>408</v>
      </c>
      <c r="B37" s="13" t="s">
        <v>3060</v>
      </c>
      <c r="C37" s="13" t="s">
        <v>3061</v>
      </c>
      <c r="D37" s="13" t="s">
        <v>3062</v>
      </c>
      <c r="E37" s="13" t="s">
        <v>3751</v>
      </c>
      <c r="F37" s="13" t="s">
        <v>3617</v>
      </c>
      <c r="G37" s="26" t="s">
        <v>17</v>
      </c>
      <c r="H37" s="26" t="s">
        <v>51</v>
      </c>
      <c r="I37" s="27" t="s">
        <v>865</v>
      </c>
      <c r="J37" s="14"/>
      <c r="K37" s="32" t="str">
        <f>"50,0"</f>
        <v>50,0</v>
      </c>
      <c r="L37" s="14" t="str">
        <f>"46,3750"</f>
        <v>46,3750</v>
      </c>
      <c r="M37" s="13"/>
    </row>
    <row r="38" spans="1:13">
      <c r="B38" s="5" t="s">
        <v>409</v>
      </c>
    </row>
    <row r="39" spans="1:13" ht="16">
      <c r="A39" s="57" t="s">
        <v>31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3">
      <c r="A40" s="10" t="s">
        <v>408</v>
      </c>
      <c r="B40" s="9" t="s">
        <v>3063</v>
      </c>
      <c r="C40" s="9" t="s">
        <v>3249</v>
      </c>
      <c r="D40" s="9" t="s">
        <v>34</v>
      </c>
      <c r="E40" s="9" t="s">
        <v>3760</v>
      </c>
      <c r="F40" s="9" t="s">
        <v>3521</v>
      </c>
      <c r="G40" s="23" t="s">
        <v>869</v>
      </c>
      <c r="H40" s="23" t="s">
        <v>16</v>
      </c>
      <c r="I40" s="23" t="s">
        <v>17</v>
      </c>
      <c r="J40" s="10"/>
      <c r="K40" s="30" t="str">
        <f>"45,0"</f>
        <v>45,0</v>
      </c>
      <c r="L40" s="10" t="str">
        <f>"37,4782"</f>
        <v>37,4782</v>
      </c>
      <c r="M40" s="9" t="s">
        <v>3057</v>
      </c>
    </row>
    <row r="41" spans="1:13">
      <c r="A41" s="12" t="s">
        <v>408</v>
      </c>
      <c r="B41" s="11" t="s">
        <v>3064</v>
      </c>
      <c r="C41" s="11" t="s">
        <v>3065</v>
      </c>
      <c r="D41" s="11" t="s">
        <v>3066</v>
      </c>
      <c r="E41" s="11" t="s">
        <v>3751</v>
      </c>
      <c r="F41" s="11" t="s">
        <v>3528</v>
      </c>
      <c r="G41" s="24" t="s">
        <v>53</v>
      </c>
      <c r="H41" s="25" t="s">
        <v>855</v>
      </c>
      <c r="I41" s="25" t="s">
        <v>855</v>
      </c>
      <c r="J41" s="12"/>
      <c r="K41" s="31" t="str">
        <f>"60,0"</f>
        <v>60,0</v>
      </c>
      <c r="L41" s="12" t="str">
        <f>"50,8830"</f>
        <v>50,8830</v>
      </c>
      <c r="M41" s="11"/>
    </row>
    <row r="42" spans="1:13">
      <c r="A42" s="12" t="s">
        <v>410</v>
      </c>
      <c r="B42" s="11" t="s">
        <v>3067</v>
      </c>
      <c r="C42" s="11" t="s">
        <v>3068</v>
      </c>
      <c r="D42" s="11" t="s">
        <v>43</v>
      </c>
      <c r="E42" s="11" t="s">
        <v>3751</v>
      </c>
      <c r="F42" s="11" t="s">
        <v>3658</v>
      </c>
      <c r="G42" s="24" t="s">
        <v>52</v>
      </c>
      <c r="H42" s="25" t="s">
        <v>53</v>
      </c>
      <c r="I42" s="25" t="s">
        <v>53</v>
      </c>
      <c r="J42" s="12"/>
      <c r="K42" s="31" t="str">
        <f>"55,0"</f>
        <v>55,0</v>
      </c>
      <c r="L42" s="12" t="str">
        <f>"47,3660"</f>
        <v>47,3660</v>
      </c>
      <c r="M42" s="11"/>
    </row>
    <row r="43" spans="1:13">
      <c r="A43" s="14" t="s">
        <v>408</v>
      </c>
      <c r="B43" s="13" t="s">
        <v>3064</v>
      </c>
      <c r="C43" s="13" t="s">
        <v>3250</v>
      </c>
      <c r="D43" s="13" t="s">
        <v>3066</v>
      </c>
      <c r="E43" s="13" t="s">
        <v>3753</v>
      </c>
      <c r="F43" s="13" t="s">
        <v>3528</v>
      </c>
      <c r="G43" s="26" t="s">
        <v>53</v>
      </c>
      <c r="H43" s="27" t="s">
        <v>855</v>
      </c>
      <c r="I43" s="27" t="s">
        <v>855</v>
      </c>
      <c r="J43" s="14"/>
      <c r="K43" s="32" t="str">
        <f>"60,0"</f>
        <v>60,0</v>
      </c>
      <c r="L43" s="14" t="str">
        <f>"54,3430"</f>
        <v>54,3430</v>
      </c>
      <c r="M43" s="13"/>
    </row>
    <row r="44" spans="1:13">
      <c r="B44" s="5" t="s">
        <v>409</v>
      </c>
    </row>
    <row r="45" spans="1:13" ht="16">
      <c r="A45" s="57" t="s">
        <v>55</v>
      </c>
      <c r="B45" s="57"/>
      <c r="C45" s="57"/>
      <c r="D45" s="57"/>
      <c r="E45" s="57"/>
      <c r="F45" s="57"/>
      <c r="G45" s="57"/>
      <c r="H45" s="57"/>
      <c r="I45" s="57"/>
      <c r="J45" s="57"/>
    </row>
    <row r="46" spans="1:13">
      <c r="A46" s="10" t="s">
        <v>408</v>
      </c>
      <c r="B46" s="9" t="s">
        <v>2604</v>
      </c>
      <c r="C46" s="9" t="s">
        <v>3251</v>
      </c>
      <c r="D46" s="9" t="s">
        <v>993</v>
      </c>
      <c r="E46" s="9" t="s">
        <v>3760</v>
      </c>
      <c r="F46" s="9" t="s">
        <v>3591</v>
      </c>
      <c r="G46" s="23" t="s">
        <v>52</v>
      </c>
      <c r="H46" s="23" t="s">
        <v>889</v>
      </c>
      <c r="I46" s="22" t="s">
        <v>53</v>
      </c>
      <c r="J46" s="10"/>
      <c r="K46" s="30" t="str">
        <f>"57,5"</f>
        <v>57,5</v>
      </c>
      <c r="L46" s="10" t="str">
        <f>"45,1461"</f>
        <v>45,1461</v>
      </c>
      <c r="M46" s="9"/>
    </row>
    <row r="47" spans="1:13">
      <c r="A47" s="12" t="s">
        <v>410</v>
      </c>
      <c r="B47" s="11" t="s">
        <v>3069</v>
      </c>
      <c r="C47" s="11" t="s">
        <v>3252</v>
      </c>
      <c r="D47" s="11" t="s">
        <v>996</v>
      </c>
      <c r="E47" s="11" t="s">
        <v>3760</v>
      </c>
      <c r="F47" s="11" t="s">
        <v>3509</v>
      </c>
      <c r="G47" s="25" t="s">
        <v>51</v>
      </c>
      <c r="H47" s="24" t="s">
        <v>51</v>
      </c>
      <c r="I47" s="25" t="s">
        <v>865</v>
      </c>
      <c r="J47" s="12"/>
      <c r="K47" s="31" t="str">
        <f>"50,0"</f>
        <v>50,0</v>
      </c>
      <c r="L47" s="12" t="str">
        <f>"38,5600"</f>
        <v>38,5600</v>
      </c>
      <c r="M47" s="11" t="s">
        <v>3057</v>
      </c>
    </row>
    <row r="48" spans="1:13">
      <c r="A48" s="12" t="s">
        <v>408</v>
      </c>
      <c r="B48" s="11" t="s">
        <v>3070</v>
      </c>
      <c r="C48" s="11" t="s">
        <v>3253</v>
      </c>
      <c r="D48" s="11" t="s">
        <v>1048</v>
      </c>
      <c r="E48" s="11" t="s">
        <v>3754</v>
      </c>
      <c r="F48" s="11" t="s">
        <v>3538</v>
      </c>
      <c r="G48" s="24" t="s">
        <v>17</v>
      </c>
      <c r="H48" s="25" t="s">
        <v>51</v>
      </c>
      <c r="I48" s="25" t="s">
        <v>51</v>
      </c>
      <c r="J48" s="12"/>
      <c r="K48" s="31" t="str">
        <f>"45,0"</f>
        <v>45,0</v>
      </c>
      <c r="L48" s="12" t="str">
        <f>"33,8490"</f>
        <v>33,8490</v>
      </c>
      <c r="M48" s="11" t="s">
        <v>3320</v>
      </c>
    </row>
    <row r="49" spans="1:13">
      <c r="A49" s="12" t="s">
        <v>408</v>
      </c>
      <c r="B49" s="11" t="s">
        <v>2008</v>
      </c>
      <c r="C49" s="11" t="s">
        <v>2009</v>
      </c>
      <c r="D49" s="11" t="s">
        <v>3029</v>
      </c>
      <c r="E49" s="11" t="s">
        <v>3751</v>
      </c>
      <c r="F49" s="11" t="s">
        <v>3654</v>
      </c>
      <c r="G49" s="24" t="s">
        <v>3071</v>
      </c>
      <c r="H49" s="25" t="s">
        <v>3072</v>
      </c>
      <c r="I49" s="24" t="s">
        <v>3072</v>
      </c>
      <c r="J49" s="24" t="s">
        <v>3073</v>
      </c>
      <c r="K49" s="31" t="str">
        <f>"73,0"</f>
        <v>73,0</v>
      </c>
      <c r="L49" s="12" t="str">
        <f>"57,8123"</f>
        <v>57,8123</v>
      </c>
      <c r="M49" s="11"/>
    </row>
    <row r="50" spans="1:13">
      <c r="A50" s="12" t="s">
        <v>410</v>
      </c>
      <c r="B50" s="11" t="s">
        <v>3074</v>
      </c>
      <c r="C50" s="11" t="s">
        <v>3075</v>
      </c>
      <c r="D50" s="11" t="s">
        <v>968</v>
      </c>
      <c r="E50" s="11" t="s">
        <v>3751</v>
      </c>
      <c r="F50" s="11" t="s">
        <v>3509</v>
      </c>
      <c r="G50" s="24" t="s">
        <v>889</v>
      </c>
      <c r="H50" s="24" t="s">
        <v>53</v>
      </c>
      <c r="I50" s="24" t="s">
        <v>855</v>
      </c>
      <c r="J50" s="12"/>
      <c r="K50" s="31" t="str">
        <f>"62,5"</f>
        <v>62,5</v>
      </c>
      <c r="L50" s="12" t="str">
        <f>"47,1938"</f>
        <v>47,1938</v>
      </c>
      <c r="M50" s="11"/>
    </row>
    <row r="51" spans="1:13">
      <c r="A51" s="12" t="s">
        <v>411</v>
      </c>
      <c r="B51" s="11" t="s">
        <v>3076</v>
      </c>
      <c r="C51" s="11" t="s">
        <v>3077</v>
      </c>
      <c r="D51" s="11" t="s">
        <v>91</v>
      </c>
      <c r="E51" s="11" t="s">
        <v>3751</v>
      </c>
      <c r="F51" s="11" t="s">
        <v>3509</v>
      </c>
      <c r="G51" s="24" t="s">
        <v>52</v>
      </c>
      <c r="H51" s="25" t="s">
        <v>53</v>
      </c>
      <c r="I51" s="25" t="s">
        <v>53</v>
      </c>
      <c r="J51" s="12"/>
      <c r="K51" s="31" t="str">
        <f>"55,0"</f>
        <v>55,0</v>
      </c>
      <c r="L51" s="12" t="str">
        <f>"41,1620"</f>
        <v>41,1620</v>
      </c>
      <c r="M51" s="11"/>
    </row>
    <row r="52" spans="1:13">
      <c r="A52" s="12" t="s">
        <v>408</v>
      </c>
      <c r="B52" s="11" t="s">
        <v>3078</v>
      </c>
      <c r="C52" s="11" t="s">
        <v>3254</v>
      </c>
      <c r="D52" s="11" t="s">
        <v>446</v>
      </c>
      <c r="E52" s="11" t="s">
        <v>3753</v>
      </c>
      <c r="F52" s="11" t="s">
        <v>3610</v>
      </c>
      <c r="G52" s="24" t="s">
        <v>52</v>
      </c>
      <c r="H52" s="24" t="s">
        <v>53</v>
      </c>
      <c r="I52" s="25" t="s">
        <v>3079</v>
      </c>
      <c r="J52" s="12"/>
      <c r="K52" s="31" t="str">
        <f>"60,0"</f>
        <v>60,0</v>
      </c>
      <c r="L52" s="12" t="str">
        <f>"46,4167"</f>
        <v>46,4167</v>
      </c>
      <c r="M52" s="11"/>
    </row>
    <row r="53" spans="1:13">
      <c r="A53" s="12" t="s">
        <v>410</v>
      </c>
      <c r="B53" s="11" t="s">
        <v>2019</v>
      </c>
      <c r="C53" s="11" t="s">
        <v>2020</v>
      </c>
      <c r="D53" s="11" t="s">
        <v>1056</v>
      </c>
      <c r="E53" s="11" t="s">
        <v>3753</v>
      </c>
      <c r="F53" s="11" t="s">
        <v>3509</v>
      </c>
      <c r="G53" s="25" t="s">
        <v>864</v>
      </c>
      <c r="H53" s="24" t="s">
        <v>52</v>
      </c>
      <c r="I53" s="25" t="s">
        <v>53</v>
      </c>
      <c r="J53" s="12"/>
      <c r="K53" s="31" t="str">
        <f>"55,0"</f>
        <v>55,0</v>
      </c>
      <c r="L53" s="12" t="str">
        <f>"41,8930"</f>
        <v>41,8930</v>
      </c>
      <c r="M53" s="11"/>
    </row>
    <row r="54" spans="1:13">
      <c r="A54" s="14" t="s">
        <v>408</v>
      </c>
      <c r="B54" s="13" t="s">
        <v>3076</v>
      </c>
      <c r="C54" s="13" t="s">
        <v>3255</v>
      </c>
      <c r="D54" s="13" t="s">
        <v>91</v>
      </c>
      <c r="E54" s="13" t="s">
        <v>3756</v>
      </c>
      <c r="F54" s="13" t="s">
        <v>3509</v>
      </c>
      <c r="G54" s="26" t="s">
        <v>52</v>
      </c>
      <c r="H54" s="27" t="s">
        <v>53</v>
      </c>
      <c r="I54" s="27" t="s">
        <v>53</v>
      </c>
      <c r="J54" s="14"/>
      <c r="K54" s="32" t="str">
        <f>"55,0"</f>
        <v>55,0</v>
      </c>
      <c r="L54" s="14" t="str">
        <f>"49,5590"</f>
        <v>49,5590</v>
      </c>
      <c r="M54" s="13"/>
    </row>
    <row r="55" spans="1:13">
      <c r="B55" s="5" t="s">
        <v>409</v>
      </c>
    </row>
    <row r="56" spans="1:13" ht="16">
      <c r="A56" s="57" t="s">
        <v>93</v>
      </c>
      <c r="B56" s="57"/>
      <c r="C56" s="57"/>
      <c r="D56" s="57"/>
      <c r="E56" s="57"/>
      <c r="F56" s="57"/>
      <c r="G56" s="57"/>
      <c r="H56" s="57"/>
      <c r="I56" s="57"/>
      <c r="J56" s="57"/>
    </row>
    <row r="57" spans="1:13">
      <c r="A57" s="10" t="s">
        <v>408</v>
      </c>
      <c r="B57" s="9" t="s">
        <v>3080</v>
      </c>
      <c r="C57" s="9" t="s">
        <v>3256</v>
      </c>
      <c r="D57" s="9" t="s">
        <v>2036</v>
      </c>
      <c r="E57" s="9" t="s">
        <v>3760</v>
      </c>
      <c r="F57" s="9" t="s">
        <v>3734</v>
      </c>
      <c r="G57" s="22" t="s">
        <v>53</v>
      </c>
      <c r="H57" s="22" t="s">
        <v>53</v>
      </c>
      <c r="I57" s="23" t="s">
        <v>53</v>
      </c>
      <c r="J57" s="22" t="s">
        <v>3081</v>
      </c>
      <c r="K57" s="30" t="str">
        <f>"60,0"</f>
        <v>60,0</v>
      </c>
      <c r="L57" s="10" t="str">
        <f>"41,8530"</f>
        <v>41,8530</v>
      </c>
      <c r="M57" s="9"/>
    </row>
    <row r="58" spans="1:13">
      <c r="A58" s="12" t="s">
        <v>410</v>
      </c>
      <c r="B58" s="11" t="s">
        <v>1147</v>
      </c>
      <c r="C58" s="11" t="s">
        <v>3257</v>
      </c>
      <c r="D58" s="11" t="s">
        <v>3082</v>
      </c>
      <c r="E58" s="11" t="s">
        <v>3760</v>
      </c>
      <c r="F58" s="11" t="s">
        <v>3551</v>
      </c>
      <c r="G58" s="24" t="s">
        <v>16</v>
      </c>
      <c r="H58" s="24" t="s">
        <v>864</v>
      </c>
      <c r="I58" s="24" t="s">
        <v>51</v>
      </c>
      <c r="J58" s="12"/>
      <c r="K58" s="31" t="str">
        <f>"50,0"</f>
        <v>50,0</v>
      </c>
      <c r="L58" s="12" t="str">
        <f>"34,4950"</f>
        <v>34,4950</v>
      </c>
      <c r="M58" s="11"/>
    </row>
    <row r="59" spans="1:13">
      <c r="A59" s="12" t="s">
        <v>408</v>
      </c>
      <c r="B59" s="11" t="s">
        <v>3083</v>
      </c>
      <c r="C59" s="11" t="s">
        <v>3258</v>
      </c>
      <c r="D59" s="11" t="s">
        <v>467</v>
      </c>
      <c r="E59" s="11" t="s">
        <v>3754</v>
      </c>
      <c r="F59" s="11" t="s">
        <v>3509</v>
      </c>
      <c r="G59" s="25" t="s">
        <v>14</v>
      </c>
      <c r="H59" s="24" t="s">
        <v>622</v>
      </c>
      <c r="I59" s="25" t="s">
        <v>15</v>
      </c>
      <c r="J59" s="12"/>
      <c r="K59" s="31" t="str">
        <f>"72,5"</f>
        <v>72,5</v>
      </c>
      <c r="L59" s="12" t="str">
        <f>"49,9670"</f>
        <v>49,9670</v>
      </c>
      <c r="M59" s="11" t="s">
        <v>2839</v>
      </c>
    </row>
    <row r="60" spans="1:13">
      <c r="A60" s="12" t="s">
        <v>408</v>
      </c>
      <c r="B60" s="11" t="s">
        <v>3084</v>
      </c>
      <c r="C60" s="11" t="s">
        <v>3085</v>
      </c>
      <c r="D60" s="11" t="s">
        <v>1939</v>
      </c>
      <c r="E60" s="11" t="s">
        <v>3751</v>
      </c>
      <c r="F60" s="11" t="s">
        <v>3509</v>
      </c>
      <c r="G60" s="24" t="s">
        <v>18</v>
      </c>
      <c r="H60" s="25" t="s">
        <v>435</v>
      </c>
      <c r="I60" s="25" t="s">
        <v>435</v>
      </c>
      <c r="J60" s="12"/>
      <c r="K60" s="31" t="str">
        <f>"80,0"</f>
        <v>80,0</v>
      </c>
      <c r="L60" s="12" t="str">
        <f>"57,7680"</f>
        <v>57,7680</v>
      </c>
      <c r="M60" s="11"/>
    </row>
    <row r="61" spans="1:13">
      <c r="A61" s="12" t="s">
        <v>410</v>
      </c>
      <c r="B61" s="11" t="s">
        <v>3083</v>
      </c>
      <c r="C61" s="11" t="s">
        <v>3086</v>
      </c>
      <c r="D61" s="11" t="s">
        <v>467</v>
      </c>
      <c r="E61" s="11" t="s">
        <v>3751</v>
      </c>
      <c r="F61" s="11" t="s">
        <v>3509</v>
      </c>
      <c r="G61" s="25" t="s">
        <v>14</v>
      </c>
      <c r="H61" s="24" t="s">
        <v>622</v>
      </c>
      <c r="I61" s="25" t="s">
        <v>15</v>
      </c>
      <c r="J61" s="12"/>
      <c r="K61" s="31" t="str">
        <f>"72,5"</f>
        <v>72,5</v>
      </c>
      <c r="L61" s="12" t="str">
        <f>"49,9670"</f>
        <v>49,9670</v>
      </c>
      <c r="M61" s="11" t="s">
        <v>2839</v>
      </c>
    </row>
    <row r="62" spans="1:13">
      <c r="A62" s="12" t="s">
        <v>411</v>
      </c>
      <c r="B62" s="11" t="s">
        <v>1074</v>
      </c>
      <c r="C62" s="11" t="s">
        <v>1075</v>
      </c>
      <c r="D62" s="11" t="s">
        <v>636</v>
      </c>
      <c r="E62" s="11" t="s">
        <v>3751</v>
      </c>
      <c r="F62" s="11" t="s">
        <v>3514</v>
      </c>
      <c r="G62" s="24" t="s">
        <v>14</v>
      </c>
      <c r="H62" s="24" t="s">
        <v>622</v>
      </c>
      <c r="I62" s="25" t="s">
        <v>15</v>
      </c>
      <c r="J62" s="12"/>
      <c r="K62" s="31" t="str">
        <f>"72,5"</f>
        <v>72,5</v>
      </c>
      <c r="L62" s="12" t="str">
        <f>"49,9199"</f>
        <v>49,9199</v>
      </c>
      <c r="M62" s="11" t="s">
        <v>779</v>
      </c>
    </row>
    <row r="63" spans="1:13">
      <c r="A63" s="12" t="s">
        <v>413</v>
      </c>
      <c r="B63" s="11" t="s">
        <v>3087</v>
      </c>
      <c r="C63" s="11" t="s">
        <v>3088</v>
      </c>
      <c r="D63" s="11" t="s">
        <v>3089</v>
      </c>
      <c r="E63" s="11" t="s">
        <v>3751</v>
      </c>
      <c r="F63" s="11" t="s">
        <v>3697</v>
      </c>
      <c r="G63" s="24" t="s">
        <v>13</v>
      </c>
      <c r="H63" s="25" t="s">
        <v>591</v>
      </c>
      <c r="I63" s="25" t="s">
        <v>14</v>
      </c>
      <c r="J63" s="12"/>
      <c r="K63" s="31" t="str">
        <f>"65,0"</f>
        <v>65,0</v>
      </c>
      <c r="L63" s="12" t="str">
        <f>"45,2953"</f>
        <v>45,2953</v>
      </c>
      <c r="M63" s="11"/>
    </row>
    <row r="64" spans="1:13">
      <c r="A64" s="12" t="s">
        <v>414</v>
      </c>
      <c r="B64" s="11" t="s">
        <v>2452</v>
      </c>
      <c r="C64" s="11" t="s">
        <v>2396</v>
      </c>
      <c r="D64" s="11" t="s">
        <v>1483</v>
      </c>
      <c r="E64" s="11" t="s">
        <v>3751</v>
      </c>
      <c r="F64" s="11" t="s">
        <v>3509</v>
      </c>
      <c r="G64" s="24" t="s">
        <v>51</v>
      </c>
      <c r="H64" s="24" t="s">
        <v>52</v>
      </c>
      <c r="I64" s="24" t="s">
        <v>53</v>
      </c>
      <c r="J64" s="12"/>
      <c r="K64" s="31" t="str">
        <f>"60,0"</f>
        <v>60,0</v>
      </c>
      <c r="L64" s="12" t="str">
        <f>"42,3840"</f>
        <v>42,3840</v>
      </c>
      <c r="M64" s="11" t="s">
        <v>3321</v>
      </c>
    </row>
    <row r="65" spans="1:13">
      <c r="A65" s="12" t="s">
        <v>408</v>
      </c>
      <c r="B65" s="11" t="s">
        <v>3090</v>
      </c>
      <c r="C65" s="11" t="s">
        <v>3259</v>
      </c>
      <c r="D65" s="11" t="s">
        <v>1073</v>
      </c>
      <c r="E65" s="11" t="s">
        <v>3753</v>
      </c>
      <c r="F65" s="11" t="s">
        <v>3544</v>
      </c>
      <c r="G65" s="24" t="s">
        <v>13</v>
      </c>
      <c r="H65" s="24" t="s">
        <v>591</v>
      </c>
      <c r="I65" s="25" t="s">
        <v>14</v>
      </c>
      <c r="J65" s="12"/>
      <c r="K65" s="31" t="str">
        <f>"67,5"</f>
        <v>67,5</v>
      </c>
      <c r="L65" s="12" t="str">
        <f>"47,3612"</f>
        <v>47,3612</v>
      </c>
      <c r="M65" s="11"/>
    </row>
    <row r="66" spans="1:13">
      <c r="A66" s="12" t="s">
        <v>410</v>
      </c>
      <c r="B66" s="11" t="s">
        <v>3091</v>
      </c>
      <c r="C66" s="11" t="s">
        <v>3260</v>
      </c>
      <c r="D66" s="11" t="s">
        <v>1505</v>
      </c>
      <c r="E66" s="11" t="s">
        <v>3753</v>
      </c>
      <c r="F66" s="11" t="s">
        <v>3592</v>
      </c>
      <c r="G66" s="24" t="s">
        <v>13</v>
      </c>
      <c r="H66" s="25" t="s">
        <v>591</v>
      </c>
      <c r="I66" s="24" t="s">
        <v>591</v>
      </c>
      <c r="J66" s="24" t="s">
        <v>3092</v>
      </c>
      <c r="K66" s="31" t="str">
        <f>"67,5"</f>
        <v>67,5</v>
      </c>
      <c r="L66" s="12" t="str">
        <f>"50,5366"</f>
        <v>50,5366</v>
      </c>
      <c r="M66" s="11"/>
    </row>
    <row r="67" spans="1:13">
      <c r="A67" s="12" t="s">
        <v>411</v>
      </c>
      <c r="B67" s="11" t="s">
        <v>3093</v>
      </c>
      <c r="C67" s="11" t="s">
        <v>3261</v>
      </c>
      <c r="D67" s="11" t="s">
        <v>2047</v>
      </c>
      <c r="E67" s="11" t="s">
        <v>3753</v>
      </c>
      <c r="F67" s="11" t="s">
        <v>3509</v>
      </c>
      <c r="G67" s="24" t="s">
        <v>13</v>
      </c>
      <c r="H67" s="25" t="s">
        <v>591</v>
      </c>
      <c r="I67" s="25" t="s">
        <v>591</v>
      </c>
      <c r="J67" s="12"/>
      <c r="K67" s="31" t="str">
        <f>"65,0"</f>
        <v>65,0</v>
      </c>
      <c r="L67" s="12" t="str">
        <f>"46,9582"</f>
        <v>46,9582</v>
      </c>
      <c r="M67" s="11"/>
    </row>
    <row r="68" spans="1:13">
      <c r="A68" s="12" t="s">
        <v>408</v>
      </c>
      <c r="B68" s="11" t="s">
        <v>3094</v>
      </c>
      <c r="C68" s="11" t="s">
        <v>3262</v>
      </c>
      <c r="D68" s="11" t="s">
        <v>636</v>
      </c>
      <c r="E68" s="11" t="s">
        <v>3756</v>
      </c>
      <c r="F68" s="11" t="s">
        <v>3509</v>
      </c>
      <c r="G68" s="25" t="s">
        <v>889</v>
      </c>
      <c r="H68" s="25" t="s">
        <v>53</v>
      </c>
      <c r="I68" s="24" t="s">
        <v>53</v>
      </c>
      <c r="J68" s="25" t="s">
        <v>3095</v>
      </c>
      <c r="K68" s="31" t="str">
        <f>"60,0"</f>
        <v>60,0</v>
      </c>
      <c r="L68" s="12" t="str">
        <f>"48,9146"</f>
        <v>48,9146</v>
      </c>
      <c r="M68" s="11"/>
    </row>
    <row r="69" spans="1:13">
      <c r="A69" s="12" t="s">
        <v>410</v>
      </c>
      <c r="B69" s="11" t="s">
        <v>2057</v>
      </c>
      <c r="C69" s="11" t="s">
        <v>2058</v>
      </c>
      <c r="D69" s="11" t="s">
        <v>2042</v>
      </c>
      <c r="E69" s="11" t="s">
        <v>3756</v>
      </c>
      <c r="F69" s="11" t="s">
        <v>3659</v>
      </c>
      <c r="G69" s="24" t="s">
        <v>52</v>
      </c>
      <c r="H69" s="24" t="s">
        <v>889</v>
      </c>
      <c r="I69" s="25" t="s">
        <v>855</v>
      </c>
      <c r="J69" s="12"/>
      <c r="K69" s="31" t="str">
        <f>"57,5"</f>
        <v>57,5</v>
      </c>
      <c r="L69" s="12" t="str">
        <f>"45,5468"</f>
        <v>45,5468</v>
      </c>
      <c r="M69" s="11"/>
    </row>
    <row r="70" spans="1:13">
      <c r="A70" s="12" t="s">
        <v>411</v>
      </c>
      <c r="B70" s="11" t="s">
        <v>3096</v>
      </c>
      <c r="C70" s="11" t="s">
        <v>3263</v>
      </c>
      <c r="D70" s="11" t="s">
        <v>2803</v>
      </c>
      <c r="E70" s="11" t="s">
        <v>3756</v>
      </c>
      <c r="F70" s="11" t="s">
        <v>3743</v>
      </c>
      <c r="G70" s="24" t="s">
        <v>865</v>
      </c>
      <c r="H70" s="24" t="s">
        <v>52</v>
      </c>
      <c r="I70" s="25" t="s">
        <v>889</v>
      </c>
      <c r="J70" s="12"/>
      <c r="K70" s="31" t="str">
        <f>"55,0"</f>
        <v>55,0</v>
      </c>
      <c r="L70" s="12" t="str">
        <f>"43,5330"</f>
        <v>43,5330</v>
      </c>
      <c r="M70" s="11"/>
    </row>
    <row r="71" spans="1:13">
      <c r="A71" s="14" t="s">
        <v>408</v>
      </c>
      <c r="B71" s="13" t="s">
        <v>3097</v>
      </c>
      <c r="C71" s="13" t="s">
        <v>3098</v>
      </c>
      <c r="D71" s="13" t="s">
        <v>2028</v>
      </c>
      <c r="E71" s="13" t="s">
        <v>3757</v>
      </c>
      <c r="F71" s="13" t="s">
        <v>3522</v>
      </c>
      <c r="G71" s="26" t="s">
        <v>869</v>
      </c>
      <c r="H71" s="27" t="s">
        <v>16</v>
      </c>
      <c r="I71" s="26" t="s">
        <v>16</v>
      </c>
      <c r="J71" s="14"/>
      <c r="K71" s="32" t="str">
        <f>"40,0"</f>
        <v>40,0</v>
      </c>
      <c r="L71" s="14" t="str">
        <f>"48,6469"</f>
        <v>48,6469</v>
      </c>
      <c r="M71" s="13"/>
    </row>
    <row r="72" spans="1:13">
      <c r="B72" s="5" t="s">
        <v>409</v>
      </c>
    </row>
    <row r="73" spans="1:13" ht="16">
      <c r="A73" s="57" t="s">
        <v>62</v>
      </c>
      <c r="B73" s="57"/>
      <c r="C73" s="57"/>
      <c r="D73" s="57"/>
      <c r="E73" s="57"/>
      <c r="F73" s="57"/>
      <c r="G73" s="57"/>
      <c r="H73" s="57"/>
      <c r="I73" s="57"/>
      <c r="J73" s="57"/>
    </row>
    <row r="74" spans="1:13">
      <c r="A74" s="10" t="s">
        <v>408</v>
      </c>
      <c r="B74" s="9" t="s">
        <v>2071</v>
      </c>
      <c r="C74" s="9" t="s">
        <v>3264</v>
      </c>
      <c r="D74" s="9" t="s">
        <v>2068</v>
      </c>
      <c r="E74" s="9" t="s">
        <v>3760</v>
      </c>
      <c r="F74" s="9" t="s">
        <v>3661</v>
      </c>
      <c r="G74" s="23" t="s">
        <v>889</v>
      </c>
      <c r="H74" s="23" t="s">
        <v>53</v>
      </c>
      <c r="I74" s="22" t="s">
        <v>855</v>
      </c>
      <c r="J74" s="10"/>
      <c r="K74" s="30" t="str">
        <f>"60,0"</f>
        <v>60,0</v>
      </c>
      <c r="L74" s="10" t="str">
        <f>"40,1250"</f>
        <v>40,1250</v>
      </c>
      <c r="M74" s="9" t="s">
        <v>2073</v>
      </c>
    </row>
    <row r="75" spans="1:13">
      <c r="A75" s="12" t="s">
        <v>410</v>
      </c>
      <c r="B75" s="11" t="s">
        <v>1096</v>
      </c>
      <c r="C75" s="11" t="s">
        <v>3265</v>
      </c>
      <c r="D75" s="11" t="s">
        <v>1113</v>
      </c>
      <c r="E75" s="11" t="s">
        <v>3760</v>
      </c>
      <c r="F75" s="11" t="s">
        <v>3545</v>
      </c>
      <c r="G75" s="25" t="s">
        <v>51</v>
      </c>
      <c r="H75" s="24" t="s">
        <v>889</v>
      </c>
      <c r="I75" s="25" t="s">
        <v>855</v>
      </c>
      <c r="J75" s="12"/>
      <c r="K75" s="31" t="str">
        <f>"57,5"</f>
        <v>57,5</v>
      </c>
      <c r="L75" s="12" t="str">
        <f>"37,3894"</f>
        <v>37,3894</v>
      </c>
      <c r="M75" s="11" t="s">
        <v>1098</v>
      </c>
    </row>
    <row r="76" spans="1:13">
      <c r="A76" s="12" t="s">
        <v>411</v>
      </c>
      <c r="B76" s="11" t="s">
        <v>3099</v>
      </c>
      <c r="C76" s="11" t="s">
        <v>3266</v>
      </c>
      <c r="D76" s="11" t="s">
        <v>1107</v>
      </c>
      <c r="E76" s="11" t="s">
        <v>3760</v>
      </c>
      <c r="F76" s="11" t="s">
        <v>3509</v>
      </c>
      <c r="G76" s="24" t="s">
        <v>16</v>
      </c>
      <c r="H76" s="24" t="s">
        <v>51</v>
      </c>
      <c r="I76" s="25" t="s">
        <v>52</v>
      </c>
      <c r="J76" s="12"/>
      <c r="K76" s="31" t="str">
        <f>"50,0"</f>
        <v>50,0</v>
      </c>
      <c r="L76" s="12" t="str">
        <f>"32,4875"</f>
        <v>32,4875</v>
      </c>
      <c r="M76" s="11"/>
    </row>
    <row r="77" spans="1:13">
      <c r="A77" s="12" t="s">
        <v>408</v>
      </c>
      <c r="B77" s="11" t="s">
        <v>3100</v>
      </c>
      <c r="C77" s="11" t="s">
        <v>3267</v>
      </c>
      <c r="D77" s="11" t="s">
        <v>3101</v>
      </c>
      <c r="E77" s="11" t="s">
        <v>3754</v>
      </c>
      <c r="F77" s="11" t="s">
        <v>3564</v>
      </c>
      <c r="G77" s="24" t="s">
        <v>855</v>
      </c>
      <c r="H77" s="24" t="s">
        <v>13</v>
      </c>
      <c r="I77" s="25" t="s">
        <v>591</v>
      </c>
      <c r="J77" s="12"/>
      <c r="K77" s="31" t="str">
        <f>"65,0"</f>
        <v>65,0</v>
      </c>
      <c r="L77" s="12" t="str">
        <f>"42,6855"</f>
        <v>42,6855</v>
      </c>
      <c r="M77" s="11"/>
    </row>
    <row r="78" spans="1:13">
      <c r="A78" s="12" t="s">
        <v>408</v>
      </c>
      <c r="B78" s="11" t="s">
        <v>3102</v>
      </c>
      <c r="C78" s="11" t="s">
        <v>3103</v>
      </c>
      <c r="D78" s="11" t="s">
        <v>3104</v>
      </c>
      <c r="E78" s="11" t="s">
        <v>3751</v>
      </c>
      <c r="F78" s="11" t="s">
        <v>3508</v>
      </c>
      <c r="G78" s="24" t="s">
        <v>38</v>
      </c>
      <c r="H78" s="24" t="s">
        <v>600</v>
      </c>
      <c r="I78" s="24" t="s">
        <v>69</v>
      </c>
      <c r="J78" s="12"/>
      <c r="K78" s="31" t="str">
        <f>"95,0"</f>
        <v>95,0</v>
      </c>
      <c r="L78" s="12" t="str">
        <f>"64,4100"</f>
        <v>64,4100</v>
      </c>
      <c r="M78" s="11"/>
    </row>
    <row r="79" spans="1:13">
      <c r="A79" s="12" t="s">
        <v>410</v>
      </c>
      <c r="B79" s="11" t="s">
        <v>3105</v>
      </c>
      <c r="C79" s="11" t="s">
        <v>1303</v>
      </c>
      <c r="D79" s="11" t="s">
        <v>1155</v>
      </c>
      <c r="E79" s="11" t="s">
        <v>3751</v>
      </c>
      <c r="F79" s="11" t="s">
        <v>3509</v>
      </c>
      <c r="G79" s="24" t="s">
        <v>19</v>
      </c>
      <c r="H79" s="25" t="s">
        <v>38</v>
      </c>
      <c r="I79" s="25" t="s">
        <v>38</v>
      </c>
      <c r="J79" s="12"/>
      <c r="K79" s="31" t="str">
        <f>"87,5"</f>
        <v>87,5</v>
      </c>
      <c r="L79" s="12" t="str">
        <f>"57,9556"</f>
        <v>57,9556</v>
      </c>
      <c r="M79" s="11"/>
    </row>
    <row r="80" spans="1:13">
      <c r="A80" s="12" t="s">
        <v>411</v>
      </c>
      <c r="B80" s="11" t="s">
        <v>2102</v>
      </c>
      <c r="C80" s="11" t="s">
        <v>2103</v>
      </c>
      <c r="D80" s="11" t="s">
        <v>149</v>
      </c>
      <c r="E80" s="11" t="s">
        <v>3751</v>
      </c>
      <c r="F80" s="11" t="s">
        <v>3663</v>
      </c>
      <c r="G80" s="24" t="s">
        <v>52</v>
      </c>
      <c r="H80" s="24" t="s">
        <v>13</v>
      </c>
      <c r="I80" s="24" t="s">
        <v>622</v>
      </c>
      <c r="J80" s="12"/>
      <c r="K80" s="31" t="str">
        <f>"72,5"</f>
        <v>72,5</v>
      </c>
      <c r="L80" s="12" t="str">
        <f>"46,9546"</f>
        <v>46,9546</v>
      </c>
      <c r="M80" s="11"/>
    </row>
    <row r="81" spans="1:13">
      <c r="A81" s="12" t="s">
        <v>413</v>
      </c>
      <c r="B81" s="11" t="s">
        <v>3106</v>
      </c>
      <c r="C81" s="11" t="s">
        <v>535</v>
      </c>
      <c r="D81" s="11" t="s">
        <v>123</v>
      </c>
      <c r="E81" s="11" t="s">
        <v>3751</v>
      </c>
      <c r="F81" s="11" t="s">
        <v>199</v>
      </c>
      <c r="G81" s="24" t="s">
        <v>14</v>
      </c>
      <c r="H81" s="24" t="s">
        <v>622</v>
      </c>
      <c r="I81" s="25" t="s">
        <v>15</v>
      </c>
      <c r="J81" s="12"/>
      <c r="K81" s="31" t="str">
        <f>"72,5"</f>
        <v>72,5</v>
      </c>
      <c r="L81" s="12" t="str">
        <f>"46,7335"</f>
        <v>46,7335</v>
      </c>
      <c r="M81" s="11"/>
    </row>
    <row r="82" spans="1:13">
      <c r="A82" s="12" t="s">
        <v>414</v>
      </c>
      <c r="B82" s="11" t="s">
        <v>3107</v>
      </c>
      <c r="C82" s="11" t="s">
        <v>3108</v>
      </c>
      <c r="D82" s="11" t="s">
        <v>118</v>
      </c>
      <c r="E82" s="11" t="s">
        <v>3751</v>
      </c>
      <c r="F82" s="11" t="s">
        <v>3509</v>
      </c>
      <c r="G82" s="24" t="s">
        <v>13</v>
      </c>
      <c r="H82" s="24" t="s">
        <v>591</v>
      </c>
      <c r="I82" s="25" t="s">
        <v>3109</v>
      </c>
      <c r="J82" s="12"/>
      <c r="K82" s="31" t="str">
        <f>"67,5"</f>
        <v>67,5</v>
      </c>
      <c r="L82" s="12" t="str">
        <f>"43,7872"</f>
        <v>43,7872</v>
      </c>
      <c r="M82" s="11" t="s">
        <v>3322</v>
      </c>
    </row>
    <row r="83" spans="1:13">
      <c r="A83" s="12" t="s">
        <v>415</v>
      </c>
      <c r="B83" s="11" t="s">
        <v>2106</v>
      </c>
      <c r="C83" s="11" t="s">
        <v>2107</v>
      </c>
      <c r="D83" s="11" t="s">
        <v>123</v>
      </c>
      <c r="E83" s="11" t="s">
        <v>3751</v>
      </c>
      <c r="F83" s="11" t="s">
        <v>3579</v>
      </c>
      <c r="G83" s="24" t="s">
        <v>855</v>
      </c>
      <c r="H83" s="24" t="s">
        <v>13</v>
      </c>
      <c r="I83" s="24" t="s">
        <v>591</v>
      </c>
      <c r="J83" s="12"/>
      <c r="K83" s="31" t="str">
        <f>"67,5"</f>
        <v>67,5</v>
      </c>
      <c r="L83" s="12" t="str">
        <f>"43,5105"</f>
        <v>43,5105</v>
      </c>
      <c r="M83" s="11" t="s">
        <v>2108</v>
      </c>
    </row>
    <row r="84" spans="1:13">
      <c r="A84" s="12" t="s">
        <v>416</v>
      </c>
      <c r="B84" s="11" t="s">
        <v>2098</v>
      </c>
      <c r="C84" s="11" t="s">
        <v>2099</v>
      </c>
      <c r="D84" s="11" t="s">
        <v>470</v>
      </c>
      <c r="E84" s="11" t="s">
        <v>3751</v>
      </c>
      <c r="F84" s="11" t="s">
        <v>3509</v>
      </c>
      <c r="G84" s="25" t="s">
        <v>51</v>
      </c>
      <c r="H84" s="24" t="s">
        <v>52</v>
      </c>
      <c r="I84" s="24" t="s">
        <v>855</v>
      </c>
      <c r="J84" s="12"/>
      <c r="K84" s="31" t="str">
        <f>"62,5"</f>
        <v>62,5</v>
      </c>
      <c r="L84" s="12" t="str">
        <f>"40,5781"</f>
        <v>40,5781</v>
      </c>
      <c r="M84" s="11"/>
    </row>
    <row r="85" spans="1:13">
      <c r="A85" s="12" t="s">
        <v>408</v>
      </c>
      <c r="B85" s="11" t="s">
        <v>3110</v>
      </c>
      <c r="C85" s="11" t="s">
        <v>3268</v>
      </c>
      <c r="D85" s="11" t="s">
        <v>108</v>
      </c>
      <c r="E85" s="11" t="s">
        <v>3753</v>
      </c>
      <c r="F85" s="11" t="s">
        <v>3509</v>
      </c>
      <c r="G85" s="24" t="s">
        <v>855</v>
      </c>
      <c r="H85" s="25" t="s">
        <v>591</v>
      </c>
      <c r="I85" s="25" t="s">
        <v>591</v>
      </c>
      <c r="J85" s="12"/>
      <c r="K85" s="31" t="str">
        <f>"62,5"</f>
        <v>62,5</v>
      </c>
      <c r="L85" s="12" t="str">
        <f>"40,7063"</f>
        <v>40,7063</v>
      </c>
      <c r="M85" s="11"/>
    </row>
    <row r="86" spans="1:13">
      <c r="A86" s="12" t="s">
        <v>410</v>
      </c>
      <c r="B86" s="11" t="s">
        <v>3111</v>
      </c>
      <c r="C86" s="11" t="s">
        <v>3269</v>
      </c>
      <c r="D86" s="11" t="s">
        <v>651</v>
      </c>
      <c r="E86" s="11" t="s">
        <v>3753</v>
      </c>
      <c r="F86" s="11" t="s">
        <v>3516</v>
      </c>
      <c r="G86" s="25" t="s">
        <v>52</v>
      </c>
      <c r="H86" s="25" t="s">
        <v>52</v>
      </c>
      <c r="I86" s="24" t="s">
        <v>52</v>
      </c>
      <c r="J86" s="12"/>
      <c r="K86" s="31" t="str">
        <f>"55,0"</f>
        <v>55,0</v>
      </c>
      <c r="L86" s="12" t="str">
        <f>"38,7916"</f>
        <v>38,7916</v>
      </c>
      <c r="M86" s="11" t="s">
        <v>3112</v>
      </c>
    </row>
    <row r="87" spans="1:13">
      <c r="A87" s="12" t="s">
        <v>408</v>
      </c>
      <c r="B87" s="11" t="s">
        <v>3107</v>
      </c>
      <c r="C87" s="11" t="s">
        <v>3270</v>
      </c>
      <c r="D87" s="11" t="s">
        <v>118</v>
      </c>
      <c r="E87" s="11" t="s">
        <v>3756</v>
      </c>
      <c r="F87" s="11" t="s">
        <v>3509</v>
      </c>
      <c r="G87" s="24" t="s">
        <v>13</v>
      </c>
      <c r="H87" s="24" t="s">
        <v>591</v>
      </c>
      <c r="I87" s="25" t="s">
        <v>3109</v>
      </c>
      <c r="J87" s="12"/>
      <c r="K87" s="31" t="str">
        <f>"67,5"</f>
        <v>67,5</v>
      </c>
      <c r="L87" s="12" t="str">
        <f>"49,4796"</f>
        <v>49,4796</v>
      </c>
      <c r="M87" s="11" t="s">
        <v>3322</v>
      </c>
    </row>
    <row r="88" spans="1:13">
      <c r="A88" s="12" t="s">
        <v>410</v>
      </c>
      <c r="B88" s="11" t="s">
        <v>3113</v>
      </c>
      <c r="C88" s="11" t="s">
        <v>3271</v>
      </c>
      <c r="D88" s="11" t="s">
        <v>1102</v>
      </c>
      <c r="E88" s="11" t="s">
        <v>3756</v>
      </c>
      <c r="F88" s="11" t="s">
        <v>3509</v>
      </c>
      <c r="G88" s="24" t="s">
        <v>864</v>
      </c>
      <c r="H88" s="24" t="s">
        <v>865</v>
      </c>
      <c r="I88" s="25" t="s">
        <v>52</v>
      </c>
      <c r="J88" s="12"/>
      <c r="K88" s="31" t="str">
        <f>"52,5"</f>
        <v>52,5</v>
      </c>
      <c r="L88" s="12" t="str">
        <f>"45,4923"</f>
        <v>45,4923</v>
      </c>
      <c r="M88" s="11"/>
    </row>
    <row r="89" spans="1:13">
      <c r="A89" s="14" t="s">
        <v>411</v>
      </c>
      <c r="B89" s="13" t="s">
        <v>3114</v>
      </c>
      <c r="C89" s="13" t="s">
        <v>3239</v>
      </c>
      <c r="D89" s="13" t="s">
        <v>3104</v>
      </c>
      <c r="E89" s="13" t="s">
        <v>3756</v>
      </c>
      <c r="F89" s="13" t="s">
        <v>3742</v>
      </c>
      <c r="G89" s="26" t="s">
        <v>439</v>
      </c>
      <c r="H89" s="26" t="s">
        <v>16</v>
      </c>
      <c r="I89" s="26" t="s">
        <v>440</v>
      </c>
      <c r="J89" s="14"/>
      <c r="K89" s="32" t="str">
        <f>"42,5"</f>
        <v>42,5</v>
      </c>
      <c r="L89" s="14" t="str">
        <f>"35,9035"</f>
        <v>35,9035</v>
      </c>
      <c r="M89" s="13" t="s">
        <v>3042</v>
      </c>
    </row>
    <row r="90" spans="1:13">
      <c r="B90" s="5" t="s">
        <v>409</v>
      </c>
    </row>
    <row r="91" spans="1:13" ht="16">
      <c r="A91" s="57" t="s">
        <v>150</v>
      </c>
      <c r="B91" s="57"/>
      <c r="C91" s="57"/>
      <c r="D91" s="57"/>
      <c r="E91" s="57"/>
      <c r="F91" s="57"/>
      <c r="G91" s="57"/>
      <c r="H91" s="57"/>
      <c r="I91" s="57"/>
      <c r="J91" s="57"/>
    </row>
    <row r="92" spans="1:13">
      <c r="A92" s="10" t="s">
        <v>408</v>
      </c>
      <c r="B92" s="9" t="s">
        <v>624</v>
      </c>
      <c r="C92" s="9" t="s">
        <v>3272</v>
      </c>
      <c r="D92" s="9" t="s">
        <v>2208</v>
      </c>
      <c r="E92" s="9" t="s">
        <v>3760</v>
      </c>
      <c r="F92" s="9" t="s">
        <v>3516</v>
      </c>
      <c r="G92" s="23" t="s">
        <v>53</v>
      </c>
      <c r="H92" s="22" t="s">
        <v>591</v>
      </c>
      <c r="I92" s="22" t="s">
        <v>591</v>
      </c>
      <c r="J92" s="10"/>
      <c r="K92" s="30" t="str">
        <f>"60,0"</f>
        <v>60,0</v>
      </c>
      <c r="L92" s="10" t="str">
        <f>"37,2060"</f>
        <v>37,2060</v>
      </c>
      <c r="M92" s="9" t="s">
        <v>3112</v>
      </c>
    </row>
    <row r="93" spans="1:13">
      <c r="A93" s="12" t="s">
        <v>412</v>
      </c>
      <c r="B93" s="11" t="s">
        <v>3115</v>
      </c>
      <c r="C93" s="11" t="s">
        <v>3273</v>
      </c>
      <c r="D93" s="11" t="s">
        <v>173</v>
      </c>
      <c r="E93" s="11" t="s">
        <v>3760</v>
      </c>
      <c r="F93" s="11" t="s">
        <v>3509</v>
      </c>
      <c r="G93" s="25" t="s">
        <v>13</v>
      </c>
      <c r="H93" s="25" t="s">
        <v>3116</v>
      </c>
      <c r="I93" s="25" t="s">
        <v>3116</v>
      </c>
      <c r="J93" s="12"/>
      <c r="K93" s="31">
        <v>0</v>
      </c>
      <c r="L93" s="12" t="str">
        <f>"0,0000"</f>
        <v>0,0000</v>
      </c>
      <c r="M93" s="11"/>
    </row>
    <row r="94" spans="1:13">
      <c r="A94" s="12" t="s">
        <v>408</v>
      </c>
      <c r="B94" s="11" t="s">
        <v>3117</v>
      </c>
      <c r="C94" s="11" t="s">
        <v>3274</v>
      </c>
      <c r="D94" s="11" t="s">
        <v>2208</v>
      </c>
      <c r="E94" s="11" t="s">
        <v>3754</v>
      </c>
      <c r="F94" s="11" t="s">
        <v>3571</v>
      </c>
      <c r="G94" s="24" t="s">
        <v>15</v>
      </c>
      <c r="H94" s="25" t="s">
        <v>27</v>
      </c>
      <c r="I94" s="25" t="s">
        <v>27</v>
      </c>
      <c r="J94" s="12"/>
      <c r="K94" s="31" t="str">
        <f>"75,0"</f>
        <v>75,0</v>
      </c>
      <c r="L94" s="12" t="str">
        <f>"46,5075"</f>
        <v>46,5075</v>
      </c>
      <c r="M94" s="11" t="s">
        <v>2749</v>
      </c>
    </row>
    <row r="95" spans="1:13">
      <c r="A95" s="12" t="s">
        <v>410</v>
      </c>
      <c r="B95" s="11" t="s">
        <v>2884</v>
      </c>
      <c r="C95" s="11" t="s">
        <v>3275</v>
      </c>
      <c r="D95" s="11" t="s">
        <v>1602</v>
      </c>
      <c r="E95" s="11" t="s">
        <v>3754</v>
      </c>
      <c r="F95" s="11" t="s">
        <v>3533</v>
      </c>
      <c r="G95" s="24" t="s">
        <v>855</v>
      </c>
      <c r="H95" s="24" t="s">
        <v>591</v>
      </c>
      <c r="I95" s="24" t="s">
        <v>14</v>
      </c>
      <c r="J95" s="12"/>
      <c r="K95" s="31" t="str">
        <f>"70,0"</f>
        <v>70,0</v>
      </c>
      <c r="L95" s="12" t="str">
        <f>"44,1245"</f>
        <v>44,1245</v>
      </c>
      <c r="M95" s="11" t="s">
        <v>3118</v>
      </c>
    </row>
    <row r="96" spans="1:13">
      <c r="A96" s="12" t="s">
        <v>411</v>
      </c>
      <c r="B96" s="11" t="s">
        <v>3119</v>
      </c>
      <c r="C96" s="11" t="s">
        <v>3276</v>
      </c>
      <c r="D96" s="11" t="s">
        <v>1224</v>
      </c>
      <c r="E96" s="11" t="s">
        <v>3754</v>
      </c>
      <c r="F96" s="11" t="s">
        <v>3509</v>
      </c>
      <c r="G96" s="25" t="s">
        <v>51</v>
      </c>
      <c r="H96" s="24" t="s">
        <v>52</v>
      </c>
      <c r="I96" s="25" t="s">
        <v>53</v>
      </c>
      <c r="J96" s="12"/>
      <c r="K96" s="31" t="str">
        <f>"55,0"</f>
        <v>55,0</v>
      </c>
      <c r="L96" s="12" t="str">
        <f>"34,8700"</f>
        <v>34,8700</v>
      </c>
      <c r="M96" s="11"/>
    </row>
    <row r="97" spans="1:13">
      <c r="A97" s="12" t="s">
        <v>408</v>
      </c>
      <c r="B97" s="11" t="s">
        <v>3325</v>
      </c>
      <c r="C97" s="11" t="s">
        <v>3120</v>
      </c>
      <c r="D97" s="11" t="s">
        <v>1210</v>
      </c>
      <c r="E97" s="11" t="s">
        <v>3751</v>
      </c>
      <c r="F97" s="11" t="s">
        <v>109</v>
      </c>
      <c r="G97" s="24" t="s">
        <v>60</v>
      </c>
      <c r="H97" s="24" t="s">
        <v>435</v>
      </c>
      <c r="I97" s="12"/>
      <c r="J97" s="12"/>
      <c r="K97" s="31" t="str">
        <f>"85,0"</f>
        <v>85,0</v>
      </c>
      <c r="L97" s="12" t="str">
        <f>"52,5045"</f>
        <v>52,5045</v>
      </c>
      <c r="M97" s="11"/>
    </row>
    <row r="98" spans="1:13">
      <c r="A98" s="12" t="s">
        <v>410</v>
      </c>
      <c r="B98" s="11" t="s">
        <v>3121</v>
      </c>
      <c r="C98" s="11" t="s">
        <v>3122</v>
      </c>
      <c r="D98" s="11" t="s">
        <v>1189</v>
      </c>
      <c r="E98" s="11" t="s">
        <v>3751</v>
      </c>
      <c r="F98" s="11" t="s">
        <v>199</v>
      </c>
      <c r="G98" s="24" t="s">
        <v>18</v>
      </c>
      <c r="H98" s="25" t="s">
        <v>60</v>
      </c>
      <c r="I98" s="25" t="s">
        <v>435</v>
      </c>
      <c r="J98" s="12"/>
      <c r="K98" s="31" t="str">
        <f>"80,0"</f>
        <v>80,0</v>
      </c>
      <c r="L98" s="12" t="str">
        <f>"49,0080"</f>
        <v>49,0080</v>
      </c>
      <c r="M98" s="11"/>
    </row>
    <row r="99" spans="1:13">
      <c r="A99" s="12" t="s">
        <v>411</v>
      </c>
      <c r="B99" s="11" t="s">
        <v>3326</v>
      </c>
      <c r="C99" s="11" t="s">
        <v>2189</v>
      </c>
      <c r="D99" s="11" t="s">
        <v>704</v>
      </c>
      <c r="E99" s="11" t="s">
        <v>3751</v>
      </c>
      <c r="F99" s="11" t="s">
        <v>142</v>
      </c>
      <c r="G99" s="24" t="s">
        <v>13</v>
      </c>
      <c r="H99" s="24" t="s">
        <v>14</v>
      </c>
      <c r="I99" s="24" t="s">
        <v>15</v>
      </c>
      <c r="J99" s="12"/>
      <c r="K99" s="31" t="str">
        <f>"75,0"</f>
        <v>75,0</v>
      </c>
      <c r="L99" s="12" t="str">
        <f>"46,5675"</f>
        <v>46,5675</v>
      </c>
      <c r="M99" s="11"/>
    </row>
    <row r="100" spans="1:13">
      <c r="A100" s="12" t="s">
        <v>413</v>
      </c>
      <c r="B100" s="11" t="s">
        <v>2187</v>
      </c>
      <c r="C100" s="11" t="s">
        <v>2188</v>
      </c>
      <c r="D100" s="11" t="s">
        <v>1562</v>
      </c>
      <c r="E100" s="11" t="s">
        <v>3751</v>
      </c>
      <c r="F100" s="11" t="s">
        <v>3674</v>
      </c>
      <c r="G100" s="24" t="s">
        <v>14</v>
      </c>
      <c r="H100" s="25" t="s">
        <v>15</v>
      </c>
      <c r="I100" s="25" t="s">
        <v>15</v>
      </c>
      <c r="J100" s="12"/>
      <c r="K100" s="31" t="str">
        <f>"70,0"</f>
        <v>70,0</v>
      </c>
      <c r="L100" s="12" t="str">
        <f>"43,0185"</f>
        <v>43,0185</v>
      </c>
      <c r="M100" s="11"/>
    </row>
    <row r="101" spans="1:13">
      <c r="A101" s="12" t="s">
        <v>414</v>
      </c>
      <c r="B101" s="11" t="s">
        <v>3123</v>
      </c>
      <c r="C101" s="11" t="s">
        <v>3124</v>
      </c>
      <c r="D101" s="11" t="s">
        <v>3125</v>
      </c>
      <c r="E101" s="11" t="s">
        <v>3751</v>
      </c>
      <c r="F101" s="11" t="s">
        <v>3579</v>
      </c>
      <c r="G101" s="25" t="s">
        <v>53</v>
      </c>
      <c r="H101" s="24" t="s">
        <v>13</v>
      </c>
      <c r="I101" s="25" t="s">
        <v>591</v>
      </c>
      <c r="J101" s="12"/>
      <c r="K101" s="31" t="str">
        <f>"65,0"</f>
        <v>65,0</v>
      </c>
      <c r="L101" s="12" t="str">
        <f>"40,6867"</f>
        <v>40,6867</v>
      </c>
      <c r="M101" s="11"/>
    </row>
    <row r="102" spans="1:13">
      <c r="A102" s="12" t="s">
        <v>415</v>
      </c>
      <c r="B102" s="11" t="s">
        <v>3126</v>
      </c>
      <c r="C102" s="11" t="s">
        <v>3127</v>
      </c>
      <c r="D102" s="11" t="s">
        <v>1189</v>
      </c>
      <c r="E102" s="11" t="s">
        <v>3751</v>
      </c>
      <c r="F102" s="11" t="s">
        <v>3742</v>
      </c>
      <c r="G102" s="24" t="s">
        <v>13</v>
      </c>
      <c r="H102" s="25" t="s">
        <v>14</v>
      </c>
      <c r="I102" s="25" t="s">
        <v>14</v>
      </c>
      <c r="J102" s="12"/>
      <c r="K102" s="31" t="str">
        <f>"65,0"</f>
        <v>65,0</v>
      </c>
      <c r="L102" s="12" t="str">
        <f>"39,8190"</f>
        <v>39,8190</v>
      </c>
      <c r="M102" s="11" t="s">
        <v>3042</v>
      </c>
    </row>
    <row r="103" spans="1:13">
      <c r="A103" s="12" t="s">
        <v>412</v>
      </c>
      <c r="B103" s="11" t="s">
        <v>3128</v>
      </c>
      <c r="C103" s="11" t="s">
        <v>3129</v>
      </c>
      <c r="D103" s="11" t="s">
        <v>3125</v>
      </c>
      <c r="E103" s="11" t="s">
        <v>3751</v>
      </c>
      <c r="F103" s="11" t="s">
        <v>3509</v>
      </c>
      <c r="G103" s="25" t="s">
        <v>591</v>
      </c>
      <c r="H103" s="25" t="s">
        <v>591</v>
      </c>
      <c r="I103" s="25" t="s">
        <v>591</v>
      </c>
      <c r="J103" s="12"/>
      <c r="K103" s="31">
        <v>0</v>
      </c>
      <c r="L103" s="12" t="str">
        <f>"0,0000"</f>
        <v>0,0000</v>
      </c>
      <c r="M103" s="11"/>
    </row>
    <row r="104" spans="1:13">
      <c r="A104" s="12" t="s">
        <v>408</v>
      </c>
      <c r="B104" s="11" t="s">
        <v>3130</v>
      </c>
      <c r="C104" s="11" t="s">
        <v>3277</v>
      </c>
      <c r="D104" s="11" t="s">
        <v>2208</v>
      </c>
      <c r="E104" s="11" t="s">
        <v>3753</v>
      </c>
      <c r="F104" s="11" t="s">
        <v>3509</v>
      </c>
      <c r="G104" s="24" t="s">
        <v>622</v>
      </c>
      <c r="H104" s="24" t="s">
        <v>27</v>
      </c>
      <c r="I104" s="24" t="s">
        <v>3131</v>
      </c>
      <c r="J104" s="12"/>
      <c r="K104" s="31" t="str">
        <f>"80,5"</f>
        <v>80,5</v>
      </c>
      <c r="L104" s="12" t="str">
        <f>"51,4655"</f>
        <v>51,4655</v>
      </c>
      <c r="M104" s="11"/>
    </row>
    <row r="105" spans="1:13">
      <c r="A105" s="12" t="s">
        <v>408</v>
      </c>
      <c r="B105" s="11" t="s">
        <v>3132</v>
      </c>
      <c r="C105" s="11" t="s">
        <v>3133</v>
      </c>
      <c r="D105" s="11" t="s">
        <v>164</v>
      </c>
      <c r="E105" s="11" t="s">
        <v>3757</v>
      </c>
      <c r="F105" s="11" t="s">
        <v>3509</v>
      </c>
      <c r="G105" s="24" t="s">
        <v>51</v>
      </c>
      <c r="H105" s="24" t="s">
        <v>52</v>
      </c>
      <c r="I105" s="24" t="s">
        <v>889</v>
      </c>
      <c r="J105" s="12"/>
      <c r="K105" s="31" t="str">
        <f>"57,5"</f>
        <v>57,5</v>
      </c>
      <c r="L105" s="12" t="str">
        <f>"51,1714"</f>
        <v>51,1714</v>
      </c>
      <c r="M105" s="11"/>
    </row>
    <row r="106" spans="1:13">
      <c r="A106" s="14" t="s">
        <v>410</v>
      </c>
      <c r="B106" s="13" t="s">
        <v>1600</v>
      </c>
      <c r="C106" s="13" t="s">
        <v>3024</v>
      </c>
      <c r="D106" s="13" t="s">
        <v>1602</v>
      </c>
      <c r="E106" s="13" t="s">
        <v>3757</v>
      </c>
      <c r="F106" s="13" t="s">
        <v>3708</v>
      </c>
      <c r="G106" s="26" t="s">
        <v>16</v>
      </c>
      <c r="H106" s="26" t="s">
        <v>864</v>
      </c>
      <c r="I106" s="26" t="s">
        <v>51</v>
      </c>
      <c r="J106" s="14"/>
      <c r="K106" s="32" t="str">
        <f>"50,0"</f>
        <v>50,0</v>
      </c>
      <c r="L106" s="14" t="str">
        <f>"43,0529"</f>
        <v>43,0529</v>
      </c>
      <c r="M106" s="13"/>
    </row>
    <row r="107" spans="1:13">
      <c r="B107" s="5" t="s">
        <v>409</v>
      </c>
    </row>
    <row r="108" spans="1:13" ht="16">
      <c r="A108" s="57" t="s">
        <v>195</v>
      </c>
      <c r="B108" s="57"/>
      <c r="C108" s="57"/>
      <c r="D108" s="57"/>
      <c r="E108" s="57"/>
      <c r="F108" s="57"/>
      <c r="G108" s="57"/>
      <c r="H108" s="57"/>
      <c r="I108" s="57"/>
      <c r="J108" s="57"/>
    </row>
    <row r="109" spans="1:13">
      <c r="A109" s="10" t="s">
        <v>408</v>
      </c>
      <c r="B109" s="9" t="s">
        <v>3134</v>
      </c>
      <c r="C109" s="9" t="s">
        <v>3278</v>
      </c>
      <c r="D109" s="9" t="s">
        <v>1668</v>
      </c>
      <c r="E109" s="9" t="s">
        <v>3754</v>
      </c>
      <c r="F109" s="9" t="s">
        <v>3620</v>
      </c>
      <c r="G109" s="23" t="s">
        <v>27</v>
      </c>
      <c r="H109" s="22" t="s">
        <v>60</v>
      </c>
      <c r="I109" s="23" t="s">
        <v>60</v>
      </c>
      <c r="J109" s="22" t="s">
        <v>1516</v>
      </c>
      <c r="K109" s="30" t="str">
        <f>"82,5"</f>
        <v>82,5</v>
      </c>
      <c r="L109" s="10" t="str">
        <f>"48,5100"</f>
        <v>48,5100</v>
      </c>
      <c r="M109" s="9"/>
    </row>
    <row r="110" spans="1:13">
      <c r="A110" s="12" t="s">
        <v>410</v>
      </c>
      <c r="B110" s="11" t="s">
        <v>2285</v>
      </c>
      <c r="C110" s="11" t="s">
        <v>3279</v>
      </c>
      <c r="D110" s="11" t="s">
        <v>710</v>
      </c>
      <c r="E110" s="11" t="s">
        <v>3754</v>
      </c>
      <c r="F110" s="11" t="s">
        <v>3610</v>
      </c>
      <c r="G110" s="24" t="s">
        <v>53</v>
      </c>
      <c r="H110" s="24" t="s">
        <v>13</v>
      </c>
      <c r="I110" s="25" t="s">
        <v>622</v>
      </c>
      <c r="J110" s="12"/>
      <c r="K110" s="31" t="str">
        <f>"65,0"</f>
        <v>65,0</v>
      </c>
      <c r="L110" s="12" t="str">
        <f>"38,4573"</f>
        <v>38,4573</v>
      </c>
      <c r="M110" s="11" t="s">
        <v>2287</v>
      </c>
    </row>
    <row r="111" spans="1:13">
      <c r="A111" s="12" t="s">
        <v>412</v>
      </c>
      <c r="B111" s="11" t="s">
        <v>3135</v>
      </c>
      <c r="C111" s="11" t="s">
        <v>3280</v>
      </c>
      <c r="D111" s="11" t="s">
        <v>2341</v>
      </c>
      <c r="E111" s="11" t="s">
        <v>3754</v>
      </c>
      <c r="F111" s="11" t="s">
        <v>3509</v>
      </c>
      <c r="G111" s="25" t="s">
        <v>15</v>
      </c>
      <c r="H111" s="25" t="s">
        <v>15</v>
      </c>
      <c r="I111" s="12"/>
      <c r="J111" s="12"/>
      <c r="K111" s="31">
        <v>0</v>
      </c>
      <c r="L111" s="12" t="str">
        <f>"0,0000"</f>
        <v>0,0000</v>
      </c>
      <c r="M111" s="11" t="s">
        <v>3059</v>
      </c>
    </row>
    <row r="112" spans="1:13">
      <c r="A112" s="12" t="s">
        <v>408</v>
      </c>
      <c r="B112" s="11" t="s">
        <v>3025</v>
      </c>
      <c r="C112" s="11" t="s">
        <v>3026</v>
      </c>
      <c r="D112" s="11" t="s">
        <v>241</v>
      </c>
      <c r="E112" s="11" t="s">
        <v>3751</v>
      </c>
      <c r="F112" s="11" t="s">
        <v>3535</v>
      </c>
      <c r="G112" s="24" t="s">
        <v>622</v>
      </c>
      <c r="H112" s="24" t="s">
        <v>15</v>
      </c>
      <c r="I112" s="24" t="s">
        <v>18</v>
      </c>
      <c r="J112" s="12"/>
      <c r="K112" s="31" t="str">
        <f>"80,0"</f>
        <v>80,0</v>
      </c>
      <c r="L112" s="12" t="str">
        <f>"47,0600"</f>
        <v>47,0600</v>
      </c>
      <c r="M112" s="11" t="s">
        <v>509</v>
      </c>
    </row>
    <row r="113" spans="1:13">
      <c r="A113" s="12" t="s">
        <v>410</v>
      </c>
      <c r="B113" s="11" t="s">
        <v>3136</v>
      </c>
      <c r="C113" s="11" t="s">
        <v>3137</v>
      </c>
      <c r="D113" s="11" t="s">
        <v>224</v>
      </c>
      <c r="E113" s="11" t="s">
        <v>3751</v>
      </c>
      <c r="F113" s="11" t="s">
        <v>3744</v>
      </c>
      <c r="G113" s="24" t="s">
        <v>27</v>
      </c>
      <c r="H113" s="24" t="s">
        <v>18</v>
      </c>
      <c r="I113" s="25" t="s">
        <v>60</v>
      </c>
      <c r="J113" s="12"/>
      <c r="K113" s="31" t="str">
        <f>"80,0"</f>
        <v>80,0</v>
      </c>
      <c r="L113" s="12" t="str">
        <f>"47,0200"</f>
        <v>47,0200</v>
      </c>
      <c r="M113" s="11"/>
    </row>
    <row r="114" spans="1:13">
      <c r="A114" s="12" t="s">
        <v>411</v>
      </c>
      <c r="B114" s="11" t="s">
        <v>3138</v>
      </c>
      <c r="C114" s="11" t="s">
        <v>3139</v>
      </c>
      <c r="D114" s="11" t="s">
        <v>503</v>
      </c>
      <c r="E114" s="11" t="s">
        <v>3751</v>
      </c>
      <c r="F114" s="11" t="s">
        <v>3509</v>
      </c>
      <c r="G114" s="25" t="s">
        <v>15</v>
      </c>
      <c r="H114" s="24" t="s">
        <v>18</v>
      </c>
      <c r="I114" s="25" t="s">
        <v>60</v>
      </c>
      <c r="J114" s="12"/>
      <c r="K114" s="31" t="str">
        <f>"80,0"</f>
        <v>80,0</v>
      </c>
      <c r="L114" s="12" t="str">
        <f>"46,7040"</f>
        <v>46,7040</v>
      </c>
      <c r="M114" s="11" t="s">
        <v>1588</v>
      </c>
    </row>
    <row r="115" spans="1:13">
      <c r="A115" s="12" t="s">
        <v>413</v>
      </c>
      <c r="B115" s="11" t="s">
        <v>3140</v>
      </c>
      <c r="C115" s="11" t="s">
        <v>3141</v>
      </c>
      <c r="D115" s="11" t="s">
        <v>1617</v>
      </c>
      <c r="E115" s="11" t="s">
        <v>3751</v>
      </c>
      <c r="F115" s="11" t="s">
        <v>3656</v>
      </c>
      <c r="G115" s="24" t="s">
        <v>14</v>
      </c>
      <c r="H115" s="24" t="s">
        <v>622</v>
      </c>
      <c r="I115" s="24" t="s">
        <v>15</v>
      </c>
      <c r="J115" s="12"/>
      <c r="K115" s="31" t="str">
        <f>"75,0"</f>
        <v>75,0</v>
      </c>
      <c r="L115" s="12" t="str">
        <f>"44,3550"</f>
        <v>44,3550</v>
      </c>
      <c r="M115" s="11"/>
    </row>
    <row r="116" spans="1:13">
      <c r="A116" s="12" t="s">
        <v>414</v>
      </c>
      <c r="B116" s="11" t="s">
        <v>2313</v>
      </c>
      <c r="C116" s="11" t="s">
        <v>2314</v>
      </c>
      <c r="D116" s="11" t="s">
        <v>2315</v>
      </c>
      <c r="E116" s="11" t="s">
        <v>3751</v>
      </c>
      <c r="F116" s="11" t="s">
        <v>3509</v>
      </c>
      <c r="G116" s="24" t="s">
        <v>53</v>
      </c>
      <c r="H116" s="24" t="s">
        <v>13</v>
      </c>
      <c r="I116" s="24" t="s">
        <v>14</v>
      </c>
      <c r="J116" s="12"/>
      <c r="K116" s="31" t="str">
        <f>"70,0"</f>
        <v>70,0</v>
      </c>
      <c r="L116" s="12" t="str">
        <f>"42,1120"</f>
        <v>42,1120</v>
      </c>
      <c r="M116" s="11"/>
    </row>
    <row r="117" spans="1:13">
      <c r="A117" s="12" t="s">
        <v>408</v>
      </c>
      <c r="B117" s="11" t="s">
        <v>3142</v>
      </c>
      <c r="C117" s="11" t="s">
        <v>3281</v>
      </c>
      <c r="D117" s="11" t="s">
        <v>735</v>
      </c>
      <c r="E117" s="11" t="s">
        <v>3753</v>
      </c>
      <c r="F117" s="11" t="s">
        <v>3528</v>
      </c>
      <c r="G117" s="24" t="s">
        <v>14</v>
      </c>
      <c r="H117" s="24" t="s">
        <v>15</v>
      </c>
      <c r="I117" s="24" t="s">
        <v>27</v>
      </c>
      <c r="J117" s="12"/>
      <c r="K117" s="31" t="str">
        <f>"77,5"</f>
        <v>77,5</v>
      </c>
      <c r="L117" s="12" t="str">
        <f>"48,4908"</f>
        <v>48,4908</v>
      </c>
      <c r="M117" s="11" t="s">
        <v>3143</v>
      </c>
    </row>
    <row r="118" spans="1:13">
      <c r="A118" s="12" t="s">
        <v>410</v>
      </c>
      <c r="B118" s="11" t="s">
        <v>3144</v>
      </c>
      <c r="C118" s="11" t="s">
        <v>3282</v>
      </c>
      <c r="D118" s="11" t="s">
        <v>1264</v>
      </c>
      <c r="E118" s="11" t="s">
        <v>3753</v>
      </c>
      <c r="F118" s="11" t="s">
        <v>3745</v>
      </c>
      <c r="G118" s="24" t="s">
        <v>14</v>
      </c>
      <c r="H118" s="25" t="s">
        <v>622</v>
      </c>
      <c r="I118" s="25" t="s">
        <v>15</v>
      </c>
      <c r="J118" s="12"/>
      <c r="K118" s="31" t="str">
        <f>"70,0"</f>
        <v>70,0</v>
      </c>
      <c r="L118" s="12" t="str">
        <f>"45,0719"</f>
        <v>45,0719</v>
      </c>
      <c r="M118" s="11" t="s">
        <v>3145</v>
      </c>
    </row>
    <row r="119" spans="1:13">
      <c r="A119" s="12" t="s">
        <v>408</v>
      </c>
      <c r="B119" s="11" t="s">
        <v>3146</v>
      </c>
      <c r="C119" s="11" t="s">
        <v>3283</v>
      </c>
      <c r="D119" s="11" t="s">
        <v>3147</v>
      </c>
      <c r="E119" s="11" t="s">
        <v>3756</v>
      </c>
      <c r="F119" s="11" t="s">
        <v>3746</v>
      </c>
      <c r="G119" s="24" t="s">
        <v>52</v>
      </c>
      <c r="H119" s="24" t="s">
        <v>53</v>
      </c>
      <c r="I119" s="24" t="s">
        <v>13</v>
      </c>
      <c r="J119" s="12"/>
      <c r="K119" s="31" t="str">
        <f>"65,0"</f>
        <v>65,0</v>
      </c>
      <c r="L119" s="12" t="str">
        <f>"49,3756"</f>
        <v>49,3756</v>
      </c>
      <c r="M119" s="11"/>
    </row>
    <row r="120" spans="1:13">
      <c r="A120" s="14" t="s">
        <v>410</v>
      </c>
      <c r="B120" s="13" t="s">
        <v>1426</v>
      </c>
      <c r="C120" s="13" t="s">
        <v>1427</v>
      </c>
      <c r="D120" s="13" t="s">
        <v>1428</v>
      </c>
      <c r="E120" s="13" t="s">
        <v>3756</v>
      </c>
      <c r="F120" s="13" t="s">
        <v>3552</v>
      </c>
      <c r="G120" s="26" t="s">
        <v>53</v>
      </c>
      <c r="H120" s="26" t="s">
        <v>13</v>
      </c>
      <c r="I120" s="27" t="s">
        <v>14</v>
      </c>
      <c r="J120" s="14"/>
      <c r="K120" s="32" t="str">
        <f>"65,0"</f>
        <v>65,0</v>
      </c>
      <c r="L120" s="14" t="str">
        <f>"47,0069"</f>
        <v>47,0069</v>
      </c>
      <c r="M120" s="13" t="s">
        <v>3231</v>
      </c>
    </row>
    <row r="121" spans="1:13">
      <c r="B121" s="5" t="s">
        <v>409</v>
      </c>
    </row>
    <row r="122" spans="1:13" ht="16">
      <c r="A122" s="57" t="s">
        <v>258</v>
      </c>
      <c r="B122" s="57"/>
      <c r="C122" s="57"/>
      <c r="D122" s="57"/>
      <c r="E122" s="57"/>
      <c r="F122" s="57"/>
      <c r="G122" s="57"/>
      <c r="H122" s="57"/>
      <c r="I122" s="57"/>
      <c r="J122" s="57"/>
    </row>
    <row r="123" spans="1:13">
      <c r="A123" s="10" t="s">
        <v>408</v>
      </c>
      <c r="B123" s="9" t="s">
        <v>3148</v>
      </c>
      <c r="C123" s="9" t="s">
        <v>3149</v>
      </c>
      <c r="D123" s="9" t="s">
        <v>3150</v>
      </c>
      <c r="E123" s="9" t="s">
        <v>3751</v>
      </c>
      <c r="F123" s="9" t="s">
        <v>3747</v>
      </c>
      <c r="G123" s="23" t="s">
        <v>54</v>
      </c>
      <c r="H123" s="22" t="s">
        <v>586</v>
      </c>
      <c r="I123" s="22" t="s">
        <v>586</v>
      </c>
      <c r="J123" s="10"/>
      <c r="K123" s="30" t="str">
        <f>"105,0"</f>
        <v>105,0</v>
      </c>
      <c r="L123" s="10" t="str">
        <f>"60,2018"</f>
        <v>60,2018</v>
      </c>
      <c r="M123" s="9"/>
    </row>
    <row r="124" spans="1:13">
      <c r="A124" s="12" t="s">
        <v>410</v>
      </c>
      <c r="B124" s="11" t="s">
        <v>3151</v>
      </c>
      <c r="C124" s="11" t="s">
        <v>3152</v>
      </c>
      <c r="D124" s="11" t="s">
        <v>3153</v>
      </c>
      <c r="E124" s="11" t="s">
        <v>3751</v>
      </c>
      <c r="F124" s="11" t="s">
        <v>3549</v>
      </c>
      <c r="G124" s="24" t="s">
        <v>53</v>
      </c>
      <c r="H124" s="24" t="s">
        <v>13</v>
      </c>
      <c r="I124" s="24" t="s">
        <v>14</v>
      </c>
      <c r="J124" s="12"/>
      <c r="K124" s="31" t="str">
        <f>"70,0"</f>
        <v>70,0</v>
      </c>
      <c r="L124" s="12" t="str">
        <f>"40,3235"</f>
        <v>40,3235</v>
      </c>
      <c r="M124" s="11"/>
    </row>
    <row r="125" spans="1:13">
      <c r="A125" s="12" t="s">
        <v>408</v>
      </c>
      <c r="B125" s="11" t="s">
        <v>3154</v>
      </c>
      <c r="C125" s="11" t="s">
        <v>3284</v>
      </c>
      <c r="D125" s="11" t="s">
        <v>3030</v>
      </c>
      <c r="E125" s="11" t="s">
        <v>3753</v>
      </c>
      <c r="F125" s="11" t="s">
        <v>3656</v>
      </c>
      <c r="G125" s="24" t="s">
        <v>60</v>
      </c>
      <c r="H125" s="25" t="s">
        <v>3155</v>
      </c>
      <c r="I125" s="25" t="s">
        <v>3155</v>
      </c>
      <c r="J125" s="12"/>
      <c r="K125" s="31" t="str">
        <f>"82,5"</f>
        <v>82,5</v>
      </c>
      <c r="L125" s="12" t="str">
        <f>"48,6019"</f>
        <v>48,6019</v>
      </c>
      <c r="M125" s="11" t="s">
        <v>3156</v>
      </c>
    </row>
    <row r="126" spans="1:13">
      <c r="A126" s="12" t="s">
        <v>410</v>
      </c>
      <c r="B126" s="11" t="s">
        <v>3157</v>
      </c>
      <c r="C126" s="11" t="s">
        <v>3240</v>
      </c>
      <c r="D126" s="11" t="s">
        <v>3158</v>
      </c>
      <c r="E126" s="11" t="s">
        <v>3753</v>
      </c>
      <c r="F126" s="11" t="s">
        <v>3742</v>
      </c>
      <c r="G126" s="24" t="s">
        <v>13</v>
      </c>
      <c r="H126" s="24" t="s">
        <v>14</v>
      </c>
      <c r="I126" s="25" t="s">
        <v>622</v>
      </c>
      <c r="J126" s="12"/>
      <c r="K126" s="31" t="str">
        <f>"70,0"</f>
        <v>70,0</v>
      </c>
      <c r="L126" s="12" t="str">
        <f>"42,2180"</f>
        <v>42,2180</v>
      </c>
      <c r="M126" s="11"/>
    </row>
    <row r="127" spans="1:13">
      <c r="A127" s="12" t="s">
        <v>411</v>
      </c>
      <c r="B127" s="11" t="s">
        <v>3151</v>
      </c>
      <c r="C127" s="11" t="s">
        <v>3285</v>
      </c>
      <c r="D127" s="11" t="s">
        <v>3153</v>
      </c>
      <c r="E127" s="11" t="s">
        <v>3753</v>
      </c>
      <c r="F127" s="11" t="s">
        <v>3549</v>
      </c>
      <c r="G127" s="24" t="s">
        <v>53</v>
      </c>
      <c r="H127" s="24" t="s">
        <v>13</v>
      </c>
      <c r="I127" s="24" t="s">
        <v>14</v>
      </c>
      <c r="J127" s="12"/>
      <c r="K127" s="31" t="str">
        <f>"70,0"</f>
        <v>70,0</v>
      </c>
      <c r="L127" s="12" t="str">
        <f>"42,5413"</f>
        <v>42,5413</v>
      </c>
      <c r="M127" s="11"/>
    </row>
    <row r="128" spans="1:13">
      <c r="A128" s="14" t="s">
        <v>408</v>
      </c>
      <c r="B128" s="13" t="s">
        <v>3327</v>
      </c>
      <c r="C128" s="13" t="s">
        <v>3286</v>
      </c>
      <c r="D128" s="13" t="s">
        <v>3159</v>
      </c>
      <c r="E128" s="13" t="s">
        <v>3756</v>
      </c>
      <c r="F128" s="13" t="s">
        <v>707</v>
      </c>
      <c r="G128" s="26" t="s">
        <v>855</v>
      </c>
      <c r="H128" s="26" t="s">
        <v>591</v>
      </c>
      <c r="I128" s="27" t="s">
        <v>622</v>
      </c>
      <c r="J128" s="14"/>
      <c r="K128" s="32" t="str">
        <f>"67,5"</f>
        <v>67,5</v>
      </c>
      <c r="L128" s="14" t="str">
        <f>"45,4625"</f>
        <v>45,4625</v>
      </c>
      <c r="M128" s="13" t="s">
        <v>3331</v>
      </c>
    </row>
    <row r="129" spans="1:13">
      <c r="B129" s="5" t="s">
        <v>409</v>
      </c>
    </row>
    <row r="130" spans="1:13" ht="16">
      <c r="A130" s="57" t="s">
        <v>280</v>
      </c>
      <c r="B130" s="57"/>
      <c r="C130" s="57"/>
      <c r="D130" s="57"/>
      <c r="E130" s="57"/>
      <c r="F130" s="57"/>
      <c r="G130" s="57"/>
      <c r="H130" s="57"/>
      <c r="I130" s="57"/>
      <c r="J130" s="57"/>
    </row>
    <row r="131" spans="1:13">
      <c r="A131" s="10" t="s">
        <v>408</v>
      </c>
      <c r="B131" s="9" t="s">
        <v>2388</v>
      </c>
      <c r="C131" s="9" t="s">
        <v>2389</v>
      </c>
      <c r="D131" s="9" t="s">
        <v>2390</v>
      </c>
      <c r="E131" s="9" t="s">
        <v>3751</v>
      </c>
      <c r="F131" s="9" t="s">
        <v>3630</v>
      </c>
      <c r="G131" s="23" t="s">
        <v>38</v>
      </c>
      <c r="H131" s="22" t="s">
        <v>69</v>
      </c>
      <c r="I131" s="22" t="s">
        <v>69</v>
      </c>
      <c r="J131" s="10"/>
      <c r="K131" s="30" t="str">
        <f>"90,0"</f>
        <v>90,0</v>
      </c>
      <c r="L131" s="10" t="str">
        <f>"49,1535"</f>
        <v>49,1535</v>
      </c>
      <c r="M131" s="9" t="s">
        <v>2391</v>
      </c>
    </row>
    <row r="132" spans="1:13">
      <c r="A132" s="12" t="s">
        <v>410</v>
      </c>
      <c r="B132" s="11" t="s">
        <v>3160</v>
      </c>
      <c r="C132" s="11" t="s">
        <v>3161</v>
      </c>
      <c r="D132" s="11" t="s">
        <v>1752</v>
      </c>
      <c r="E132" s="11" t="s">
        <v>3751</v>
      </c>
      <c r="F132" s="11" t="s">
        <v>3509</v>
      </c>
      <c r="G132" s="24" t="s">
        <v>18</v>
      </c>
      <c r="H132" s="24" t="s">
        <v>435</v>
      </c>
      <c r="I132" s="25" t="s">
        <v>38</v>
      </c>
      <c r="J132" s="12"/>
      <c r="K132" s="31" t="str">
        <f>"85,0"</f>
        <v>85,0</v>
      </c>
      <c r="L132" s="12" t="str">
        <f>"47,2685"</f>
        <v>47,2685</v>
      </c>
      <c r="M132" s="11" t="s">
        <v>3162</v>
      </c>
    </row>
    <row r="133" spans="1:13">
      <c r="A133" s="12" t="s">
        <v>408</v>
      </c>
      <c r="B133" s="11" t="s">
        <v>3160</v>
      </c>
      <c r="C133" s="11" t="s">
        <v>3287</v>
      </c>
      <c r="D133" s="11" t="s">
        <v>1752</v>
      </c>
      <c r="E133" s="11" t="s">
        <v>3753</v>
      </c>
      <c r="F133" s="11" t="s">
        <v>3509</v>
      </c>
      <c r="G133" s="24" t="s">
        <v>18</v>
      </c>
      <c r="H133" s="24" t="s">
        <v>435</v>
      </c>
      <c r="I133" s="25" t="s">
        <v>38</v>
      </c>
      <c r="J133" s="12"/>
      <c r="K133" s="31" t="str">
        <f>"85,0"</f>
        <v>85,0</v>
      </c>
      <c r="L133" s="12" t="str">
        <f>"47,7412"</f>
        <v>47,7412</v>
      </c>
      <c r="M133" s="11" t="s">
        <v>3162</v>
      </c>
    </row>
    <row r="134" spans="1:13">
      <c r="A134" s="12" t="s">
        <v>410</v>
      </c>
      <c r="B134" s="11" t="s">
        <v>816</v>
      </c>
      <c r="C134" s="11" t="s">
        <v>817</v>
      </c>
      <c r="D134" s="11" t="s">
        <v>818</v>
      </c>
      <c r="E134" s="11" t="s">
        <v>3753</v>
      </c>
      <c r="F134" s="11" t="s">
        <v>3599</v>
      </c>
      <c r="G134" s="25" t="s">
        <v>18</v>
      </c>
      <c r="H134" s="24" t="s">
        <v>18</v>
      </c>
      <c r="I134" s="25" t="s">
        <v>38</v>
      </c>
      <c r="J134" s="12"/>
      <c r="K134" s="31" t="str">
        <f>"80,0"</f>
        <v>80,0</v>
      </c>
      <c r="L134" s="12" t="str">
        <f>"44,2520"</f>
        <v>44,2520</v>
      </c>
      <c r="M134" s="11" t="s">
        <v>310</v>
      </c>
    </row>
    <row r="135" spans="1:13">
      <c r="A135" s="14" t="s">
        <v>408</v>
      </c>
      <c r="B135" s="13" t="s">
        <v>2884</v>
      </c>
      <c r="C135" s="13" t="s">
        <v>2885</v>
      </c>
      <c r="D135" s="13" t="s">
        <v>2886</v>
      </c>
      <c r="E135" s="13" t="s">
        <v>3756</v>
      </c>
      <c r="F135" s="13" t="s">
        <v>3609</v>
      </c>
      <c r="G135" s="26" t="s">
        <v>13</v>
      </c>
      <c r="H135" s="26" t="s">
        <v>622</v>
      </c>
      <c r="I135" s="27" t="s">
        <v>27</v>
      </c>
      <c r="J135" s="14"/>
      <c r="K135" s="32" t="str">
        <f>"72,5"</f>
        <v>72,5</v>
      </c>
      <c r="L135" s="14" t="str">
        <f>"51,4256"</f>
        <v>51,4256</v>
      </c>
      <c r="M135" s="13"/>
    </row>
    <row r="136" spans="1:13">
      <c r="B136" s="5" t="s">
        <v>409</v>
      </c>
    </row>
    <row r="137" spans="1:13" ht="16">
      <c r="A137" s="57" t="s">
        <v>328</v>
      </c>
      <c r="B137" s="57"/>
      <c r="C137" s="57"/>
      <c r="D137" s="57"/>
      <c r="E137" s="57"/>
      <c r="F137" s="57"/>
      <c r="G137" s="57"/>
      <c r="H137" s="57"/>
      <c r="I137" s="57"/>
      <c r="J137" s="57"/>
    </row>
    <row r="138" spans="1:13">
      <c r="A138" s="10" t="s">
        <v>408</v>
      </c>
      <c r="B138" s="9" t="s">
        <v>1628</v>
      </c>
      <c r="C138" s="9" t="s">
        <v>3163</v>
      </c>
      <c r="D138" s="9" t="s">
        <v>3164</v>
      </c>
      <c r="E138" s="9" t="s">
        <v>3751</v>
      </c>
      <c r="F138" s="9" t="s">
        <v>3509</v>
      </c>
      <c r="G138" s="22" t="s">
        <v>39</v>
      </c>
      <c r="H138" s="23" t="s">
        <v>39</v>
      </c>
      <c r="I138" s="22" t="s">
        <v>586</v>
      </c>
      <c r="J138" s="10"/>
      <c r="K138" s="30" t="str">
        <f>"100,0"</f>
        <v>100,0</v>
      </c>
      <c r="L138" s="10" t="str">
        <f>"53,3135"</f>
        <v>53,3135</v>
      </c>
      <c r="M138" s="9"/>
    </row>
    <row r="139" spans="1:13">
      <c r="A139" s="14" t="s">
        <v>412</v>
      </c>
      <c r="B139" s="13" t="s">
        <v>3328</v>
      </c>
      <c r="C139" s="13" t="s">
        <v>3165</v>
      </c>
      <c r="D139" s="13" t="s">
        <v>3166</v>
      </c>
      <c r="E139" s="13" t="s">
        <v>3751</v>
      </c>
      <c r="F139" s="13" t="s">
        <v>316</v>
      </c>
      <c r="G139" s="27" t="s">
        <v>38</v>
      </c>
      <c r="H139" s="14"/>
      <c r="I139" s="14"/>
      <c r="J139" s="14"/>
      <c r="K139" s="32">
        <v>0</v>
      </c>
      <c r="L139" s="14" t="str">
        <f>"0,0000"</f>
        <v>0,0000</v>
      </c>
      <c r="M139" s="13"/>
    </row>
    <row r="140" spans="1:13">
      <c r="B140" s="5" t="s">
        <v>409</v>
      </c>
    </row>
    <row r="141" spans="1:13">
      <c r="B141" s="5" t="s">
        <v>409</v>
      </c>
    </row>
    <row r="142" spans="1:13">
      <c r="B142" s="5" t="s">
        <v>409</v>
      </c>
    </row>
    <row r="143" spans="1:13" ht="18">
      <c r="B143" s="15" t="s">
        <v>365</v>
      </c>
      <c r="C143" s="15"/>
      <c r="F143" s="3"/>
    </row>
    <row r="144" spans="1:13" ht="16">
      <c r="B144" s="16" t="s">
        <v>366</v>
      </c>
      <c r="C144" s="16"/>
      <c r="F144" s="3"/>
    </row>
    <row r="145" spans="2:6" ht="14">
      <c r="B145" s="17"/>
      <c r="C145" s="18" t="s">
        <v>367</v>
      </c>
      <c r="F145" s="3"/>
    </row>
    <row r="146" spans="2:6" ht="14">
      <c r="B146" s="19" t="s">
        <v>368</v>
      </c>
      <c r="C146" s="19" t="s">
        <v>369</v>
      </c>
      <c r="D146" s="19" t="s">
        <v>3230</v>
      </c>
      <c r="E146" s="19" t="s">
        <v>1456</v>
      </c>
      <c r="F146" s="19" t="s">
        <v>1457</v>
      </c>
    </row>
    <row r="147" spans="2:6">
      <c r="B147" s="5" t="s">
        <v>3039</v>
      </c>
      <c r="C147" s="5" t="s">
        <v>367</v>
      </c>
      <c r="D147" s="6" t="s">
        <v>384</v>
      </c>
      <c r="E147" s="6" t="s">
        <v>16</v>
      </c>
      <c r="F147" s="6" t="s">
        <v>3167</v>
      </c>
    </row>
    <row r="148" spans="2:6">
      <c r="B148" s="5" t="s">
        <v>3043</v>
      </c>
      <c r="C148" s="5" t="s">
        <v>367</v>
      </c>
      <c r="D148" s="6" t="s">
        <v>379</v>
      </c>
      <c r="E148" s="6" t="s">
        <v>17</v>
      </c>
      <c r="F148" s="6" t="s">
        <v>3168</v>
      </c>
    </row>
    <row r="149" spans="2:6">
      <c r="B149" s="5" t="s">
        <v>962</v>
      </c>
      <c r="C149" s="5" t="s">
        <v>367</v>
      </c>
      <c r="D149" s="6" t="s">
        <v>569</v>
      </c>
      <c r="E149" s="6" t="s">
        <v>17</v>
      </c>
      <c r="F149" s="6" t="s">
        <v>3169</v>
      </c>
    </row>
    <row r="151" spans="2:6" ht="16">
      <c r="B151" s="16" t="s">
        <v>385</v>
      </c>
      <c r="C151" s="16"/>
    </row>
    <row r="152" spans="2:6" ht="14">
      <c r="B152" s="17"/>
      <c r="C152" s="18" t="s">
        <v>386</v>
      </c>
    </row>
    <row r="153" spans="2:6" ht="14">
      <c r="B153" s="19" t="s">
        <v>368</v>
      </c>
      <c r="C153" s="19" t="s">
        <v>369</v>
      </c>
      <c r="D153" s="19" t="s">
        <v>3230</v>
      </c>
      <c r="E153" s="19" t="s">
        <v>1456</v>
      </c>
      <c r="F153" s="19" t="s">
        <v>1457</v>
      </c>
    </row>
    <row r="154" spans="2:6">
      <c r="B154" s="5" t="s">
        <v>3054</v>
      </c>
      <c r="C154" s="5" t="s">
        <v>3235</v>
      </c>
      <c r="D154" s="6" t="s">
        <v>384</v>
      </c>
      <c r="E154" s="6" t="s">
        <v>52</v>
      </c>
      <c r="F154" s="6" t="s">
        <v>3170</v>
      </c>
    </row>
    <row r="155" spans="2:6">
      <c r="B155" s="5" t="s">
        <v>2604</v>
      </c>
      <c r="C155" s="5" t="s">
        <v>3235</v>
      </c>
      <c r="D155" s="6" t="s">
        <v>379</v>
      </c>
      <c r="E155" s="6" t="s">
        <v>889</v>
      </c>
      <c r="F155" s="6" t="s">
        <v>3171</v>
      </c>
    </row>
    <row r="156" spans="2:6">
      <c r="B156" s="5" t="s">
        <v>3058</v>
      </c>
      <c r="C156" s="5" t="s">
        <v>3235</v>
      </c>
      <c r="D156" s="6" t="s">
        <v>384</v>
      </c>
      <c r="E156" s="6" t="s">
        <v>51</v>
      </c>
      <c r="F156" s="6" t="s">
        <v>3172</v>
      </c>
    </row>
    <row r="158" spans="2:6" ht="14">
      <c r="B158" s="17"/>
      <c r="C158" s="18" t="s">
        <v>388</v>
      </c>
    </row>
    <row r="159" spans="2:6" ht="14">
      <c r="B159" s="19" t="s">
        <v>368</v>
      </c>
      <c r="C159" s="19" t="s">
        <v>369</v>
      </c>
      <c r="D159" s="19" t="s">
        <v>3230</v>
      </c>
      <c r="E159" s="19" t="s">
        <v>1456</v>
      </c>
      <c r="F159" s="19" t="s">
        <v>1457</v>
      </c>
    </row>
    <row r="160" spans="2:6">
      <c r="B160" s="5" t="s">
        <v>3083</v>
      </c>
      <c r="C160" s="5" t="s">
        <v>3236</v>
      </c>
      <c r="D160" s="6" t="s">
        <v>569</v>
      </c>
      <c r="E160" s="6" t="s">
        <v>622</v>
      </c>
      <c r="F160" s="6" t="s">
        <v>3173</v>
      </c>
    </row>
    <row r="161" spans="2:6">
      <c r="B161" s="5" t="s">
        <v>3134</v>
      </c>
      <c r="C161" s="5" t="s">
        <v>3236</v>
      </c>
      <c r="D161" s="6" t="s">
        <v>390</v>
      </c>
      <c r="E161" s="6" t="s">
        <v>60</v>
      </c>
      <c r="F161" s="6" t="s">
        <v>3174</v>
      </c>
    </row>
    <row r="162" spans="2:6">
      <c r="B162" s="5" t="s">
        <v>3117</v>
      </c>
      <c r="C162" s="5" t="s">
        <v>3236</v>
      </c>
      <c r="D162" s="6" t="s">
        <v>394</v>
      </c>
      <c r="E162" s="6" t="s">
        <v>15</v>
      </c>
      <c r="F162" s="6" t="s">
        <v>3175</v>
      </c>
    </row>
    <row r="164" spans="2:6" ht="14">
      <c r="B164" s="17"/>
      <c r="C164" s="18" t="s">
        <v>367</v>
      </c>
    </row>
    <row r="165" spans="2:6" ht="14">
      <c r="B165" s="19" t="s">
        <v>368</v>
      </c>
      <c r="C165" s="19" t="s">
        <v>369</v>
      </c>
      <c r="D165" s="19" t="s">
        <v>3230</v>
      </c>
      <c r="E165" s="19" t="s">
        <v>1456</v>
      </c>
      <c r="F165" s="19" t="s">
        <v>1457</v>
      </c>
    </row>
    <row r="166" spans="2:6">
      <c r="B166" s="5" t="s">
        <v>3102</v>
      </c>
      <c r="C166" s="5" t="s">
        <v>367</v>
      </c>
      <c r="D166" s="6" t="s">
        <v>373</v>
      </c>
      <c r="E166" s="6" t="s">
        <v>69</v>
      </c>
      <c r="F166" s="6" t="s">
        <v>3176</v>
      </c>
    </row>
    <row r="167" spans="2:6">
      <c r="B167" s="5" t="s">
        <v>3148</v>
      </c>
      <c r="C167" s="5" t="s">
        <v>367</v>
      </c>
      <c r="D167" s="6" t="s">
        <v>391</v>
      </c>
      <c r="E167" s="6" t="s">
        <v>54</v>
      </c>
      <c r="F167" s="6" t="s">
        <v>3177</v>
      </c>
    </row>
    <row r="168" spans="2:6">
      <c r="B168" s="5" t="s">
        <v>3105</v>
      </c>
      <c r="C168" s="5" t="s">
        <v>367</v>
      </c>
      <c r="D168" s="6" t="s">
        <v>373</v>
      </c>
      <c r="E168" s="6" t="s">
        <v>19</v>
      </c>
      <c r="F168" s="6" t="s">
        <v>3178</v>
      </c>
    </row>
    <row r="170" spans="2:6" ht="14">
      <c r="B170" s="17"/>
      <c r="C170" s="18" t="s">
        <v>382</v>
      </c>
    </row>
    <row r="171" spans="2:6" ht="14">
      <c r="B171" s="19" t="s">
        <v>368</v>
      </c>
      <c r="C171" s="19" t="s">
        <v>369</v>
      </c>
      <c r="D171" s="19" t="s">
        <v>3230</v>
      </c>
      <c r="E171" s="19" t="s">
        <v>1456</v>
      </c>
      <c r="F171" s="19" t="s">
        <v>1457</v>
      </c>
    </row>
    <row r="172" spans="2:6">
      <c r="B172" s="5" t="s">
        <v>3064</v>
      </c>
      <c r="C172" s="5" t="s">
        <v>383</v>
      </c>
      <c r="D172" s="6" t="s">
        <v>376</v>
      </c>
      <c r="E172" s="6" t="s">
        <v>53</v>
      </c>
      <c r="F172" s="6" t="s">
        <v>3179</v>
      </c>
    </row>
    <row r="173" spans="2:6">
      <c r="B173" s="5" t="s">
        <v>3130</v>
      </c>
      <c r="C173" s="5" t="s">
        <v>383</v>
      </c>
      <c r="D173" s="6" t="s">
        <v>394</v>
      </c>
      <c r="E173" s="6" t="s">
        <v>3131</v>
      </c>
      <c r="F173" s="6" t="s">
        <v>3180</v>
      </c>
    </row>
    <row r="174" spans="2:6">
      <c r="B174" s="5" t="s">
        <v>2884</v>
      </c>
      <c r="C174" s="5" t="s">
        <v>1358</v>
      </c>
      <c r="D174" s="6" t="s">
        <v>397</v>
      </c>
      <c r="E174" s="6" t="s">
        <v>622</v>
      </c>
      <c r="F174" s="6" t="s">
        <v>3181</v>
      </c>
    </row>
    <row r="175" spans="2:6">
      <c r="B175" s="5" t="s">
        <v>409</v>
      </c>
    </row>
  </sheetData>
  <mergeCells count="27"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  <mergeCell ref="A122:J122"/>
    <mergeCell ref="A130:J130"/>
    <mergeCell ref="A137:J137"/>
    <mergeCell ref="B3:B4"/>
    <mergeCell ref="A39:J39"/>
    <mergeCell ref="A45:J45"/>
    <mergeCell ref="A56:J56"/>
    <mergeCell ref="A73:J73"/>
    <mergeCell ref="A91:J91"/>
    <mergeCell ref="A108:J108"/>
    <mergeCell ref="A8:J8"/>
    <mergeCell ref="A14:J14"/>
    <mergeCell ref="A23:J23"/>
    <mergeCell ref="A27:J27"/>
    <mergeCell ref="A30:J30"/>
    <mergeCell ref="A34:J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U91"/>
  <sheetViews>
    <sheetView topLeftCell="A43" workbookViewId="0">
      <selection activeCell="E75" sqref="E75"/>
    </sheetView>
  </sheetViews>
  <sheetFormatPr baseColWidth="10" defaultColWidth="9.1640625" defaultRowHeight="13"/>
  <cols>
    <col min="1" max="1" width="7.5" style="5" bestFit="1" customWidth="1"/>
    <col min="2" max="2" width="20.33203125" style="5" bestFit="1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2" style="5" bestFit="1" customWidth="1"/>
    <col min="7" max="9" width="5.5" style="6" customWidth="1"/>
    <col min="10" max="10" width="4.83203125" style="6" customWidth="1"/>
    <col min="11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30.5" style="5" bestFit="1" customWidth="1"/>
    <col min="22" max="16384" width="9.1640625" style="3"/>
  </cols>
  <sheetData>
    <row r="1" spans="1:21" s="2" customFormat="1" ht="29" customHeight="1">
      <c r="A1" s="68" t="s">
        <v>3311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6</v>
      </c>
      <c r="H3" s="62"/>
      <c r="I3" s="62"/>
      <c r="J3" s="62"/>
      <c r="K3" s="62" t="s">
        <v>7</v>
      </c>
      <c r="L3" s="62"/>
      <c r="M3" s="62"/>
      <c r="N3" s="62"/>
      <c r="O3" s="62" t="s">
        <v>8</v>
      </c>
      <c r="P3" s="62"/>
      <c r="Q3" s="62"/>
      <c r="R3" s="62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21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10" t="s">
        <v>408</v>
      </c>
      <c r="B6" s="9" t="s">
        <v>418</v>
      </c>
      <c r="C6" s="9" t="s">
        <v>419</v>
      </c>
      <c r="D6" s="9" t="s">
        <v>420</v>
      </c>
      <c r="E6" s="9" t="s">
        <v>3754</v>
      </c>
      <c r="F6" s="9" t="s">
        <v>3601</v>
      </c>
      <c r="G6" s="22" t="s">
        <v>38</v>
      </c>
      <c r="H6" s="22" t="s">
        <v>38</v>
      </c>
      <c r="I6" s="23" t="s">
        <v>38</v>
      </c>
      <c r="J6" s="10"/>
      <c r="K6" s="23" t="s">
        <v>51</v>
      </c>
      <c r="L6" s="23" t="s">
        <v>53</v>
      </c>
      <c r="M6" s="22" t="s">
        <v>13</v>
      </c>
      <c r="N6" s="10"/>
      <c r="O6" s="23" t="s">
        <v>106</v>
      </c>
      <c r="P6" s="23" t="s">
        <v>76</v>
      </c>
      <c r="Q6" s="22" t="s">
        <v>132</v>
      </c>
      <c r="R6" s="10"/>
      <c r="S6" s="30" t="str">
        <f>"270,0"</f>
        <v>270,0</v>
      </c>
      <c r="T6" s="10" t="str">
        <f>"321,3000"</f>
        <v>321,3000</v>
      </c>
      <c r="U6" s="9" t="s">
        <v>41</v>
      </c>
    </row>
    <row r="7" spans="1:21">
      <c r="A7" s="12" t="s">
        <v>408</v>
      </c>
      <c r="B7" s="11" t="s">
        <v>421</v>
      </c>
      <c r="C7" s="11" t="s">
        <v>422</v>
      </c>
      <c r="D7" s="11" t="s">
        <v>423</v>
      </c>
      <c r="E7" s="11" t="s">
        <v>3751</v>
      </c>
      <c r="F7" s="11" t="s">
        <v>3526</v>
      </c>
      <c r="G7" s="25" t="s">
        <v>59</v>
      </c>
      <c r="H7" s="24" t="s">
        <v>59</v>
      </c>
      <c r="I7" s="24" t="s">
        <v>28</v>
      </c>
      <c r="J7" s="12"/>
      <c r="K7" s="24" t="s">
        <v>60</v>
      </c>
      <c r="L7" s="24" t="s">
        <v>19</v>
      </c>
      <c r="M7" s="24" t="s">
        <v>38</v>
      </c>
      <c r="N7" s="12"/>
      <c r="O7" s="24" t="s">
        <v>59</v>
      </c>
      <c r="P7" s="24" t="s">
        <v>40</v>
      </c>
      <c r="Q7" s="25" t="s">
        <v>70</v>
      </c>
      <c r="R7" s="12"/>
      <c r="S7" s="31" t="str">
        <f>"445,0"</f>
        <v>445,0</v>
      </c>
      <c r="T7" s="12" t="str">
        <f>"524,3435"</f>
        <v>524,3435</v>
      </c>
      <c r="U7" s="11" t="s">
        <v>424</v>
      </c>
    </row>
    <row r="8" spans="1:21">
      <c r="A8" s="14" t="s">
        <v>410</v>
      </c>
      <c r="B8" s="13" t="s">
        <v>425</v>
      </c>
      <c r="C8" s="13" t="s">
        <v>426</v>
      </c>
      <c r="D8" s="13" t="s">
        <v>427</v>
      </c>
      <c r="E8" s="13" t="s">
        <v>3751</v>
      </c>
      <c r="F8" s="13" t="s">
        <v>3562</v>
      </c>
      <c r="G8" s="27" t="s">
        <v>26</v>
      </c>
      <c r="H8" s="26" t="s">
        <v>26</v>
      </c>
      <c r="I8" s="27" t="s">
        <v>36</v>
      </c>
      <c r="J8" s="14"/>
      <c r="K8" s="26" t="s">
        <v>69</v>
      </c>
      <c r="L8" s="26" t="s">
        <v>39</v>
      </c>
      <c r="M8" s="27" t="s">
        <v>428</v>
      </c>
      <c r="N8" s="14"/>
      <c r="O8" s="26" t="s">
        <v>46</v>
      </c>
      <c r="P8" s="26" t="s">
        <v>59</v>
      </c>
      <c r="Q8" s="27" t="s">
        <v>226</v>
      </c>
      <c r="R8" s="14"/>
      <c r="S8" s="32" t="str">
        <f>"417,5"</f>
        <v>417,5</v>
      </c>
      <c r="T8" s="14" t="str">
        <f>"491,2305"</f>
        <v>491,2305</v>
      </c>
      <c r="U8" s="13" t="s">
        <v>429</v>
      </c>
    </row>
    <row r="9" spans="1:21">
      <c r="B9" s="5" t="s">
        <v>409</v>
      </c>
    </row>
    <row r="10" spans="1:21" ht="16">
      <c r="A10" s="57" t="s">
        <v>31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</row>
    <row r="11" spans="1:21">
      <c r="A11" s="10" t="s">
        <v>408</v>
      </c>
      <c r="B11" s="9" t="s">
        <v>430</v>
      </c>
      <c r="C11" s="9" t="s">
        <v>431</v>
      </c>
      <c r="D11" s="9" t="s">
        <v>34</v>
      </c>
      <c r="E11" s="9" t="s">
        <v>3754</v>
      </c>
      <c r="F11" s="9" t="s">
        <v>3523</v>
      </c>
      <c r="G11" s="23" t="s">
        <v>39</v>
      </c>
      <c r="H11" s="23" t="s">
        <v>106</v>
      </c>
      <c r="I11" s="22" t="s">
        <v>76</v>
      </c>
      <c r="J11" s="10"/>
      <c r="K11" s="23" t="s">
        <v>17</v>
      </c>
      <c r="L11" s="22" t="s">
        <v>51</v>
      </c>
      <c r="M11" s="23" t="s">
        <v>51</v>
      </c>
      <c r="N11" s="10"/>
      <c r="O11" s="23" t="s">
        <v>39</v>
      </c>
      <c r="P11" s="23" t="s">
        <v>106</v>
      </c>
      <c r="Q11" s="23" t="s">
        <v>76</v>
      </c>
      <c r="R11" s="10"/>
      <c r="S11" s="30" t="str">
        <f>"280,0"</f>
        <v>280,0</v>
      </c>
      <c r="T11" s="10" t="str">
        <f>"312,1720"</f>
        <v>312,1720</v>
      </c>
      <c r="U11" s="9" t="s">
        <v>3490</v>
      </c>
    </row>
    <row r="12" spans="1:21">
      <c r="A12" s="12" t="s">
        <v>408</v>
      </c>
      <c r="B12" s="11" t="s">
        <v>432</v>
      </c>
      <c r="C12" s="11" t="s">
        <v>433</v>
      </c>
      <c r="D12" s="11" t="s">
        <v>434</v>
      </c>
      <c r="E12" s="11" t="s">
        <v>3751</v>
      </c>
      <c r="F12" s="11" t="s">
        <v>3526</v>
      </c>
      <c r="G12" s="24" t="s">
        <v>45</v>
      </c>
      <c r="H12" s="24" t="s">
        <v>35</v>
      </c>
      <c r="I12" s="25" t="s">
        <v>36</v>
      </c>
      <c r="J12" s="12"/>
      <c r="K12" s="24" t="s">
        <v>18</v>
      </c>
      <c r="L12" s="24" t="s">
        <v>435</v>
      </c>
      <c r="M12" s="24" t="s">
        <v>19</v>
      </c>
      <c r="N12" s="12"/>
      <c r="O12" s="25" t="s">
        <v>35</v>
      </c>
      <c r="P12" s="24" t="s">
        <v>36</v>
      </c>
      <c r="Q12" s="24" t="s">
        <v>37</v>
      </c>
      <c r="R12" s="12"/>
      <c r="S12" s="31" t="str">
        <f>"407,5"</f>
        <v>407,5</v>
      </c>
      <c r="T12" s="12" t="str">
        <f>"463,3682"</f>
        <v>463,3682</v>
      </c>
      <c r="U12" s="11" t="s">
        <v>424</v>
      </c>
    </row>
    <row r="13" spans="1:21">
      <c r="A13" s="12" t="s">
        <v>410</v>
      </c>
      <c r="B13" s="11" t="s">
        <v>436</v>
      </c>
      <c r="C13" s="11" t="s">
        <v>437</v>
      </c>
      <c r="D13" s="11" t="s">
        <v>438</v>
      </c>
      <c r="E13" s="11" t="s">
        <v>3751</v>
      </c>
      <c r="F13" s="11" t="s">
        <v>3602</v>
      </c>
      <c r="G13" s="24" t="s">
        <v>15</v>
      </c>
      <c r="H13" s="24" t="s">
        <v>18</v>
      </c>
      <c r="I13" s="25" t="s">
        <v>38</v>
      </c>
      <c r="J13" s="12"/>
      <c r="K13" s="25" t="s">
        <v>439</v>
      </c>
      <c r="L13" s="24" t="s">
        <v>16</v>
      </c>
      <c r="M13" s="25" t="s">
        <v>440</v>
      </c>
      <c r="N13" s="12"/>
      <c r="O13" s="24" t="s">
        <v>18</v>
      </c>
      <c r="P13" s="24" t="s">
        <v>435</v>
      </c>
      <c r="Q13" s="24" t="s">
        <v>38</v>
      </c>
      <c r="R13" s="12"/>
      <c r="S13" s="31" t="str">
        <f>"210,0"</f>
        <v>210,0</v>
      </c>
      <c r="T13" s="12" t="str">
        <f>"239,4210"</f>
        <v>239,4210</v>
      </c>
      <c r="U13" s="11" t="s">
        <v>3491</v>
      </c>
    </row>
    <row r="14" spans="1:21">
      <c r="A14" s="14" t="s">
        <v>412</v>
      </c>
      <c r="B14" s="13" t="s">
        <v>441</v>
      </c>
      <c r="C14" s="13" t="s">
        <v>442</v>
      </c>
      <c r="D14" s="13" t="s">
        <v>443</v>
      </c>
      <c r="E14" s="13" t="s">
        <v>3751</v>
      </c>
      <c r="F14" s="13" t="s">
        <v>3538</v>
      </c>
      <c r="G14" s="27" t="s">
        <v>54</v>
      </c>
      <c r="H14" s="27" t="s">
        <v>54</v>
      </c>
      <c r="I14" s="27" t="s">
        <v>54</v>
      </c>
      <c r="J14" s="14"/>
      <c r="K14" s="27"/>
      <c r="L14" s="14"/>
      <c r="M14" s="14"/>
      <c r="N14" s="14"/>
      <c r="O14" s="27"/>
      <c r="P14" s="14"/>
      <c r="Q14" s="14"/>
      <c r="R14" s="14"/>
      <c r="S14" s="32">
        <v>0</v>
      </c>
      <c r="T14" s="14" t="str">
        <f>"0,0000"</f>
        <v>0,0000</v>
      </c>
      <c r="U14" s="13"/>
    </row>
    <row r="15" spans="1:21">
      <c r="B15" s="5" t="s">
        <v>409</v>
      </c>
    </row>
    <row r="16" spans="1:21" ht="16">
      <c r="A16" s="57" t="s">
        <v>55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21">
      <c r="A17" s="10" t="s">
        <v>408</v>
      </c>
      <c r="B17" s="9" t="s">
        <v>444</v>
      </c>
      <c r="C17" s="9" t="s">
        <v>445</v>
      </c>
      <c r="D17" s="9" t="s">
        <v>446</v>
      </c>
      <c r="E17" s="9" t="s">
        <v>3754</v>
      </c>
      <c r="F17" s="9" t="s">
        <v>3509</v>
      </c>
      <c r="G17" s="22" t="s">
        <v>106</v>
      </c>
      <c r="H17" s="23" t="s">
        <v>106</v>
      </c>
      <c r="I17" s="23" t="s">
        <v>76</v>
      </c>
      <c r="J17" s="10"/>
      <c r="K17" s="23" t="s">
        <v>53</v>
      </c>
      <c r="L17" s="23" t="s">
        <v>13</v>
      </c>
      <c r="M17" s="23" t="s">
        <v>14</v>
      </c>
      <c r="N17" s="10"/>
      <c r="O17" s="23" t="s">
        <v>76</v>
      </c>
      <c r="P17" s="22" t="s">
        <v>45</v>
      </c>
      <c r="Q17" s="23" t="s">
        <v>45</v>
      </c>
      <c r="R17" s="10"/>
      <c r="S17" s="30" t="str">
        <f>"330,0"</f>
        <v>330,0</v>
      </c>
      <c r="T17" s="10" t="str">
        <f>"337,5240"</f>
        <v>337,5240</v>
      </c>
      <c r="U17" s="9" t="s">
        <v>41</v>
      </c>
    </row>
    <row r="18" spans="1:21">
      <c r="A18" s="12" t="s">
        <v>408</v>
      </c>
      <c r="B18" s="11" t="s">
        <v>444</v>
      </c>
      <c r="C18" s="11" t="s">
        <v>447</v>
      </c>
      <c r="D18" s="11" t="s">
        <v>446</v>
      </c>
      <c r="E18" s="11" t="s">
        <v>3751</v>
      </c>
      <c r="F18" s="11" t="s">
        <v>3509</v>
      </c>
      <c r="G18" s="25" t="s">
        <v>106</v>
      </c>
      <c r="H18" s="24" t="s">
        <v>106</v>
      </c>
      <c r="I18" s="24" t="s">
        <v>76</v>
      </c>
      <c r="J18" s="12"/>
      <c r="K18" s="24" t="s">
        <v>53</v>
      </c>
      <c r="L18" s="24" t="s">
        <v>13</v>
      </c>
      <c r="M18" s="24" t="s">
        <v>14</v>
      </c>
      <c r="N18" s="12"/>
      <c r="O18" s="24" t="s">
        <v>76</v>
      </c>
      <c r="P18" s="25" t="s">
        <v>45</v>
      </c>
      <c r="Q18" s="24" t="s">
        <v>45</v>
      </c>
      <c r="R18" s="12"/>
      <c r="S18" s="31" t="str">
        <f>"330,0"</f>
        <v>330,0</v>
      </c>
      <c r="T18" s="12" t="str">
        <f>"337,5240"</f>
        <v>337,5240</v>
      </c>
      <c r="U18" s="11" t="s">
        <v>41</v>
      </c>
    </row>
    <row r="19" spans="1:21">
      <c r="A19" s="14" t="s">
        <v>410</v>
      </c>
      <c r="B19" s="13" t="s">
        <v>448</v>
      </c>
      <c r="C19" s="13" t="s">
        <v>449</v>
      </c>
      <c r="D19" s="13" t="s">
        <v>450</v>
      </c>
      <c r="E19" s="13" t="s">
        <v>3751</v>
      </c>
      <c r="F19" s="13" t="s">
        <v>3509</v>
      </c>
      <c r="G19" s="26" t="s">
        <v>106</v>
      </c>
      <c r="H19" s="26" t="s">
        <v>79</v>
      </c>
      <c r="I19" s="27" t="s">
        <v>451</v>
      </c>
      <c r="J19" s="14"/>
      <c r="K19" s="26" t="s">
        <v>53</v>
      </c>
      <c r="L19" s="27" t="s">
        <v>13</v>
      </c>
      <c r="M19" s="26" t="s">
        <v>13</v>
      </c>
      <c r="N19" s="14"/>
      <c r="O19" s="27" t="s">
        <v>78</v>
      </c>
      <c r="P19" s="26" t="s">
        <v>78</v>
      </c>
      <c r="Q19" s="26" t="s">
        <v>451</v>
      </c>
      <c r="R19" s="14"/>
      <c r="S19" s="32" t="str">
        <f>"305,0"</f>
        <v>305,0</v>
      </c>
      <c r="T19" s="14" t="str">
        <f>"327,5700"</f>
        <v>327,5700</v>
      </c>
      <c r="U19" s="13" t="s">
        <v>939</v>
      </c>
    </row>
    <row r="20" spans="1:21">
      <c r="B20" s="5" t="s">
        <v>409</v>
      </c>
    </row>
    <row r="21" spans="1:21" ht="16">
      <c r="A21" s="57" t="s">
        <v>93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21">
      <c r="A22" s="8" t="s">
        <v>412</v>
      </c>
      <c r="B22" s="7" t="s">
        <v>452</v>
      </c>
      <c r="C22" s="7" t="s">
        <v>453</v>
      </c>
      <c r="D22" s="7" t="s">
        <v>104</v>
      </c>
      <c r="E22" s="7" t="s">
        <v>3753</v>
      </c>
      <c r="F22" s="7" t="s">
        <v>3509</v>
      </c>
      <c r="G22" s="21" t="s">
        <v>106</v>
      </c>
      <c r="H22" s="21" t="s">
        <v>106</v>
      </c>
      <c r="I22" s="21" t="s">
        <v>106</v>
      </c>
      <c r="J22" s="8"/>
      <c r="K22" s="21"/>
      <c r="L22" s="8"/>
      <c r="M22" s="8"/>
      <c r="N22" s="8"/>
      <c r="O22" s="21"/>
      <c r="P22" s="8"/>
      <c r="Q22" s="8"/>
      <c r="R22" s="8"/>
      <c r="S22" s="29">
        <v>0</v>
      </c>
      <c r="T22" s="8" t="str">
        <f>"0,0000"</f>
        <v>0,0000</v>
      </c>
      <c r="U22" s="7"/>
    </row>
    <row r="23" spans="1:21">
      <c r="B23" s="5" t="s">
        <v>409</v>
      </c>
    </row>
    <row r="24" spans="1:21" ht="16">
      <c r="A24" s="57" t="s">
        <v>62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</row>
    <row r="25" spans="1:21">
      <c r="A25" s="8" t="s">
        <v>408</v>
      </c>
      <c r="B25" s="7" t="s">
        <v>454</v>
      </c>
      <c r="C25" s="7" t="s">
        <v>455</v>
      </c>
      <c r="D25" s="7" t="s">
        <v>456</v>
      </c>
      <c r="E25" s="7" t="s">
        <v>3751</v>
      </c>
      <c r="F25" s="7" t="s">
        <v>3603</v>
      </c>
      <c r="G25" s="21" t="s">
        <v>78</v>
      </c>
      <c r="H25" s="20" t="s">
        <v>78</v>
      </c>
      <c r="I25" s="20" t="s">
        <v>132</v>
      </c>
      <c r="J25" s="8"/>
      <c r="K25" s="20" t="s">
        <v>53</v>
      </c>
      <c r="L25" s="20" t="s">
        <v>13</v>
      </c>
      <c r="M25" s="21" t="s">
        <v>14</v>
      </c>
      <c r="N25" s="8"/>
      <c r="O25" s="20" t="s">
        <v>106</v>
      </c>
      <c r="P25" s="20" t="s">
        <v>79</v>
      </c>
      <c r="Q25" s="21" t="s">
        <v>451</v>
      </c>
      <c r="R25" s="8"/>
      <c r="S25" s="29" t="str">
        <f>"312,5"</f>
        <v>312,5</v>
      </c>
      <c r="T25" s="8" t="str">
        <f>"287,3437"</f>
        <v>287,3437</v>
      </c>
      <c r="U25" s="7" t="s">
        <v>457</v>
      </c>
    </row>
    <row r="26" spans="1:21">
      <c r="B26" s="5" t="s">
        <v>409</v>
      </c>
    </row>
    <row r="27" spans="1:21" ht="16">
      <c r="A27" s="57" t="s">
        <v>31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</row>
    <row r="28" spans="1:21">
      <c r="A28" s="8" t="s">
        <v>408</v>
      </c>
      <c r="B28" s="7" t="s">
        <v>3488</v>
      </c>
      <c r="C28" s="7" t="s">
        <v>459</v>
      </c>
      <c r="D28" s="7" t="s">
        <v>460</v>
      </c>
      <c r="E28" s="7" t="s">
        <v>3752</v>
      </c>
      <c r="F28" s="7" t="s">
        <v>461</v>
      </c>
      <c r="G28" s="20" t="s">
        <v>36</v>
      </c>
      <c r="H28" s="20" t="s">
        <v>37</v>
      </c>
      <c r="I28" s="20" t="s">
        <v>28</v>
      </c>
      <c r="J28" s="8"/>
      <c r="K28" s="20" t="s">
        <v>18</v>
      </c>
      <c r="L28" s="20" t="s">
        <v>435</v>
      </c>
      <c r="M28" s="21" t="s">
        <v>19</v>
      </c>
      <c r="N28" s="8"/>
      <c r="O28" s="21" t="s">
        <v>40</v>
      </c>
      <c r="P28" s="20" t="s">
        <v>40</v>
      </c>
      <c r="Q28" s="21" t="s">
        <v>66</v>
      </c>
      <c r="R28" s="8"/>
      <c r="S28" s="29" t="str">
        <f>"440,0"</f>
        <v>440,0</v>
      </c>
      <c r="T28" s="8" t="str">
        <f>"378,1360"</f>
        <v>378,1360</v>
      </c>
      <c r="U28" s="7" t="s">
        <v>3346</v>
      </c>
    </row>
    <row r="29" spans="1:21">
      <c r="B29" s="5" t="s">
        <v>409</v>
      </c>
    </row>
    <row r="30" spans="1:21" ht="16">
      <c r="A30" s="57" t="s">
        <v>93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</row>
    <row r="31" spans="1:21">
      <c r="A31" s="10" t="s">
        <v>408</v>
      </c>
      <c r="B31" s="9" t="s">
        <v>462</v>
      </c>
      <c r="C31" s="9" t="s">
        <v>463</v>
      </c>
      <c r="D31" s="9" t="s">
        <v>464</v>
      </c>
      <c r="E31" s="9" t="s">
        <v>3752</v>
      </c>
      <c r="F31" s="9" t="s">
        <v>3579</v>
      </c>
      <c r="G31" s="23" t="s">
        <v>132</v>
      </c>
      <c r="H31" s="23" t="s">
        <v>45</v>
      </c>
      <c r="I31" s="23" t="s">
        <v>25</v>
      </c>
      <c r="J31" s="10"/>
      <c r="K31" s="23" t="s">
        <v>18</v>
      </c>
      <c r="L31" s="23" t="s">
        <v>435</v>
      </c>
      <c r="M31" s="23" t="s">
        <v>19</v>
      </c>
      <c r="N31" s="10"/>
      <c r="O31" s="23" t="s">
        <v>46</v>
      </c>
      <c r="P31" s="23" t="s">
        <v>36</v>
      </c>
      <c r="Q31" s="22" t="s">
        <v>47</v>
      </c>
      <c r="R31" s="10"/>
      <c r="S31" s="30" t="str">
        <f>"392,5"</f>
        <v>392,5</v>
      </c>
      <c r="T31" s="10" t="str">
        <f>"292,2162"</f>
        <v>292,2162</v>
      </c>
      <c r="U31" s="9"/>
    </row>
    <row r="32" spans="1:21">
      <c r="A32" s="14" t="s">
        <v>412</v>
      </c>
      <c r="B32" s="13" t="s">
        <v>465</v>
      </c>
      <c r="C32" s="13" t="s">
        <v>466</v>
      </c>
      <c r="D32" s="13" t="s">
        <v>467</v>
      </c>
      <c r="E32" s="13" t="s">
        <v>3751</v>
      </c>
      <c r="F32" s="13" t="s">
        <v>3509</v>
      </c>
      <c r="G32" s="27" t="s">
        <v>97</v>
      </c>
      <c r="H32" s="27" t="s">
        <v>97</v>
      </c>
      <c r="I32" s="27" t="s">
        <v>97</v>
      </c>
      <c r="J32" s="14"/>
      <c r="K32" s="27"/>
      <c r="L32" s="14"/>
      <c r="M32" s="14"/>
      <c r="N32" s="14"/>
      <c r="O32" s="27"/>
      <c r="P32" s="14"/>
      <c r="Q32" s="14"/>
      <c r="R32" s="14"/>
      <c r="S32" s="32">
        <v>0</v>
      </c>
      <c r="T32" s="14" t="str">
        <f>"0,0000"</f>
        <v>0,0000</v>
      </c>
      <c r="U32" s="13"/>
    </row>
    <row r="33" spans="1:21">
      <c r="B33" s="5" t="s">
        <v>409</v>
      </c>
    </row>
    <row r="34" spans="1:21" ht="16">
      <c r="A34" s="57" t="s">
        <v>62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21">
      <c r="A35" s="10" t="s">
        <v>408</v>
      </c>
      <c r="B35" s="9" t="s">
        <v>468</v>
      </c>
      <c r="C35" s="9" t="s">
        <v>469</v>
      </c>
      <c r="D35" s="9" t="s">
        <v>470</v>
      </c>
      <c r="E35" s="9" t="s">
        <v>3754</v>
      </c>
      <c r="F35" s="9" t="s">
        <v>3526</v>
      </c>
      <c r="G35" s="23" t="s">
        <v>97</v>
      </c>
      <c r="H35" s="23" t="s">
        <v>133</v>
      </c>
      <c r="I35" s="22" t="s">
        <v>134</v>
      </c>
      <c r="J35" s="10"/>
      <c r="K35" s="23" t="s">
        <v>76</v>
      </c>
      <c r="L35" s="23" t="s">
        <v>132</v>
      </c>
      <c r="M35" s="23" t="s">
        <v>45</v>
      </c>
      <c r="N35" s="10"/>
      <c r="O35" s="22" t="s">
        <v>133</v>
      </c>
      <c r="P35" s="23" t="s">
        <v>134</v>
      </c>
      <c r="Q35" s="23" t="s">
        <v>119</v>
      </c>
      <c r="R35" s="10"/>
      <c r="S35" s="30" t="str">
        <f>"640,0"</f>
        <v>640,0</v>
      </c>
      <c r="T35" s="10" t="str">
        <f>"431,6160"</f>
        <v>431,6160</v>
      </c>
      <c r="U35" s="9" t="s">
        <v>424</v>
      </c>
    </row>
    <row r="36" spans="1:21">
      <c r="A36" s="12" t="s">
        <v>408</v>
      </c>
      <c r="B36" s="11" t="s">
        <v>471</v>
      </c>
      <c r="C36" s="11" t="s">
        <v>472</v>
      </c>
      <c r="D36" s="11" t="s">
        <v>473</v>
      </c>
      <c r="E36" s="11" t="s">
        <v>3751</v>
      </c>
      <c r="F36" s="11" t="s">
        <v>3604</v>
      </c>
      <c r="G36" s="24" t="s">
        <v>86</v>
      </c>
      <c r="H36" s="25" t="s">
        <v>87</v>
      </c>
      <c r="I36" s="25" t="s">
        <v>87</v>
      </c>
      <c r="J36" s="12"/>
      <c r="K36" s="24" t="s">
        <v>132</v>
      </c>
      <c r="L36" s="25" t="s">
        <v>85</v>
      </c>
      <c r="M36" s="24" t="s">
        <v>85</v>
      </c>
      <c r="N36" s="25" t="s">
        <v>474</v>
      </c>
      <c r="O36" s="24" t="s">
        <v>68</v>
      </c>
      <c r="P36" s="25" t="s">
        <v>98</v>
      </c>
      <c r="Q36" s="25" t="s">
        <v>98</v>
      </c>
      <c r="R36" s="12"/>
      <c r="S36" s="31" t="str">
        <f>"575,0"</f>
        <v>575,0</v>
      </c>
      <c r="T36" s="12" t="str">
        <f>"386,0550"</f>
        <v>386,0550</v>
      </c>
      <c r="U36" s="11" t="s">
        <v>779</v>
      </c>
    </row>
    <row r="37" spans="1:21">
      <c r="A37" s="12" t="s">
        <v>410</v>
      </c>
      <c r="B37" s="11" t="s">
        <v>475</v>
      </c>
      <c r="C37" s="11" t="s">
        <v>476</v>
      </c>
      <c r="D37" s="11" t="s">
        <v>477</v>
      </c>
      <c r="E37" s="11" t="s">
        <v>3751</v>
      </c>
      <c r="F37" s="11" t="s">
        <v>3605</v>
      </c>
      <c r="G37" s="25" t="s">
        <v>35</v>
      </c>
      <c r="H37" s="24" t="s">
        <v>35</v>
      </c>
      <c r="I37" s="24" t="s">
        <v>59</v>
      </c>
      <c r="J37" s="12"/>
      <c r="K37" s="24" t="s">
        <v>39</v>
      </c>
      <c r="L37" s="24" t="s">
        <v>106</v>
      </c>
      <c r="M37" s="25" t="s">
        <v>76</v>
      </c>
      <c r="N37" s="12"/>
      <c r="O37" s="24" t="s">
        <v>36</v>
      </c>
      <c r="P37" s="24" t="s">
        <v>187</v>
      </c>
      <c r="Q37" s="25" t="s">
        <v>226</v>
      </c>
      <c r="R37" s="12"/>
      <c r="S37" s="31" t="str">
        <f>"442,5"</f>
        <v>442,5</v>
      </c>
      <c r="T37" s="12" t="str">
        <f>"308,1128"</f>
        <v>308,1128</v>
      </c>
      <c r="U37" s="11" t="s">
        <v>478</v>
      </c>
    </row>
    <row r="38" spans="1:21">
      <c r="A38" s="14" t="s">
        <v>412</v>
      </c>
      <c r="B38" s="13" t="s">
        <v>479</v>
      </c>
      <c r="C38" s="13" t="s">
        <v>480</v>
      </c>
      <c r="D38" s="13" t="s">
        <v>481</v>
      </c>
      <c r="E38" s="13" t="s">
        <v>3751</v>
      </c>
      <c r="F38" s="13" t="s">
        <v>3509</v>
      </c>
      <c r="G38" s="27" t="s">
        <v>71</v>
      </c>
      <c r="H38" s="27" t="s">
        <v>71</v>
      </c>
      <c r="I38" s="27" t="s">
        <v>71</v>
      </c>
      <c r="J38" s="14"/>
      <c r="K38" s="27"/>
      <c r="L38" s="14"/>
      <c r="M38" s="27"/>
      <c r="N38" s="14"/>
      <c r="O38" s="14"/>
      <c r="P38" s="14"/>
      <c r="Q38" s="27"/>
      <c r="R38" s="14"/>
      <c r="S38" s="32">
        <v>0</v>
      </c>
      <c r="T38" s="14" t="str">
        <f>"0,0000"</f>
        <v>0,0000</v>
      </c>
      <c r="U38" s="13"/>
    </row>
    <row r="39" spans="1:21">
      <c r="B39" s="5" t="s">
        <v>409</v>
      </c>
    </row>
    <row r="40" spans="1:21" ht="16">
      <c r="A40" s="57" t="s">
        <v>150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</row>
    <row r="41" spans="1:21">
      <c r="A41" s="10" t="s">
        <v>408</v>
      </c>
      <c r="B41" s="9" t="s">
        <v>482</v>
      </c>
      <c r="C41" s="9" t="s">
        <v>483</v>
      </c>
      <c r="D41" s="9" t="s">
        <v>191</v>
      </c>
      <c r="E41" s="9" t="s">
        <v>3752</v>
      </c>
      <c r="F41" s="9" t="s">
        <v>199</v>
      </c>
      <c r="G41" s="23" t="s">
        <v>119</v>
      </c>
      <c r="H41" s="23" t="s">
        <v>484</v>
      </c>
      <c r="I41" s="22" t="s">
        <v>485</v>
      </c>
      <c r="J41" s="10"/>
      <c r="K41" s="23" t="s">
        <v>85</v>
      </c>
      <c r="L41" s="22" t="s">
        <v>45</v>
      </c>
      <c r="M41" s="22" t="s">
        <v>45</v>
      </c>
      <c r="N41" s="10"/>
      <c r="O41" s="23" t="s">
        <v>205</v>
      </c>
      <c r="P41" s="22" t="s">
        <v>120</v>
      </c>
      <c r="Q41" s="22" t="s">
        <v>120</v>
      </c>
      <c r="R41" s="10"/>
      <c r="S41" s="30" t="str">
        <f>"671,0"</f>
        <v>671,0</v>
      </c>
      <c r="T41" s="10" t="str">
        <f>"431,0504"</f>
        <v>431,0504</v>
      </c>
      <c r="U41" s="9" t="s">
        <v>486</v>
      </c>
    </row>
    <row r="42" spans="1:21">
      <c r="A42" s="12" t="s">
        <v>408</v>
      </c>
      <c r="B42" s="11" t="s">
        <v>487</v>
      </c>
      <c r="C42" s="11" t="s">
        <v>488</v>
      </c>
      <c r="D42" s="11" t="s">
        <v>489</v>
      </c>
      <c r="E42" s="11" t="s">
        <v>3751</v>
      </c>
      <c r="F42" s="11" t="s">
        <v>3509</v>
      </c>
      <c r="G42" s="24" t="s">
        <v>182</v>
      </c>
      <c r="H42" s="24" t="s">
        <v>110</v>
      </c>
      <c r="I42" s="25" t="s">
        <v>225</v>
      </c>
      <c r="J42" s="12"/>
      <c r="K42" s="24" t="s">
        <v>36</v>
      </c>
      <c r="L42" s="24" t="s">
        <v>59</v>
      </c>
      <c r="M42" s="24" t="s">
        <v>37</v>
      </c>
      <c r="N42" s="12"/>
      <c r="O42" s="24" t="s">
        <v>121</v>
      </c>
      <c r="P42" s="24" t="s">
        <v>114</v>
      </c>
      <c r="Q42" s="25" t="s">
        <v>128</v>
      </c>
      <c r="R42" s="12"/>
      <c r="S42" s="31" t="str">
        <f>"735,0"</f>
        <v>735,0</v>
      </c>
      <c r="T42" s="12" t="str">
        <f>"470,2530"</f>
        <v>470,2530</v>
      </c>
      <c r="U42" s="11"/>
    </row>
    <row r="43" spans="1:21">
      <c r="A43" s="12" t="s">
        <v>410</v>
      </c>
      <c r="B43" s="11" t="s">
        <v>482</v>
      </c>
      <c r="C43" s="11" t="s">
        <v>490</v>
      </c>
      <c r="D43" s="11" t="s">
        <v>191</v>
      </c>
      <c r="E43" s="11" t="s">
        <v>3751</v>
      </c>
      <c r="F43" s="11" t="s">
        <v>199</v>
      </c>
      <c r="G43" s="24" t="s">
        <v>119</v>
      </c>
      <c r="H43" s="24" t="s">
        <v>484</v>
      </c>
      <c r="I43" s="25" t="s">
        <v>485</v>
      </c>
      <c r="J43" s="12"/>
      <c r="K43" s="24" t="s">
        <v>85</v>
      </c>
      <c r="L43" s="25" t="s">
        <v>45</v>
      </c>
      <c r="M43" s="25" t="s">
        <v>45</v>
      </c>
      <c r="N43" s="12"/>
      <c r="O43" s="24" t="s">
        <v>205</v>
      </c>
      <c r="P43" s="25" t="s">
        <v>120</v>
      </c>
      <c r="Q43" s="25" t="s">
        <v>120</v>
      </c>
      <c r="R43" s="12"/>
      <c r="S43" s="31" t="str">
        <f>"671,0"</f>
        <v>671,0</v>
      </c>
      <c r="T43" s="12" t="str">
        <f>"431,0504"</f>
        <v>431,0504</v>
      </c>
      <c r="U43" s="11" t="s">
        <v>486</v>
      </c>
    </row>
    <row r="44" spans="1:21">
      <c r="A44" s="12" t="s">
        <v>411</v>
      </c>
      <c r="B44" s="11" t="s">
        <v>491</v>
      </c>
      <c r="C44" s="11" t="s">
        <v>492</v>
      </c>
      <c r="D44" s="11" t="s">
        <v>155</v>
      </c>
      <c r="E44" s="11" t="s">
        <v>3751</v>
      </c>
      <c r="F44" s="11" t="s">
        <v>493</v>
      </c>
      <c r="G44" s="24" t="s">
        <v>67</v>
      </c>
      <c r="H44" s="24" t="s">
        <v>210</v>
      </c>
      <c r="I44" s="24" t="s">
        <v>97</v>
      </c>
      <c r="J44" s="12"/>
      <c r="K44" s="24" t="s">
        <v>35</v>
      </c>
      <c r="L44" s="24" t="s">
        <v>46</v>
      </c>
      <c r="M44" s="25" t="s">
        <v>494</v>
      </c>
      <c r="N44" s="12"/>
      <c r="O44" s="24" t="s">
        <v>119</v>
      </c>
      <c r="P44" s="24" t="s">
        <v>120</v>
      </c>
      <c r="Q44" s="24" t="s">
        <v>121</v>
      </c>
      <c r="R44" s="12"/>
      <c r="S44" s="31" t="str">
        <f>"655,0"</f>
        <v>655,0</v>
      </c>
      <c r="T44" s="12" t="str">
        <f>"420,5755"</f>
        <v>420,5755</v>
      </c>
      <c r="U44" s="11"/>
    </row>
    <row r="45" spans="1:21">
      <c r="A45" s="12" t="s">
        <v>413</v>
      </c>
      <c r="B45" s="11" t="s">
        <v>495</v>
      </c>
      <c r="C45" s="11" t="s">
        <v>496</v>
      </c>
      <c r="D45" s="11" t="s">
        <v>152</v>
      </c>
      <c r="E45" s="11" t="s">
        <v>3751</v>
      </c>
      <c r="F45" s="11" t="s">
        <v>3509</v>
      </c>
      <c r="G45" s="24" t="s">
        <v>87</v>
      </c>
      <c r="H45" s="24" t="s">
        <v>154</v>
      </c>
      <c r="I45" s="25" t="s">
        <v>205</v>
      </c>
      <c r="J45" s="12"/>
      <c r="K45" s="25" t="s">
        <v>25</v>
      </c>
      <c r="L45" s="24" t="s">
        <v>25</v>
      </c>
      <c r="M45" s="25" t="s">
        <v>35</v>
      </c>
      <c r="N45" s="12"/>
      <c r="O45" s="24" t="s">
        <v>97</v>
      </c>
      <c r="P45" s="24" t="s">
        <v>98</v>
      </c>
      <c r="Q45" s="25" t="s">
        <v>87</v>
      </c>
      <c r="R45" s="12"/>
      <c r="S45" s="31" t="str">
        <f>"620,0"</f>
        <v>620,0</v>
      </c>
      <c r="T45" s="12" t="str">
        <f>"395,8080"</f>
        <v>395,8080</v>
      </c>
      <c r="U45" s="11"/>
    </row>
    <row r="46" spans="1:21">
      <c r="A46" s="12" t="s">
        <v>414</v>
      </c>
      <c r="B46" s="11" t="s">
        <v>497</v>
      </c>
      <c r="C46" s="11" t="s">
        <v>498</v>
      </c>
      <c r="D46" s="11" t="s">
        <v>179</v>
      </c>
      <c r="E46" s="11" t="s">
        <v>3751</v>
      </c>
      <c r="F46" s="11" t="s">
        <v>3606</v>
      </c>
      <c r="G46" s="25" t="s">
        <v>71</v>
      </c>
      <c r="H46" s="24" t="s">
        <v>83</v>
      </c>
      <c r="I46" s="25" t="s">
        <v>97</v>
      </c>
      <c r="J46" s="12"/>
      <c r="K46" s="24" t="s">
        <v>54</v>
      </c>
      <c r="L46" s="24" t="s">
        <v>76</v>
      </c>
      <c r="M46" s="25" t="s">
        <v>132</v>
      </c>
      <c r="N46" s="12"/>
      <c r="O46" s="24" t="s">
        <v>71</v>
      </c>
      <c r="P46" s="24" t="s">
        <v>97</v>
      </c>
      <c r="Q46" s="25" t="s">
        <v>98</v>
      </c>
      <c r="R46" s="12"/>
      <c r="S46" s="31" t="str">
        <f>"550,0"</f>
        <v>550,0</v>
      </c>
      <c r="T46" s="12" t="str">
        <f>"355,2450"</f>
        <v>355,2450</v>
      </c>
      <c r="U46" s="11" t="s">
        <v>3403</v>
      </c>
    </row>
    <row r="47" spans="1:21">
      <c r="A47" s="14" t="s">
        <v>412</v>
      </c>
      <c r="B47" s="13" t="s">
        <v>499</v>
      </c>
      <c r="C47" s="13" t="s">
        <v>500</v>
      </c>
      <c r="D47" s="13" t="s">
        <v>191</v>
      </c>
      <c r="E47" s="13" t="s">
        <v>3751</v>
      </c>
      <c r="F47" s="13" t="s">
        <v>3607</v>
      </c>
      <c r="G47" s="26" t="s">
        <v>134</v>
      </c>
      <c r="H47" s="26" t="s">
        <v>119</v>
      </c>
      <c r="I47" s="27" t="s">
        <v>501</v>
      </c>
      <c r="J47" s="14"/>
      <c r="K47" s="27" t="s">
        <v>36</v>
      </c>
      <c r="L47" s="26" t="s">
        <v>36</v>
      </c>
      <c r="M47" s="26" t="s">
        <v>59</v>
      </c>
      <c r="N47" s="14"/>
      <c r="O47" s="27" t="s">
        <v>120</v>
      </c>
      <c r="P47" s="27" t="s">
        <v>120</v>
      </c>
      <c r="Q47" s="27" t="s">
        <v>225</v>
      </c>
      <c r="R47" s="14"/>
      <c r="S47" s="32">
        <v>0</v>
      </c>
      <c r="T47" s="14" t="str">
        <f>"0,0000"</f>
        <v>0,0000</v>
      </c>
      <c r="U47" s="13"/>
    </row>
    <row r="48" spans="1:21">
      <c r="B48" s="5" t="s">
        <v>409</v>
      </c>
    </row>
    <row r="49" spans="1:21" ht="16">
      <c r="A49" s="57" t="s">
        <v>195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</row>
    <row r="50" spans="1:21">
      <c r="A50" s="10" t="s">
        <v>408</v>
      </c>
      <c r="B50" s="9" t="s">
        <v>3381</v>
      </c>
      <c r="C50" s="9" t="s">
        <v>502</v>
      </c>
      <c r="D50" s="9" t="s">
        <v>503</v>
      </c>
      <c r="E50" s="9" t="s">
        <v>3754</v>
      </c>
      <c r="F50" s="9" t="s">
        <v>504</v>
      </c>
      <c r="G50" s="23" t="s">
        <v>40</v>
      </c>
      <c r="H50" s="23" t="s">
        <v>70</v>
      </c>
      <c r="I50" s="22" t="s">
        <v>66</v>
      </c>
      <c r="J50" s="10"/>
      <c r="K50" s="23" t="s">
        <v>106</v>
      </c>
      <c r="L50" s="23" t="s">
        <v>76</v>
      </c>
      <c r="M50" s="10"/>
      <c r="N50" s="10"/>
      <c r="O50" s="23" t="s">
        <v>70</v>
      </c>
      <c r="P50" s="23" t="s">
        <v>97</v>
      </c>
      <c r="Q50" s="22" t="s">
        <v>133</v>
      </c>
      <c r="R50" s="10"/>
      <c r="S50" s="30" t="str">
        <f>"530,0"</f>
        <v>530,0</v>
      </c>
      <c r="T50" s="10" t="str">
        <f>"323,8830"</f>
        <v>323,8830</v>
      </c>
      <c r="U50" s="9" t="s">
        <v>505</v>
      </c>
    </row>
    <row r="51" spans="1:21">
      <c r="A51" s="12" t="s">
        <v>408</v>
      </c>
      <c r="B51" s="11" t="s">
        <v>506</v>
      </c>
      <c r="C51" s="11" t="s">
        <v>507</v>
      </c>
      <c r="D51" s="11" t="s">
        <v>508</v>
      </c>
      <c r="E51" s="11" t="s">
        <v>3751</v>
      </c>
      <c r="F51" s="11" t="s">
        <v>3535</v>
      </c>
      <c r="G51" s="25" t="s">
        <v>97</v>
      </c>
      <c r="H51" s="24" t="s">
        <v>97</v>
      </c>
      <c r="I51" s="24" t="s">
        <v>87</v>
      </c>
      <c r="J51" s="12"/>
      <c r="K51" s="24" t="s">
        <v>36</v>
      </c>
      <c r="L51" s="24" t="s">
        <v>187</v>
      </c>
      <c r="M51" s="24" t="s">
        <v>226</v>
      </c>
      <c r="N51" s="12"/>
      <c r="O51" s="24" t="s">
        <v>134</v>
      </c>
      <c r="P51" s="24" t="s">
        <v>120</v>
      </c>
      <c r="Q51" s="24" t="s">
        <v>114</v>
      </c>
      <c r="R51" s="12"/>
      <c r="S51" s="31" t="str">
        <f>"697,5"</f>
        <v>697,5</v>
      </c>
      <c r="T51" s="12" t="str">
        <f>"433,0777"</f>
        <v>433,0777</v>
      </c>
      <c r="U51" s="11" t="s">
        <v>509</v>
      </c>
    </row>
    <row r="52" spans="1:21">
      <c r="A52" s="12" t="s">
        <v>410</v>
      </c>
      <c r="B52" s="11" t="s">
        <v>510</v>
      </c>
      <c r="C52" s="11" t="s">
        <v>511</v>
      </c>
      <c r="D52" s="11" t="s">
        <v>512</v>
      </c>
      <c r="E52" s="11" t="s">
        <v>3751</v>
      </c>
      <c r="F52" s="11" t="s">
        <v>3608</v>
      </c>
      <c r="G52" s="24" t="s">
        <v>70</v>
      </c>
      <c r="H52" s="24" t="s">
        <v>83</v>
      </c>
      <c r="I52" s="25" t="s">
        <v>97</v>
      </c>
      <c r="J52" s="12"/>
      <c r="K52" s="24" t="s">
        <v>46</v>
      </c>
      <c r="L52" s="24" t="s">
        <v>47</v>
      </c>
      <c r="M52" s="24" t="s">
        <v>187</v>
      </c>
      <c r="N52" s="12"/>
      <c r="O52" s="24" t="s">
        <v>98</v>
      </c>
      <c r="P52" s="24" t="s">
        <v>133</v>
      </c>
      <c r="Q52" s="25" t="s">
        <v>134</v>
      </c>
      <c r="R52" s="12"/>
      <c r="S52" s="31" t="str">
        <f>"617,5"</f>
        <v>617,5</v>
      </c>
      <c r="T52" s="12" t="str">
        <f>"375,9340"</f>
        <v>375,9340</v>
      </c>
      <c r="U52" s="11"/>
    </row>
    <row r="53" spans="1:21">
      <c r="A53" s="12" t="s">
        <v>411</v>
      </c>
      <c r="B53" s="11" t="s">
        <v>513</v>
      </c>
      <c r="C53" s="11" t="s">
        <v>514</v>
      </c>
      <c r="D53" s="11" t="s">
        <v>515</v>
      </c>
      <c r="E53" s="11" t="s">
        <v>3751</v>
      </c>
      <c r="F53" s="11" t="s">
        <v>3523</v>
      </c>
      <c r="G53" s="24" t="s">
        <v>83</v>
      </c>
      <c r="H53" s="25" t="s">
        <v>68</v>
      </c>
      <c r="I53" s="25" t="s">
        <v>68</v>
      </c>
      <c r="J53" s="12"/>
      <c r="K53" s="24" t="s">
        <v>45</v>
      </c>
      <c r="L53" s="25" t="s">
        <v>25</v>
      </c>
      <c r="M53" s="24" t="s">
        <v>25</v>
      </c>
      <c r="N53" s="12"/>
      <c r="O53" s="24" t="s">
        <v>86</v>
      </c>
      <c r="P53" s="24" t="s">
        <v>87</v>
      </c>
      <c r="Q53" s="24" t="s">
        <v>133</v>
      </c>
      <c r="R53" s="12"/>
      <c r="S53" s="31" t="str">
        <f>"595,0"</f>
        <v>595,0</v>
      </c>
      <c r="T53" s="12" t="str">
        <f>"367,3530"</f>
        <v>367,3530</v>
      </c>
      <c r="U53" s="11"/>
    </row>
    <row r="54" spans="1:21">
      <c r="A54" s="12" t="s">
        <v>413</v>
      </c>
      <c r="B54" s="11" t="s">
        <v>516</v>
      </c>
      <c r="C54" s="11" t="s">
        <v>517</v>
      </c>
      <c r="D54" s="11" t="s">
        <v>518</v>
      </c>
      <c r="E54" s="11" t="s">
        <v>3751</v>
      </c>
      <c r="F54" s="11" t="s">
        <v>3509</v>
      </c>
      <c r="G54" s="25" t="s">
        <v>71</v>
      </c>
      <c r="H54" s="24" t="s">
        <v>68</v>
      </c>
      <c r="I54" s="25" t="s">
        <v>87</v>
      </c>
      <c r="J54" s="12"/>
      <c r="K54" s="24" t="s">
        <v>132</v>
      </c>
      <c r="L54" s="25" t="s">
        <v>45</v>
      </c>
      <c r="M54" s="25" t="s">
        <v>45</v>
      </c>
      <c r="N54" s="12"/>
      <c r="O54" s="25" t="s">
        <v>97</v>
      </c>
      <c r="P54" s="24" t="s">
        <v>97</v>
      </c>
      <c r="Q54" s="24" t="s">
        <v>133</v>
      </c>
      <c r="R54" s="12"/>
      <c r="S54" s="31" t="str">
        <f>"585,0"</f>
        <v>585,0</v>
      </c>
      <c r="T54" s="12" t="str">
        <f>"362,8755"</f>
        <v>362,8755</v>
      </c>
      <c r="U54" s="11"/>
    </row>
    <row r="55" spans="1:21">
      <c r="A55" s="12" t="s">
        <v>414</v>
      </c>
      <c r="B55" s="11" t="s">
        <v>519</v>
      </c>
      <c r="C55" s="11" t="s">
        <v>520</v>
      </c>
      <c r="D55" s="11" t="s">
        <v>515</v>
      </c>
      <c r="E55" s="11" t="s">
        <v>3751</v>
      </c>
      <c r="F55" s="11" t="s">
        <v>3609</v>
      </c>
      <c r="G55" s="24" t="s">
        <v>29</v>
      </c>
      <c r="H55" s="24" t="s">
        <v>66</v>
      </c>
      <c r="I55" s="25" t="s">
        <v>92</v>
      </c>
      <c r="J55" s="12"/>
      <c r="K55" s="24" t="s">
        <v>451</v>
      </c>
      <c r="L55" s="24" t="s">
        <v>84</v>
      </c>
      <c r="M55" s="25" t="s">
        <v>521</v>
      </c>
      <c r="N55" s="12"/>
      <c r="O55" s="24" t="s">
        <v>29</v>
      </c>
      <c r="P55" s="24" t="s">
        <v>71</v>
      </c>
      <c r="Q55" s="25" t="s">
        <v>68</v>
      </c>
      <c r="R55" s="12"/>
      <c r="S55" s="31" t="str">
        <f>"522,5"</f>
        <v>522,5</v>
      </c>
      <c r="T55" s="12" t="str">
        <f>"322,5915"</f>
        <v>322,5915</v>
      </c>
      <c r="U55" s="11"/>
    </row>
    <row r="56" spans="1:21">
      <c r="A56" s="12" t="s">
        <v>412</v>
      </c>
      <c r="B56" s="11" t="s">
        <v>522</v>
      </c>
      <c r="C56" s="11" t="s">
        <v>523</v>
      </c>
      <c r="D56" s="11" t="s">
        <v>524</v>
      </c>
      <c r="E56" s="11" t="s">
        <v>3751</v>
      </c>
      <c r="F56" s="11" t="s">
        <v>3514</v>
      </c>
      <c r="G56" s="25" t="s">
        <v>154</v>
      </c>
      <c r="H56" s="25" t="s">
        <v>154</v>
      </c>
      <c r="I56" s="25" t="s">
        <v>154</v>
      </c>
      <c r="J56" s="12"/>
      <c r="K56" s="25"/>
      <c r="L56" s="12"/>
      <c r="M56" s="12"/>
      <c r="N56" s="12"/>
      <c r="O56" s="25"/>
      <c r="P56" s="12"/>
      <c r="Q56" s="12"/>
      <c r="R56" s="12"/>
      <c r="S56" s="31">
        <v>0</v>
      </c>
      <c r="T56" s="12" t="str">
        <f>"0,0000"</f>
        <v>0,0000</v>
      </c>
      <c r="U56" s="11" t="s">
        <v>587</v>
      </c>
    </row>
    <row r="57" spans="1:21">
      <c r="A57" s="14" t="s">
        <v>408</v>
      </c>
      <c r="B57" s="13" t="s">
        <v>525</v>
      </c>
      <c r="C57" s="13" t="s">
        <v>526</v>
      </c>
      <c r="D57" s="13" t="s">
        <v>244</v>
      </c>
      <c r="E57" s="13" t="s">
        <v>3753</v>
      </c>
      <c r="F57" s="13" t="s">
        <v>3571</v>
      </c>
      <c r="G57" s="27" t="s">
        <v>29</v>
      </c>
      <c r="H57" s="26" t="s">
        <v>29</v>
      </c>
      <c r="I57" s="27" t="s">
        <v>71</v>
      </c>
      <c r="J57" s="14"/>
      <c r="K57" s="26" t="s">
        <v>85</v>
      </c>
      <c r="L57" s="26" t="s">
        <v>45</v>
      </c>
      <c r="M57" s="26" t="s">
        <v>248</v>
      </c>
      <c r="N57" s="14"/>
      <c r="O57" s="26" t="s">
        <v>71</v>
      </c>
      <c r="P57" s="26" t="s">
        <v>68</v>
      </c>
      <c r="Q57" s="27" t="s">
        <v>289</v>
      </c>
      <c r="R57" s="14"/>
      <c r="S57" s="32" t="str">
        <f>"542,5"</f>
        <v>542,5</v>
      </c>
      <c r="T57" s="14" t="str">
        <f>"351,7006"</f>
        <v>351,7006</v>
      </c>
      <c r="U57" s="13" t="s">
        <v>3343</v>
      </c>
    </row>
    <row r="58" spans="1:21">
      <c r="B58" s="5" t="s">
        <v>409</v>
      </c>
    </row>
    <row r="59" spans="1:21" ht="16">
      <c r="A59" s="57" t="s">
        <v>258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</row>
    <row r="60" spans="1:21">
      <c r="A60" s="10" t="s">
        <v>412</v>
      </c>
      <c r="B60" s="9" t="s">
        <v>527</v>
      </c>
      <c r="C60" s="9" t="s">
        <v>528</v>
      </c>
      <c r="D60" s="9" t="s">
        <v>529</v>
      </c>
      <c r="E60" s="9" t="s">
        <v>3752</v>
      </c>
      <c r="F60" s="9" t="s">
        <v>3562</v>
      </c>
      <c r="G60" s="22" t="s">
        <v>98</v>
      </c>
      <c r="H60" s="22" t="s">
        <v>154</v>
      </c>
      <c r="I60" s="22" t="s">
        <v>154</v>
      </c>
      <c r="J60" s="10"/>
      <c r="K60" s="22"/>
      <c r="L60" s="10"/>
      <c r="M60" s="10"/>
      <c r="N60" s="10"/>
      <c r="O60" s="22"/>
      <c r="P60" s="10"/>
      <c r="Q60" s="10"/>
      <c r="R60" s="10"/>
      <c r="S60" s="30">
        <v>0</v>
      </c>
      <c r="T60" s="10" t="str">
        <f>"0,0000"</f>
        <v>0,0000</v>
      </c>
      <c r="U60" s="9" t="s">
        <v>3492</v>
      </c>
    </row>
    <row r="61" spans="1:21">
      <c r="A61" s="12" t="s">
        <v>408</v>
      </c>
      <c r="B61" s="11" t="s">
        <v>530</v>
      </c>
      <c r="C61" s="11" t="s">
        <v>531</v>
      </c>
      <c r="D61" s="11" t="s">
        <v>532</v>
      </c>
      <c r="E61" s="11" t="s">
        <v>3751</v>
      </c>
      <c r="F61" s="11" t="s">
        <v>3523</v>
      </c>
      <c r="G61" s="24" t="s">
        <v>120</v>
      </c>
      <c r="H61" s="24" t="s">
        <v>111</v>
      </c>
      <c r="I61" s="25" t="s">
        <v>114</v>
      </c>
      <c r="J61" s="12"/>
      <c r="K61" s="24" t="s">
        <v>187</v>
      </c>
      <c r="L61" s="25" t="s">
        <v>226</v>
      </c>
      <c r="M61" s="25" t="s">
        <v>226</v>
      </c>
      <c r="N61" s="12"/>
      <c r="O61" s="24" t="s">
        <v>111</v>
      </c>
      <c r="P61" s="24" t="s">
        <v>128</v>
      </c>
      <c r="Q61" s="25" t="s">
        <v>533</v>
      </c>
      <c r="R61" s="12"/>
      <c r="S61" s="31" t="str">
        <f>"752,5"</f>
        <v>752,5</v>
      </c>
      <c r="T61" s="12" t="str">
        <f>"444,2008"</f>
        <v>444,2008</v>
      </c>
      <c r="U61" s="11"/>
    </row>
    <row r="62" spans="1:21">
      <c r="A62" s="12" t="s">
        <v>410</v>
      </c>
      <c r="B62" s="11" t="s">
        <v>534</v>
      </c>
      <c r="C62" s="11" t="s">
        <v>535</v>
      </c>
      <c r="D62" s="11" t="s">
        <v>536</v>
      </c>
      <c r="E62" s="11" t="s">
        <v>3751</v>
      </c>
      <c r="F62" s="11" t="s">
        <v>3571</v>
      </c>
      <c r="G62" s="24" t="s">
        <v>119</v>
      </c>
      <c r="H62" s="24" t="s">
        <v>110</v>
      </c>
      <c r="I62" s="25" t="s">
        <v>225</v>
      </c>
      <c r="J62" s="12"/>
      <c r="K62" s="24" t="s">
        <v>35</v>
      </c>
      <c r="L62" s="25" t="s">
        <v>36</v>
      </c>
      <c r="M62" s="25" t="s">
        <v>36</v>
      </c>
      <c r="N62" s="12"/>
      <c r="O62" s="24" t="s">
        <v>121</v>
      </c>
      <c r="P62" s="25" t="s">
        <v>128</v>
      </c>
      <c r="Q62" s="25" t="s">
        <v>128</v>
      </c>
      <c r="R62" s="12"/>
      <c r="S62" s="31" t="str">
        <f>"705,0"</f>
        <v>705,0</v>
      </c>
      <c r="T62" s="12" t="str">
        <f>"421,1670"</f>
        <v>421,1670</v>
      </c>
      <c r="U62" s="11"/>
    </row>
    <row r="63" spans="1:21">
      <c r="A63" s="12" t="s">
        <v>411</v>
      </c>
      <c r="B63" s="11" t="s">
        <v>537</v>
      </c>
      <c r="C63" s="11" t="s">
        <v>538</v>
      </c>
      <c r="D63" s="11" t="s">
        <v>539</v>
      </c>
      <c r="E63" s="11" t="s">
        <v>3751</v>
      </c>
      <c r="F63" s="11" t="s">
        <v>3610</v>
      </c>
      <c r="G63" s="25" t="s">
        <v>133</v>
      </c>
      <c r="H63" s="24" t="s">
        <v>133</v>
      </c>
      <c r="I63" s="24" t="s">
        <v>134</v>
      </c>
      <c r="J63" s="12"/>
      <c r="K63" s="24" t="s">
        <v>494</v>
      </c>
      <c r="L63" s="24" t="s">
        <v>59</v>
      </c>
      <c r="M63" s="25" t="s">
        <v>37</v>
      </c>
      <c r="N63" s="12"/>
      <c r="O63" s="25" t="s">
        <v>134</v>
      </c>
      <c r="P63" s="24" t="s">
        <v>119</v>
      </c>
      <c r="Q63" s="24" t="s">
        <v>110</v>
      </c>
      <c r="R63" s="12"/>
      <c r="S63" s="31" t="str">
        <f>"690,0"</f>
        <v>690,0</v>
      </c>
      <c r="T63" s="12" t="str">
        <f>"410,4120"</f>
        <v>410,4120</v>
      </c>
      <c r="U63" s="11" t="s">
        <v>3469</v>
      </c>
    </row>
    <row r="64" spans="1:21">
      <c r="A64" s="12" t="s">
        <v>413</v>
      </c>
      <c r="B64" s="11" t="s">
        <v>540</v>
      </c>
      <c r="C64" s="11" t="s">
        <v>541</v>
      </c>
      <c r="D64" s="11" t="s">
        <v>542</v>
      </c>
      <c r="E64" s="11" t="s">
        <v>3751</v>
      </c>
      <c r="F64" s="11" t="s">
        <v>3509</v>
      </c>
      <c r="G64" s="25" t="s">
        <v>40</v>
      </c>
      <c r="H64" s="24" t="s">
        <v>40</v>
      </c>
      <c r="I64" s="24" t="s">
        <v>71</v>
      </c>
      <c r="J64" s="12"/>
      <c r="K64" s="24" t="s">
        <v>85</v>
      </c>
      <c r="L64" s="24" t="s">
        <v>35</v>
      </c>
      <c r="M64" s="25" t="s">
        <v>46</v>
      </c>
      <c r="N64" s="12"/>
      <c r="O64" s="24" t="s">
        <v>97</v>
      </c>
      <c r="P64" s="24" t="s">
        <v>133</v>
      </c>
      <c r="Q64" s="24" t="s">
        <v>134</v>
      </c>
      <c r="R64" s="12"/>
      <c r="S64" s="31" t="str">
        <f>"600,0"</f>
        <v>600,0</v>
      </c>
      <c r="T64" s="12" t="str">
        <f>"361,0200"</f>
        <v>361,0200</v>
      </c>
      <c r="U64" s="11"/>
    </row>
    <row r="65" spans="1:21">
      <c r="A65" s="12" t="s">
        <v>412</v>
      </c>
      <c r="B65" s="11" t="s">
        <v>3382</v>
      </c>
      <c r="C65" s="11" t="s">
        <v>543</v>
      </c>
      <c r="D65" s="11" t="s">
        <v>544</v>
      </c>
      <c r="E65" s="11" t="s">
        <v>3751</v>
      </c>
      <c r="F65" s="11" t="s">
        <v>545</v>
      </c>
      <c r="G65" s="25" t="s">
        <v>119</v>
      </c>
      <c r="H65" s="25" t="s">
        <v>119</v>
      </c>
      <c r="I65" s="25" t="s">
        <v>119</v>
      </c>
      <c r="J65" s="12"/>
      <c r="K65" s="25"/>
      <c r="L65" s="12"/>
      <c r="M65" s="12"/>
      <c r="N65" s="12"/>
      <c r="O65" s="12"/>
      <c r="P65" s="12"/>
      <c r="Q65" s="25"/>
      <c r="R65" s="12"/>
      <c r="S65" s="31">
        <v>0</v>
      </c>
      <c r="T65" s="12" t="str">
        <f>"0,0000"</f>
        <v>0,0000</v>
      </c>
      <c r="U65" s="11"/>
    </row>
    <row r="66" spans="1:21">
      <c r="A66" s="12" t="s">
        <v>408</v>
      </c>
      <c r="B66" s="11" t="s">
        <v>546</v>
      </c>
      <c r="C66" s="11" t="s">
        <v>547</v>
      </c>
      <c r="D66" s="11" t="s">
        <v>548</v>
      </c>
      <c r="E66" s="11" t="s">
        <v>3753</v>
      </c>
      <c r="F66" s="11" t="s">
        <v>3509</v>
      </c>
      <c r="G66" s="24" t="s">
        <v>71</v>
      </c>
      <c r="H66" s="25" t="s">
        <v>83</v>
      </c>
      <c r="I66" s="25" t="s">
        <v>68</v>
      </c>
      <c r="J66" s="12"/>
      <c r="K66" s="24" t="s">
        <v>106</v>
      </c>
      <c r="L66" s="25" t="s">
        <v>76</v>
      </c>
      <c r="M66" s="25" t="s">
        <v>76</v>
      </c>
      <c r="N66" s="12"/>
      <c r="O66" s="24" t="s">
        <v>97</v>
      </c>
      <c r="P66" s="24" t="s">
        <v>133</v>
      </c>
      <c r="Q66" s="24" t="s">
        <v>549</v>
      </c>
      <c r="R66" s="12"/>
      <c r="S66" s="31" t="str">
        <f>"557,5"</f>
        <v>557,5</v>
      </c>
      <c r="T66" s="12" t="str">
        <f>"367,1677"</f>
        <v>367,1677</v>
      </c>
      <c r="U66" s="11"/>
    </row>
    <row r="67" spans="1:21">
      <c r="A67" s="14" t="s">
        <v>412</v>
      </c>
      <c r="B67" s="13" t="s">
        <v>3489</v>
      </c>
      <c r="C67" s="13" t="s">
        <v>550</v>
      </c>
      <c r="D67" s="13" t="s">
        <v>551</v>
      </c>
      <c r="E67" s="13" t="s">
        <v>3757</v>
      </c>
      <c r="F67" s="13" t="s">
        <v>142</v>
      </c>
      <c r="G67" s="27" t="s">
        <v>70</v>
      </c>
      <c r="H67" s="27" t="s">
        <v>70</v>
      </c>
      <c r="I67" s="27" t="s">
        <v>70</v>
      </c>
      <c r="J67" s="14"/>
      <c r="K67" s="27"/>
      <c r="L67" s="14"/>
      <c r="M67" s="14"/>
      <c r="N67" s="14"/>
      <c r="O67" s="27"/>
      <c r="P67" s="14"/>
      <c r="Q67" s="14"/>
      <c r="R67" s="14"/>
      <c r="S67" s="32">
        <v>0</v>
      </c>
      <c r="T67" s="14" t="str">
        <f>"0,0000"</f>
        <v>0,0000</v>
      </c>
      <c r="U67" s="13"/>
    </row>
    <row r="68" spans="1:21">
      <c r="B68" s="5" t="s">
        <v>409</v>
      </c>
    </row>
    <row r="69" spans="1:21" ht="16">
      <c r="A69" s="57" t="s">
        <v>280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</row>
    <row r="70" spans="1:21">
      <c r="A70" s="10" t="s">
        <v>408</v>
      </c>
      <c r="B70" s="9" t="s">
        <v>552</v>
      </c>
      <c r="C70" s="9" t="s">
        <v>553</v>
      </c>
      <c r="D70" s="9" t="s">
        <v>554</v>
      </c>
      <c r="E70" s="9" t="s">
        <v>3751</v>
      </c>
      <c r="F70" s="9" t="s">
        <v>3509</v>
      </c>
      <c r="G70" s="22" t="s">
        <v>70</v>
      </c>
      <c r="H70" s="23" t="s">
        <v>83</v>
      </c>
      <c r="I70" s="22" t="s">
        <v>98</v>
      </c>
      <c r="J70" s="10"/>
      <c r="K70" s="23" t="s">
        <v>35</v>
      </c>
      <c r="L70" s="22" t="s">
        <v>36</v>
      </c>
      <c r="M70" s="22" t="s">
        <v>36</v>
      </c>
      <c r="N70" s="10"/>
      <c r="O70" s="23" t="s">
        <v>83</v>
      </c>
      <c r="P70" s="22" t="s">
        <v>98</v>
      </c>
      <c r="Q70" s="22" t="s">
        <v>98</v>
      </c>
      <c r="R70" s="10"/>
      <c r="S70" s="30" t="str">
        <f>"570,0"</f>
        <v>570,0</v>
      </c>
      <c r="T70" s="10" t="str">
        <f>"325,0710"</f>
        <v>325,0710</v>
      </c>
      <c r="U70" s="9" t="s">
        <v>457</v>
      </c>
    </row>
    <row r="71" spans="1:21">
      <c r="A71" s="14" t="s">
        <v>412</v>
      </c>
      <c r="B71" s="13" t="s">
        <v>3383</v>
      </c>
      <c r="C71" s="13" t="s">
        <v>556</v>
      </c>
      <c r="D71" s="13" t="s">
        <v>557</v>
      </c>
      <c r="E71" s="13" t="s">
        <v>3751</v>
      </c>
      <c r="F71" s="13" t="s">
        <v>545</v>
      </c>
      <c r="G71" s="27" t="s">
        <v>120</v>
      </c>
      <c r="H71" s="27" t="s">
        <v>120</v>
      </c>
      <c r="I71" s="27" t="s">
        <v>120</v>
      </c>
      <c r="J71" s="14"/>
      <c r="K71" s="27"/>
      <c r="L71" s="14"/>
      <c r="M71" s="14"/>
      <c r="N71" s="14"/>
      <c r="O71" s="14"/>
      <c r="P71" s="14"/>
      <c r="Q71" s="14"/>
      <c r="R71" s="14"/>
      <c r="S71" s="32">
        <v>0</v>
      </c>
      <c r="T71" s="14" t="str">
        <f>"0,0000"</f>
        <v>0,0000</v>
      </c>
      <c r="U71" s="13"/>
    </row>
    <row r="72" spans="1:21">
      <c r="B72" s="5" t="s">
        <v>409</v>
      </c>
    </row>
    <row r="73" spans="1:21" ht="16">
      <c r="A73" s="57" t="s">
        <v>328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21">
      <c r="A74" s="8" t="s">
        <v>408</v>
      </c>
      <c r="B74" s="7" t="s">
        <v>558</v>
      </c>
      <c r="C74" s="7" t="s">
        <v>559</v>
      </c>
      <c r="D74" s="7" t="s">
        <v>560</v>
      </c>
      <c r="E74" s="7" t="s">
        <v>3751</v>
      </c>
      <c r="F74" s="7" t="s">
        <v>3560</v>
      </c>
      <c r="G74" s="20" t="s">
        <v>87</v>
      </c>
      <c r="H74" s="20" t="s">
        <v>154</v>
      </c>
      <c r="I74" s="20" t="s">
        <v>561</v>
      </c>
      <c r="J74" s="8"/>
      <c r="K74" s="20" t="s">
        <v>35</v>
      </c>
      <c r="L74" s="20" t="s">
        <v>36</v>
      </c>
      <c r="M74" s="21" t="s">
        <v>187</v>
      </c>
      <c r="N74" s="8"/>
      <c r="O74" s="20" t="s">
        <v>133</v>
      </c>
      <c r="P74" s="20" t="s">
        <v>562</v>
      </c>
      <c r="Q74" s="20" t="s">
        <v>119</v>
      </c>
      <c r="R74" s="8"/>
      <c r="S74" s="29" t="str">
        <f>"677,5"</f>
        <v>677,5</v>
      </c>
      <c r="T74" s="8" t="str">
        <f>"383,6005"</f>
        <v>383,6005</v>
      </c>
      <c r="U74" s="7" t="s">
        <v>188</v>
      </c>
    </row>
    <row r="75" spans="1:21">
      <c r="B75" s="5" t="s">
        <v>409</v>
      </c>
    </row>
    <row r="76" spans="1:21">
      <c r="B76" s="5" t="s">
        <v>409</v>
      </c>
    </row>
    <row r="77" spans="1:21">
      <c r="B77" s="5" t="s">
        <v>409</v>
      </c>
    </row>
    <row r="78" spans="1:21" ht="18">
      <c r="B78" s="15" t="s">
        <v>365</v>
      </c>
      <c r="C78" s="15"/>
      <c r="F78" s="3"/>
    </row>
    <row r="79" spans="1:21" ht="16">
      <c r="B79" s="16" t="s">
        <v>366</v>
      </c>
      <c r="C79" s="16"/>
      <c r="F79" s="3"/>
    </row>
    <row r="80" spans="1:21" ht="14">
      <c r="B80" s="17"/>
      <c r="C80" s="18" t="s">
        <v>367</v>
      </c>
      <c r="F80" s="3"/>
    </row>
    <row r="81" spans="2:6" ht="14">
      <c r="B81" s="19" t="s">
        <v>368</v>
      </c>
      <c r="C81" s="19" t="s">
        <v>369</v>
      </c>
      <c r="D81" s="19" t="s">
        <v>3230</v>
      </c>
      <c r="E81" s="19" t="s">
        <v>371</v>
      </c>
      <c r="F81" s="19" t="s">
        <v>372</v>
      </c>
    </row>
    <row r="82" spans="2:6">
      <c r="B82" s="5" t="s">
        <v>421</v>
      </c>
      <c r="C82" s="5" t="s">
        <v>367</v>
      </c>
      <c r="D82" s="6" t="s">
        <v>384</v>
      </c>
      <c r="E82" s="6" t="s">
        <v>563</v>
      </c>
      <c r="F82" s="6" t="s">
        <v>564</v>
      </c>
    </row>
    <row r="83" spans="2:6">
      <c r="B83" s="5" t="s">
        <v>425</v>
      </c>
      <c r="C83" s="5" t="s">
        <v>367</v>
      </c>
      <c r="D83" s="6" t="s">
        <v>384</v>
      </c>
      <c r="E83" s="6" t="s">
        <v>565</v>
      </c>
      <c r="F83" s="6" t="s">
        <v>566</v>
      </c>
    </row>
    <row r="84" spans="2:6">
      <c r="B84" s="5" t="s">
        <v>432</v>
      </c>
      <c r="C84" s="5" t="s">
        <v>367</v>
      </c>
      <c r="D84" s="6" t="s">
        <v>376</v>
      </c>
      <c r="E84" s="6" t="s">
        <v>567</v>
      </c>
      <c r="F84" s="6" t="s">
        <v>568</v>
      </c>
    </row>
    <row r="86" spans="2:6" ht="16">
      <c r="B86" s="16" t="s">
        <v>385</v>
      </c>
      <c r="C86" s="16"/>
    </row>
    <row r="87" spans="2:6" ht="14">
      <c r="B87" s="17"/>
      <c r="C87" s="18" t="s">
        <v>367</v>
      </c>
    </row>
    <row r="88" spans="2:6" ht="14">
      <c r="B88" s="19" t="s">
        <v>368</v>
      </c>
      <c r="C88" s="19" t="s">
        <v>369</v>
      </c>
      <c r="D88" s="19" t="s">
        <v>3230</v>
      </c>
      <c r="E88" s="19" t="s">
        <v>371</v>
      </c>
      <c r="F88" s="19" t="s">
        <v>372</v>
      </c>
    </row>
    <row r="89" spans="2:6">
      <c r="B89" s="5" t="s">
        <v>487</v>
      </c>
      <c r="C89" s="5" t="s">
        <v>367</v>
      </c>
      <c r="D89" s="6" t="s">
        <v>394</v>
      </c>
      <c r="E89" s="6" t="s">
        <v>571</v>
      </c>
      <c r="F89" s="6" t="s">
        <v>572</v>
      </c>
    </row>
    <row r="90" spans="2:6">
      <c r="B90" s="5" t="s">
        <v>530</v>
      </c>
      <c r="C90" s="5" t="s">
        <v>367</v>
      </c>
      <c r="D90" s="6" t="s">
        <v>391</v>
      </c>
      <c r="E90" s="6" t="s">
        <v>573</v>
      </c>
      <c r="F90" s="6" t="s">
        <v>574</v>
      </c>
    </row>
    <row r="91" spans="2:6">
      <c r="B91" s="5" t="s">
        <v>506</v>
      </c>
      <c r="C91" s="5" t="s">
        <v>367</v>
      </c>
      <c r="D91" s="6" t="s">
        <v>390</v>
      </c>
      <c r="E91" s="6" t="s">
        <v>575</v>
      </c>
      <c r="F91" s="6" t="s">
        <v>576</v>
      </c>
    </row>
  </sheetData>
  <mergeCells count="26"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  <mergeCell ref="A5:R5"/>
    <mergeCell ref="B3:B4"/>
    <mergeCell ref="A73:R73"/>
    <mergeCell ref="A10:R10"/>
    <mergeCell ref="A16:R16"/>
    <mergeCell ref="A21:R21"/>
    <mergeCell ref="A24:R24"/>
    <mergeCell ref="A27:R27"/>
    <mergeCell ref="A30:R30"/>
    <mergeCell ref="A34:R34"/>
    <mergeCell ref="A40:R40"/>
    <mergeCell ref="A49:R49"/>
    <mergeCell ref="A59:R59"/>
    <mergeCell ref="A69:R6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5">
    <pageSetUpPr fitToPage="1"/>
  </sheetPr>
  <dimension ref="A1:U134"/>
  <sheetViews>
    <sheetView workbookViewId="0">
      <selection activeCell="E111" sqref="E111"/>
    </sheetView>
  </sheetViews>
  <sheetFormatPr baseColWidth="10" defaultColWidth="9.1640625" defaultRowHeight="13"/>
  <cols>
    <col min="1" max="1" width="7.5" style="5" bestFit="1" customWidth="1"/>
    <col min="2" max="2" width="23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3.5" style="5" bestFit="1" customWidth="1"/>
    <col min="7" max="13" width="5.5" style="6" customWidth="1"/>
    <col min="14" max="14" width="4.83203125" style="6" customWidth="1"/>
    <col min="15" max="18" width="5.5" style="6" customWidth="1"/>
    <col min="19" max="19" width="7.83203125" style="28" bestFit="1" customWidth="1"/>
    <col min="20" max="20" width="8.5" style="6" bestFit="1" customWidth="1"/>
    <col min="21" max="21" width="19" style="5" bestFit="1" customWidth="1"/>
    <col min="22" max="16384" width="9.1640625" style="3"/>
  </cols>
  <sheetData>
    <row r="1" spans="1:21" s="2" customFormat="1" ht="29" customHeight="1">
      <c r="A1" s="68" t="s">
        <v>3312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6</v>
      </c>
      <c r="H3" s="62"/>
      <c r="I3" s="62"/>
      <c r="J3" s="62"/>
      <c r="K3" s="62" t="s">
        <v>7</v>
      </c>
      <c r="L3" s="62"/>
      <c r="M3" s="62"/>
      <c r="N3" s="62"/>
      <c r="O3" s="62" t="s">
        <v>8</v>
      </c>
      <c r="P3" s="62"/>
      <c r="Q3" s="62"/>
      <c r="R3" s="62"/>
      <c r="S3" s="60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1"/>
      <c r="T4" s="63"/>
      <c r="U4" s="65"/>
    </row>
    <row r="5" spans="1:21" ht="16">
      <c r="A5" s="66" t="s">
        <v>9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408</v>
      </c>
      <c r="B6" s="7" t="s">
        <v>10</v>
      </c>
      <c r="C6" s="7" t="s">
        <v>11</v>
      </c>
      <c r="D6" s="7" t="s">
        <v>12</v>
      </c>
      <c r="E6" s="7" t="s">
        <v>3751</v>
      </c>
      <c r="F6" s="7" t="s">
        <v>3509</v>
      </c>
      <c r="G6" s="20" t="s">
        <v>13</v>
      </c>
      <c r="H6" s="20" t="s">
        <v>14</v>
      </c>
      <c r="I6" s="21" t="s">
        <v>15</v>
      </c>
      <c r="J6" s="8"/>
      <c r="K6" s="20" t="s">
        <v>16</v>
      </c>
      <c r="L6" s="21" t="s">
        <v>17</v>
      </c>
      <c r="M6" s="21" t="s">
        <v>17</v>
      </c>
      <c r="N6" s="8"/>
      <c r="O6" s="20" t="s">
        <v>15</v>
      </c>
      <c r="P6" s="20" t="s">
        <v>18</v>
      </c>
      <c r="Q6" s="21" t="s">
        <v>19</v>
      </c>
      <c r="R6" s="8"/>
      <c r="S6" s="29" t="str">
        <f>"190,0"</f>
        <v>190,0</v>
      </c>
      <c r="T6" s="8" t="str">
        <f>"240,4260"</f>
        <v>240,4260</v>
      </c>
      <c r="U6" s="7" t="s">
        <v>20</v>
      </c>
    </row>
    <row r="7" spans="1:21">
      <c r="B7" s="5" t="s">
        <v>409</v>
      </c>
    </row>
    <row r="8" spans="1:21" ht="16">
      <c r="A8" s="57" t="s">
        <v>21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1:21">
      <c r="A9" s="8" t="s">
        <v>408</v>
      </c>
      <c r="B9" s="7" t="s">
        <v>22</v>
      </c>
      <c r="C9" s="7" t="s">
        <v>23</v>
      </c>
      <c r="D9" s="7" t="s">
        <v>24</v>
      </c>
      <c r="E9" s="7" t="s">
        <v>3753</v>
      </c>
      <c r="F9" s="7" t="s">
        <v>3562</v>
      </c>
      <c r="G9" s="21" t="s">
        <v>25</v>
      </c>
      <c r="H9" s="20" t="s">
        <v>25</v>
      </c>
      <c r="I9" s="20" t="s">
        <v>26</v>
      </c>
      <c r="J9" s="8"/>
      <c r="K9" s="20" t="s">
        <v>14</v>
      </c>
      <c r="L9" s="20" t="s">
        <v>15</v>
      </c>
      <c r="M9" s="21" t="s">
        <v>27</v>
      </c>
      <c r="N9" s="8"/>
      <c r="O9" s="20" t="s">
        <v>28</v>
      </c>
      <c r="P9" s="21" t="s">
        <v>29</v>
      </c>
      <c r="Q9" s="21" t="s">
        <v>29</v>
      </c>
      <c r="R9" s="8"/>
      <c r="S9" s="29" t="str">
        <f>"402,5"</f>
        <v>402,5</v>
      </c>
      <c r="T9" s="8" t="str">
        <f>"505,7648"</f>
        <v>505,7648</v>
      </c>
      <c r="U9" s="7" t="s">
        <v>30</v>
      </c>
    </row>
    <row r="10" spans="1:21">
      <c r="B10" s="5" t="s">
        <v>409</v>
      </c>
    </row>
    <row r="11" spans="1:21" ht="16">
      <c r="A11" s="57" t="s">
        <v>31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</row>
    <row r="12" spans="1:21">
      <c r="A12" s="10" t="s">
        <v>408</v>
      </c>
      <c r="B12" s="9" t="s">
        <v>32</v>
      </c>
      <c r="C12" s="9" t="s">
        <v>33</v>
      </c>
      <c r="D12" s="9" t="s">
        <v>34</v>
      </c>
      <c r="E12" s="9" t="s">
        <v>3751</v>
      </c>
      <c r="F12" s="9" t="s">
        <v>3523</v>
      </c>
      <c r="G12" s="22" t="s">
        <v>35</v>
      </c>
      <c r="H12" s="23" t="s">
        <v>36</v>
      </c>
      <c r="I12" s="22" t="s">
        <v>37</v>
      </c>
      <c r="J12" s="10"/>
      <c r="K12" s="23" t="s">
        <v>38</v>
      </c>
      <c r="L12" s="22" t="s">
        <v>39</v>
      </c>
      <c r="M12" s="22" t="s">
        <v>39</v>
      </c>
      <c r="N12" s="10"/>
      <c r="O12" s="23" t="s">
        <v>36</v>
      </c>
      <c r="P12" s="23" t="s">
        <v>37</v>
      </c>
      <c r="Q12" s="22" t="s">
        <v>40</v>
      </c>
      <c r="R12" s="10"/>
      <c r="S12" s="30" t="str">
        <f>"420,0"</f>
        <v>420,0</v>
      </c>
      <c r="T12" s="10" t="str">
        <f>"468,2580"</f>
        <v>468,2580</v>
      </c>
      <c r="U12" s="9" t="s">
        <v>41</v>
      </c>
    </row>
    <row r="13" spans="1:21">
      <c r="A13" s="12" t="s">
        <v>410</v>
      </c>
      <c r="B13" s="11" t="s">
        <v>3493</v>
      </c>
      <c r="C13" s="11" t="s">
        <v>42</v>
      </c>
      <c r="D13" s="11" t="s">
        <v>43</v>
      </c>
      <c r="E13" s="11" t="s">
        <v>3751</v>
      </c>
      <c r="F13" s="11" t="s">
        <v>44</v>
      </c>
      <c r="G13" s="24" t="s">
        <v>45</v>
      </c>
      <c r="H13" s="25" t="s">
        <v>46</v>
      </c>
      <c r="I13" s="25" t="s">
        <v>46</v>
      </c>
      <c r="J13" s="12"/>
      <c r="K13" s="24" t="s">
        <v>15</v>
      </c>
      <c r="L13" s="25" t="s">
        <v>18</v>
      </c>
      <c r="M13" s="24" t="s">
        <v>18</v>
      </c>
      <c r="N13" s="12"/>
      <c r="O13" s="25" t="s">
        <v>46</v>
      </c>
      <c r="P13" s="24" t="s">
        <v>46</v>
      </c>
      <c r="Q13" s="24" t="s">
        <v>47</v>
      </c>
      <c r="R13" s="12"/>
      <c r="S13" s="31" t="str">
        <f>"382,5"</f>
        <v>382,5</v>
      </c>
      <c r="T13" s="12" t="str">
        <f>"437,8478"</f>
        <v>437,8478</v>
      </c>
      <c r="U13" s="11"/>
    </row>
    <row r="14" spans="1:21">
      <c r="A14" s="14" t="s">
        <v>411</v>
      </c>
      <c r="B14" s="13" t="s">
        <v>48</v>
      </c>
      <c r="C14" s="13" t="s">
        <v>49</v>
      </c>
      <c r="D14" s="13" t="s">
        <v>50</v>
      </c>
      <c r="E14" s="13" t="s">
        <v>3751</v>
      </c>
      <c r="F14" s="13" t="s">
        <v>3549</v>
      </c>
      <c r="G14" s="26" t="s">
        <v>38</v>
      </c>
      <c r="H14" s="27" t="s">
        <v>39</v>
      </c>
      <c r="I14" s="27" t="s">
        <v>39</v>
      </c>
      <c r="J14" s="14"/>
      <c r="K14" s="26" t="s">
        <v>51</v>
      </c>
      <c r="L14" s="26" t="s">
        <v>52</v>
      </c>
      <c r="M14" s="27" t="s">
        <v>53</v>
      </c>
      <c r="N14" s="14"/>
      <c r="O14" s="26" t="s">
        <v>38</v>
      </c>
      <c r="P14" s="26" t="s">
        <v>39</v>
      </c>
      <c r="Q14" s="26" t="s">
        <v>54</v>
      </c>
      <c r="R14" s="14"/>
      <c r="S14" s="32" t="str">
        <f>"250,0"</f>
        <v>250,0</v>
      </c>
      <c r="T14" s="14" t="str">
        <f>"281,6500"</f>
        <v>281,6500</v>
      </c>
      <c r="U14" s="13"/>
    </row>
    <row r="15" spans="1:21">
      <c r="B15" s="5" t="s">
        <v>409</v>
      </c>
    </row>
    <row r="16" spans="1:21" ht="16">
      <c r="A16" s="57" t="s">
        <v>55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</row>
    <row r="17" spans="1:21">
      <c r="A17" s="8" t="s">
        <v>408</v>
      </c>
      <c r="B17" s="7" t="s">
        <v>56</v>
      </c>
      <c r="C17" s="7" t="s">
        <v>57</v>
      </c>
      <c r="D17" s="7" t="s">
        <v>58</v>
      </c>
      <c r="E17" s="7" t="s">
        <v>3751</v>
      </c>
      <c r="F17" s="7" t="s">
        <v>3564</v>
      </c>
      <c r="G17" s="20" t="s">
        <v>59</v>
      </c>
      <c r="H17" s="21" t="s">
        <v>28</v>
      </c>
      <c r="I17" s="20" t="s">
        <v>28</v>
      </c>
      <c r="J17" s="8"/>
      <c r="K17" s="20" t="s">
        <v>15</v>
      </c>
      <c r="L17" s="21" t="s">
        <v>60</v>
      </c>
      <c r="M17" s="21" t="s">
        <v>60</v>
      </c>
      <c r="N17" s="8"/>
      <c r="O17" s="20" t="s">
        <v>37</v>
      </c>
      <c r="P17" s="20" t="s">
        <v>61</v>
      </c>
      <c r="Q17" s="21" t="s">
        <v>40</v>
      </c>
      <c r="R17" s="8"/>
      <c r="S17" s="29" t="str">
        <f>"427,5"</f>
        <v>427,5</v>
      </c>
      <c r="T17" s="8" t="str">
        <f>"445,9680"</f>
        <v>445,9680</v>
      </c>
      <c r="U17" s="7" t="s">
        <v>923</v>
      </c>
    </row>
    <row r="18" spans="1:21">
      <c r="B18" s="5" t="s">
        <v>409</v>
      </c>
    </row>
    <row r="19" spans="1:21" ht="16">
      <c r="A19" s="57" t="s">
        <v>62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</row>
    <row r="20" spans="1:21">
      <c r="A20" s="8" t="s">
        <v>408</v>
      </c>
      <c r="B20" s="7" t="s">
        <v>63</v>
      </c>
      <c r="C20" s="7" t="s">
        <v>64</v>
      </c>
      <c r="D20" s="7" t="s">
        <v>65</v>
      </c>
      <c r="E20" s="7" t="s">
        <v>3751</v>
      </c>
      <c r="F20" s="7" t="s">
        <v>3552</v>
      </c>
      <c r="G20" s="20" t="s">
        <v>66</v>
      </c>
      <c r="H20" s="20" t="s">
        <v>67</v>
      </c>
      <c r="I20" s="21" t="s">
        <v>68</v>
      </c>
      <c r="J20" s="8"/>
      <c r="K20" s="20" t="s">
        <v>69</v>
      </c>
      <c r="L20" s="20" t="s">
        <v>39</v>
      </c>
      <c r="M20" s="20" t="s">
        <v>54</v>
      </c>
      <c r="N20" s="8"/>
      <c r="O20" s="20" t="s">
        <v>70</v>
      </c>
      <c r="P20" s="20" t="s">
        <v>71</v>
      </c>
      <c r="Q20" s="20" t="s">
        <v>67</v>
      </c>
      <c r="R20" s="8"/>
      <c r="S20" s="29" t="str">
        <f>"515,0"</f>
        <v>515,0</v>
      </c>
      <c r="T20" s="8" t="str">
        <f>"469,6285"</f>
        <v>469,6285</v>
      </c>
      <c r="U20" s="7" t="s">
        <v>72</v>
      </c>
    </row>
    <row r="21" spans="1:21">
      <c r="B21" s="5" t="s">
        <v>409</v>
      </c>
    </row>
    <row r="22" spans="1:21" ht="16">
      <c r="A22" s="57" t="s">
        <v>31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</row>
    <row r="23" spans="1:21">
      <c r="A23" s="8" t="s">
        <v>408</v>
      </c>
      <c r="B23" s="7" t="s">
        <v>73</v>
      </c>
      <c r="C23" s="7" t="s">
        <v>74</v>
      </c>
      <c r="D23" s="7" t="s">
        <v>34</v>
      </c>
      <c r="E23" s="7" t="s">
        <v>3753</v>
      </c>
      <c r="F23" s="7" t="s">
        <v>75</v>
      </c>
      <c r="G23" s="21" t="s">
        <v>76</v>
      </c>
      <c r="H23" s="20" t="s">
        <v>76</v>
      </c>
      <c r="I23" s="20" t="s">
        <v>77</v>
      </c>
      <c r="J23" s="8"/>
      <c r="K23" s="20" t="s">
        <v>78</v>
      </c>
      <c r="L23" s="21" t="s">
        <v>79</v>
      </c>
      <c r="M23" s="20" t="s">
        <v>76</v>
      </c>
      <c r="N23" s="8"/>
      <c r="O23" s="20" t="s">
        <v>45</v>
      </c>
      <c r="P23" s="20" t="s">
        <v>35</v>
      </c>
      <c r="Q23" s="20" t="s">
        <v>36</v>
      </c>
      <c r="R23" s="8"/>
      <c r="S23" s="29" t="str">
        <f>"405,0"</f>
        <v>405,0</v>
      </c>
      <c r="T23" s="8" t="str">
        <f>"372,3676"</f>
        <v>372,3676</v>
      </c>
      <c r="U23" s="7"/>
    </row>
    <row r="24" spans="1:21">
      <c r="B24" s="5" t="s">
        <v>409</v>
      </c>
    </row>
    <row r="25" spans="1:21" ht="16">
      <c r="A25" s="57" t="s">
        <v>55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</row>
    <row r="26" spans="1:21">
      <c r="A26" s="10" t="s">
        <v>408</v>
      </c>
      <c r="B26" s="9" t="s">
        <v>3494</v>
      </c>
      <c r="C26" s="9" t="s">
        <v>80</v>
      </c>
      <c r="D26" s="9" t="s">
        <v>81</v>
      </c>
      <c r="E26" s="9" t="s">
        <v>3751</v>
      </c>
      <c r="F26" s="9" t="s">
        <v>82</v>
      </c>
      <c r="G26" s="23" t="s">
        <v>71</v>
      </c>
      <c r="H26" s="23" t="s">
        <v>83</v>
      </c>
      <c r="I26" s="23" t="s">
        <v>68</v>
      </c>
      <c r="J26" s="10"/>
      <c r="K26" s="23" t="s">
        <v>76</v>
      </c>
      <c r="L26" s="23" t="s">
        <v>84</v>
      </c>
      <c r="M26" s="23" t="s">
        <v>85</v>
      </c>
      <c r="N26" s="10"/>
      <c r="O26" s="22" t="s">
        <v>68</v>
      </c>
      <c r="P26" s="23" t="s">
        <v>68</v>
      </c>
      <c r="Q26" s="23" t="s">
        <v>86</v>
      </c>
      <c r="R26" s="22" t="s">
        <v>87</v>
      </c>
      <c r="S26" s="30" t="str">
        <f>"575,0"</f>
        <v>575,0</v>
      </c>
      <c r="T26" s="10" t="str">
        <f>"447,6375"</f>
        <v>447,6375</v>
      </c>
      <c r="U26" s="9" t="s">
        <v>3501</v>
      </c>
    </row>
    <row r="27" spans="1:21">
      <c r="A27" s="14" t="s">
        <v>412</v>
      </c>
      <c r="B27" s="13" t="s">
        <v>89</v>
      </c>
      <c r="C27" s="13" t="s">
        <v>90</v>
      </c>
      <c r="D27" s="13" t="s">
        <v>91</v>
      </c>
      <c r="E27" s="13" t="s">
        <v>3751</v>
      </c>
      <c r="F27" s="13" t="s">
        <v>75</v>
      </c>
      <c r="G27" s="27" t="s">
        <v>70</v>
      </c>
      <c r="H27" s="27" t="s">
        <v>92</v>
      </c>
      <c r="I27" s="27" t="s">
        <v>92</v>
      </c>
      <c r="J27" s="14"/>
      <c r="K27" s="27"/>
      <c r="L27" s="14"/>
      <c r="M27" s="14"/>
      <c r="N27" s="14"/>
      <c r="O27" s="27"/>
      <c r="P27" s="14"/>
      <c r="Q27" s="14"/>
      <c r="R27" s="14"/>
      <c r="S27" s="32">
        <v>0</v>
      </c>
      <c r="T27" s="14" t="str">
        <f>"0,0000"</f>
        <v>0,0000</v>
      </c>
      <c r="U27" s="13"/>
    </row>
    <row r="28" spans="1:21">
      <c r="B28" s="5" t="s">
        <v>409</v>
      </c>
    </row>
    <row r="29" spans="1:21" ht="16">
      <c r="A29" s="57" t="s">
        <v>93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</row>
    <row r="30" spans="1:21">
      <c r="A30" s="10" t="s">
        <v>408</v>
      </c>
      <c r="B30" s="9" t="s">
        <v>94</v>
      </c>
      <c r="C30" s="9" t="s">
        <v>95</v>
      </c>
      <c r="D30" s="9" t="s">
        <v>96</v>
      </c>
      <c r="E30" s="9" t="s">
        <v>3751</v>
      </c>
      <c r="F30" s="9" t="s">
        <v>75</v>
      </c>
      <c r="G30" s="22" t="s">
        <v>71</v>
      </c>
      <c r="H30" s="22" t="s">
        <v>67</v>
      </c>
      <c r="I30" s="23" t="s">
        <v>67</v>
      </c>
      <c r="J30" s="10"/>
      <c r="K30" s="23" t="s">
        <v>76</v>
      </c>
      <c r="L30" s="22" t="s">
        <v>77</v>
      </c>
      <c r="M30" s="22" t="s">
        <v>77</v>
      </c>
      <c r="N30" s="10"/>
      <c r="O30" s="23" t="s">
        <v>97</v>
      </c>
      <c r="P30" s="23" t="s">
        <v>98</v>
      </c>
      <c r="Q30" s="23" t="s">
        <v>99</v>
      </c>
      <c r="R30" s="10"/>
      <c r="S30" s="30" t="str">
        <f>"562,5"</f>
        <v>562,5</v>
      </c>
      <c r="T30" s="10" t="str">
        <f>"405,0000"</f>
        <v>405,0000</v>
      </c>
      <c r="U30" s="9"/>
    </row>
    <row r="31" spans="1:21">
      <c r="A31" s="12" t="s">
        <v>412</v>
      </c>
      <c r="B31" s="11" t="s">
        <v>3353</v>
      </c>
      <c r="C31" s="11" t="s">
        <v>100</v>
      </c>
      <c r="D31" s="11" t="s">
        <v>101</v>
      </c>
      <c r="E31" s="11" t="s">
        <v>3751</v>
      </c>
      <c r="F31" s="11" t="s">
        <v>102</v>
      </c>
      <c r="G31" s="25" t="s">
        <v>37</v>
      </c>
      <c r="H31" s="25" t="s">
        <v>37</v>
      </c>
      <c r="I31" s="25" t="s">
        <v>37</v>
      </c>
      <c r="J31" s="12"/>
      <c r="K31" s="25"/>
      <c r="L31" s="12"/>
      <c r="M31" s="12"/>
      <c r="N31" s="12"/>
      <c r="O31" s="25"/>
      <c r="P31" s="12"/>
      <c r="Q31" s="12"/>
      <c r="R31" s="12"/>
      <c r="S31" s="31">
        <v>0</v>
      </c>
      <c r="T31" s="12" t="str">
        <f>"0,0000"</f>
        <v>0,0000</v>
      </c>
      <c r="U31" s="11"/>
    </row>
    <row r="32" spans="1:21">
      <c r="A32" s="14" t="s">
        <v>408</v>
      </c>
      <c r="B32" s="13" t="s">
        <v>3354</v>
      </c>
      <c r="C32" s="13" t="s">
        <v>103</v>
      </c>
      <c r="D32" s="13" t="s">
        <v>104</v>
      </c>
      <c r="E32" s="13" t="s">
        <v>3756</v>
      </c>
      <c r="F32" s="13" t="s">
        <v>105</v>
      </c>
      <c r="G32" s="26" t="s">
        <v>45</v>
      </c>
      <c r="H32" s="27" t="s">
        <v>35</v>
      </c>
      <c r="I32" s="27" t="s">
        <v>46</v>
      </c>
      <c r="J32" s="14"/>
      <c r="K32" s="26" t="s">
        <v>38</v>
      </c>
      <c r="L32" s="26" t="s">
        <v>39</v>
      </c>
      <c r="M32" s="27" t="s">
        <v>106</v>
      </c>
      <c r="N32" s="14"/>
      <c r="O32" s="26" t="s">
        <v>35</v>
      </c>
      <c r="P32" s="26" t="s">
        <v>36</v>
      </c>
      <c r="Q32" s="26" t="s">
        <v>37</v>
      </c>
      <c r="R32" s="14"/>
      <c r="S32" s="32" t="str">
        <f>"410,0"</f>
        <v>410,0</v>
      </c>
      <c r="T32" s="14" t="str">
        <f>"368,6412"</f>
        <v>368,6412</v>
      </c>
      <c r="U32" s="13"/>
    </row>
    <row r="33" spans="1:21">
      <c r="B33" s="5" t="s">
        <v>409</v>
      </c>
    </row>
    <row r="34" spans="1:21" ht="16">
      <c r="A34" s="57" t="s">
        <v>62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</row>
    <row r="35" spans="1:21">
      <c r="A35" s="10" t="s">
        <v>408</v>
      </c>
      <c r="B35" s="9" t="s">
        <v>3495</v>
      </c>
      <c r="C35" s="9" t="s">
        <v>107</v>
      </c>
      <c r="D35" s="9" t="s">
        <v>108</v>
      </c>
      <c r="E35" s="9" t="s">
        <v>3751</v>
      </c>
      <c r="F35" s="9" t="s">
        <v>109</v>
      </c>
      <c r="G35" s="23" t="s">
        <v>110</v>
      </c>
      <c r="H35" s="23" t="s">
        <v>111</v>
      </c>
      <c r="I35" s="22" t="s">
        <v>112</v>
      </c>
      <c r="J35" s="10"/>
      <c r="K35" s="23" t="s">
        <v>28</v>
      </c>
      <c r="L35" s="23" t="s">
        <v>113</v>
      </c>
      <c r="M35" s="22" t="s">
        <v>29</v>
      </c>
      <c r="N35" s="10"/>
      <c r="O35" s="23" t="s">
        <v>110</v>
      </c>
      <c r="P35" s="23" t="s">
        <v>111</v>
      </c>
      <c r="Q35" s="22" t="s">
        <v>114</v>
      </c>
      <c r="R35" s="10"/>
      <c r="S35" s="30" t="str">
        <f>"752,5"</f>
        <v>752,5</v>
      </c>
      <c r="T35" s="10" t="str">
        <f>"508,9910"</f>
        <v>508,9910</v>
      </c>
      <c r="U35" s="9" t="s">
        <v>3502</v>
      </c>
    </row>
    <row r="36" spans="1:21">
      <c r="A36" s="12" t="s">
        <v>410</v>
      </c>
      <c r="B36" s="11" t="s">
        <v>116</v>
      </c>
      <c r="C36" s="11" t="s">
        <v>117</v>
      </c>
      <c r="D36" s="11" t="s">
        <v>118</v>
      </c>
      <c r="E36" s="9" t="s">
        <v>3751</v>
      </c>
      <c r="F36" s="11" t="s">
        <v>3546</v>
      </c>
      <c r="G36" s="25" t="s">
        <v>119</v>
      </c>
      <c r="H36" s="24" t="s">
        <v>119</v>
      </c>
      <c r="I36" s="25" t="s">
        <v>120</v>
      </c>
      <c r="J36" s="12"/>
      <c r="K36" s="24" t="s">
        <v>40</v>
      </c>
      <c r="L36" s="24" t="s">
        <v>70</v>
      </c>
      <c r="M36" s="25" t="s">
        <v>66</v>
      </c>
      <c r="N36" s="12"/>
      <c r="O36" s="24" t="s">
        <v>121</v>
      </c>
      <c r="P36" s="25" t="s">
        <v>114</v>
      </c>
      <c r="Q36" s="25" t="s">
        <v>114</v>
      </c>
      <c r="R36" s="12"/>
      <c r="S36" s="31" t="str">
        <f>"730,0"</f>
        <v>730,0</v>
      </c>
      <c r="T36" s="12" t="str">
        <f>"491,9470"</f>
        <v>491,9470</v>
      </c>
      <c r="U36" s="11"/>
    </row>
    <row r="37" spans="1:21">
      <c r="A37" s="12" t="s">
        <v>411</v>
      </c>
      <c r="B37" s="11" t="s">
        <v>3496</v>
      </c>
      <c r="C37" s="11" t="s">
        <v>122</v>
      </c>
      <c r="D37" s="11" t="s">
        <v>123</v>
      </c>
      <c r="E37" s="9" t="s">
        <v>3751</v>
      </c>
      <c r="F37" s="11" t="s">
        <v>124</v>
      </c>
      <c r="G37" s="25" t="s">
        <v>111</v>
      </c>
      <c r="H37" s="25" t="s">
        <v>111</v>
      </c>
      <c r="I37" s="24" t="s">
        <v>114</v>
      </c>
      <c r="J37" s="12"/>
      <c r="K37" s="24" t="s">
        <v>59</v>
      </c>
      <c r="L37" s="25" t="s">
        <v>37</v>
      </c>
      <c r="M37" s="25" t="s">
        <v>37</v>
      </c>
      <c r="N37" s="12"/>
      <c r="O37" s="24" t="s">
        <v>119</v>
      </c>
      <c r="P37" s="24" t="s">
        <v>120</v>
      </c>
      <c r="Q37" s="25" t="s">
        <v>125</v>
      </c>
      <c r="R37" s="12"/>
      <c r="S37" s="31" t="str">
        <f>"725,0"</f>
        <v>725,0</v>
      </c>
      <c r="T37" s="12" t="str">
        <f>"485,6775"</f>
        <v>485,6775</v>
      </c>
      <c r="U37" s="11" t="s">
        <v>3503</v>
      </c>
    </row>
    <row r="38" spans="1:21">
      <c r="A38" s="12" t="s">
        <v>413</v>
      </c>
      <c r="B38" s="11" t="s">
        <v>126</v>
      </c>
      <c r="C38" s="11" t="s">
        <v>127</v>
      </c>
      <c r="D38" s="11" t="s">
        <v>123</v>
      </c>
      <c r="E38" s="9" t="s">
        <v>3751</v>
      </c>
      <c r="F38" s="11" t="s">
        <v>3611</v>
      </c>
      <c r="G38" s="25" t="s">
        <v>97</v>
      </c>
      <c r="H38" s="25" t="s">
        <v>86</v>
      </c>
      <c r="I38" s="24" t="s">
        <v>98</v>
      </c>
      <c r="J38" s="12"/>
      <c r="K38" s="24" t="s">
        <v>37</v>
      </c>
      <c r="L38" s="25" t="s">
        <v>61</v>
      </c>
      <c r="M38" s="24" t="s">
        <v>61</v>
      </c>
      <c r="N38" s="12"/>
      <c r="O38" s="24" t="s">
        <v>110</v>
      </c>
      <c r="P38" s="24" t="s">
        <v>114</v>
      </c>
      <c r="Q38" s="25" t="s">
        <v>128</v>
      </c>
      <c r="R38" s="12"/>
      <c r="S38" s="31" t="str">
        <f>"697,5"</f>
        <v>697,5</v>
      </c>
      <c r="T38" s="12" t="str">
        <f>"467,2553"</f>
        <v>467,2553</v>
      </c>
      <c r="U38" s="11" t="s">
        <v>72</v>
      </c>
    </row>
    <row r="39" spans="1:21">
      <c r="A39" s="12" t="s">
        <v>414</v>
      </c>
      <c r="B39" s="11" t="s">
        <v>129</v>
      </c>
      <c r="C39" s="11" t="s">
        <v>130</v>
      </c>
      <c r="D39" s="11" t="s">
        <v>131</v>
      </c>
      <c r="E39" s="9" t="s">
        <v>3751</v>
      </c>
      <c r="F39" s="11" t="s">
        <v>3612</v>
      </c>
      <c r="G39" s="24" t="s">
        <v>40</v>
      </c>
      <c r="H39" s="25" t="s">
        <v>70</v>
      </c>
      <c r="I39" s="25" t="s">
        <v>66</v>
      </c>
      <c r="J39" s="12"/>
      <c r="K39" s="24" t="s">
        <v>132</v>
      </c>
      <c r="L39" s="24" t="s">
        <v>45</v>
      </c>
      <c r="M39" s="25" t="s">
        <v>25</v>
      </c>
      <c r="N39" s="12"/>
      <c r="O39" s="24" t="s">
        <v>98</v>
      </c>
      <c r="P39" s="24" t="s">
        <v>133</v>
      </c>
      <c r="Q39" s="25" t="s">
        <v>134</v>
      </c>
      <c r="R39" s="12"/>
      <c r="S39" s="31" t="str">
        <f>"560,0"</f>
        <v>560,0</v>
      </c>
      <c r="T39" s="12" t="str">
        <f>"376,2640"</f>
        <v>376,2640</v>
      </c>
      <c r="U39" s="11" t="s">
        <v>135</v>
      </c>
    </row>
    <row r="40" spans="1:21">
      <c r="A40" s="12" t="s">
        <v>412</v>
      </c>
      <c r="B40" s="11" t="s">
        <v>136</v>
      </c>
      <c r="C40" s="11" t="s">
        <v>137</v>
      </c>
      <c r="D40" s="11" t="s">
        <v>138</v>
      </c>
      <c r="E40" s="9" t="s">
        <v>3751</v>
      </c>
      <c r="F40" s="11" t="s">
        <v>3509</v>
      </c>
      <c r="G40" s="25" t="s">
        <v>71</v>
      </c>
      <c r="H40" s="25" t="s">
        <v>71</v>
      </c>
      <c r="I40" s="25" t="s">
        <v>97</v>
      </c>
      <c r="J40" s="12"/>
      <c r="K40" s="25"/>
      <c r="L40" s="12"/>
      <c r="M40" s="12"/>
      <c r="N40" s="12"/>
      <c r="O40" s="25"/>
      <c r="P40" s="12"/>
      <c r="Q40" s="12"/>
      <c r="R40" s="12"/>
      <c r="S40" s="31">
        <v>0</v>
      </c>
      <c r="T40" s="12" t="str">
        <f>"0,0000"</f>
        <v>0,0000</v>
      </c>
      <c r="U40" s="11" t="s">
        <v>139</v>
      </c>
    </row>
    <row r="41" spans="1:21">
      <c r="A41" s="12" t="s">
        <v>412</v>
      </c>
      <c r="B41" s="11" t="s">
        <v>3497</v>
      </c>
      <c r="C41" s="11" t="s">
        <v>140</v>
      </c>
      <c r="D41" s="11" t="s">
        <v>141</v>
      </c>
      <c r="E41" s="9" t="s">
        <v>3751</v>
      </c>
      <c r="F41" s="11" t="s">
        <v>142</v>
      </c>
      <c r="G41" s="25" t="s">
        <v>97</v>
      </c>
      <c r="H41" s="25" t="s">
        <v>97</v>
      </c>
      <c r="I41" s="24" t="s">
        <v>97</v>
      </c>
      <c r="J41" s="12"/>
      <c r="K41" s="24" t="s">
        <v>35</v>
      </c>
      <c r="L41" s="24" t="s">
        <v>36</v>
      </c>
      <c r="M41" s="25" t="s">
        <v>37</v>
      </c>
      <c r="N41" s="12"/>
      <c r="O41" s="25" t="s">
        <v>133</v>
      </c>
      <c r="P41" s="25" t="s">
        <v>133</v>
      </c>
      <c r="Q41" s="25" t="s">
        <v>134</v>
      </c>
      <c r="R41" s="12"/>
      <c r="S41" s="31">
        <v>0</v>
      </c>
      <c r="T41" s="12" t="str">
        <f>"0,0000"</f>
        <v>0,0000</v>
      </c>
      <c r="U41" s="11" t="s">
        <v>3504</v>
      </c>
    </row>
    <row r="42" spans="1:21">
      <c r="A42" s="12" t="s">
        <v>412</v>
      </c>
      <c r="B42" s="11" t="s">
        <v>143</v>
      </c>
      <c r="C42" s="11" t="s">
        <v>144</v>
      </c>
      <c r="D42" s="11" t="s">
        <v>145</v>
      </c>
      <c r="E42" s="9" t="s">
        <v>3751</v>
      </c>
      <c r="F42" s="11" t="s">
        <v>3571</v>
      </c>
      <c r="G42" s="25" t="s">
        <v>68</v>
      </c>
      <c r="H42" s="25" t="s">
        <v>97</v>
      </c>
      <c r="I42" s="25" t="s">
        <v>97</v>
      </c>
      <c r="J42" s="12"/>
      <c r="K42" s="25"/>
      <c r="L42" s="12"/>
      <c r="M42" s="12"/>
      <c r="N42" s="12"/>
      <c r="O42" s="25"/>
      <c r="P42" s="12"/>
      <c r="Q42" s="12"/>
      <c r="R42" s="12"/>
      <c r="S42" s="31">
        <v>0</v>
      </c>
      <c r="T42" s="12" t="str">
        <f>"0,0000"</f>
        <v>0,0000</v>
      </c>
      <c r="U42" s="11" t="s">
        <v>146</v>
      </c>
    </row>
    <row r="43" spans="1:21">
      <c r="A43" s="14" t="s">
        <v>408</v>
      </c>
      <c r="B43" s="13" t="s">
        <v>147</v>
      </c>
      <c r="C43" s="13" t="s">
        <v>148</v>
      </c>
      <c r="D43" s="13" t="s">
        <v>149</v>
      </c>
      <c r="E43" s="13" t="s">
        <v>3757</v>
      </c>
      <c r="F43" s="13" t="s">
        <v>3613</v>
      </c>
      <c r="G43" s="26" t="s">
        <v>77</v>
      </c>
      <c r="H43" s="26" t="s">
        <v>25</v>
      </c>
      <c r="I43" s="26" t="s">
        <v>46</v>
      </c>
      <c r="J43" s="14"/>
      <c r="K43" s="26" t="s">
        <v>54</v>
      </c>
      <c r="L43" s="26" t="s">
        <v>78</v>
      </c>
      <c r="M43" s="26" t="s">
        <v>77</v>
      </c>
      <c r="N43" s="14"/>
      <c r="O43" s="26" t="s">
        <v>35</v>
      </c>
      <c r="P43" s="26" t="s">
        <v>59</v>
      </c>
      <c r="Q43" s="26" t="s">
        <v>28</v>
      </c>
      <c r="R43" s="14"/>
      <c r="S43" s="32" t="str">
        <f>"455,0"</f>
        <v>455,0</v>
      </c>
      <c r="T43" s="14" t="str">
        <f>"422,5139"</f>
        <v>422,5139</v>
      </c>
      <c r="U43" s="13"/>
    </row>
    <row r="44" spans="1:21">
      <c r="B44" s="5" t="s">
        <v>409</v>
      </c>
    </row>
    <row r="45" spans="1:21" ht="16">
      <c r="A45" s="57" t="s">
        <v>150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</row>
    <row r="46" spans="1:21">
      <c r="A46" s="10" t="s">
        <v>408</v>
      </c>
      <c r="B46" s="9" t="s">
        <v>3355</v>
      </c>
      <c r="C46" s="9" t="s">
        <v>151</v>
      </c>
      <c r="D46" s="9" t="s">
        <v>152</v>
      </c>
      <c r="E46" s="9" t="s">
        <v>3754</v>
      </c>
      <c r="F46" s="9" t="s">
        <v>153</v>
      </c>
      <c r="G46" s="23" t="s">
        <v>71</v>
      </c>
      <c r="H46" s="23" t="s">
        <v>68</v>
      </c>
      <c r="I46" s="23" t="s">
        <v>98</v>
      </c>
      <c r="J46" s="10"/>
      <c r="K46" s="23" t="s">
        <v>25</v>
      </c>
      <c r="L46" s="23" t="s">
        <v>46</v>
      </c>
      <c r="M46" s="22" t="s">
        <v>59</v>
      </c>
      <c r="N46" s="10"/>
      <c r="O46" s="23" t="s">
        <v>86</v>
      </c>
      <c r="P46" s="23" t="s">
        <v>154</v>
      </c>
      <c r="Q46" s="22" t="s">
        <v>134</v>
      </c>
      <c r="R46" s="10"/>
      <c r="S46" s="30" t="str">
        <f>"630,0"</f>
        <v>630,0</v>
      </c>
      <c r="T46" s="10" t="str">
        <f>"402,1920"</f>
        <v>402,1920</v>
      </c>
      <c r="U46" s="9"/>
    </row>
    <row r="47" spans="1:21">
      <c r="A47" s="12" t="s">
        <v>408</v>
      </c>
      <c r="B47" s="11" t="s">
        <v>3356</v>
      </c>
      <c r="C47" s="11" t="s">
        <v>157</v>
      </c>
      <c r="D47" s="11" t="s">
        <v>158</v>
      </c>
      <c r="E47" s="11" t="s">
        <v>3751</v>
      </c>
      <c r="F47" s="11" t="s">
        <v>109</v>
      </c>
      <c r="G47" s="24" t="s">
        <v>111</v>
      </c>
      <c r="H47" s="25" t="s">
        <v>112</v>
      </c>
      <c r="I47" s="24" t="s">
        <v>159</v>
      </c>
      <c r="J47" s="12"/>
      <c r="K47" s="24" t="s">
        <v>66</v>
      </c>
      <c r="L47" s="25" t="s">
        <v>71</v>
      </c>
      <c r="M47" s="25" t="s">
        <v>71</v>
      </c>
      <c r="N47" s="12"/>
      <c r="O47" s="24" t="s">
        <v>160</v>
      </c>
      <c r="P47" s="24" t="s">
        <v>161</v>
      </c>
      <c r="Q47" s="25" t="s">
        <v>162</v>
      </c>
      <c r="R47" s="12"/>
      <c r="S47" s="31" t="str">
        <f>"817,5"</f>
        <v>817,5</v>
      </c>
      <c r="T47" s="12" t="str">
        <f>"525,4890"</f>
        <v>525,4890</v>
      </c>
      <c r="U47" s="11"/>
    </row>
    <row r="48" spans="1:21">
      <c r="A48" s="12" t="s">
        <v>410</v>
      </c>
      <c r="B48" s="11" t="s">
        <v>3498</v>
      </c>
      <c r="C48" s="11" t="s">
        <v>163</v>
      </c>
      <c r="D48" s="11" t="s">
        <v>164</v>
      </c>
      <c r="E48" s="11" t="s">
        <v>3751</v>
      </c>
      <c r="F48" s="11" t="s">
        <v>165</v>
      </c>
      <c r="G48" s="24" t="s">
        <v>134</v>
      </c>
      <c r="H48" s="24" t="s">
        <v>120</v>
      </c>
      <c r="I48" s="24" t="s">
        <v>114</v>
      </c>
      <c r="J48" s="12"/>
      <c r="K48" s="24" t="s">
        <v>36</v>
      </c>
      <c r="L48" s="24" t="s">
        <v>40</v>
      </c>
      <c r="M48" s="12"/>
      <c r="N48" s="12"/>
      <c r="O48" s="24" t="s">
        <v>120</v>
      </c>
      <c r="P48" s="25" t="s">
        <v>114</v>
      </c>
      <c r="Q48" s="24" t="s">
        <v>114</v>
      </c>
      <c r="R48" s="12"/>
      <c r="S48" s="31" t="str">
        <f>"760,0"</f>
        <v>760,0</v>
      </c>
      <c r="T48" s="12" t="str">
        <f>"486,5520"</f>
        <v>486,5520</v>
      </c>
      <c r="U48" s="11"/>
    </row>
    <row r="49" spans="1:21">
      <c r="A49" s="12" t="s">
        <v>411</v>
      </c>
      <c r="B49" s="11" t="s">
        <v>166</v>
      </c>
      <c r="C49" s="11" t="s">
        <v>167</v>
      </c>
      <c r="D49" s="11" t="s">
        <v>168</v>
      </c>
      <c r="E49" s="11" t="s">
        <v>3751</v>
      </c>
      <c r="F49" s="11" t="s">
        <v>3537</v>
      </c>
      <c r="G49" s="25" t="s">
        <v>119</v>
      </c>
      <c r="H49" s="24" t="s">
        <v>169</v>
      </c>
      <c r="I49" s="24" t="s">
        <v>121</v>
      </c>
      <c r="J49" s="12"/>
      <c r="K49" s="24" t="s">
        <v>37</v>
      </c>
      <c r="L49" s="24" t="s">
        <v>40</v>
      </c>
      <c r="M49" s="24" t="s">
        <v>29</v>
      </c>
      <c r="N49" s="12"/>
      <c r="O49" s="24" t="s">
        <v>170</v>
      </c>
      <c r="P49" s="24" t="s">
        <v>110</v>
      </c>
      <c r="Q49" s="24" t="s">
        <v>121</v>
      </c>
      <c r="R49" s="12"/>
      <c r="S49" s="31" t="str">
        <f>"745,0"</f>
        <v>745,0</v>
      </c>
      <c r="T49" s="12" t="str">
        <f>"483,8775"</f>
        <v>483,8775</v>
      </c>
      <c r="U49" s="11" t="s">
        <v>171</v>
      </c>
    </row>
    <row r="50" spans="1:21">
      <c r="A50" s="12" t="s">
        <v>413</v>
      </c>
      <c r="B50" s="11" t="s">
        <v>3358</v>
      </c>
      <c r="C50" s="11" t="s">
        <v>172</v>
      </c>
      <c r="D50" s="11" t="s">
        <v>173</v>
      </c>
      <c r="E50" s="11" t="s">
        <v>3751</v>
      </c>
      <c r="F50" s="11" t="s">
        <v>174</v>
      </c>
      <c r="G50" s="24" t="s">
        <v>120</v>
      </c>
      <c r="H50" s="24" t="s">
        <v>121</v>
      </c>
      <c r="I50" s="24" t="s">
        <v>111</v>
      </c>
      <c r="J50" s="12"/>
      <c r="K50" s="24" t="s">
        <v>37</v>
      </c>
      <c r="L50" s="24" t="s">
        <v>28</v>
      </c>
      <c r="M50" s="12"/>
      <c r="N50" s="12"/>
      <c r="O50" s="25" t="s">
        <v>121</v>
      </c>
      <c r="P50" s="24" t="s">
        <v>121</v>
      </c>
      <c r="Q50" s="25" t="s">
        <v>128</v>
      </c>
      <c r="R50" s="12"/>
      <c r="S50" s="31" t="str">
        <f>"740,0"</f>
        <v>740,0</v>
      </c>
      <c r="T50" s="12" t="str">
        <f>"483,6640"</f>
        <v>483,6640</v>
      </c>
      <c r="U50" s="11"/>
    </row>
    <row r="51" spans="1:21">
      <c r="A51" s="12" t="s">
        <v>414</v>
      </c>
      <c r="B51" s="11" t="s">
        <v>175</v>
      </c>
      <c r="C51" s="11" t="s">
        <v>176</v>
      </c>
      <c r="D51" s="11" t="s">
        <v>164</v>
      </c>
      <c r="E51" s="11" t="s">
        <v>3751</v>
      </c>
      <c r="F51" s="11" t="s">
        <v>3614</v>
      </c>
      <c r="G51" s="25" t="s">
        <v>120</v>
      </c>
      <c r="H51" s="24" t="s">
        <v>120</v>
      </c>
      <c r="I51" s="25" t="s">
        <v>111</v>
      </c>
      <c r="J51" s="12"/>
      <c r="K51" s="25" t="s">
        <v>46</v>
      </c>
      <c r="L51" s="24" t="s">
        <v>36</v>
      </c>
      <c r="M51" s="24" t="s">
        <v>37</v>
      </c>
      <c r="N51" s="12"/>
      <c r="O51" s="25" t="s">
        <v>121</v>
      </c>
      <c r="P51" s="24" t="s">
        <v>121</v>
      </c>
      <c r="Q51" s="24" t="s">
        <v>112</v>
      </c>
      <c r="R51" s="12"/>
      <c r="S51" s="31" t="str">
        <f>"735,0"</f>
        <v>735,0</v>
      </c>
      <c r="T51" s="12" t="str">
        <f>"470,5470"</f>
        <v>470,5470</v>
      </c>
      <c r="U51" s="11"/>
    </row>
    <row r="52" spans="1:21">
      <c r="A52" s="12" t="s">
        <v>415</v>
      </c>
      <c r="B52" s="11" t="s">
        <v>177</v>
      </c>
      <c r="C52" s="11" t="s">
        <v>178</v>
      </c>
      <c r="D52" s="11" t="s">
        <v>179</v>
      </c>
      <c r="E52" s="11" t="s">
        <v>3751</v>
      </c>
      <c r="F52" s="11" t="s">
        <v>3509</v>
      </c>
      <c r="G52" s="25" t="s">
        <v>98</v>
      </c>
      <c r="H52" s="24" t="s">
        <v>134</v>
      </c>
      <c r="I52" s="24" t="s">
        <v>119</v>
      </c>
      <c r="J52" s="12"/>
      <c r="K52" s="24" t="s">
        <v>180</v>
      </c>
      <c r="L52" s="25" t="s">
        <v>181</v>
      </c>
      <c r="M52" s="25" t="s">
        <v>71</v>
      </c>
      <c r="N52" s="12"/>
      <c r="O52" s="24" t="s">
        <v>154</v>
      </c>
      <c r="P52" s="24" t="s">
        <v>182</v>
      </c>
      <c r="Q52" s="25" t="s">
        <v>121</v>
      </c>
      <c r="R52" s="12"/>
      <c r="S52" s="31" t="str">
        <f>"717,5"</f>
        <v>717,5</v>
      </c>
      <c r="T52" s="12" t="str">
        <f>"463,4333"</f>
        <v>463,4333</v>
      </c>
      <c r="U52" s="11" t="s">
        <v>183</v>
      </c>
    </row>
    <row r="53" spans="1:21">
      <c r="A53" s="12" t="s">
        <v>416</v>
      </c>
      <c r="B53" s="11" t="s">
        <v>184</v>
      </c>
      <c r="C53" s="11" t="s">
        <v>185</v>
      </c>
      <c r="D53" s="11" t="s">
        <v>186</v>
      </c>
      <c r="E53" s="11" t="s">
        <v>3751</v>
      </c>
      <c r="F53" s="11" t="s">
        <v>3615</v>
      </c>
      <c r="G53" s="24" t="s">
        <v>83</v>
      </c>
      <c r="H53" s="24" t="s">
        <v>86</v>
      </c>
      <c r="I53" s="25" t="s">
        <v>133</v>
      </c>
      <c r="J53" s="12"/>
      <c r="K53" s="24" t="s">
        <v>26</v>
      </c>
      <c r="L53" s="24" t="s">
        <v>47</v>
      </c>
      <c r="M53" s="25" t="s">
        <v>187</v>
      </c>
      <c r="N53" s="12"/>
      <c r="O53" s="24" t="s">
        <v>134</v>
      </c>
      <c r="P53" s="25" t="s">
        <v>120</v>
      </c>
      <c r="Q53" s="25" t="s">
        <v>120</v>
      </c>
      <c r="R53" s="12"/>
      <c r="S53" s="31" t="str">
        <f>"637,5"</f>
        <v>637,5</v>
      </c>
      <c r="T53" s="12" t="str">
        <f>"420,8137"</f>
        <v>420,8137</v>
      </c>
      <c r="U53" s="11" t="s">
        <v>188</v>
      </c>
    </row>
    <row r="54" spans="1:21">
      <c r="A54" s="12" t="s">
        <v>412</v>
      </c>
      <c r="B54" s="11" t="s">
        <v>189</v>
      </c>
      <c r="C54" s="11" t="s">
        <v>190</v>
      </c>
      <c r="D54" s="11" t="s">
        <v>191</v>
      </c>
      <c r="E54" s="11" t="s">
        <v>3751</v>
      </c>
      <c r="F54" s="11" t="s">
        <v>3609</v>
      </c>
      <c r="G54" s="25" t="s">
        <v>98</v>
      </c>
      <c r="H54" s="24" t="s">
        <v>98</v>
      </c>
      <c r="I54" s="25" t="s">
        <v>154</v>
      </c>
      <c r="J54" s="12"/>
      <c r="K54" s="25" t="s">
        <v>35</v>
      </c>
      <c r="L54" s="25" t="s">
        <v>35</v>
      </c>
      <c r="M54" s="25" t="s">
        <v>35</v>
      </c>
      <c r="N54" s="12"/>
      <c r="O54" s="25"/>
      <c r="P54" s="12"/>
      <c r="Q54" s="12"/>
      <c r="R54" s="12"/>
      <c r="S54" s="31">
        <v>0</v>
      </c>
      <c r="T54" s="12" t="str">
        <f>"0,0000"</f>
        <v>0,0000</v>
      </c>
      <c r="U54" s="11" t="s">
        <v>192</v>
      </c>
    </row>
    <row r="55" spans="1:21">
      <c r="A55" s="14" t="s">
        <v>408</v>
      </c>
      <c r="B55" s="13" t="s">
        <v>193</v>
      </c>
      <c r="C55" s="13" t="s">
        <v>194</v>
      </c>
      <c r="D55" s="13" t="s">
        <v>179</v>
      </c>
      <c r="E55" s="13" t="s">
        <v>3758</v>
      </c>
      <c r="F55" s="13" t="s">
        <v>3509</v>
      </c>
      <c r="G55" s="26" t="s">
        <v>37</v>
      </c>
      <c r="H55" s="27" t="s">
        <v>70</v>
      </c>
      <c r="I55" s="27" t="s">
        <v>70</v>
      </c>
      <c r="J55" s="14"/>
      <c r="K55" s="26" t="s">
        <v>77</v>
      </c>
      <c r="L55" s="26" t="s">
        <v>85</v>
      </c>
      <c r="M55" s="26" t="s">
        <v>45</v>
      </c>
      <c r="N55" s="14"/>
      <c r="O55" s="26" t="s">
        <v>37</v>
      </c>
      <c r="P55" s="26" t="s">
        <v>70</v>
      </c>
      <c r="Q55" s="26" t="s">
        <v>71</v>
      </c>
      <c r="R55" s="14"/>
      <c r="S55" s="32" t="str">
        <f>"510,0"</f>
        <v>510,0</v>
      </c>
      <c r="T55" s="14" t="str">
        <f>"559,9953"</f>
        <v>559,9953</v>
      </c>
      <c r="U55" s="13"/>
    </row>
    <row r="56" spans="1:21">
      <c r="B56" s="5" t="s">
        <v>409</v>
      </c>
    </row>
    <row r="57" spans="1:21" ht="16">
      <c r="A57" s="57" t="s">
        <v>195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</row>
    <row r="58" spans="1:21">
      <c r="A58" s="10" t="s">
        <v>408</v>
      </c>
      <c r="B58" s="9" t="s">
        <v>196</v>
      </c>
      <c r="C58" s="9" t="s">
        <v>197</v>
      </c>
      <c r="D58" s="9" t="s">
        <v>198</v>
      </c>
      <c r="E58" s="9" t="s">
        <v>3754</v>
      </c>
      <c r="F58" s="9" t="s">
        <v>199</v>
      </c>
      <c r="G58" s="23" t="s">
        <v>114</v>
      </c>
      <c r="H58" s="23" t="s">
        <v>200</v>
      </c>
      <c r="I58" s="22" t="s">
        <v>201</v>
      </c>
      <c r="J58" s="10"/>
      <c r="K58" s="23" t="s">
        <v>40</v>
      </c>
      <c r="L58" s="23" t="s">
        <v>70</v>
      </c>
      <c r="M58" s="23" t="s">
        <v>71</v>
      </c>
      <c r="N58" s="10"/>
      <c r="O58" s="23" t="s">
        <v>119</v>
      </c>
      <c r="P58" s="23" t="s">
        <v>110</v>
      </c>
      <c r="Q58" s="23" t="s">
        <v>111</v>
      </c>
      <c r="R58" s="10"/>
      <c r="S58" s="30" t="str">
        <f>"793,0"</f>
        <v>793,0</v>
      </c>
      <c r="T58" s="10" t="str">
        <f>"489,2017"</f>
        <v>489,2017</v>
      </c>
      <c r="U58" s="9" t="s">
        <v>2685</v>
      </c>
    </row>
    <row r="59" spans="1:21">
      <c r="A59" s="12" t="s">
        <v>412</v>
      </c>
      <c r="B59" s="11" t="s">
        <v>202</v>
      </c>
      <c r="C59" s="11" t="s">
        <v>203</v>
      </c>
      <c r="D59" s="11" t="s">
        <v>204</v>
      </c>
      <c r="E59" s="11" t="s">
        <v>3754</v>
      </c>
      <c r="F59" s="11" t="s">
        <v>3616</v>
      </c>
      <c r="G59" s="25" t="s">
        <v>205</v>
      </c>
      <c r="H59" s="25" t="s">
        <v>120</v>
      </c>
      <c r="I59" s="25" t="s">
        <v>120</v>
      </c>
      <c r="J59" s="12"/>
      <c r="K59" s="12"/>
      <c r="L59" s="12"/>
      <c r="M59" s="12"/>
      <c r="N59" s="12"/>
      <c r="O59" s="12"/>
      <c r="P59" s="12"/>
      <c r="Q59" s="12"/>
      <c r="R59" s="12"/>
      <c r="S59" s="31">
        <v>0</v>
      </c>
      <c r="T59" s="12" t="str">
        <f>"0,0000"</f>
        <v>0,0000</v>
      </c>
      <c r="U59" s="11" t="s">
        <v>206</v>
      </c>
    </row>
    <row r="60" spans="1:21">
      <c r="A60" s="12" t="s">
        <v>408</v>
      </c>
      <c r="B60" s="11" t="s">
        <v>207</v>
      </c>
      <c r="C60" s="11" t="s">
        <v>208</v>
      </c>
      <c r="D60" s="11" t="s">
        <v>209</v>
      </c>
      <c r="E60" s="11" t="s">
        <v>3751</v>
      </c>
      <c r="F60" s="11" t="s">
        <v>199</v>
      </c>
      <c r="G60" s="25" t="s">
        <v>128</v>
      </c>
      <c r="H60" s="25" t="s">
        <v>128</v>
      </c>
      <c r="I60" s="24" t="s">
        <v>128</v>
      </c>
      <c r="J60" s="12"/>
      <c r="K60" s="24" t="s">
        <v>67</v>
      </c>
      <c r="L60" s="24" t="s">
        <v>210</v>
      </c>
      <c r="M60" s="24" t="s">
        <v>68</v>
      </c>
      <c r="N60" s="12"/>
      <c r="O60" s="24" t="s">
        <v>211</v>
      </c>
      <c r="P60" s="25" t="s">
        <v>212</v>
      </c>
      <c r="Q60" s="25" t="s">
        <v>212</v>
      </c>
      <c r="R60" s="12"/>
      <c r="S60" s="31" t="str">
        <f>"835,0"</f>
        <v>835,0</v>
      </c>
      <c r="T60" s="12" t="str">
        <f>"511,1035"</f>
        <v>511,1035</v>
      </c>
      <c r="U60" s="11" t="s">
        <v>3505</v>
      </c>
    </row>
    <row r="61" spans="1:21">
      <c r="A61" s="12" t="s">
        <v>410</v>
      </c>
      <c r="B61" s="11" t="s">
        <v>213</v>
      </c>
      <c r="C61" s="11" t="s">
        <v>214</v>
      </c>
      <c r="D61" s="11" t="s">
        <v>215</v>
      </c>
      <c r="E61" s="11" t="s">
        <v>3751</v>
      </c>
      <c r="F61" s="11" t="s">
        <v>3572</v>
      </c>
      <c r="G61" s="24" t="s">
        <v>112</v>
      </c>
      <c r="H61" s="24" t="s">
        <v>216</v>
      </c>
      <c r="I61" s="24" t="s">
        <v>217</v>
      </c>
      <c r="J61" s="12"/>
      <c r="K61" s="24" t="s">
        <v>59</v>
      </c>
      <c r="L61" s="25" t="s">
        <v>37</v>
      </c>
      <c r="M61" s="24" t="s">
        <v>37</v>
      </c>
      <c r="N61" s="12"/>
      <c r="O61" s="24" t="s">
        <v>217</v>
      </c>
      <c r="P61" s="25" t="s">
        <v>211</v>
      </c>
      <c r="Q61" s="25" t="s">
        <v>211</v>
      </c>
      <c r="R61" s="12"/>
      <c r="S61" s="31" t="str">
        <f>"790,0"</f>
        <v>790,0</v>
      </c>
      <c r="T61" s="12" t="str">
        <f>"481,9790"</f>
        <v>481,9790</v>
      </c>
      <c r="U61" s="11" t="s">
        <v>218</v>
      </c>
    </row>
    <row r="62" spans="1:21">
      <c r="A62" s="12" t="s">
        <v>411</v>
      </c>
      <c r="B62" s="11" t="s">
        <v>3387</v>
      </c>
      <c r="C62" s="11" t="s">
        <v>219</v>
      </c>
      <c r="D62" s="11" t="s">
        <v>220</v>
      </c>
      <c r="E62" s="11" t="s">
        <v>3751</v>
      </c>
      <c r="F62" s="11" t="s">
        <v>3499</v>
      </c>
      <c r="G62" s="24" t="s">
        <v>134</v>
      </c>
      <c r="H62" s="24" t="s">
        <v>119</v>
      </c>
      <c r="I62" s="24" t="s">
        <v>120</v>
      </c>
      <c r="J62" s="12"/>
      <c r="K62" s="24" t="s">
        <v>40</v>
      </c>
      <c r="L62" s="24" t="s">
        <v>70</v>
      </c>
      <c r="M62" s="25" t="s">
        <v>66</v>
      </c>
      <c r="N62" s="12"/>
      <c r="O62" s="24" t="s">
        <v>128</v>
      </c>
      <c r="P62" s="24" t="s">
        <v>211</v>
      </c>
      <c r="Q62" s="25" t="s">
        <v>221</v>
      </c>
      <c r="R62" s="12"/>
      <c r="S62" s="31" t="str">
        <f>"780,0"</f>
        <v>780,0</v>
      </c>
      <c r="T62" s="12" t="str">
        <f>"478,0620"</f>
        <v>478,0620</v>
      </c>
      <c r="U62" s="11" t="s">
        <v>1408</v>
      </c>
    </row>
    <row r="63" spans="1:21">
      <c r="A63" s="12" t="s">
        <v>413</v>
      </c>
      <c r="B63" s="11" t="s">
        <v>222</v>
      </c>
      <c r="C63" s="11" t="s">
        <v>223</v>
      </c>
      <c r="D63" s="11" t="s">
        <v>224</v>
      </c>
      <c r="E63" s="11" t="s">
        <v>3751</v>
      </c>
      <c r="F63" s="11" t="s">
        <v>3509</v>
      </c>
      <c r="G63" s="24" t="s">
        <v>120</v>
      </c>
      <c r="H63" s="25" t="s">
        <v>225</v>
      </c>
      <c r="I63" s="25" t="s">
        <v>225</v>
      </c>
      <c r="J63" s="12"/>
      <c r="K63" s="24" t="s">
        <v>59</v>
      </c>
      <c r="L63" s="24" t="s">
        <v>37</v>
      </c>
      <c r="M63" s="25" t="s">
        <v>226</v>
      </c>
      <c r="N63" s="12"/>
      <c r="O63" s="24" t="s">
        <v>128</v>
      </c>
      <c r="P63" s="24" t="s">
        <v>160</v>
      </c>
      <c r="Q63" s="25" t="s">
        <v>227</v>
      </c>
      <c r="R63" s="12"/>
      <c r="S63" s="31" t="str">
        <f>"755,0"</f>
        <v>755,0</v>
      </c>
      <c r="T63" s="12" t="str">
        <f>"464,3250"</f>
        <v>464,3250</v>
      </c>
      <c r="U63" s="11" t="s">
        <v>228</v>
      </c>
    </row>
    <row r="64" spans="1:21">
      <c r="A64" s="12" t="s">
        <v>414</v>
      </c>
      <c r="B64" s="11" t="s">
        <v>229</v>
      </c>
      <c r="C64" s="11" t="s">
        <v>230</v>
      </c>
      <c r="D64" s="11" t="s">
        <v>231</v>
      </c>
      <c r="E64" s="11" t="s">
        <v>3751</v>
      </c>
      <c r="F64" s="11" t="s">
        <v>3509</v>
      </c>
      <c r="G64" s="24" t="s">
        <v>87</v>
      </c>
      <c r="H64" s="25" t="s">
        <v>134</v>
      </c>
      <c r="I64" s="24" t="s">
        <v>119</v>
      </c>
      <c r="J64" s="12"/>
      <c r="K64" s="24" t="s">
        <v>40</v>
      </c>
      <c r="L64" s="24" t="s">
        <v>70</v>
      </c>
      <c r="M64" s="25" t="s">
        <v>66</v>
      </c>
      <c r="N64" s="12"/>
      <c r="O64" s="24" t="s">
        <v>133</v>
      </c>
      <c r="P64" s="24" t="s">
        <v>119</v>
      </c>
      <c r="Q64" s="24" t="s">
        <v>121</v>
      </c>
      <c r="R64" s="12"/>
      <c r="S64" s="31" t="str">
        <f>"730,0"</f>
        <v>730,0</v>
      </c>
      <c r="T64" s="12" t="str">
        <f>"449,7530"</f>
        <v>449,7530</v>
      </c>
      <c r="U64" s="11" t="s">
        <v>188</v>
      </c>
    </row>
    <row r="65" spans="1:21">
      <c r="A65" s="12" t="s">
        <v>415</v>
      </c>
      <c r="B65" s="11" t="s">
        <v>232</v>
      </c>
      <c r="C65" s="11" t="s">
        <v>233</v>
      </c>
      <c r="D65" s="11" t="s">
        <v>234</v>
      </c>
      <c r="E65" s="11" t="s">
        <v>3751</v>
      </c>
      <c r="F65" s="11" t="s">
        <v>3581</v>
      </c>
      <c r="G65" s="24" t="s">
        <v>71</v>
      </c>
      <c r="H65" s="24" t="s">
        <v>68</v>
      </c>
      <c r="I65" s="25" t="s">
        <v>86</v>
      </c>
      <c r="J65" s="12"/>
      <c r="K65" s="25" t="s">
        <v>25</v>
      </c>
      <c r="L65" s="24" t="s">
        <v>46</v>
      </c>
      <c r="M65" s="24" t="s">
        <v>36</v>
      </c>
      <c r="N65" s="12"/>
      <c r="O65" s="25" t="s">
        <v>71</v>
      </c>
      <c r="P65" s="24" t="s">
        <v>67</v>
      </c>
      <c r="Q65" s="25" t="s">
        <v>97</v>
      </c>
      <c r="R65" s="12"/>
      <c r="S65" s="31" t="str">
        <f>"580,0"</f>
        <v>580,0</v>
      </c>
      <c r="T65" s="12" t="str">
        <f>"352,9880"</f>
        <v>352,9880</v>
      </c>
      <c r="U65" s="11" t="s">
        <v>235</v>
      </c>
    </row>
    <row r="66" spans="1:21">
      <c r="A66" s="12" t="s">
        <v>412</v>
      </c>
      <c r="B66" s="11" t="s">
        <v>236</v>
      </c>
      <c r="C66" s="11" t="s">
        <v>237</v>
      </c>
      <c r="D66" s="11" t="s">
        <v>204</v>
      </c>
      <c r="E66" s="11" t="s">
        <v>3751</v>
      </c>
      <c r="F66" s="11" t="s">
        <v>238</v>
      </c>
      <c r="G66" s="25" t="s">
        <v>182</v>
      </c>
      <c r="H66" s="25" t="s">
        <v>182</v>
      </c>
      <c r="I66" s="25" t="s">
        <v>182</v>
      </c>
      <c r="J66" s="12"/>
      <c r="K66" s="12"/>
      <c r="L66" s="12"/>
      <c r="M66" s="12"/>
      <c r="N66" s="12"/>
      <c r="O66" s="12"/>
      <c r="P66" s="12"/>
      <c r="Q66" s="12"/>
      <c r="R66" s="12"/>
      <c r="S66" s="31">
        <v>0</v>
      </c>
      <c r="T66" s="12" t="str">
        <f>"0,0000"</f>
        <v>0,0000</v>
      </c>
      <c r="U66" s="11"/>
    </row>
    <row r="67" spans="1:21">
      <c r="A67" s="12" t="s">
        <v>412</v>
      </c>
      <c r="B67" s="11" t="s">
        <v>239</v>
      </c>
      <c r="C67" s="11" t="s">
        <v>240</v>
      </c>
      <c r="D67" s="11" t="s">
        <v>241</v>
      </c>
      <c r="E67" s="11" t="s">
        <v>3751</v>
      </c>
      <c r="F67" s="11" t="s">
        <v>75</v>
      </c>
      <c r="G67" s="25" t="s">
        <v>114</v>
      </c>
      <c r="H67" s="25" t="s">
        <v>114</v>
      </c>
      <c r="I67" s="25" t="s">
        <v>114</v>
      </c>
      <c r="J67" s="12"/>
      <c r="K67" s="12"/>
      <c r="L67" s="12"/>
      <c r="M67" s="12"/>
      <c r="N67" s="12"/>
      <c r="O67" s="12"/>
      <c r="P67" s="12"/>
      <c r="Q67" s="12"/>
      <c r="R67" s="12"/>
      <c r="S67" s="31">
        <v>0</v>
      </c>
      <c r="T67" s="12" t="str">
        <f>"0,0000"</f>
        <v>0,0000</v>
      </c>
      <c r="U67" s="11"/>
    </row>
    <row r="68" spans="1:21">
      <c r="A68" s="12" t="s">
        <v>412</v>
      </c>
      <c r="B68" s="11" t="s">
        <v>242</v>
      </c>
      <c r="C68" s="11" t="s">
        <v>243</v>
      </c>
      <c r="D68" s="11" t="s">
        <v>244</v>
      </c>
      <c r="E68" s="11" t="s">
        <v>3751</v>
      </c>
      <c r="F68" s="11" t="s">
        <v>3617</v>
      </c>
      <c r="G68" s="25" t="s">
        <v>111</v>
      </c>
      <c r="H68" s="25" t="s">
        <v>128</v>
      </c>
      <c r="I68" s="25" t="s">
        <v>128</v>
      </c>
      <c r="J68" s="12"/>
      <c r="K68" s="12"/>
      <c r="L68" s="12"/>
      <c r="M68" s="12"/>
      <c r="N68" s="12"/>
      <c r="O68" s="12"/>
      <c r="P68" s="12"/>
      <c r="Q68" s="12"/>
      <c r="R68" s="12"/>
      <c r="S68" s="31">
        <v>0</v>
      </c>
      <c r="T68" s="12" t="str">
        <f>"0,0000"</f>
        <v>0,0000</v>
      </c>
      <c r="U68" s="11" t="s">
        <v>3506</v>
      </c>
    </row>
    <row r="69" spans="1:21">
      <c r="A69" s="12" t="s">
        <v>408</v>
      </c>
      <c r="B69" s="11" t="s">
        <v>245</v>
      </c>
      <c r="C69" s="11" t="s">
        <v>246</v>
      </c>
      <c r="D69" s="11" t="s">
        <v>247</v>
      </c>
      <c r="E69" s="11" t="s">
        <v>3753</v>
      </c>
      <c r="F69" s="11" t="s">
        <v>3618</v>
      </c>
      <c r="G69" s="25" t="s">
        <v>67</v>
      </c>
      <c r="H69" s="24" t="s">
        <v>67</v>
      </c>
      <c r="I69" s="24" t="s">
        <v>97</v>
      </c>
      <c r="J69" s="12"/>
      <c r="K69" s="24" t="s">
        <v>85</v>
      </c>
      <c r="L69" s="24" t="s">
        <v>248</v>
      </c>
      <c r="M69" s="24" t="s">
        <v>25</v>
      </c>
      <c r="N69" s="12"/>
      <c r="O69" s="24" t="s">
        <v>97</v>
      </c>
      <c r="P69" s="24" t="s">
        <v>98</v>
      </c>
      <c r="Q69" s="25" t="s">
        <v>87</v>
      </c>
      <c r="R69" s="12"/>
      <c r="S69" s="31" t="str">
        <f>"595,0"</f>
        <v>595,0</v>
      </c>
      <c r="T69" s="12" t="str">
        <f>"374,9095"</f>
        <v>374,9095</v>
      </c>
      <c r="U69" s="11" t="s">
        <v>249</v>
      </c>
    </row>
    <row r="70" spans="1:21">
      <c r="A70" s="12" t="s">
        <v>410</v>
      </c>
      <c r="B70" s="11" t="s">
        <v>250</v>
      </c>
      <c r="C70" s="11" t="s">
        <v>251</v>
      </c>
      <c r="D70" s="11" t="s">
        <v>252</v>
      </c>
      <c r="E70" s="11" t="s">
        <v>3753</v>
      </c>
      <c r="F70" s="11" t="s">
        <v>3619</v>
      </c>
      <c r="G70" s="25" t="s">
        <v>66</v>
      </c>
      <c r="H70" s="24" t="s">
        <v>71</v>
      </c>
      <c r="I70" s="24" t="s">
        <v>68</v>
      </c>
      <c r="J70" s="12"/>
      <c r="K70" s="25" t="s">
        <v>25</v>
      </c>
      <c r="L70" s="24" t="s">
        <v>253</v>
      </c>
      <c r="M70" s="24" t="s">
        <v>26</v>
      </c>
      <c r="N70" s="12"/>
      <c r="O70" s="24" t="s">
        <v>97</v>
      </c>
      <c r="P70" s="25" t="s">
        <v>87</v>
      </c>
      <c r="Q70" s="25" t="s">
        <v>133</v>
      </c>
      <c r="R70" s="12"/>
      <c r="S70" s="31" t="str">
        <f>"587,5"</f>
        <v>587,5</v>
      </c>
      <c r="T70" s="12" t="str">
        <f>"371,9707"</f>
        <v>371,9707</v>
      </c>
      <c r="U70" s="11" t="s">
        <v>254</v>
      </c>
    </row>
    <row r="71" spans="1:21">
      <c r="A71" s="14" t="s">
        <v>408</v>
      </c>
      <c r="B71" s="13" t="s">
        <v>255</v>
      </c>
      <c r="C71" s="13" t="s">
        <v>256</v>
      </c>
      <c r="D71" s="13" t="s">
        <v>215</v>
      </c>
      <c r="E71" s="13" t="s">
        <v>3757</v>
      </c>
      <c r="F71" s="13" t="s">
        <v>3589</v>
      </c>
      <c r="G71" s="26" t="s">
        <v>71</v>
      </c>
      <c r="H71" s="27" t="s">
        <v>68</v>
      </c>
      <c r="I71" s="27" t="s">
        <v>68</v>
      </c>
      <c r="J71" s="14"/>
      <c r="K71" s="26" t="s">
        <v>77</v>
      </c>
      <c r="L71" s="26" t="s">
        <v>84</v>
      </c>
      <c r="M71" s="26" t="s">
        <v>132</v>
      </c>
      <c r="N71" s="14"/>
      <c r="O71" s="26" t="s">
        <v>71</v>
      </c>
      <c r="P71" s="26" t="s">
        <v>83</v>
      </c>
      <c r="Q71" s="26" t="s">
        <v>86</v>
      </c>
      <c r="R71" s="14"/>
      <c r="S71" s="32" t="str">
        <f>"555,0"</f>
        <v>555,0</v>
      </c>
      <c r="T71" s="14" t="str">
        <f>"540,7530"</f>
        <v>540,7530</v>
      </c>
      <c r="U71" s="13" t="s">
        <v>257</v>
      </c>
    </row>
    <row r="72" spans="1:21">
      <c r="B72" s="5" t="s">
        <v>409</v>
      </c>
    </row>
    <row r="73" spans="1:21" ht="16">
      <c r="A73" s="57" t="s">
        <v>258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</row>
    <row r="74" spans="1:21">
      <c r="A74" s="10" t="s">
        <v>408</v>
      </c>
      <c r="B74" s="9" t="s">
        <v>259</v>
      </c>
      <c r="C74" s="9" t="s">
        <v>260</v>
      </c>
      <c r="D74" s="9" t="s">
        <v>261</v>
      </c>
      <c r="E74" s="9" t="s">
        <v>3751</v>
      </c>
      <c r="F74" s="9" t="s">
        <v>262</v>
      </c>
      <c r="G74" s="23" t="s">
        <v>121</v>
      </c>
      <c r="H74" s="23" t="s">
        <v>217</v>
      </c>
      <c r="I74" s="10" t="s">
        <v>211</v>
      </c>
      <c r="J74" s="10"/>
      <c r="K74" s="23" t="s">
        <v>71</v>
      </c>
      <c r="L74" s="23" t="s">
        <v>83</v>
      </c>
      <c r="M74" s="22" t="s">
        <v>97</v>
      </c>
      <c r="N74" s="10"/>
      <c r="O74" s="23" t="s">
        <v>221</v>
      </c>
      <c r="P74" s="23" t="s">
        <v>263</v>
      </c>
      <c r="Q74" s="22" t="s">
        <v>264</v>
      </c>
      <c r="R74" s="10"/>
      <c r="S74" s="30" t="str">
        <f>"890,0"</f>
        <v>890,0</v>
      </c>
      <c r="T74" s="10" t="str">
        <f>"527,1470"</f>
        <v>527,1470</v>
      </c>
      <c r="U74" s="9" t="s">
        <v>265</v>
      </c>
    </row>
    <row r="75" spans="1:21">
      <c r="A75" s="12" t="s">
        <v>410</v>
      </c>
      <c r="B75" s="11" t="s">
        <v>266</v>
      </c>
      <c r="C75" s="11" t="s">
        <v>267</v>
      </c>
      <c r="D75" s="11" t="s">
        <v>268</v>
      </c>
      <c r="E75" s="11" t="s">
        <v>3751</v>
      </c>
      <c r="F75" s="11" t="s">
        <v>3509</v>
      </c>
      <c r="G75" s="24" t="s">
        <v>119</v>
      </c>
      <c r="H75" s="25" t="s">
        <v>110</v>
      </c>
      <c r="I75" s="24" t="s">
        <v>121</v>
      </c>
      <c r="J75" s="12"/>
      <c r="K75" s="24" t="s">
        <v>59</v>
      </c>
      <c r="L75" s="24" t="s">
        <v>226</v>
      </c>
      <c r="M75" s="24" t="s">
        <v>40</v>
      </c>
      <c r="N75" s="12"/>
      <c r="O75" s="24" t="s">
        <v>119</v>
      </c>
      <c r="P75" s="24" t="s">
        <v>110</v>
      </c>
      <c r="Q75" s="24" t="s">
        <v>111</v>
      </c>
      <c r="R75" s="12"/>
      <c r="S75" s="31" t="str">
        <f>"745,0"</f>
        <v>745,0</v>
      </c>
      <c r="T75" s="12" t="str">
        <f>"442,0085"</f>
        <v>442,0085</v>
      </c>
      <c r="U75" s="11" t="s">
        <v>188</v>
      </c>
    </row>
    <row r="76" spans="1:21">
      <c r="A76" s="12" t="s">
        <v>411</v>
      </c>
      <c r="B76" s="11" t="s">
        <v>3500</v>
      </c>
      <c r="C76" s="11" t="s">
        <v>269</v>
      </c>
      <c r="D76" s="11" t="s">
        <v>270</v>
      </c>
      <c r="E76" s="11" t="s">
        <v>3751</v>
      </c>
      <c r="F76" s="11" t="s">
        <v>105</v>
      </c>
      <c r="G76" s="24" t="s">
        <v>128</v>
      </c>
      <c r="H76" s="25" t="s">
        <v>217</v>
      </c>
      <c r="I76" s="25" t="s">
        <v>217</v>
      </c>
      <c r="J76" s="12"/>
      <c r="K76" s="24" t="s">
        <v>85</v>
      </c>
      <c r="L76" s="25" t="s">
        <v>25</v>
      </c>
      <c r="M76" s="25" t="s">
        <v>25</v>
      </c>
      <c r="N76" s="12"/>
      <c r="O76" s="24" t="s">
        <v>182</v>
      </c>
      <c r="P76" s="25" t="s">
        <v>110</v>
      </c>
      <c r="Q76" s="12"/>
      <c r="R76" s="12"/>
      <c r="S76" s="31" t="str">
        <f>"700,0"</f>
        <v>700,0</v>
      </c>
      <c r="T76" s="12" t="str">
        <f>"414,6800"</f>
        <v>414,6800</v>
      </c>
      <c r="U76" s="11"/>
    </row>
    <row r="77" spans="1:21">
      <c r="A77" s="12" t="s">
        <v>413</v>
      </c>
      <c r="B77" s="11" t="s">
        <v>271</v>
      </c>
      <c r="C77" s="11" t="s">
        <v>272</v>
      </c>
      <c r="D77" s="11" t="s">
        <v>273</v>
      </c>
      <c r="E77" s="11" t="s">
        <v>3751</v>
      </c>
      <c r="F77" s="11" t="s">
        <v>3509</v>
      </c>
      <c r="G77" s="25" t="s">
        <v>133</v>
      </c>
      <c r="H77" s="25" t="s">
        <v>133</v>
      </c>
      <c r="I77" s="24" t="s">
        <v>133</v>
      </c>
      <c r="J77" s="12"/>
      <c r="K77" s="24" t="s">
        <v>36</v>
      </c>
      <c r="L77" s="24" t="s">
        <v>187</v>
      </c>
      <c r="M77" s="24" t="s">
        <v>226</v>
      </c>
      <c r="N77" s="12"/>
      <c r="O77" s="24" t="s">
        <v>134</v>
      </c>
      <c r="P77" s="25" t="s">
        <v>205</v>
      </c>
      <c r="Q77" s="25" t="s">
        <v>205</v>
      </c>
      <c r="R77" s="12"/>
      <c r="S77" s="31" t="str">
        <f>"662,5"</f>
        <v>662,5</v>
      </c>
      <c r="T77" s="12" t="str">
        <f>"392,5975"</f>
        <v>392,5975</v>
      </c>
      <c r="U77" s="11"/>
    </row>
    <row r="78" spans="1:21">
      <c r="A78" s="12" t="s">
        <v>408</v>
      </c>
      <c r="B78" s="11" t="s">
        <v>274</v>
      </c>
      <c r="C78" s="11" t="s">
        <v>275</v>
      </c>
      <c r="D78" s="11" t="s">
        <v>276</v>
      </c>
      <c r="E78" s="11" t="s">
        <v>3753</v>
      </c>
      <c r="F78" s="11" t="s">
        <v>3544</v>
      </c>
      <c r="G78" s="24" t="s">
        <v>114</v>
      </c>
      <c r="H78" s="24" t="s">
        <v>217</v>
      </c>
      <c r="I78" s="25" t="s">
        <v>161</v>
      </c>
      <c r="J78" s="12"/>
      <c r="K78" s="24" t="s">
        <v>28</v>
      </c>
      <c r="L78" s="24" t="s">
        <v>29</v>
      </c>
      <c r="M78" s="25" t="s">
        <v>180</v>
      </c>
      <c r="N78" s="12"/>
      <c r="O78" s="24" t="s">
        <v>134</v>
      </c>
      <c r="P78" s="25" t="s">
        <v>120</v>
      </c>
      <c r="Q78" s="25" t="s">
        <v>120</v>
      </c>
      <c r="R78" s="12"/>
      <c r="S78" s="31" t="str">
        <f>"745,0"</f>
        <v>745,0</v>
      </c>
      <c r="T78" s="12" t="str">
        <f>"482,4817"</f>
        <v>482,4817</v>
      </c>
      <c r="U78" s="11" t="s">
        <v>277</v>
      </c>
    </row>
    <row r="79" spans="1:21">
      <c r="A79" s="14" t="s">
        <v>408</v>
      </c>
      <c r="B79" s="13" t="s">
        <v>278</v>
      </c>
      <c r="C79" s="13" t="s">
        <v>279</v>
      </c>
      <c r="D79" s="13" t="s">
        <v>270</v>
      </c>
      <c r="E79" s="13" t="s">
        <v>3756</v>
      </c>
      <c r="F79" s="13" t="s">
        <v>3520</v>
      </c>
      <c r="G79" s="27" t="s">
        <v>87</v>
      </c>
      <c r="H79" s="26" t="s">
        <v>87</v>
      </c>
      <c r="I79" s="26" t="s">
        <v>154</v>
      </c>
      <c r="J79" s="14"/>
      <c r="K79" s="26" t="s">
        <v>35</v>
      </c>
      <c r="L79" s="26" t="s">
        <v>36</v>
      </c>
      <c r="M79" s="27" t="s">
        <v>37</v>
      </c>
      <c r="N79" s="14"/>
      <c r="O79" s="26" t="s">
        <v>133</v>
      </c>
      <c r="P79" s="27" t="s">
        <v>134</v>
      </c>
      <c r="Q79" s="27" t="s">
        <v>205</v>
      </c>
      <c r="R79" s="14"/>
      <c r="S79" s="32" t="str">
        <f>"645,0"</f>
        <v>645,0</v>
      </c>
      <c r="T79" s="14" t="str">
        <f>"495,5811"</f>
        <v>495,5811</v>
      </c>
      <c r="U79" s="13"/>
    </row>
    <row r="80" spans="1:21">
      <c r="B80" s="5" t="s">
        <v>409</v>
      </c>
    </row>
    <row r="81" spans="1:21" ht="16">
      <c r="A81" s="57" t="s">
        <v>280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</row>
    <row r="82" spans="1:21">
      <c r="A82" s="10" t="s">
        <v>408</v>
      </c>
      <c r="B82" s="9" t="s">
        <v>281</v>
      </c>
      <c r="C82" s="9" t="s">
        <v>282</v>
      </c>
      <c r="D82" s="9" t="s">
        <v>283</v>
      </c>
      <c r="E82" s="9" t="s">
        <v>3751</v>
      </c>
      <c r="F82" s="9" t="s">
        <v>3616</v>
      </c>
      <c r="G82" s="22" t="s">
        <v>221</v>
      </c>
      <c r="H82" s="23" t="s">
        <v>284</v>
      </c>
      <c r="I82" s="23" t="s">
        <v>263</v>
      </c>
      <c r="J82" s="10"/>
      <c r="K82" s="23" t="s">
        <v>40</v>
      </c>
      <c r="L82" s="23" t="s">
        <v>71</v>
      </c>
      <c r="M82" s="23" t="s">
        <v>67</v>
      </c>
      <c r="N82" s="10"/>
      <c r="O82" s="22" t="s">
        <v>160</v>
      </c>
      <c r="P82" s="23" t="s">
        <v>160</v>
      </c>
      <c r="Q82" s="23" t="s">
        <v>161</v>
      </c>
      <c r="R82" s="10"/>
      <c r="S82" s="30" t="str">
        <f>"900,0"</f>
        <v>900,0</v>
      </c>
      <c r="T82" s="10" t="str">
        <f>"514,8000"</f>
        <v>514,8000</v>
      </c>
      <c r="U82" s="9"/>
    </row>
    <row r="83" spans="1:21">
      <c r="A83" s="12" t="s">
        <v>410</v>
      </c>
      <c r="B83" s="11" t="s">
        <v>285</v>
      </c>
      <c r="C83" s="11" t="s">
        <v>286</v>
      </c>
      <c r="D83" s="11" t="s">
        <v>287</v>
      </c>
      <c r="E83" s="9" t="s">
        <v>3751</v>
      </c>
      <c r="F83" s="11" t="s">
        <v>3620</v>
      </c>
      <c r="G83" s="25" t="s">
        <v>211</v>
      </c>
      <c r="H83" s="24" t="s">
        <v>211</v>
      </c>
      <c r="I83" s="24" t="s">
        <v>221</v>
      </c>
      <c r="J83" s="12"/>
      <c r="K83" s="24" t="s">
        <v>288</v>
      </c>
      <c r="L83" s="24" t="s">
        <v>289</v>
      </c>
      <c r="M83" s="25" t="s">
        <v>86</v>
      </c>
      <c r="N83" s="12"/>
      <c r="O83" s="24" t="s">
        <v>128</v>
      </c>
      <c r="P83" s="24" t="s">
        <v>160</v>
      </c>
      <c r="Q83" s="25" t="s">
        <v>161</v>
      </c>
      <c r="R83" s="12"/>
      <c r="S83" s="31" t="str">
        <f>"877,5"</f>
        <v>877,5</v>
      </c>
      <c r="T83" s="12" t="str">
        <f>"501,0525"</f>
        <v>501,0525</v>
      </c>
      <c r="U83" s="11" t="s">
        <v>290</v>
      </c>
    </row>
    <row r="84" spans="1:21">
      <c r="A84" s="12" t="s">
        <v>411</v>
      </c>
      <c r="B84" s="11" t="s">
        <v>291</v>
      </c>
      <c r="C84" s="11" t="s">
        <v>292</v>
      </c>
      <c r="D84" s="11" t="s">
        <v>293</v>
      </c>
      <c r="E84" s="9" t="s">
        <v>3751</v>
      </c>
      <c r="F84" s="11" t="s">
        <v>3526</v>
      </c>
      <c r="G84" s="24" t="s">
        <v>217</v>
      </c>
      <c r="H84" s="24" t="s">
        <v>212</v>
      </c>
      <c r="I84" s="25" t="s">
        <v>221</v>
      </c>
      <c r="J84" s="12"/>
      <c r="K84" s="24" t="s">
        <v>71</v>
      </c>
      <c r="L84" s="24" t="s">
        <v>97</v>
      </c>
      <c r="M84" s="25" t="s">
        <v>86</v>
      </c>
      <c r="N84" s="12"/>
      <c r="O84" s="24" t="s">
        <v>217</v>
      </c>
      <c r="P84" s="25" t="s">
        <v>162</v>
      </c>
      <c r="Q84" s="25" t="s">
        <v>162</v>
      </c>
      <c r="R84" s="12"/>
      <c r="S84" s="31" t="str">
        <f>"860,0"</f>
        <v>860,0</v>
      </c>
      <c r="T84" s="12" t="str">
        <f>"498,1980"</f>
        <v>498,1980</v>
      </c>
      <c r="U84" s="11"/>
    </row>
    <row r="85" spans="1:21">
      <c r="A85" s="12" t="s">
        <v>413</v>
      </c>
      <c r="B85" s="11" t="s">
        <v>294</v>
      </c>
      <c r="C85" s="11" t="s">
        <v>295</v>
      </c>
      <c r="D85" s="11" t="s">
        <v>296</v>
      </c>
      <c r="E85" s="9" t="s">
        <v>3751</v>
      </c>
      <c r="F85" s="11" t="s">
        <v>3512</v>
      </c>
      <c r="G85" s="24" t="s">
        <v>121</v>
      </c>
      <c r="H85" s="24" t="s">
        <v>112</v>
      </c>
      <c r="I85" s="25" t="s">
        <v>217</v>
      </c>
      <c r="J85" s="12"/>
      <c r="K85" s="24" t="s">
        <v>66</v>
      </c>
      <c r="L85" s="24" t="s">
        <v>67</v>
      </c>
      <c r="M85" s="25" t="s">
        <v>68</v>
      </c>
      <c r="N85" s="12"/>
      <c r="O85" s="25" t="s">
        <v>211</v>
      </c>
      <c r="P85" s="24" t="s">
        <v>221</v>
      </c>
      <c r="Q85" s="25" t="s">
        <v>297</v>
      </c>
      <c r="R85" s="12"/>
      <c r="S85" s="31" t="str">
        <f>"840,0"</f>
        <v>840,0</v>
      </c>
      <c r="T85" s="12" t="str">
        <f>"481,9920"</f>
        <v>481,9920</v>
      </c>
      <c r="U85" s="11" t="s">
        <v>298</v>
      </c>
    </row>
    <row r="86" spans="1:21">
      <c r="A86" s="12" t="s">
        <v>414</v>
      </c>
      <c r="B86" s="11" t="s">
        <v>299</v>
      </c>
      <c r="C86" s="11" t="s">
        <v>300</v>
      </c>
      <c r="D86" s="11" t="s">
        <v>301</v>
      </c>
      <c r="E86" s="9" t="s">
        <v>3751</v>
      </c>
      <c r="F86" s="11" t="s">
        <v>3621</v>
      </c>
      <c r="G86" s="24" t="s">
        <v>128</v>
      </c>
      <c r="H86" s="24" t="s">
        <v>211</v>
      </c>
      <c r="I86" s="25" t="s">
        <v>162</v>
      </c>
      <c r="J86" s="12"/>
      <c r="K86" s="25" t="s">
        <v>70</v>
      </c>
      <c r="L86" s="24" t="s">
        <v>70</v>
      </c>
      <c r="M86" s="25" t="s">
        <v>66</v>
      </c>
      <c r="N86" s="12"/>
      <c r="O86" s="24" t="s">
        <v>211</v>
      </c>
      <c r="P86" s="25" t="s">
        <v>212</v>
      </c>
      <c r="Q86" s="25" t="s">
        <v>212</v>
      </c>
      <c r="R86" s="12"/>
      <c r="S86" s="31" t="str">
        <f>"830,0"</f>
        <v>830,0</v>
      </c>
      <c r="T86" s="12" t="str">
        <f>"473,2660"</f>
        <v>473,2660</v>
      </c>
      <c r="U86" s="11"/>
    </row>
    <row r="87" spans="1:21">
      <c r="A87" s="12" t="s">
        <v>415</v>
      </c>
      <c r="B87" s="11" t="s">
        <v>302</v>
      </c>
      <c r="C87" s="11" t="s">
        <v>303</v>
      </c>
      <c r="D87" s="11" t="s">
        <v>304</v>
      </c>
      <c r="E87" s="9" t="s">
        <v>3751</v>
      </c>
      <c r="F87" s="11" t="s">
        <v>3622</v>
      </c>
      <c r="G87" s="24" t="s">
        <v>114</v>
      </c>
      <c r="H87" s="24" t="s">
        <v>128</v>
      </c>
      <c r="I87" s="24" t="s">
        <v>217</v>
      </c>
      <c r="J87" s="12"/>
      <c r="K87" s="24" t="s">
        <v>66</v>
      </c>
      <c r="L87" s="24" t="s">
        <v>71</v>
      </c>
      <c r="M87" s="24" t="s">
        <v>92</v>
      </c>
      <c r="N87" s="12"/>
      <c r="O87" s="25" t="s">
        <v>114</v>
      </c>
      <c r="P87" s="24" t="s">
        <v>128</v>
      </c>
      <c r="Q87" s="25" t="s">
        <v>211</v>
      </c>
      <c r="R87" s="12"/>
      <c r="S87" s="31" t="str">
        <f>"812,5"</f>
        <v>812,5</v>
      </c>
      <c r="T87" s="12" t="str">
        <f>"464,5062"</f>
        <v>464,5062</v>
      </c>
      <c r="U87" s="11" t="s">
        <v>305</v>
      </c>
    </row>
    <row r="88" spans="1:21">
      <c r="A88" s="12" t="s">
        <v>416</v>
      </c>
      <c r="B88" s="11" t="s">
        <v>306</v>
      </c>
      <c r="C88" s="11" t="s">
        <v>307</v>
      </c>
      <c r="D88" s="11" t="s">
        <v>308</v>
      </c>
      <c r="E88" s="9" t="s">
        <v>3751</v>
      </c>
      <c r="F88" s="11" t="s">
        <v>3599</v>
      </c>
      <c r="G88" s="24" t="s">
        <v>121</v>
      </c>
      <c r="H88" s="24" t="s">
        <v>128</v>
      </c>
      <c r="I88" s="25" t="s">
        <v>160</v>
      </c>
      <c r="J88" s="12"/>
      <c r="K88" s="24" t="s">
        <v>70</v>
      </c>
      <c r="L88" s="24" t="s">
        <v>71</v>
      </c>
      <c r="M88" s="25" t="s">
        <v>309</v>
      </c>
      <c r="N88" s="12"/>
      <c r="O88" s="24" t="s">
        <v>120</v>
      </c>
      <c r="P88" s="25" t="s">
        <v>121</v>
      </c>
      <c r="Q88" s="12"/>
      <c r="R88" s="12"/>
      <c r="S88" s="31" t="str">
        <f>"770,0"</f>
        <v>770,0</v>
      </c>
      <c r="T88" s="12" t="str">
        <f>"439,7470"</f>
        <v>439,7470</v>
      </c>
      <c r="U88" s="11" t="s">
        <v>310</v>
      </c>
    </row>
    <row r="89" spans="1:21">
      <c r="A89" s="12" t="s">
        <v>417</v>
      </c>
      <c r="B89" s="11" t="s">
        <v>311</v>
      </c>
      <c r="C89" s="11" t="s">
        <v>312</v>
      </c>
      <c r="D89" s="11" t="s">
        <v>313</v>
      </c>
      <c r="E89" s="9" t="s">
        <v>3751</v>
      </c>
      <c r="F89" s="11" t="s">
        <v>3564</v>
      </c>
      <c r="G89" s="24" t="s">
        <v>134</v>
      </c>
      <c r="H89" s="24" t="s">
        <v>120</v>
      </c>
      <c r="I89" s="24" t="s">
        <v>114</v>
      </c>
      <c r="J89" s="12"/>
      <c r="K89" s="24" t="s">
        <v>35</v>
      </c>
      <c r="L89" s="24" t="s">
        <v>46</v>
      </c>
      <c r="M89" s="25" t="s">
        <v>36</v>
      </c>
      <c r="N89" s="12"/>
      <c r="O89" s="24" t="s">
        <v>134</v>
      </c>
      <c r="P89" s="24" t="s">
        <v>120</v>
      </c>
      <c r="Q89" s="25" t="s">
        <v>121</v>
      </c>
      <c r="R89" s="12"/>
      <c r="S89" s="31" t="str">
        <f>"715,0"</f>
        <v>715,0</v>
      </c>
      <c r="T89" s="12" t="str">
        <f>"415,6295"</f>
        <v>415,6295</v>
      </c>
      <c r="U89" s="11" t="s">
        <v>314</v>
      </c>
    </row>
    <row r="90" spans="1:21">
      <c r="A90" s="12" t="s">
        <v>412</v>
      </c>
      <c r="B90" s="11" t="s">
        <v>3360</v>
      </c>
      <c r="C90" s="11" t="s">
        <v>315</v>
      </c>
      <c r="D90" s="11" t="s">
        <v>304</v>
      </c>
      <c r="E90" s="9" t="s">
        <v>3751</v>
      </c>
      <c r="F90" s="11" t="s">
        <v>316</v>
      </c>
      <c r="G90" s="25" t="s">
        <v>211</v>
      </c>
      <c r="H90" s="25" t="s">
        <v>211</v>
      </c>
      <c r="I90" s="25" t="s">
        <v>211</v>
      </c>
      <c r="J90" s="12"/>
      <c r="K90" s="12"/>
      <c r="L90" s="12"/>
      <c r="M90" s="12"/>
      <c r="N90" s="12"/>
      <c r="O90" s="25"/>
      <c r="P90" s="12"/>
      <c r="Q90" s="12"/>
      <c r="R90" s="12"/>
      <c r="S90" s="31">
        <v>0</v>
      </c>
      <c r="T90" s="12" t="str">
        <f>"0,0000"</f>
        <v>0,0000</v>
      </c>
      <c r="U90" s="11" t="s">
        <v>3329</v>
      </c>
    </row>
    <row r="91" spans="1:21">
      <c r="A91" s="12" t="s">
        <v>408</v>
      </c>
      <c r="B91" s="11" t="s">
        <v>291</v>
      </c>
      <c r="C91" s="11" t="s">
        <v>319</v>
      </c>
      <c r="D91" s="11" t="s">
        <v>293</v>
      </c>
      <c r="E91" s="11" t="s">
        <v>3753</v>
      </c>
      <c r="F91" s="11" t="s">
        <v>3526</v>
      </c>
      <c r="G91" s="24" t="s">
        <v>217</v>
      </c>
      <c r="H91" s="24" t="s">
        <v>212</v>
      </c>
      <c r="I91" s="25" t="s">
        <v>221</v>
      </c>
      <c r="J91" s="12"/>
      <c r="K91" s="24" t="s">
        <v>71</v>
      </c>
      <c r="L91" s="24" t="s">
        <v>97</v>
      </c>
      <c r="M91" s="25" t="s">
        <v>86</v>
      </c>
      <c r="N91" s="12"/>
      <c r="O91" s="24" t="s">
        <v>217</v>
      </c>
      <c r="P91" s="25" t="s">
        <v>162</v>
      </c>
      <c r="Q91" s="25" t="s">
        <v>162</v>
      </c>
      <c r="R91" s="12"/>
      <c r="S91" s="31" t="str">
        <f>"860,0"</f>
        <v>860,0</v>
      </c>
      <c r="T91" s="12" t="str">
        <f>"512,1475"</f>
        <v>512,1475</v>
      </c>
      <c r="U91" s="11"/>
    </row>
    <row r="92" spans="1:21">
      <c r="A92" s="12" t="s">
        <v>410</v>
      </c>
      <c r="B92" s="11" t="s">
        <v>299</v>
      </c>
      <c r="C92" s="11" t="s">
        <v>320</v>
      </c>
      <c r="D92" s="11" t="s">
        <v>301</v>
      </c>
      <c r="E92" s="11" t="s">
        <v>3753</v>
      </c>
      <c r="F92" s="11" t="s">
        <v>3621</v>
      </c>
      <c r="G92" s="24" t="s">
        <v>128</v>
      </c>
      <c r="H92" s="24" t="s">
        <v>211</v>
      </c>
      <c r="I92" s="25" t="s">
        <v>162</v>
      </c>
      <c r="J92" s="12"/>
      <c r="K92" s="25" t="s">
        <v>70</v>
      </c>
      <c r="L92" s="24" t="s">
        <v>70</v>
      </c>
      <c r="M92" s="25" t="s">
        <v>66</v>
      </c>
      <c r="N92" s="12"/>
      <c r="O92" s="24" t="s">
        <v>211</v>
      </c>
      <c r="P92" s="25" t="s">
        <v>212</v>
      </c>
      <c r="Q92" s="25" t="s">
        <v>212</v>
      </c>
      <c r="R92" s="12"/>
      <c r="S92" s="31" t="str">
        <f>"830,0"</f>
        <v>830,0</v>
      </c>
      <c r="T92" s="12" t="str">
        <f>"479,8917"</f>
        <v>479,8917</v>
      </c>
      <c r="U92" s="11"/>
    </row>
    <row r="93" spans="1:21">
      <c r="A93" s="12" t="s">
        <v>411</v>
      </c>
      <c r="B93" s="11" t="s">
        <v>302</v>
      </c>
      <c r="C93" s="11" t="s">
        <v>321</v>
      </c>
      <c r="D93" s="11" t="s">
        <v>304</v>
      </c>
      <c r="E93" s="11" t="s">
        <v>3753</v>
      </c>
      <c r="F93" s="11" t="s">
        <v>3622</v>
      </c>
      <c r="G93" s="24" t="s">
        <v>114</v>
      </c>
      <c r="H93" s="24" t="s">
        <v>128</v>
      </c>
      <c r="I93" s="24" t="s">
        <v>217</v>
      </c>
      <c r="J93" s="12"/>
      <c r="K93" s="24" t="s">
        <v>66</v>
      </c>
      <c r="L93" s="24" t="s">
        <v>71</v>
      </c>
      <c r="M93" s="24" t="s">
        <v>92</v>
      </c>
      <c r="N93" s="12"/>
      <c r="O93" s="25" t="s">
        <v>114</v>
      </c>
      <c r="P93" s="24" t="s">
        <v>128</v>
      </c>
      <c r="Q93" s="25" t="s">
        <v>211</v>
      </c>
      <c r="R93" s="12"/>
      <c r="S93" s="31" t="str">
        <f>"812,5"</f>
        <v>812,5</v>
      </c>
      <c r="T93" s="12" t="str">
        <f>"477,5124"</f>
        <v>477,5124</v>
      </c>
      <c r="U93" s="11" t="s">
        <v>305</v>
      </c>
    </row>
    <row r="94" spans="1:21">
      <c r="A94" s="12" t="s">
        <v>413</v>
      </c>
      <c r="B94" s="11" t="s">
        <v>322</v>
      </c>
      <c r="C94" s="11" t="s">
        <v>323</v>
      </c>
      <c r="D94" s="11" t="s">
        <v>324</v>
      </c>
      <c r="E94" s="11" t="s">
        <v>3753</v>
      </c>
      <c r="F94" s="11" t="s">
        <v>3537</v>
      </c>
      <c r="G94" s="24" t="s">
        <v>121</v>
      </c>
      <c r="H94" s="24" t="s">
        <v>128</v>
      </c>
      <c r="I94" s="12"/>
      <c r="J94" s="12"/>
      <c r="K94" s="24" t="s">
        <v>180</v>
      </c>
      <c r="L94" s="24" t="s">
        <v>92</v>
      </c>
      <c r="M94" s="24" t="s">
        <v>309</v>
      </c>
      <c r="N94" s="12"/>
      <c r="O94" s="24" t="s">
        <v>134</v>
      </c>
      <c r="P94" s="24" t="s">
        <v>119</v>
      </c>
      <c r="Q94" s="25" t="s">
        <v>120</v>
      </c>
      <c r="R94" s="12"/>
      <c r="S94" s="31" t="str">
        <f>"767,5"</f>
        <v>767,5</v>
      </c>
      <c r="T94" s="12" t="str">
        <f>"461,3224"</f>
        <v>461,3224</v>
      </c>
      <c r="U94" s="11"/>
    </row>
    <row r="95" spans="1:21">
      <c r="A95" s="14" t="s">
        <v>408</v>
      </c>
      <c r="B95" s="13" t="s">
        <v>325</v>
      </c>
      <c r="C95" s="13" t="s">
        <v>326</v>
      </c>
      <c r="D95" s="13" t="s">
        <v>327</v>
      </c>
      <c r="E95" s="13" t="s">
        <v>3756</v>
      </c>
      <c r="F95" s="13" t="s">
        <v>3623</v>
      </c>
      <c r="G95" s="26" t="s">
        <v>71</v>
      </c>
      <c r="H95" s="26" t="s">
        <v>97</v>
      </c>
      <c r="I95" s="27" t="s">
        <v>87</v>
      </c>
      <c r="J95" s="14"/>
      <c r="K95" s="26" t="s">
        <v>76</v>
      </c>
      <c r="L95" s="26" t="s">
        <v>132</v>
      </c>
      <c r="M95" s="14"/>
      <c r="N95" s="14"/>
      <c r="O95" s="26" t="s">
        <v>71</v>
      </c>
      <c r="P95" s="26" t="s">
        <v>97</v>
      </c>
      <c r="Q95" s="14"/>
      <c r="R95" s="14"/>
      <c r="S95" s="32" t="str">
        <f>"570,0"</f>
        <v>570,0</v>
      </c>
      <c r="T95" s="14" t="str">
        <f>"395,1127"</f>
        <v>395,1127</v>
      </c>
      <c r="U95" s="13" t="s">
        <v>3390</v>
      </c>
    </row>
    <row r="96" spans="1:21">
      <c r="B96" s="5" t="s">
        <v>409</v>
      </c>
    </row>
    <row r="97" spans="1:21" ht="16">
      <c r="A97" s="57" t="s">
        <v>328</v>
      </c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</row>
    <row r="98" spans="1:21">
      <c r="A98" s="10" t="s">
        <v>408</v>
      </c>
      <c r="B98" s="9" t="s">
        <v>329</v>
      </c>
      <c r="C98" s="9" t="s">
        <v>330</v>
      </c>
      <c r="D98" s="9" t="s">
        <v>331</v>
      </c>
      <c r="E98" s="9" t="s">
        <v>3754</v>
      </c>
      <c r="F98" s="9" t="s">
        <v>332</v>
      </c>
      <c r="G98" s="22" t="s">
        <v>217</v>
      </c>
      <c r="H98" s="23" t="s">
        <v>217</v>
      </c>
      <c r="I98" s="23" t="s">
        <v>212</v>
      </c>
      <c r="J98" s="10"/>
      <c r="K98" s="23" t="s">
        <v>71</v>
      </c>
      <c r="L98" s="22" t="s">
        <v>309</v>
      </c>
      <c r="M98" s="23" t="s">
        <v>309</v>
      </c>
      <c r="N98" s="10"/>
      <c r="O98" s="23" t="s">
        <v>211</v>
      </c>
      <c r="P98" s="23" t="s">
        <v>221</v>
      </c>
      <c r="Q98" s="22" t="s">
        <v>333</v>
      </c>
      <c r="R98" s="10"/>
      <c r="S98" s="30" t="str">
        <f>"877,5"</f>
        <v>877,5</v>
      </c>
      <c r="T98" s="10" t="str">
        <f>"498,9465"</f>
        <v>498,9465</v>
      </c>
      <c r="U98" s="9"/>
    </row>
    <row r="99" spans="1:21">
      <c r="A99" s="12" t="s">
        <v>410</v>
      </c>
      <c r="B99" s="11" t="s">
        <v>334</v>
      </c>
      <c r="C99" s="11" t="s">
        <v>335</v>
      </c>
      <c r="D99" s="11" t="s">
        <v>336</v>
      </c>
      <c r="E99" s="11" t="s">
        <v>3754</v>
      </c>
      <c r="F99" s="11" t="s">
        <v>75</v>
      </c>
      <c r="G99" s="24" t="s">
        <v>134</v>
      </c>
      <c r="H99" s="24" t="s">
        <v>120</v>
      </c>
      <c r="I99" s="24" t="s">
        <v>225</v>
      </c>
      <c r="J99" s="24" t="s">
        <v>337</v>
      </c>
      <c r="K99" s="24" t="s">
        <v>35</v>
      </c>
      <c r="L99" s="24" t="s">
        <v>37</v>
      </c>
      <c r="M99" s="25" t="s">
        <v>113</v>
      </c>
      <c r="N99" s="12"/>
      <c r="O99" s="24" t="s">
        <v>119</v>
      </c>
      <c r="P99" s="24" t="s">
        <v>110</v>
      </c>
      <c r="Q99" s="24" t="s">
        <v>111</v>
      </c>
      <c r="R99" s="12"/>
      <c r="S99" s="31" t="str">
        <f>"737,5"</f>
        <v>737,5</v>
      </c>
      <c r="T99" s="12" t="str">
        <f>"416,9825"</f>
        <v>416,9825</v>
      </c>
      <c r="U99" s="11"/>
    </row>
    <row r="100" spans="1:21">
      <c r="A100" s="12" t="s">
        <v>412</v>
      </c>
      <c r="B100" s="11" t="s">
        <v>338</v>
      </c>
      <c r="C100" s="11" t="s">
        <v>339</v>
      </c>
      <c r="D100" s="11" t="s">
        <v>340</v>
      </c>
      <c r="E100" s="11" t="s">
        <v>3751</v>
      </c>
      <c r="F100" s="11" t="s">
        <v>341</v>
      </c>
      <c r="G100" s="25" t="s">
        <v>212</v>
      </c>
      <c r="H100" s="25" t="s">
        <v>212</v>
      </c>
      <c r="I100" s="25" t="s">
        <v>221</v>
      </c>
      <c r="J100" s="12"/>
      <c r="K100" s="25"/>
      <c r="L100" s="12"/>
      <c r="M100" s="12"/>
      <c r="N100" s="12"/>
      <c r="O100" s="25"/>
      <c r="P100" s="12"/>
      <c r="Q100" s="12"/>
      <c r="R100" s="12"/>
      <c r="S100" s="31">
        <v>0</v>
      </c>
      <c r="T100" s="12" t="str">
        <f>"0,0000"</f>
        <v>0,0000</v>
      </c>
      <c r="U100" s="11" t="s">
        <v>342</v>
      </c>
    </row>
    <row r="101" spans="1:21">
      <c r="A101" s="12" t="s">
        <v>412</v>
      </c>
      <c r="B101" s="11" t="s">
        <v>338</v>
      </c>
      <c r="C101" s="11" t="s">
        <v>339</v>
      </c>
      <c r="D101" s="11" t="s">
        <v>340</v>
      </c>
      <c r="E101" s="11" t="s">
        <v>3751</v>
      </c>
      <c r="F101" s="11" t="s">
        <v>341</v>
      </c>
      <c r="G101" s="25" t="s">
        <v>212</v>
      </c>
      <c r="H101" s="25" t="s">
        <v>212</v>
      </c>
      <c r="I101" s="25" t="s">
        <v>221</v>
      </c>
      <c r="J101" s="12"/>
      <c r="K101" s="25"/>
      <c r="L101" s="12"/>
      <c r="M101" s="12"/>
      <c r="N101" s="12"/>
      <c r="O101" s="25"/>
      <c r="P101" s="12"/>
      <c r="Q101" s="12"/>
      <c r="R101" s="12"/>
      <c r="S101" s="31">
        <v>0</v>
      </c>
      <c r="T101" s="12" t="str">
        <f>"0,0000"</f>
        <v>0,0000</v>
      </c>
      <c r="U101" s="11" t="s">
        <v>342</v>
      </c>
    </row>
    <row r="102" spans="1:21">
      <c r="A102" s="14" t="s">
        <v>408</v>
      </c>
      <c r="B102" s="13" t="s">
        <v>343</v>
      </c>
      <c r="C102" s="13" t="s">
        <v>344</v>
      </c>
      <c r="D102" s="13" t="s">
        <v>345</v>
      </c>
      <c r="E102" s="13" t="s">
        <v>3753</v>
      </c>
      <c r="F102" s="13" t="s">
        <v>3580</v>
      </c>
      <c r="G102" s="26" t="s">
        <v>134</v>
      </c>
      <c r="H102" s="26" t="s">
        <v>182</v>
      </c>
      <c r="I102" s="27" t="s">
        <v>110</v>
      </c>
      <c r="J102" s="14"/>
      <c r="K102" s="26" t="s">
        <v>37</v>
      </c>
      <c r="L102" s="26" t="s">
        <v>40</v>
      </c>
      <c r="M102" s="26" t="s">
        <v>29</v>
      </c>
      <c r="N102" s="14"/>
      <c r="O102" s="26" t="s">
        <v>86</v>
      </c>
      <c r="P102" s="26" t="s">
        <v>134</v>
      </c>
      <c r="Q102" s="26" t="s">
        <v>110</v>
      </c>
      <c r="R102" s="14"/>
      <c r="S102" s="32" t="str">
        <f>"725,0"</f>
        <v>725,0</v>
      </c>
      <c r="T102" s="14" t="str">
        <f>"453,0916"</f>
        <v>453,0916</v>
      </c>
      <c r="U102" s="13" t="s">
        <v>188</v>
      </c>
    </row>
    <row r="103" spans="1:21">
      <c r="B103" s="5" t="s">
        <v>409</v>
      </c>
    </row>
    <row r="104" spans="1:21" ht="16">
      <c r="A104" s="57" t="s">
        <v>346</v>
      </c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</row>
    <row r="105" spans="1:21">
      <c r="A105" s="10" t="s">
        <v>408</v>
      </c>
      <c r="B105" s="9" t="s">
        <v>347</v>
      </c>
      <c r="C105" s="9" t="s">
        <v>348</v>
      </c>
      <c r="D105" s="9" t="s">
        <v>349</v>
      </c>
      <c r="E105" s="9" t="s">
        <v>3752</v>
      </c>
      <c r="F105" s="9" t="s">
        <v>3624</v>
      </c>
      <c r="G105" s="23" t="s">
        <v>221</v>
      </c>
      <c r="H105" s="23" t="s">
        <v>284</v>
      </c>
      <c r="I105" s="22" t="s">
        <v>350</v>
      </c>
      <c r="J105" s="10"/>
      <c r="K105" s="23" t="s">
        <v>36</v>
      </c>
      <c r="L105" s="23" t="s">
        <v>37</v>
      </c>
      <c r="M105" s="23" t="s">
        <v>40</v>
      </c>
      <c r="N105" s="10"/>
      <c r="O105" s="23" t="s">
        <v>119</v>
      </c>
      <c r="P105" s="23" t="s">
        <v>121</v>
      </c>
      <c r="Q105" s="23" t="s">
        <v>128</v>
      </c>
      <c r="R105" s="10"/>
      <c r="S105" s="30" t="str">
        <f>"835,0"</f>
        <v>835,0</v>
      </c>
      <c r="T105" s="10" t="str">
        <f>"464,5940"</f>
        <v>464,5940</v>
      </c>
      <c r="U105" s="9" t="s">
        <v>351</v>
      </c>
    </row>
    <row r="106" spans="1:21">
      <c r="A106" s="12" t="s">
        <v>412</v>
      </c>
      <c r="B106" s="11" t="s">
        <v>352</v>
      </c>
      <c r="C106" s="11" t="s">
        <v>353</v>
      </c>
      <c r="D106" s="11" t="s">
        <v>354</v>
      </c>
      <c r="E106" s="11" t="s">
        <v>3754</v>
      </c>
      <c r="F106" s="11" t="s">
        <v>75</v>
      </c>
      <c r="G106" s="25" t="s">
        <v>97</v>
      </c>
      <c r="H106" s="12"/>
      <c r="I106" s="12"/>
      <c r="J106" s="12"/>
      <c r="K106" s="25"/>
      <c r="L106" s="12"/>
      <c r="M106" s="12"/>
      <c r="N106" s="12"/>
      <c r="O106" s="25"/>
      <c r="P106" s="12"/>
      <c r="Q106" s="12"/>
      <c r="R106" s="12"/>
      <c r="S106" s="31">
        <v>0</v>
      </c>
      <c r="T106" s="12" t="str">
        <f>"0,0000"</f>
        <v>0,0000</v>
      </c>
      <c r="U106" s="11"/>
    </row>
    <row r="107" spans="1:21">
      <c r="A107" s="12" t="s">
        <v>408</v>
      </c>
      <c r="B107" s="11" t="s">
        <v>347</v>
      </c>
      <c r="C107" s="11" t="s">
        <v>355</v>
      </c>
      <c r="D107" s="11" t="s">
        <v>349</v>
      </c>
      <c r="E107" s="11" t="s">
        <v>3751</v>
      </c>
      <c r="F107" s="11" t="s">
        <v>3624</v>
      </c>
      <c r="G107" s="24" t="s">
        <v>221</v>
      </c>
      <c r="H107" s="24" t="s">
        <v>284</v>
      </c>
      <c r="I107" s="25" t="s">
        <v>350</v>
      </c>
      <c r="J107" s="12"/>
      <c r="K107" s="24" t="s">
        <v>36</v>
      </c>
      <c r="L107" s="24" t="s">
        <v>37</v>
      </c>
      <c r="M107" s="24" t="s">
        <v>40</v>
      </c>
      <c r="N107" s="12"/>
      <c r="O107" s="24" t="s">
        <v>119</v>
      </c>
      <c r="P107" s="24" t="s">
        <v>121</v>
      </c>
      <c r="Q107" s="24" t="s">
        <v>128</v>
      </c>
      <c r="R107" s="12"/>
      <c r="S107" s="31" t="str">
        <f>"835,0"</f>
        <v>835,0</v>
      </c>
      <c r="T107" s="12" t="str">
        <f>"464,5940"</f>
        <v>464,5940</v>
      </c>
      <c r="U107" s="11" t="s">
        <v>351</v>
      </c>
    </row>
    <row r="108" spans="1:21">
      <c r="A108" s="12" t="s">
        <v>410</v>
      </c>
      <c r="B108" s="11" t="s">
        <v>356</v>
      </c>
      <c r="C108" s="11" t="s">
        <v>357</v>
      </c>
      <c r="D108" s="11" t="s">
        <v>358</v>
      </c>
      <c r="E108" s="11" t="s">
        <v>3751</v>
      </c>
      <c r="F108" s="11" t="s">
        <v>3572</v>
      </c>
      <c r="G108" s="24" t="s">
        <v>133</v>
      </c>
      <c r="H108" s="24" t="s">
        <v>119</v>
      </c>
      <c r="I108" s="24" t="s">
        <v>120</v>
      </c>
      <c r="J108" s="12"/>
      <c r="K108" s="24" t="s">
        <v>36</v>
      </c>
      <c r="L108" s="24" t="s">
        <v>37</v>
      </c>
      <c r="M108" s="25" t="s">
        <v>40</v>
      </c>
      <c r="N108" s="12"/>
      <c r="O108" s="24" t="s">
        <v>121</v>
      </c>
      <c r="P108" s="24" t="s">
        <v>128</v>
      </c>
      <c r="Q108" s="24" t="s">
        <v>217</v>
      </c>
      <c r="R108" s="12"/>
      <c r="S108" s="31" t="str">
        <f>"750,0"</f>
        <v>750,0</v>
      </c>
      <c r="T108" s="12" t="str">
        <f>"418,9500"</f>
        <v>418,9500</v>
      </c>
      <c r="U108" s="11" t="s">
        <v>359</v>
      </c>
    </row>
    <row r="109" spans="1:21">
      <c r="A109" s="12" t="s">
        <v>412</v>
      </c>
      <c r="B109" s="11" t="s">
        <v>360</v>
      </c>
      <c r="C109" s="11" t="s">
        <v>361</v>
      </c>
      <c r="D109" s="11" t="s">
        <v>362</v>
      </c>
      <c r="E109" s="11" t="s">
        <v>3751</v>
      </c>
      <c r="F109" s="11" t="s">
        <v>332</v>
      </c>
      <c r="G109" s="25" t="s">
        <v>297</v>
      </c>
      <c r="H109" s="25" t="s">
        <v>297</v>
      </c>
      <c r="I109" s="25" t="s">
        <v>297</v>
      </c>
      <c r="J109" s="12"/>
      <c r="K109" s="25"/>
      <c r="L109" s="12"/>
      <c r="M109" s="12"/>
      <c r="N109" s="12"/>
      <c r="O109" s="25"/>
      <c r="P109" s="12"/>
      <c r="Q109" s="12"/>
      <c r="R109" s="12"/>
      <c r="S109" s="31">
        <v>0</v>
      </c>
      <c r="T109" s="12" t="str">
        <f>"0,0000"</f>
        <v>0,0000</v>
      </c>
      <c r="U109" s="11" t="s">
        <v>363</v>
      </c>
    </row>
    <row r="110" spans="1:21">
      <c r="A110" s="14" t="s">
        <v>408</v>
      </c>
      <c r="B110" s="13" t="s">
        <v>356</v>
      </c>
      <c r="C110" s="13" t="s">
        <v>364</v>
      </c>
      <c r="D110" s="13" t="s">
        <v>358</v>
      </c>
      <c r="E110" s="13" t="s">
        <v>3753</v>
      </c>
      <c r="F110" s="13" t="s">
        <v>3572</v>
      </c>
      <c r="G110" s="26" t="s">
        <v>133</v>
      </c>
      <c r="H110" s="26" t="s">
        <v>119</v>
      </c>
      <c r="I110" s="26" t="s">
        <v>120</v>
      </c>
      <c r="J110" s="14"/>
      <c r="K110" s="26" t="s">
        <v>36</v>
      </c>
      <c r="L110" s="26" t="s">
        <v>37</v>
      </c>
      <c r="M110" s="27" t="s">
        <v>40</v>
      </c>
      <c r="N110" s="14"/>
      <c r="O110" s="26" t="s">
        <v>121</v>
      </c>
      <c r="P110" s="26" t="s">
        <v>128</v>
      </c>
      <c r="Q110" s="26" t="s">
        <v>217</v>
      </c>
      <c r="R110" s="14"/>
      <c r="S110" s="32" t="str">
        <f>"750,0"</f>
        <v>750,0</v>
      </c>
      <c r="T110" s="14" t="str">
        <f>"424,8153"</f>
        <v>424,8153</v>
      </c>
      <c r="U110" s="13" t="s">
        <v>359</v>
      </c>
    </row>
    <row r="111" spans="1:21">
      <c r="B111" s="5" t="s">
        <v>409</v>
      </c>
    </row>
    <row r="112" spans="1:21">
      <c r="B112" s="5" t="s">
        <v>409</v>
      </c>
    </row>
    <row r="113" spans="2:6">
      <c r="B113" s="5" t="s">
        <v>409</v>
      </c>
    </row>
    <row r="114" spans="2:6" ht="18">
      <c r="B114" s="15" t="s">
        <v>365</v>
      </c>
      <c r="C114" s="15"/>
      <c r="F114" s="3"/>
    </row>
    <row r="115" spans="2:6" ht="16">
      <c r="B115" s="16" t="s">
        <v>366</v>
      </c>
      <c r="C115" s="16"/>
      <c r="F115" s="3"/>
    </row>
    <row r="116" spans="2:6" ht="14">
      <c r="B116" s="17"/>
      <c r="C116" s="18" t="s">
        <v>367</v>
      </c>
      <c r="F116" s="3"/>
    </row>
    <row r="117" spans="2:6" ht="14">
      <c r="B117" s="19" t="s">
        <v>368</v>
      </c>
      <c r="C117" s="19" t="s">
        <v>369</v>
      </c>
      <c r="D117" s="19" t="s">
        <v>370</v>
      </c>
      <c r="E117" s="19" t="s">
        <v>371</v>
      </c>
      <c r="F117" s="19" t="s">
        <v>372</v>
      </c>
    </row>
    <row r="118" spans="2:6">
      <c r="B118" s="5" t="s">
        <v>63</v>
      </c>
      <c r="C118" s="5" t="s">
        <v>367</v>
      </c>
      <c r="D118" s="6" t="s">
        <v>373</v>
      </c>
      <c r="E118" s="6" t="s">
        <v>374</v>
      </c>
      <c r="F118" s="6" t="s">
        <v>375</v>
      </c>
    </row>
    <row r="119" spans="2:6">
      <c r="B119" s="5" t="s">
        <v>32</v>
      </c>
      <c r="C119" s="5" t="s">
        <v>367</v>
      </c>
      <c r="D119" s="6" t="s">
        <v>376</v>
      </c>
      <c r="E119" s="6" t="s">
        <v>377</v>
      </c>
      <c r="F119" s="6" t="s">
        <v>378</v>
      </c>
    </row>
    <row r="120" spans="2:6">
      <c r="B120" s="5" t="s">
        <v>56</v>
      </c>
      <c r="C120" s="5" t="s">
        <v>367</v>
      </c>
      <c r="D120" s="6" t="s">
        <v>379</v>
      </c>
      <c r="E120" s="6" t="s">
        <v>380</v>
      </c>
      <c r="F120" s="6" t="s">
        <v>381</v>
      </c>
    </row>
    <row r="122" spans="2:6" ht="16">
      <c r="B122" s="16" t="s">
        <v>385</v>
      </c>
      <c r="C122" s="16"/>
    </row>
    <row r="123" spans="2:6" ht="14">
      <c r="B123" s="17"/>
      <c r="C123" s="18" t="s">
        <v>367</v>
      </c>
    </row>
    <row r="124" spans="2:6" ht="14">
      <c r="B124" s="19" t="s">
        <v>368</v>
      </c>
      <c r="C124" s="19" t="s">
        <v>369</v>
      </c>
      <c r="D124" s="19" t="s">
        <v>370</v>
      </c>
      <c r="E124" s="19" t="s">
        <v>371</v>
      </c>
      <c r="F124" s="19" t="s">
        <v>372</v>
      </c>
    </row>
    <row r="125" spans="2:6">
      <c r="B125" s="5" t="s">
        <v>259</v>
      </c>
      <c r="C125" s="5" t="s">
        <v>367</v>
      </c>
      <c r="D125" s="6" t="s">
        <v>391</v>
      </c>
      <c r="E125" s="6" t="s">
        <v>392</v>
      </c>
      <c r="F125" s="6" t="s">
        <v>393</v>
      </c>
    </row>
    <row r="126" spans="2:6">
      <c r="B126" s="5" t="s">
        <v>156</v>
      </c>
      <c r="C126" s="5" t="s">
        <v>367</v>
      </c>
      <c r="D126" s="6" t="s">
        <v>394</v>
      </c>
      <c r="E126" s="6" t="s">
        <v>395</v>
      </c>
      <c r="F126" s="6" t="s">
        <v>396</v>
      </c>
    </row>
    <row r="127" spans="2:6">
      <c r="B127" s="5" t="s">
        <v>281</v>
      </c>
      <c r="C127" s="5" t="s">
        <v>367</v>
      </c>
      <c r="D127" s="6" t="s">
        <v>397</v>
      </c>
      <c r="E127" s="6" t="s">
        <v>398</v>
      </c>
      <c r="F127" s="6" t="s">
        <v>399</v>
      </c>
    </row>
    <row r="129" spans="2:6" ht="14">
      <c r="B129" s="17"/>
      <c r="C129" s="18" t="s">
        <v>382</v>
      </c>
    </row>
    <row r="130" spans="2:6" ht="14">
      <c r="B130" s="19" t="s">
        <v>368</v>
      </c>
      <c r="C130" s="19" t="s">
        <v>369</v>
      </c>
      <c r="D130" s="19" t="s">
        <v>370</v>
      </c>
      <c r="E130" s="19" t="s">
        <v>371</v>
      </c>
      <c r="F130" s="19" t="s">
        <v>372</v>
      </c>
    </row>
    <row r="131" spans="2:6">
      <c r="B131" s="5" t="s">
        <v>193</v>
      </c>
      <c r="C131" s="5" t="s">
        <v>400</v>
      </c>
      <c r="D131" s="6" t="s">
        <v>394</v>
      </c>
      <c r="E131" s="6" t="s">
        <v>401</v>
      </c>
      <c r="F131" s="6" t="s">
        <v>402</v>
      </c>
    </row>
    <row r="132" spans="2:6">
      <c r="B132" s="5" t="s">
        <v>255</v>
      </c>
      <c r="C132" s="5" t="s">
        <v>403</v>
      </c>
      <c r="D132" s="6" t="s">
        <v>390</v>
      </c>
      <c r="E132" s="6" t="s">
        <v>404</v>
      </c>
      <c r="F132" s="6" t="s">
        <v>405</v>
      </c>
    </row>
    <row r="133" spans="2:6">
      <c r="B133" s="5" t="s">
        <v>291</v>
      </c>
      <c r="C133" s="5" t="s">
        <v>383</v>
      </c>
      <c r="D133" s="6" t="s">
        <v>397</v>
      </c>
      <c r="E133" s="6" t="s">
        <v>406</v>
      </c>
      <c r="F133" s="6" t="s">
        <v>407</v>
      </c>
    </row>
    <row r="134" spans="2:6">
      <c r="B134" s="5" t="s">
        <v>409</v>
      </c>
    </row>
  </sheetData>
  <mergeCells count="28">
    <mergeCell ref="E3:E4"/>
    <mergeCell ref="S3:S4"/>
    <mergeCell ref="T3:T4"/>
    <mergeCell ref="A1:U2"/>
    <mergeCell ref="G3:J3"/>
    <mergeCell ref="K3:N3"/>
    <mergeCell ref="O3:R3"/>
    <mergeCell ref="A3:A4"/>
    <mergeCell ref="C3:C4"/>
    <mergeCell ref="D3:D4"/>
    <mergeCell ref="U3:U4"/>
    <mergeCell ref="F3:F4"/>
    <mergeCell ref="B3:B4"/>
    <mergeCell ref="A5:R5"/>
    <mergeCell ref="A8:R8"/>
    <mergeCell ref="A11:R11"/>
    <mergeCell ref="A16:R16"/>
    <mergeCell ref="A19:R19"/>
    <mergeCell ref="A22:R22"/>
    <mergeCell ref="A25:R25"/>
    <mergeCell ref="A29:R29"/>
    <mergeCell ref="A34:R34"/>
    <mergeCell ref="A45:R45"/>
    <mergeCell ref="A57:R57"/>
    <mergeCell ref="A73:R73"/>
    <mergeCell ref="A81:R81"/>
    <mergeCell ref="A97:R97"/>
    <mergeCell ref="A104:R10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U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9.83203125" style="5" customWidth="1"/>
    <col min="3" max="3" width="26.33203125" style="5" bestFit="1" customWidth="1"/>
    <col min="4" max="4" width="15.5" style="5" bestFit="1" customWidth="1"/>
    <col min="5" max="5" width="13.6640625" style="5" customWidth="1"/>
    <col min="6" max="6" width="21.33203125" style="5" customWidth="1"/>
    <col min="7" max="9" width="5.5" style="6" customWidth="1"/>
    <col min="10" max="10" width="4.83203125" style="6" customWidth="1"/>
    <col min="11" max="18" width="5.5" style="6" customWidth="1"/>
    <col min="19" max="19" width="7.83203125" style="6" bestFit="1" customWidth="1"/>
    <col min="20" max="20" width="9.6640625" style="6" customWidth="1"/>
    <col min="21" max="21" width="23.33203125" style="5" customWidth="1"/>
    <col min="22" max="16384" width="9.1640625" style="3"/>
  </cols>
  <sheetData>
    <row r="1" spans="1:21" s="2" customFormat="1" ht="29" customHeight="1">
      <c r="A1" s="68" t="s">
        <v>3310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</row>
    <row r="2" spans="1:21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5"/>
    </row>
    <row r="3" spans="1:21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6</v>
      </c>
      <c r="H3" s="62"/>
      <c r="I3" s="62"/>
      <c r="J3" s="62"/>
      <c r="K3" s="62" t="s">
        <v>7</v>
      </c>
      <c r="L3" s="62"/>
      <c r="M3" s="62"/>
      <c r="N3" s="62"/>
      <c r="O3" s="62" t="s">
        <v>8</v>
      </c>
      <c r="P3" s="62"/>
      <c r="Q3" s="62"/>
      <c r="R3" s="62"/>
      <c r="S3" s="62" t="s">
        <v>1</v>
      </c>
      <c r="T3" s="62" t="s">
        <v>3</v>
      </c>
      <c r="U3" s="64" t="s">
        <v>2</v>
      </c>
    </row>
    <row r="4" spans="1:21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3"/>
      <c r="T4" s="63"/>
      <c r="U4" s="65"/>
    </row>
    <row r="5" spans="1:21" ht="16">
      <c r="A5" s="66" t="s">
        <v>195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>
      <c r="A6" s="8" t="s">
        <v>412</v>
      </c>
      <c r="B6" s="7" t="s">
        <v>577</v>
      </c>
      <c r="C6" s="7" t="s">
        <v>578</v>
      </c>
      <c r="D6" s="7" t="s">
        <v>234</v>
      </c>
      <c r="E6" s="7" t="s">
        <v>3754</v>
      </c>
      <c r="F6" s="7" t="s">
        <v>579</v>
      </c>
      <c r="G6" s="21" t="s">
        <v>39</v>
      </c>
      <c r="H6" s="21" t="s">
        <v>39</v>
      </c>
      <c r="I6" s="21" t="s">
        <v>39</v>
      </c>
      <c r="J6" s="8"/>
      <c r="K6" s="21"/>
      <c r="L6" s="8"/>
      <c r="M6" s="8"/>
      <c r="N6" s="8"/>
      <c r="O6" s="21"/>
      <c r="P6" s="8"/>
      <c r="Q6" s="8"/>
      <c r="R6" s="8"/>
      <c r="S6" s="29">
        <v>0</v>
      </c>
      <c r="T6" s="8" t="str">
        <f>"0,0000"</f>
        <v>0,0000</v>
      </c>
      <c r="U6" s="7"/>
    </row>
    <row r="7" spans="1:21">
      <c r="B7" s="5" t="s">
        <v>409</v>
      </c>
    </row>
  </sheetData>
  <mergeCells count="14">
    <mergeCell ref="A5:R5"/>
    <mergeCell ref="B3:B4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S3:S4"/>
    <mergeCell ref="T3:T4"/>
    <mergeCell ref="U3:U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110"/>
  <sheetViews>
    <sheetView topLeftCell="A74" workbookViewId="0">
      <selection activeCell="E94" sqref="E94"/>
    </sheetView>
  </sheetViews>
  <sheetFormatPr baseColWidth="10" defaultColWidth="9.1640625" defaultRowHeight="13"/>
  <cols>
    <col min="1" max="1" width="7.5" style="5" bestFit="1" customWidth="1"/>
    <col min="2" max="2" width="22.66406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0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28" bestFit="1" customWidth="1"/>
    <col min="16" max="16" width="8.5" style="6" bestFit="1" customWidth="1"/>
    <col min="17" max="17" width="24.33203125" style="5" bestFit="1" customWidth="1"/>
    <col min="18" max="16384" width="9.1640625" style="3"/>
  </cols>
  <sheetData>
    <row r="1" spans="1:17" s="2" customFormat="1" ht="29" customHeight="1">
      <c r="A1" s="68" t="s">
        <v>3293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2" t="s">
        <v>8</v>
      </c>
      <c r="L3" s="62"/>
      <c r="M3" s="62"/>
      <c r="N3" s="62"/>
      <c r="O3" s="60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1"/>
      <c r="P4" s="63"/>
      <c r="Q4" s="65"/>
    </row>
    <row r="5" spans="1:17" ht="16">
      <c r="A5" s="66" t="s">
        <v>9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10" t="s">
        <v>408</v>
      </c>
      <c r="B6" s="9" t="s">
        <v>2961</v>
      </c>
      <c r="C6" s="9" t="s">
        <v>2962</v>
      </c>
      <c r="D6" s="9" t="s">
        <v>868</v>
      </c>
      <c r="E6" s="9" t="s">
        <v>3754</v>
      </c>
      <c r="F6" s="9" t="s">
        <v>3509</v>
      </c>
      <c r="G6" s="22" t="s">
        <v>17</v>
      </c>
      <c r="H6" s="23" t="s">
        <v>865</v>
      </c>
      <c r="I6" s="23" t="s">
        <v>52</v>
      </c>
      <c r="J6" s="10"/>
      <c r="K6" s="23" t="s">
        <v>38</v>
      </c>
      <c r="L6" s="22" t="s">
        <v>106</v>
      </c>
      <c r="M6" s="23" t="s">
        <v>106</v>
      </c>
      <c r="N6" s="10"/>
      <c r="O6" s="30" t="str">
        <f>"165,0"</f>
        <v>165,0</v>
      </c>
      <c r="P6" s="10" t="str">
        <f>"206,6130"</f>
        <v>206,6130</v>
      </c>
      <c r="Q6" s="9" t="s">
        <v>3317</v>
      </c>
    </row>
    <row r="7" spans="1:17">
      <c r="A7" s="14" t="s">
        <v>408</v>
      </c>
      <c r="B7" s="13" t="s">
        <v>885</v>
      </c>
      <c r="C7" s="13" t="s">
        <v>886</v>
      </c>
      <c r="D7" s="13" t="s">
        <v>877</v>
      </c>
      <c r="E7" s="13" t="s">
        <v>3753</v>
      </c>
      <c r="F7" s="13" t="s">
        <v>3509</v>
      </c>
      <c r="G7" s="26" t="s">
        <v>16</v>
      </c>
      <c r="H7" s="26" t="s">
        <v>17</v>
      </c>
      <c r="I7" s="27" t="s">
        <v>51</v>
      </c>
      <c r="J7" s="14"/>
      <c r="K7" s="27" t="s">
        <v>39</v>
      </c>
      <c r="L7" s="26" t="s">
        <v>39</v>
      </c>
      <c r="M7" s="26" t="s">
        <v>106</v>
      </c>
      <c r="N7" s="14"/>
      <c r="O7" s="32" t="str">
        <f>"155,0"</f>
        <v>155,0</v>
      </c>
      <c r="P7" s="14" t="str">
        <f>"202,2343"</f>
        <v>202,2343</v>
      </c>
      <c r="Q7" s="13"/>
    </row>
    <row r="8" spans="1:17">
      <c r="B8" s="5" t="s">
        <v>409</v>
      </c>
    </row>
    <row r="9" spans="1:17" ht="16">
      <c r="A9" s="57" t="s">
        <v>21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</row>
    <row r="10" spans="1:17">
      <c r="A10" s="10" t="s">
        <v>408</v>
      </c>
      <c r="B10" s="9" t="s">
        <v>425</v>
      </c>
      <c r="C10" s="9" t="s">
        <v>426</v>
      </c>
      <c r="D10" s="9" t="s">
        <v>427</v>
      </c>
      <c r="E10" s="9" t="s">
        <v>3751</v>
      </c>
      <c r="F10" s="9" t="s">
        <v>3562</v>
      </c>
      <c r="G10" s="23" t="s">
        <v>69</v>
      </c>
      <c r="H10" s="23" t="s">
        <v>39</v>
      </c>
      <c r="I10" s="22" t="s">
        <v>428</v>
      </c>
      <c r="J10" s="10"/>
      <c r="K10" s="23" t="s">
        <v>46</v>
      </c>
      <c r="L10" s="23" t="s">
        <v>59</v>
      </c>
      <c r="M10" s="22" t="s">
        <v>226</v>
      </c>
      <c r="N10" s="10"/>
      <c r="O10" s="30" t="str">
        <f>"265,0"</f>
        <v>265,0</v>
      </c>
      <c r="P10" s="10" t="str">
        <f>"311,7990"</f>
        <v>311,7990</v>
      </c>
      <c r="Q10" s="9" t="s">
        <v>429</v>
      </c>
    </row>
    <row r="11" spans="1:17">
      <c r="A11" s="14" t="s">
        <v>408</v>
      </c>
      <c r="B11" s="13" t="s">
        <v>2963</v>
      </c>
      <c r="C11" s="13" t="s">
        <v>2964</v>
      </c>
      <c r="D11" s="13" t="s">
        <v>909</v>
      </c>
      <c r="E11" s="13" t="s">
        <v>3753</v>
      </c>
      <c r="F11" s="13" t="s">
        <v>3509</v>
      </c>
      <c r="G11" s="26" t="s">
        <v>889</v>
      </c>
      <c r="H11" s="26" t="s">
        <v>855</v>
      </c>
      <c r="I11" s="27" t="s">
        <v>13</v>
      </c>
      <c r="J11" s="14"/>
      <c r="K11" s="26" t="s">
        <v>79</v>
      </c>
      <c r="L11" s="27" t="s">
        <v>77</v>
      </c>
      <c r="M11" s="26" t="s">
        <v>77</v>
      </c>
      <c r="N11" s="14"/>
      <c r="O11" s="32" t="str">
        <f>"187,5"</f>
        <v>187,5</v>
      </c>
      <c r="P11" s="14" t="str">
        <f>"224,7188"</f>
        <v>224,7188</v>
      </c>
      <c r="Q11" s="13"/>
    </row>
    <row r="12" spans="1:17">
      <c r="B12" s="5" t="s">
        <v>409</v>
      </c>
    </row>
    <row r="13" spans="1:17" ht="16">
      <c r="A13" s="57" t="s">
        <v>31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1:17">
      <c r="A14" s="10" t="s">
        <v>408</v>
      </c>
      <c r="B14" s="9" t="s">
        <v>943</v>
      </c>
      <c r="C14" s="9" t="s">
        <v>944</v>
      </c>
      <c r="D14" s="9" t="s">
        <v>34</v>
      </c>
      <c r="E14" s="9" t="s">
        <v>3751</v>
      </c>
      <c r="F14" s="9" t="s">
        <v>3522</v>
      </c>
      <c r="G14" s="23" t="s">
        <v>53</v>
      </c>
      <c r="H14" s="23" t="s">
        <v>855</v>
      </c>
      <c r="I14" s="22" t="s">
        <v>13</v>
      </c>
      <c r="J14" s="10"/>
      <c r="K14" s="23" t="s">
        <v>46</v>
      </c>
      <c r="L14" s="23" t="s">
        <v>36</v>
      </c>
      <c r="M14" s="23" t="s">
        <v>37</v>
      </c>
      <c r="N14" s="10"/>
      <c r="O14" s="30" t="str">
        <f>"232,5"</f>
        <v>232,5</v>
      </c>
      <c r="P14" s="10" t="str">
        <f>"259,2142"</f>
        <v>259,2142</v>
      </c>
      <c r="Q14" s="9" t="s">
        <v>945</v>
      </c>
    </row>
    <row r="15" spans="1:17">
      <c r="A15" s="12" t="s">
        <v>410</v>
      </c>
      <c r="B15" s="11" t="s">
        <v>1898</v>
      </c>
      <c r="C15" s="11" t="s">
        <v>1899</v>
      </c>
      <c r="D15" s="11" t="s">
        <v>1900</v>
      </c>
      <c r="E15" s="11" t="s">
        <v>3751</v>
      </c>
      <c r="F15" s="11" t="s">
        <v>3625</v>
      </c>
      <c r="G15" s="24" t="s">
        <v>53</v>
      </c>
      <c r="H15" s="24" t="s">
        <v>13</v>
      </c>
      <c r="I15" s="24" t="s">
        <v>591</v>
      </c>
      <c r="J15" s="12"/>
      <c r="K15" s="24" t="s">
        <v>39</v>
      </c>
      <c r="L15" s="24" t="s">
        <v>106</v>
      </c>
      <c r="M15" s="24" t="s">
        <v>78</v>
      </c>
      <c r="N15" s="12"/>
      <c r="O15" s="31" t="str">
        <f>"182,5"</f>
        <v>182,5</v>
      </c>
      <c r="P15" s="12" t="str">
        <f>"206,9550"</f>
        <v>206,9550</v>
      </c>
      <c r="Q15" s="11" t="s">
        <v>72</v>
      </c>
    </row>
    <row r="16" spans="1:17">
      <c r="A16" s="12" t="s">
        <v>411</v>
      </c>
      <c r="B16" s="11" t="s">
        <v>2965</v>
      </c>
      <c r="C16" s="11" t="s">
        <v>2966</v>
      </c>
      <c r="D16" s="11" t="s">
        <v>34</v>
      </c>
      <c r="E16" s="11" t="s">
        <v>3751</v>
      </c>
      <c r="F16" s="11" t="s">
        <v>3509</v>
      </c>
      <c r="G16" s="24" t="s">
        <v>17</v>
      </c>
      <c r="H16" s="24" t="s">
        <v>51</v>
      </c>
      <c r="I16" s="12"/>
      <c r="J16" s="12"/>
      <c r="K16" s="24" t="s">
        <v>106</v>
      </c>
      <c r="L16" s="24" t="s">
        <v>76</v>
      </c>
      <c r="M16" s="25" t="s">
        <v>132</v>
      </c>
      <c r="N16" s="12"/>
      <c r="O16" s="31" t="str">
        <f>"170,0"</f>
        <v>170,0</v>
      </c>
      <c r="P16" s="12" t="str">
        <f>"189,5330"</f>
        <v>189,5330</v>
      </c>
      <c r="Q16" s="11" t="s">
        <v>2237</v>
      </c>
    </row>
    <row r="17" spans="1:17">
      <c r="A17" s="14" t="s">
        <v>413</v>
      </c>
      <c r="B17" s="13" t="s">
        <v>940</v>
      </c>
      <c r="C17" s="13" t="s">
        <v>941</v>
      </c>
      <c r="D17" s="13" t="s">
        <v>942</v>
      </c>
      <c r="E17" s="13" t="s">
        <v>3751</v>
      </c>
      <c r="F17" s="13" t="s">
        <v>3509</v>
      </c>
      <c r="G17" s="26" t="s">
        <v>915</v>
      </c>
      <c r="H17" s="26" t="s">
        <v>869</v>
      </c>
      <c r="I17" s="26" t="s">
        <v>16</v>
      </c>
      <c r="J17" s="14"/>
      <c r="K17" s="26" t="s">
        <v>51</v>
      </c>
      <c r="L17" s="26" t="s">
        <v>53</v>
      </c>
      <c r="M17" s="26" t="s">
        <v>14</v>
      </c>
      <c r="N17" s="14"/>
      <c r="O17" s="32" t="str">
        <f>"110,0"</f>
        <v>110,0</v>
      </c>
      <c r="P17" s="14" t="str">
        <f>"126,2580"</f>
        <v>126,2580</v>
      </c>
      <c r="Q17" s="13" t="s">
        <v>2967</v>
      </c>
    </row>
    <row r="18" spans="1:17">
      <c r="B18" s="5" t="s">
        <v>409</v>
      </c>
    </row>
    <row r="19" spans="1:17" ht="16">
      <c r="A19" s="57" t="s">
        <v>55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1:17">
      <c r="A20" s="8" t="s">
        <v>412</v>
      </c>
      <c r="B20" s="7" t="s">
        <v>953</v>
      </c>
      <c r="C20" s="7" t="s">
        <v>954</v>
      </c>
      <c r="D20" s="7" t="s">
        <v>955</v>
      </c>
      <c r="E20" s="7" t="s">
        <v>3752</v>
      </c>
      <c r="F20" s="7" t="s">
        <v>3523</v>
      </c>
      <c r="G20" s="21" t="s">
        <v>14</v>
      </c>
      <c r="H20" s="21" t="s">
        <v>622</v>
      </c>
      <c r="I20" s="21" t="s">
        <v>622</v>
      </c>
      <c r="J20" s="8"/>
      <c r="K20" s="8"/>
      <c r="L20" s="8"/>
      <c r="M20" s="8"/>
      <c r="N20" s="8"/>
      <c r="O20" s="29">
        <v>0</v>
      </c>
      <c r="P20" s="8" t="str">
        <f>"0,0000"</f>
        <v>0,0000</v>
      </c>
      <c r="Q20" s="7" t="s">
        <v>3314</v>
      </c>
    </row>
    <row r="21" spans="1:17">
      <c r="B21" s="5" t="s">
        <v>409</v>
      </c>
    </row>
    <row r="22" spans="1:17" ht="16">
      <c r="A22" s="57" t="s">
        <v>93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7">
      <c r="A23" s="10" t="s">
        <v>408</v>
      </c>
      <c r="B23" s="9" t="s">
        <v>1007</v>
      </c>
      <c r="C23" s="9" t="s">
        <v>1008</v>
      </c>
      <c r="D23" s="9" t="s">
        <v>636</v>
      </c>
      <c r="E23" s="9" t="s">
        <v>3751</v>
      </c>
      <c r="F23" s="9" t="s">
        <v>3532</v>
      </c>
      <c r="G23" s="23" t="s">
        <v>1009</v>
      </c>
      <c r="H23" s="10"/>
      <c r="I23" s="10"/>
      <c r="J23" s="10"/>
      <c r="K23" s="22" t="s">
        <v>13</v>
      </c>
      <c r="L23" s="23" t="s">
        <v>15</v>
      </c>
      <c r="M23" s="23" t="s">
        <v>18</v>
      </c>
      <c r="N23" s="10"/>
      <c r="O23" s="30" t="str">
        <f>"112,5"</f>
        <v>112,5</v>
      </c>
      <c r="P23" s="10" t="str">
        <f>"106,9425"</f>
        <v>106,9425</v>
      </c>
      <c r="Q23" s="9" t="s">
        <v>1010</v>
      </c>
    </row>
    <row r="24" spans="1:17">
      <c r="A24" s="12" t="s">
        <v>408</v>
      </c>
      <c r="B24" s="11" t="s">
        <v>1011</v>
      </c>
      <c r="C24" s="11" t="s">
        <v>1012</v>
      </c>
      <c r="D24" s="11" t="s">
        <v>636</v>
      </c>
      <c r="E24" s="11" t="s">
        <v>3753</v>
      </c>
      <c r="F24" s="11" t="s">
        <v>3533</v>
      </c>
      <c r="G24" s="24" t="s">
        <v>15</v>
      </c>
      <c r="H24" s="25" t="s">
        <v>60</v>
      </c>
      <c r="I24" s="25" t="s">
        <v>435</v>
      </c>
      <c r="J24" s="12"/>
      <c r="K24" s="25" t="s">
        <v>85</v>
      </c>
      <c r="L24" s="24" t="s">
        <v>85</v>
      </c>
      <c r="M24" s="24" t="s">
        <v>25</v>
      </c>
      <c r="N24" s="12"/>
      <c r="O24" s="31" t="str">
        <f>"220,0"</f>
        <v>220,0</v>
      </c>
      <c r="P24" s="12" t="str">
        <f>"209,1320"</f>
        <v>209,1320</v>
      </c>
      <c r="Q24" s="11" t="s">
        <v>3332</v>
      </c>
    </row>
    <row r="25" spans="1:17">
      <c r="A25" s="14" t="s">
        <v>408</v>
      </c>
      <c r="B25" s="13" t="s">
        <v>2968</v>
      </c>
      <c r="C25" s="13" t="s">
        <v>2969</v>
      </c>
      <c r="D25" s="13" t="s">
        <v>1015</v>
      </c>
      <c r="E25" s="13" t="s">
        <v>3756</v>
      </c>
      <c r="F25" s="13" t="s">
        <v>3626</v>
      </c>
      <c r="G25" s="26" t="s">
        <v>51</v>
      </c>
      <c r="H25" s="26" t="s">
        <v>52</v>
      </c>
      <c r="I25" s="27" t="s">
        <v>53</v>
      </c>
      <c r="J25" s="14"/>
      <c r="K25" s="26" t="s">
        <v>76</v>
      </c>
      <c r="L25" s="26" t="s">
        <v>77</v>
      </c>
      <c r="M25" s="26" t="s">
        <v>132</v>
      </c>
      <c r="N25" s="14"/>
      <c r="O25" s="32" t="str">
        <f>"185,0"</f>
        <v>185,0</v>
      </c>
      <c r="P25" s="14" t="str">
        <f>"225,7942"</f>
        <v>225,7942</v>
      </c>
      <c r="Q25" s="13" t="s">
        <v>2970</v>
      </c>
    </row>
    <row r="26" spans="1:17">
      <c r="B26" s="5" t="s">
        <v>409</v>
      </c>
    </row>
    <row r="27" spans="1:17" ht="16">
      <c r="A27" s="57" t="s">
        <v>55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7">
      <c r="A28" s="10" t="s">
        <v>408</v>
      </c>
      <c r="B28" s="9" t="s">
        <v>3344</v>
      </c>
      <c r="C28" s="9" t="s">
        <v>2971</v>
      </c>
      <c r="D28" s="9" t="s">
        <v>1925</v>
      </c>
      <c r="E28" s="9" t="s">
        <v>3755</v>
      </c>
      <c r="F28" s="9" t="s">
        <v>461</v>
      </c>
      <c r="G28" s="23" t="s">
        <v>53</v>
      </c>
      <c r="H28" s="23" t="s">
        <v>855</v>
      </c>
      <c r="I28" s="23" t="s">
        <v>14</v>
      </c>
      <c r="J28" s="10"/>
      <c r="K28" s="23" t="s">
        <v>76</v>
      </c>
      <c r="L28" s="23" t="s">
        <v>132</v>
      </c>
      <c r="M28" s="23" t="s">
        <v>45</v>
      </c>
      <c r="N28" s="10"/>
      <c r="O28" s="30" t="str">
        <f>"210,0"</f>
        <v>210,0</v>
      </c>
      <c r="P28" s="10" t="str">
        <f>"173,9010"</f>
        <v>173,9010</v>
      </c>
      <c r="Q28" s="9" t="s">
        <v>3346</v>
      </c>
    </row>
    <row r="29" spans="1:17">
      <c r="A29" s="14" t="s">
        <v>408</v>
      </c>
      <c r="B29" s="13" t="s">
        <v>2791</v>
      </c>
      <c r="C29" s="13" t="s">
        <v>1771</v>
      </c>
      <c r="D29" s="13" t="s">
        <v>58</v>
      </c>
      <c r="E29" s="13" t="s">
        <v>3751</v>
      </c>
      <c r="F29" s="13" t="s">
        <v>3545</v>
      </c>
      <c r="G29" s="26" t="s">
        <v>435</v>
      </c>
      <c r="H29" s="26" t="s">
        <v>600</v>
      </c>
      <c r="I29" s="26" t="s">
        <v>605</v>
      </c>
      <c r="J29" s="14"/>
      <c r="K29" s="26" t="s">
        <v>180</v>
      </c>
      <c r="L29" s="26" t="s">
        <v>92</v>
      </c>
      <c r="M29" s="26" t="s">
        <v>309</v>
      </c>
      <c r="N29" s="14"/>
      <c r="O29" s="32" t="str">
        <f>"305,0"</f>
        <v>305,0</v>
      </c>
      <c r="P29" s="14" t="str">
        <f>"240,9805"</f>
        <v>240,9805</v>
      </c>
      <c r="Q29" s="13" t="s">
        <v>1098</v>
      </c>
    </row>
    <row r="30" spans="1:17">
      <c r="B30" s="5" t="s">
        <v>409</v>
      </c>
    </row>
    <row r="31" spans="1:17" ht="16">
      <c r="A31" s="57" t="s">
        <v>93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</row>
    <row r="32" spans="1:17">
      <c r="A32" s="10" t="s">
        <v>408</v>
      </c>
      <c r="B32" s="9" t="s">
        <v>2801</v>
      </c>
      <c r="C32" s="9" t="s">
        <v>2802</v>
      </c>
      <c r="D32" s="9" t="s">
        <v>2803</v>
      </c>
      <c r="E32" s="9" t="s">
        <v>3751</v>
      </c>
      <c r="F32" s="9" t="s">
        <v>3627</v>
      </c>
      <c r="G32" s="22" t="s">
        <v>85</v>
      </c>
      <c r="H32" s="23" t="s">
        <v>85</v>
      </c>
      <c r="I32" s="23" t="s">
        <v>248</v>
      </c>
      <c r="J32" s="10"/>
      <c r="K32" s="22" t="s">
        <v>98</v>
      </c>
      <c r="L32" s="23" t="s">
        <v>99</v>
      </c>
      <c r="M32" s="23" t="s">
        <v>549</v>
      </c>
      <c r="N32" s="10"/>
      <c r="O32" s="30" t="str">
        <f>"390,0"</f>
        <v>390,0</v>
      </c>
      <c r="P32" s="10" t="str">
        <f>"282,4380"</f>
        <v>282,4380</v>
      </c>
      <c r="Q32" s="9"/>
    </row>
    <row r="33" spans="1:17">
      <c r="A33" s="14" t="s">
        <v>412</v>
      </c>
      <c r="B33" s="13" t="s">
        <v>1086</v>
      </c>
      <c r="C33" s="13" t="s">
        <v>1087</v>
      </c>
      <c r="D33" s="13" t="s">
        <v>467</v>
      </c>
      <c r="E33" s="13" t="s">
        <v>3751</v>
      </c>
      <c r="F33" s="13" t="s">
        <v>3543</v>
      </c>
      <c r="G33" s="26" t="s">
        <v>85</v>
      </c>
      <c r="H33" s="27" t="s">
        <v>474</v>
      </c>
      <c r="I33" s="27" t="s">
        <v>474</v>
      </c>
      <c r="J33" s="14"/>
      <c r="K33" s="27" t="s">
        <v>66</v>
      </c>
      <c r="L33" s="27" t="s">
        <v>66</v>
      </c>
      <c r="M33" s="27" t="s">
        <v>66</v>
      </c>
      <c r="N33" s="14"/>
      <c r="O33" s="32">
        <v>0</v>
      </c>
      <c r="P33" s="14" t="str">
        <f>"0,0000"</f>
        <v>0,0000</v>
      </c>
      <c r="Q33" s="13" t="s">
        <v>1088</v>
      </c>
    </row>
    <row r="34" spans="1:17">
      <c r="B34" s="5" t="s">
        <v>409</v>
      </c>
    </row>
    <row r="35" spans="1:17" ht="16">
      <c r="A35" s="57" t="s">
        <v>62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7">
      <c r="A36" s="10" t="s">
        <v>408</v>
      </c>
      <c r="B36" s="9" t="s">
        <v>1092</v>
      </c>
      <c r="C36" s="9" t="s">
        <v>1093</v>
      </c>
      <c r="D36" s="9" t="s">
        <v>1094</v>
      </c>
      <c r="E36" s="9" t="s">
        <v>3755</v>
      </c>
      <c r="F36" s="9" t="s">
        <v>3509</v>
      </c>
      <c r="G36" s="23" t="s">
        <v>18</v>
      </c>
      <c r="H36" s="22" t="s">
        <v>38</v>
      </c>
      <c r="I36" s="22" t="s">
        <v>38</v>
      </c>
      <c r="J36" s="10"/>
      <c r="K36" s="23" t="s">
        <v>45</v>
      </c>
      <c r="L36" s="22" t="s">
        <v>35</v>
      </c>
      <c r="M36" s="22" t="s">
        <v>35</v>
      </c>
      <c r="N36" s="10"/>
      <c r="O36" s="30" t="str">
        <f>"220,0"</f>
        <v>220,0</v>
      </c>
      <c r="P36" s="10" t="str">
        <f>"150,1940"</f>
        <v>150,1940</v>
      </c>
      <c r="Q36" s="9" t="s">
        <v>1095</v>
      </c>
    </row>
    <row r="37" spans="1:17">
      <c r="A37" s="12" t="s">
        <v>408</v>
      </c>
      <c r="B37" s="11" t="s">
        <v>1096</v>
      </c>
      <c r="C37" s="11" t="s">
        <v>1097</v>
      </c>
      <c r="D37" s="11" t="s">
        <v>145</v>
      </c>
      <c r="E37" s="11" t="s">
        <v>3752</v>
      </c>
      <c r="F37" s="11" t="s">
        <v>3545</v>
      </c>
      <c r="G37" s="24" t="s">
        <v>76</v>
      </c>
      <c r="H37" s="24" t="s">
        <v>77</v>
      </c>
      <c r="I37" s="24" t="s">
        <v>132</v>
      </c>
      <c r="J37" s="12"/>
      <c r="K37" s="24" t="s">
        <v>71</v>
      </c>
      <c r="L37" s="24" t="s">
        <v>97</v>
      </c>
      <c r="M37" s="25" t="s">
        <v>86</v>
      </c>
      <c r="N37" s="12"/>
      <c r="O37" s="31" t="str">
        <f>"350,0"</f>
        <v>350,0</v>
      </c>
      <c r="P37" s="12" t="str">
        <f>"235,3400"</f>
        <v>235,3400</v>
      </c>
      <c r="Q37" s="11" t="s">
        <v>1098</v>
      </c>
    </row>
    <row r="38" spans="1:17">
      <c r="A38" s="12" t="s">
        <v>408</v>
      </c>
      <c r="B38" s="11" t="s">
        <v>1121</v>
      </c>
      <c r="C38" s="11" t="s">
        <v>1122</v>
      </c>
      <c r="D38" s="11" t="s">
        <v>145</v>
      </c>
      <c r="E38" s="11" t="s">
        <v>3751</v>
      </c>
      <c r="F38" s="11" t="s">
        <v>3339</v>
      </c>
      <c r="G38" s="24" t="s">
        <v>85</v>
      </c>
      <c r="H38" s="24" t="s">
        <v>45</v>
      </c>
      <c r="I38" s="24" t="s">
        <v>25</v>
      </c>
      <c r="J38" s="12"/>
      <c r="K38" s="24" t="s">
        <v>119</v>
      </c>
      <c r="L38" s="24" t="s">
        <v>110</v>
      </c>
      <c r="M38" s="25" t="s">
        <v>121</v>
      </c>
      <c r="N38" s="12"/>
      <c r="O38" s="31" t="str">
        <f>"420,0"</f>
        <v>420,0</v>
      </c>
      <c r="P38" s="12" t="str">
        <f>"282,4080"</f>
        <v>282,4080</v>
      </c>
      <c r="Q38" s="11"/>
    </row>
    <row r="39" spans="1:17">
      <c r="A39" s="12" t="s">
        <v>410</v>
      </c>
      <c r="B39" s="11" t="s">
        <v>1132</v>
      </c>
      <c r="C39" s="11" t="s">
        <v>1133</v>
      </c>
      <c r="D39" s="11" t="s">
        <v>123</v>
      </c>
      <c r="E39" s="11" t="s">
        <v>3751</v>
      </c>
      <c r="F39" s="11" t="s">
        <v>199</v>
      </c>
      <c r="G39" s="24" t="s">
        <v>77</v>
      </c>
      <c r="H39" s="24" t="s">
        <v>132</v>
      </c>
      <c r="I39" s="25" t="s">
        <v>85</v>
      </c>
      <c r="J39" s="12"/>
      <c r="K39" s="24" t="s">
        <v>119</v>
      </c>
      <c r="L39" s="25" t="s">
        <v>501</v>
      </c>
      <c r="M39" s="25" t="s">
        <v>110</v>
      </c>
      <c r="N39" s="12"/>
      <c r="O39" s="31" t="str">
        <f>"390,0"</f>
        <v>390,0</v>
      </c>
      <c r="P39" s="12" t="str">
        <f>"261,2610"</f>
        <v>261,2610</v>
      </c>
      <c r="Q39" s="11" t="s">
        <v>2685</v>
      </c>
    </row>
    <row r="40" spans="1:17">
      <c r="A40" s="12" t="s">
        <v>411</v>
      </c>
      <c r="B40" s="11" t="s">
        <v>2972</v>
      </c>
      <c r="C40" s="11" t="s">
        <v>2973</v>
      </c>
      <c r="D40" s="11" t="s">
        <v>65</v>
      </c>
      <c r="E40" s="11" t="s">
        <v>3751</v>
      </c>
      <c r="F40" s="11" t="s">
        <v>3601</v>
      </c>
      <c r="G40" s="24" t="s">
        <v>45</v>
      </c>
      <c r="H40" s="24" t="s">
        <v>25</v>
      </c>
      <c r="I40" s="25" t="s">
        <v>35</v>
      </c>
      <c r="J40" s="12"/>
      <c r="K40" s="24" t="s">
        <v>97</v>
      </c>
      <c r="L40" s="24" t="s">
        <v>317</v>
      </c>
      <c r="M40" s="24" t="s">
        <v>87</v>
      </c>
      <c r="N40" s="12"/>
      <c r="O40" s="31" t="str">
        <f>"380,0"</f>
        <v>380,0</v>
      </c>
      <c r="P40" s="12" t="str">
        <f>"258,4000"</f>
        <v>258,4000</v>
      </c>
      <c r="Q40" s="11"/>
    </row>
    <row r="41" spans="1:17">
      <c r="A41" s="12" t="s">
        <v>413</v>
      </c>
      <c r="B41" s="11" t="s">
        <v>2974</v>
      </c>
      <c r="C41" s="11" t="s">
        <v>2975</v>
      </c>
      <c r="D41" s="11" t="s">
        <v>669</v>
      </c>
      <c r="E41" s="11" t="s">
        <v>3751</v>
      </c>
      <c r="F41" s="11" t="s">
        <v>3628</v>
      </c>
      <c r="G41" s="25" t="s">
        <v>76</v>
      </c>
      <c r="H41" s="25" t="s">
        <v>76</v>
      </c>
      <c r="I41" s="24" t="s">
        <v>76</v>
      </c>
      <c r="J41" s="12"/>
      <c r="K41" s="24" t="s">
        <v>97</v>
      </c>
      <c r="L41" s="24" t="s">
        <v>133</v>
      </c>
      <c r="M41" s="24" t="s">
        <v>134</v>
      </c>
      <c r="N41" s="12"/>
      <c r="O41" s="31" t="str">
        <f>"370,0"</f>
        <v>370,0</v>
      </c>
      <c r="P41" s="12" t="str">
        <f>"251,0450"</f>
        <v>251,0450</v>
      </c>
      <c r="Q41" s="11"/>
    </row>
    <row r="42" spans="1:17">
      <c r="A42" s="12" t="s">
        <v>414</v>
      </c>
      <c r="B42" s="11" t="s">
        <v>2976</v>
      </c>
      <c r="C42" s="11" t="s">
        <v>2977</v>
      </c>
      <c r="D42" s="11" t="s">
        <v>149</v>
      </c>
      <c r="E42" s="11" t="s">
        <v>3751</v>
      </c>
      <c r="F42" s="11" t="s">
        <v>2978</v>
      </c>
      <c r="G42" s="24" t="s">
        <v>132</v>
      </c>
      <c r="H42" s="24" t="s">
        <v>85</v>
      </c>
      <c r="I42" s="12"/>
      <c r="J42" s="12"/>
      <c r="K42" s="24" t="s">
        <v>97</v>
      </c>
      <c r="L42" s="24" t="s">
        <v>86</v>
      </c>
      <c r="M42" s="25" t="s">
        <v>98</v>
      </c>
      <c r="N42" s="12"/>
      <c r="O42" s="31" t="str">
        <f>"360,0"</f>
        <v>360,0</v>
      </c>
      <c r="P42" s="12" t="str">
        <f>"242,2440"</f>
        <v>242,2440</v>
      </c>
      <c r="Q42" s="11"/>
    </row>
    <row r="43" spans="1:17">
      <c r="A43" s="12" t="s">
        <v>415</v>
      </c>
      <c r="B43" s="11" t="s">
        <v>2979</v>
      </c>
      <c r="C43" s="11" t="s">
        <v>2980</v>
      </c>
      <c r="D43" s="11" t="s">
        <v>1140</v>
      </c>
      <c r="E43" s="11" t="s">
        <v>3751</v>
      </c>
      <c r="F43" s="11" t="s">
        <v>3509</v>
      </c>
      <c r="G43" s="24" t="s">
        <v>132</v>
      </c>
      <c r="H43" s="24" t="s">
        <v>85</v>
      </c>
      <c r="I43" s="24" t="s">
        <v>474</v>
      </c>
      <c r="J43" s="12"/>
      <c r="K43" s="24" t="s">
        <v>68</v>
      </c>
      <c r="L43" s="25" t="s">
        <v>98</v>
      </c>
      <c r="M43" s="12"/>
      <c r="N43" s="12"/>
      <c r="O43" s="31" t="str">
        <f>"352,5"</f>
        <v>352,5</v>
      </c>
      <c r="P43" s="12" t="str">
        <f>"239,3475"</f>
        <v>239,3475</v>
      </c>
      <c r="Q43" s="11" t="s">
        <v>1207</v>
      </c>
    </row>
    <row r="44" spans="1:17">
      <c r="A44" s="12" t="s">
        <v>416</v>
      </c>
      <c r="B44" s="11" t="s">
        <v>2981</v>
      </c>
      <c r="C44" s="11" t="s">
        <v>2982</v>
      </c>
      <c r="D44" s="11" t="s">
        <v>131</v>
      </c>
      <c r="E44" s="11" t="s">
        <v>3751</v>
      </c>
      <c r="F44" s="11" t="s">
        <v>3629</v>
      </c>
      <c r="G44" s="24" t="s">
        <v>106</v>
      </c>
      <c r="H44" s="25" t="s">
        <v>78</v>
      </c>
      <c r="I44" s="24" t="s">
        <v>78</v>
      </c>
      <c r="J44" s="12"/>
      <c r="K44" s="25" t="s">
        <v>37</v>
      </c>
      <c r="L44" s="24" t="s">
        <v>40</v>
      </c>
      <c r="M44" s="24" t="s">
        <v>71</v>
      </c>
      <c r="N44" s="12"/>
      <c r="O44" s="31" t="str">
        <f>"315,0"</f>
        <v>315,0</v>
      </c>
      <c r="P44" s="12" t="str">
        <f>"211,6485"</f>
        <v>211,6485</v>
      </c>
      <c r="Q44" s="11" t="s">
        <v>2237</v>
      </c>
    </row>
    <row r="45" spans="1:17">
      <c r="A45" s="12" t="s">
        <v>417</v>
      </c>
      <c r="B45" s="11" t="s">
        <v>1150</v>
      </c>
      <c r="C45" s="11" t="s">
        <v>2983</v>
      </c>
      <c r="D45" s="11" t="s">
        <v>473</v>
      </c>
      <c r="E45" s="11" t="s">
        <v>3751</v>
      </c>
      <c r="F45" s="11" t="s">
        <v>3543</v>
      </c>
      <c r="G45" s="24" t="s">
        <v>76</v>
      </c>
      <c r="H45" s="24" t="s">
        <v>451</v>
      </c>
      <c r="I45" s="25" t="s">
        <v>77</v>
      </c>
      <c r="J45" s="12"/>
      <c r="K45" s="25" t="s">
        <v>29</v>
      </c>
      <c r="L45" s="25" t="s">
        <v>29</v>
      </c>
      <c r="M45" s="24" t="s">
        <v>29</v>
      </c>
      <c r="N45" s="12"/>
      <c r="O45" s="31" t="str">
        <f>"307,5"</f>
        <v>307,5</v>
      </c>
      <c r="P45" s="12" t="str">
        <f>"206,4555"</f>
        <v>206,4555</v>
      </c>
      <c r="Q45" s="11" t="s">
        <v>1088</v>
      </c>
    </row>
    <row r="46" spans="1:17">
      <c r="A46" s="12" t="s">
        <v>412</v>
      </c>
      <c r="B46" s="11" t="s">
        <v>2081</v>
      </c>
      <c r="C46" s="11" t="s">
        <v>2082</v>
      </c>
      <c r="D46" s="11" t="s">
        <v>1107</v>
      </c>
      <c r="E46" s="11" t="s">
        <v>3751</v>
      </c>
      <c r="F46" s="11" t="s">
        <v>3597</v>
      </c>
      <c r="G46" s="25" t="s">
        <v>226</v>
      </c>
      <c r="H46" s="25" t="s">
        <v>226</v>
      </c>
      <c r="I46" s="25" t="s">
        <v>226</v>
      </c>
      <c r="J46" s="12"/>
      <c r="K46" s="25"/>
      <c r="L46" s="12"/>
      <c r="M46" s="12"/>
      <c r="N46" s="12"/>
      <c r="O46" s="31">
        <v>0</v>
      </c>
      <c r="P46" s="12" t="str">
        <f>"0,0000"</f>
        <v>0,0000</v>
      </c>
      <c r="Q46" s="11"/>
    </row>
    <row r="47" spans="1:17">
      <c r="A47" s="12" t="s">
        <v>408</v>
      </c>
      <c r="B47" s="11" t="s">
        <v>479</v>
      </c>
      <c r="C47" s="11" t="s">
        <v>2984</v>
      </c>
      <c r="D47" s="11" t="s">
        <v>481</v>
      </c>
      <c r="E47" s="11" t="s">
        <v>3753</v>
      </c>
      <c r="F47" s="11" t="s">
        <v>3509</v>
      </c>
      <c r="G47" s="25" t="s">
        <v>85</v>
      </c>
      <c r="H47" s="24" t="s">
        <v>85</v>
      </c>
      <c r="I47" s="25" t="s">
        <v>45</v>
      </c>
      <c r="J47" s="12"/>
      <c r="K47" s="24" t="s">
        <v>40</v>
      </c>
      <c r="L47" s="24" t="s">
        <v>29</v>
      </c>
      <c r="M47" s="25" t="s">
        <v>70</v>
      </c>
      <c r="N47" s="12"/>
      <c r="O47" s="31" t="str">
        <f>"320,0"</f>
        <v>320,0</v>
      </c>
      <c r="P47" s="12" t="str">
        <f>"219,0418"</f>
        <v>219,0418</v>
      </c>
      <c r="Q47" s="11"/>
    </row>
    <row r="48" spans="1:17">
      <c r="A48" s="12" t="s">
        <v>410</v>
      </c>
      <c r="B48" s="11" t="s">
        <v>1150</v>
      </c>
      <c r="C48" s="11" t="s">
        <v>1151</v>
      </c>
      <c r="D48" s="11" t="s">
        <v>473</v>
      </c>
      <c r="E48" s="11" t="s">
        <v>3753</v>
      </c>
      <c r="F48" s="11" t="s">
        <v>3543</v>
      </c>
      <c r="G48" s="24" t="s">
        <v>76</v>
      </c>
      <c r="H48" s="24" t="s">
        <v>451</v>
      </c>
      <c r="I48" s="25" t="s">
        <v>77</v>
      </c>
      <c r="J48" s="12"/>
      <c r="K48" s="25" t="s">
        <v>29</v>
      </c>
      <c r="L48" s="25" t="s">
        <v>29</v>
      </c>
      <c r="M48" s="24" t="s">
        <v>29</v>
      </c>
      <c r="N48" s="12"/>
      <c r="O48" s="31" t="str">
        <f>"307,5"</f>
        <v>307,5</v>
      </c>
      <c r="P48" s="12" t="str">
        <f>"209,3459"</f>
        <v>209,3459</v>
      </c>
      <c r="Q48" s="11" t="s">
        <v>1088</v>
      </c>
    </row>
    <row r="49" spans="1:17">
      <c r="A49" s="12" t="s">
        <v>412</v>
      </c>
      <c r="B49" s="11" t="s">
        <v>2081</v>
      </c>
      <c r="C49" s="11" t="s">
        <v>2121</v>
      </c>
      <c r="D49" s="11" t="s">
        <v>1107</v>
      </c>
      <c r="E49" s="11" t="s">
        <v>3753</v>
      </c>
      <c r="F49" s="11" t="s">
        <v>3597</v>
      </c>
      <c r="G49" s="25" t="s">
        <v>226</v>
      </c>
      <c r="H49" s="25" t="s">
        <v>226</v>
      </c>
      <c r="I49" s="25" t="s">
        <v>226</v>
      </c>
      <c r="J49" s="12"/>
      <c r="K49" s="25"/>
      <c r="L49" s="12"/>
      <c r="M49" s="12"/>
      <c r="N49" s="12"/>
      <c r="O49" s="31">
        <v>0</v>
      </c>
      <c r="P49" s="12" t="str">
        <f>"0,0000"</f>
        <v>0,0000</v>
      </c>
      <c r="Q49" s="11"/>
    </row>
    <row r="50" spans="1:17">
      <c r="A50" s="12" t="s">
        <v>408</v>
      </c>
      <c r="B50" s="11" t="s">
        <v>1121</v>
      </c>
      <c r="C50" s="11" t="s">
        <v>1152</v>
      </c>
      <c r="D50" s="11" t="s">
        <v>145</v>
      </c>
      <c r="E50" s="11" t="s">
        <v>3756</v>
      </c>
      <c r="F50" s="11" t="s">
        <v>3339</v>
      </c>
      <c r="G50" s="24" t="s">
        <v>85</v>
      </c>
      <c r="H50" s="24" t="s">
        <v>45</v>
      </c>
      <c r="I50" s="24" t="s">
        <v>25</v>
      </c>
      <c r="J50" s="12"/>
      <c r="K50" s="24" t="s">
        <v>119</v>
      </c>
      <c r="L50" s="24" t="s">
        <v>110</v>
      </c>
      <c r="M50" s="25" t="s">
        <v>121</v>
      </c>
      <c r="N50" s="12"/>
      <c r="O50" s="31" t="str">
        <f>"420,0"</f>
        <v>420,0</v>
      </c>
      <c r="P50" s="12" t="str">
        <f>"353,0100"</f>
        <v>353,0100</v>
      </c>
      <c r="Q50" s="11"/>
    </row>
    <row r="51" spans="1:17">
      <c r="A51" s="12" t="s">
        <v>410</v>
      </c>
      <c r="B51" s="11" t="s">
        <v>2976</v>
      </c>
      <c r="C51" s="11" t="s">
        <v>2985</v>
      </c>
      <c r="D51" s="11" t="s">
        <v>149</v>
      </c>
      <c r="E51" s="11" t="s">
        <v>3756</v>
      </c>
      <c r="F51" s="11" t="s">
        <v>2978</v>
      </c>
      <c r="G51" s="24" t="s">
        <v>132</v>
      </c>
      <c r="H51" s="24" t="s">
        <v>85</v>
      </c>
      <c r="I51" s="12"/>
      <c r="J51" s="12"/>
      <c r="K51" s="24" t="s">
        <v>97</v>
      </c>
      <c r="L51" s="24" t="s">
        <v>86</v>
      </c>
      <c r="M51" s="25" t="s">
        <v>98</v>
      </c>
      <c r="N51" s="12"/>
      <c r="O51" s="31" t="str">
        <f>"360,0"</f>
        <v>360,0</v>
      </c>
      <c r="P51" s="12" t="str">
        <f>"278,5806"</f>
        <v>278,5806</v>
      </c>
      <c r="Q51" s="11"/>
    </row>
    <row r="52" spans="1:17">
      <c r="A52" s="14" t="s">
        <v>408</v>
      </c>
      <c r="B52" s="13" t="s">
        <v>1153</v>
      </c>
      <c r="C52" s="13" t="s">
        <v>1154</v>
      </c>
      <c r="D52" s="13" t="s">
        <v>1155</v>
      </c>
      <c r="E52" s="13" t="s">
        <v>3758</v>
      </c>
      <c r="F52" s="13" t="s">
        <v>3552</v>
      </c>
      <c r="G52" s="26" t="s">
        <v>52</v>
      </c>
      <c r="H52" s="26" t="s">
        <v>53</v>
      </c>
      <c r="I52" s="14"/>
      <c r="J52" s="14"/>
      <c r="K52" s="26" t="s">
        <v>132</v>
      </c>
      <c r="L52" s="26" t="s">
        <v>521</v>
      </c>
      <c r="M52" s="27" t="s">
        <v>25</v>
      </c>
      <c r="N52" s="14"/>
      <c r="O52" s="32" t="str">
        <f>"192,5"</f>
        <v>192,5</v>
      </c>
      <c r="P52" s="14" t="str">
        <f>"240,7255"</f>
        <v>240,7255</v>
      </c>
      <c r="Q52" s="13"/>
    </row>
    <row r="53" spans="1:17">
      <c r="B53" s="5" t="s">
        <v>409</v>
      </c>
    </row>
    <row r="54" spans="1:17" ht="16">
      <c r="A54" s="57" t="s">
        <v>150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</row>
    <row r="55" spans="1:17">
      <c r="A55" s="10" t="s">
        <v>408</v>
      </c>
      <c r="B55" s="9" t="s">
        <v>482</v>
      </c>
      <c r="C55" s="9" t="s">
        <v>483</v>
      </c>
      <c r="D55" s="9" t="s">
        <v>191</v>
      </c>
      <c r="E55" s="9" t="s">
        <v>3752</v>
      </c>
      <c r="F55" s="9" t="s">
        <v>199</v>
      </c>
      <c r="G55" s="23" t="s">
        <v>85</v>
      </c>
      <c r="H55" s="22" t="s">
        <v>45</v>
      </c>
      <c r="I55" s="22" t="s">
        <v>45</v>
      </c>
      <c r="J55" s="10"/>
      <c r="K55" s="23" t="s">
        <v>205</v>
      </c>
      <c r="L55" s="22" t="s">
        <v>120</v>
      </c>
      <c r="M55" s="22" t="s">
        <v>120</v>
      </c>
      <c r="N55" s="10"/>
      <c r="O55" s="30" t="str">
        <f>"390,0"</f>
        <v>390,0</v>
      </c>
      <c r="P55" s="10" t="str">
        <f>"250,5360"</f>
        <v>250,5360</v>
      </c>
      <c r="Q55" s="9" t="s">
        <v>3347</v>
      </c>
    </row>
    <row r="56" spans="1:17">
      <c r="A56" s="12" t="s">
        <v>408</v>
      </c>
      <c r="B56" s="11" t="s">
        <v>491</v>
      </c>
      <c r="C56" s="11" t="s">
        <v>492</v>
      </c>
      <c r="D56" s="11" t="s">
        <v>155</v>
      </c>
      <c r="E56" s="11" t="s">
        <v>3751</v>
      </c>
      <c r="F56" s="11" t="s">
        <v>493</v>
      </c>
      <c r="G56" s="24" t="s">
        <v>35</v>
      </c>
      <c r="H56" s="24" t="s">
        <v>46</v>
      </c>
      <c r="I56" s="25" t="s">
        <v>494</v>
      </c>
      <c r="J56" s="12"/>
      <c r="K56" s="24" t="s">
        <v>119</v>
      </c>
      <c r="L56" s="24" t="s">
        <v>120</v>
      </c>
      <c r="M56" s="24" t="s">
        <v>121</v>
      </c>
      <c r="N56" s="12"/>
      <c r="O56" s="31" t="str">
        <f>"435,0"</f>
        <v>435,0</v>
      </c>
      <c r="P56" s="12" t="str">
        <f>"279,3135"</f>
        <v>279,3135</v>
      </c>
      <c r="Q56" s="11"/>
    </row>
    <row r="57" spans="1:17">
      <c r="A57" s="12" t="s">
        <v>410</v>
      </c>
      <c r="B57" s="11" t="s">
        <v>1182</v>
      </c>
      <c r="C57" s="11" t="s">
        <v>1183</v>
      </c>
      <c r="D57" s="11" t="s">
        <v>1168</v>
      </c>
      <c r="E57" s="11" t="s">
        <v>3751</v>
      </c>
      <c r="F57" s="11" t="s">
        <v>3556</v>
      </c>
      <c r="G57" s="24" t="s">
        <v>25</v>
      </c>
      <c r="H57" s="24" t="s">
        <v>35</v>
      </c>
      <c r="I57" s="25" t="s">
        <v>26</v>
      </c>
      <c r="J57" s="12"/>
      <c r="K57" s="24" t="s">
        <v>119</v>
      </c>
      <c r="L57" s="24" t="s">
        <v>121</v>
      </c>
      <c r="M57" s="25" t="s">
        <v>111</v>
      </c>
      <c r="N57" s="12"/>
      <c r="O57" s="31" t="str">
        <f>"430,0"</f>
        <v>430,0</v>
      </c>
      <c r="P57" s="12" t="str">
        <f>"277,2210"</f>
        <v>277,2210</v>
      </c>
      <c r="Q57" s="11"/>
    </row>
    <row r="58" spans="1:17">
      <c r="A58" s="12" t="s">
        <v>411</v>
      </c>
      <c r="B58" s="11" t="s">
        <v>1184</v>
      </c>
      <c r="C58" s="11" t="s">
        <v>1185</v>
      </c>
      <c r="D58" s="11" t="s">
        <v>1186</v>
      </c>
      <c r="E58" s="11" t="s">
        <v>3751</v>
      </c>
      <c r="F58" s="11" t="s">
        <v>3557</v>
      </c>
      <c r="G58" s="24" t="s">
        <v>35</v>
      </c>
      <c r="H58" s="25" t="s">
        <v>26</v>
      </c>
      <c r="I58" s="25" t="s">
        <v>26</v>
      </c>
      <c r="J58" s="12"/>
      <c r="K58" s="24" t="s">
        <v>120</v>
      </c>
      <c r="L58" s="25" t="s">
        <v>110</v>
      </c>
      <c r="M58" s="25" t="s">
        <v>110</v>
      </c>
      <c r="N58" s="12"/>
      <c r="O58" s="31" t="str">
        <f>"420,0"</f>
        <v>420,0</v>
      </c>
      <c r="P58" s="12" t="str">
        <f>"276,1500"</f>
        <v>276,1500</v>
      </c>
      <c r="Q58" s="11"/>
    </row>
    <row r="59" spans="1:17">
      <c r="A59" s="12" t="s">
        <v>413</v>
      </c>
      <c r="B59" s="11" t="s">
        <v>2842</v>
      </c>
      <c r="C59" s="11" t="s">
        <v>2843</v>
      </c>
      <c r="D59" s="11" t="s">
        <v>2208</v>
      </c>
      <c r="E59" s="11" t="s">
        <v>3751</v>
      </c>
      <c r="F59" s="11" t="s">
        <v>3545</v>
      </c>
      <c r="G59" s="24" t="s">
        <v>85</v>
      </c>
      <c r="H59" s="24" t="s">
        <v>45</v>
      </c>
      <c r="I59" s="24" t="s">
        <v>248</v>
      </c>
      <c r="J59" s="12"/>
      <c r="K59" s="24" t="s">
        <v>99</v>
      </c>
      <c r="L59" s="24" t="s">
        <v>134</v>
      </c>
      <c r="M59" s="24" t="s">
        <v>119</v>
      </c>
      <c r="N59" s="12"/>
      <c r="O59" s="31" t="str">
        <f>"402,5"</f>
        <v>402,5</v>
      </c>
      <c r="P59" s="12" t="str">
        <f>"260,1358"</f>
        <v>260,1358</v>
      </c>
      <c r="Q59" s="11" t="s">
        <v>2844</v>
      </c>
    </row>
    <row r="60" spans="1:17">
      <c r="A60" s="12" t="s">
        <v>414</v>
      </c>
      <c r="B60" s="11" t="s">
        <v>2192</v>
      </c>
      <c r="C60" s="11" t="s">
        <v>2193</v>
      </c>
      <c r="D60" s="11" t="s">
        <v>164</v>
      </c>
      <c r="E60" s="11" t="s">
        <v>3751</v>
      </c>
      <c r="F60" s="11" t="s">
        <v>3630</v>
      </c>
      <c r="G60" s="24" t="s">
        <v>36</v>
      </c>
      <c r="H60" s="25" t="s">
        <v>59</v>
      </c>
      <c r="I60" s="25" t="s">
        <v>59</v>
      </c>
      <c r="J60" s="12"/>
      <c r="K60" s="24" t="s">
        <v>97</v>
      </c>
      <c r="L60" s="25" t="s">
        <v>317</v>
      </c>
      <c r="M60" s="25" t="s">
        <v>317</v>
      </c>
      <c r="N60" s="12"/>
      <c r="O60" s="31" t="str">
        <f>"380,0"</f>
        <v>380,0</v>
      </c>
      <c r="P60" s="12" t="str">
        <f>"243,2760"</f>
        <v>243,2760</v>
      </c>
      <c r="Q60" s="11"/>
    </row>
    <row r="61" spans="1:17">
      <c r="A61" s="12" t="s">
        <v>415</v>
      </c>
      <c r="B61" s="11" t="s">
        <v>1205</v>
      </c>
      <c r="C61" s="11" t="s">
        <v>1206</v>
      </c>
      <c r="D61" s="11" t="s">
        <v>683</v>
      </c>
      <c r="E61" s="11" t="s">
        <v>3751</v>
      </c>
      <c r="F61" s="11" t="s">
        <v>3509</v>
      </c>
      <c r="G61" s="24" t="s">
        <v>77</v>
      </c>
      <c r="H61" s="24" t="s">
        <v>521</v>
      </c>
      <c r="I61" s="25" t="s">
        <v>85</v>
      </c>
      <c r="J61" s="12"/>
      <c r="K61" s="24" t="s">
        <v>133</v>
      </c>
      <c r="L61" s="24" t="s">
        <v>691</v>
      </c>
      <c r="M61" s="25" t="s">
        <v>170</v>
      </c>
      <c r="N61" s="12"/>
      <c r="O61" s="31" t="str">
        <f>"375,0"</f>
        <v>375,0</v>
      </c>
      <c r="P61" s="12" t="str">
        <f>"241,3500"</f>
        <v>241,3500</v>
      </c>
      <c r="Q61" s="11" t="s">
        <v>1207</v>
      </c>
    </row>
    <row r="62" spans="1:17">
      <c r="A62" s="12" t="s">
        <v>416</v>
      </c>
      <c r="B62" s="11" t="s">
        <v>1203</v>
      </c>
      <c r="C62" s="11" t="s">
        <v>1204</v>
      </c>
      <c r="D62" s="11" t="s">
        <v>1192</v>
      </c>
      <c r="E62" s="11" t="s">
        <v>3751</v>
      </c>
      <c r="F62" s="11" t="s">
        <v>3509</v>
      </c>
      <c r="G62" s="24" t="s">
        <v>85</v>
      </c>
      <c r="H62" s="25" t="s">
        <v>25</v>
      </c>
      <c r="I62" s="25" t="s">
        <v>25</v>
      </c>
      <c r="J62" s="12"/>
      <c r="K62" s="24" t="s">
        <v>97</v>
      </c>
      <c r="L62" s="24" t="s">
        <v>87</v>
      </c>
      <c r="M62" s="25" t="s">
        <v>154</v>
      </c>
      <c r="N62" s="12"/>
      <c r="O62" s="31" t="str">
        <f>"370,0"</f>
        <v>370,0</v>
      </c>
      <c r="P62" s="12" t="str">
        <f>"237,9840"</f>
        <v>237,9840</v>
      </c>
      <c r="Q62" s="11" t="s">
        <v>3340</v>
      </c>
    </row>
    <row r="63" spans="1:17">
      <c r="A63" s="12" t="s">
        <v>417</v>
      </c>
      <c r="B63" s="11" t="s">
        <v>2986</v>
      </c>
      <c r="C63" s="11" t="s">
        <v>2987</v>
      </c>
      <c r="D63" s="11" t="s">
        <v>2988</v>
      </c>
      <c r="E63" s="11" t="s">
        <v>3751</v>
      </c>
      <c r="F63" s="11" t="s">
        <v>3631</v>
      </c>
      <c r="G63" s="24" t="s">
        <v>248</v>
      </c>
      <c r="H63" s="24" t="s">
        <v>253</v>
      </c>
      <c r="I63" s="24" t="s">
        <v>26</v>
      </c>
      <c r="J63" s="12"/>
      <c r="K63" s="24" t="s">
        <v>83</v>
      </c>
      <c r="L63" s="25" t="s">
        <v>97</v>
      </c>
      <c r="M63" s="25" t="s">
        <v>97</v>
      </c>
      <c r="N63" s="12"/>
      <c r="O63" s="31" t="str">
        <f>"362,5"</f>
        <v>362,5</v>
      </c>
      <c r="P63" s="12" t="str">
        <f>"237,0750"</f>
        <v>237,0750</v>
      </c>
      <c r="Q63" s="11"/>
    </row>
    <row r="64" spans="1:17">
      <c r="A64" s="12" t="s">
        <v>1364</v>
      </c>
      <c r="B64" s="11" t="s">
        <v>1211</v>
      </c>
      <c r="C64" s="11" t="s">
        <v>1212</v>
      </c>
      <c r="D64" s="11" t="s">
        <v>152</v>
      </c>
      <c r="E64" s="11" t="s">
        <v>3751</v>
      </c>
      <c r="F64" s="11" t="s">
        <v>3543</v>
      </c>
      <c r="G64" s="25" t="s">
        <v>25</v>
      </c>
      <c r="H64" s="24" t="s">
        <v>25</v>
      </c>
      <c r="I64" s="25" t="s">
        <v>35</v>
      </c>
      <c r="J64" s="12"/>
      <c r="K64" s="24" t="s">
        <v>68</v>
      </c>
      <c r="L64" s="25" t="s">
        <v>86</v>
      </c>
      <c r="M64" s="25" t="s">
        <v>86</v>
      </c>
      <c r="N64" s="12"/>
      <c r="O64" s="31" t="str">
        <f>"360,0"</f>
        <v>360,0</v>
      </c>
      <c r="P64" s="12" t="str">
        <f>"229,8240"</f>
        <v>229,8240</v>
      </c>
      <c r="Q64" s="11" t="s">
        <v>1088</v>
      </c>
    </row>
    <row r="65" spans="1:17">
      <c r="A65" s="12" t="s">
        <v>412</v>
      </c>
      <c r="B65" s="11" t="s">
        <v>2238</v>
      </c>
      <c r="C65" s="11" t="s">
        <v>2239</v>
      </c>
      <c r="D65" s="11" t="s">
        <v>2198</v>
      </c>
      <c r="E65" s="11" t="s">
        <v>3751</v>
      </c>
      <c r="F65" s="11" t="s">
        <v>3632</v>
      </c>
      <c r="G65" s="25" t="s">
        <v>59</v>
      </c>
      <c r="H65" s="25" t="s">
        <v>59</v>
      </c>
      <c r="I65" s="25" t="s">
        <v>59</v>
      </c>
      <c r="J65" s="12"/>
      <c r="K65" s="12"/>
      <c r="L65" s="12"/>
      <c r="M65" s="25"/>
      <c r="N65" s="12"/>
      <c r="O65" s="31">
        <v>0</v>
      </c>
      <c r="P65" s="12" t="str">
        <f>"0,0000"</f>
        <v>0,0000</v>
      </c>
      <c r="Q65" s="11" t="s">
        <v>3341</v>
      </c>
    </row>
    <row r="66" spans="1:17">
      <c r="A66" s="12" t="s">
        <v>408</v>
      </c>
      <c r="B66" s="11" t="s">
        <v>1239</v>
      </c>
      <c r="C66" s="11" t="s">
        <v>1240</v>
      </c>
      <c r="D66" s="11" t="s">
        <v>152</v>
      </c>
      <c r="E66" s="11" t="s">
        <v>3753</v>
      </c>
      <c r="F66" s="11" t="s">
        <v>3560</v>
      </c>
      <c r="G66" s="24" t="s">
        <v>35</v>
      </c>
      <c r="H66" s="25" t="s">
        <v>46</v>
      </c>
      <c r="I66" s="25" t="s">
        <v>46</v>
      </c>
      <c r="J66" s="12"/>
      <c r="K66" s="25" t="s">
        <v>97</v>
      </c>
      <c r="L66" s="24" t="s">
        <v>97</v>
      </c>
      <c r="M66" s="24" t="s">
        <v>86</v>
      </c>
      <c r="N66" s="12"/>
      <c r="O66" s="31" t="str">
        <f>"375,0"</f>
        <v>375,0</v>
      </c>
      <c r="P66" s="12" t="str">
        <f>"246,1032"</f>
        <v>246,1032</v>
      </c>
      <c r="Q66" s="11" t="s">
        <v>1241</v>
      </c>
    </row>
    <row r="67" spans="1:17">
      <c r="A67" s="12" t="s">
        <v>410</v>
      </c>
      <c r="B67" s="11" t="s">
        <v>1231</v>
      </c>
      <c r="C67" s="11" t="s">
        <v>1232</v>
      </c>
      <c r="D67" s="11" t="s">
        <v>1233</v>
      </c>
      <c r="E67" s="11" t="s">
        <v>3753</v>
      </c>
      <c r="F67" s="11" t="s">
        <v>3523</v>
      </c>
      <c r="G67" s="24" t="s">
        <v>76</v>
      </c>
      <c r="H67" s="25" t="s">
        <v>77</v>
      </c>
      <c r="I67" s="24" t="s">
        <v>77</v>
      </c>
      <c r="J67" s="12"/>
      <c r="K67" s="24" t="s">
        <v>71</v>
      </c>
      <c r="L67" s="24" t="s">
        <v>83</v>
      </c>
      <c r="M67" s="25" t="s">
        <v>288</v>
      </c>
      <c r="N67" s="12"/>
      <c r="O67" s="31" t="str">
        <f>"335,0"</f>
        <v>335,0</v>
      </c>
      <c r="P67" s="12" t="str">
        <f>"222,7106"</f>
        <v>222,7106</v>
      </c>
      <c r="Q67" s="11" t="s">
        <v>779</v>
      </c>
    </row>
    <row r="68" spans="1:17">
      <c r="A68" s="12" t="s">
        <v>411</v>
      </c>
      <c r="B68" s="11" t="s">
        <v>2256</v>
      </c>
      <c r="C68" s="11" t="s">
        <v>2257</v>
      </c>
      <c r="D68" s="11" t="s">
        <v>2258</v>
      </c>
      <c r="E68" s="11" t="s">
        <v>3753</v>
      </c>
      <c r="F68" s="11" t="s">
        <v>3633</v>
      </c>
      <c r="G68" s="25" t="s">
        <v>45</v>
      </c>
      <c r="H68" s="25" t="s">
        <v>45</v>
      </c>
      <c r="I68" s="24" t="s">
        <v>45</v>
      </c>
      <c r="J68" s="12"/>
      <c r="K68" s="25" t="s">
        <v>39</v>
      </c>
      <c r="L68" s="24" t="s">
        <v>39</v>
      </c>
      <c r="M68" s="24" t="s">
        <v>132</v>
      </c>
      <c r="N68" s="12"/>
      <c r="O68" s="31" t="str">
        <f>"270,0"</f>
        <v>270,0</v>
      </c>
      <c r="P68" s="12" t="str">
        <f>"193,0601"</f>
        <v>193,0601</v>
      </c>
      <c r="Q68" s="11"/>
    </row>
    <row r="69" spans="1:17">
      <c r="A69" s="14" t="s">
        <v>408</v>
      </c>
      <c r="B69" s="13" t="s">
        <v>2989</v>
      </c>
      <c r="C69" s="13" t="s">
        <v>2990</v>
      </c>
      <c r="D69" s="13" t="s">
        <v>191</v>
      </c>
      <c r="E69" s="13" t="s">
        <v>3757</v>
      </c>
      <c r="F69" s="13" t="s">
        <v>3513</v>
      </c>
      <c r="G69" s="26" t="s">
        <v>435</v>
      </c>
      <c r="H69" s="26" t="s">
        <v>69</v>
      </c>
      <c r="I69" s="27" t="s">
        <v>39</v>
      </c>
      <c r="J69" s="14"/>
      <c r="K69" s="26" t="s">
        <v>45</v>
      </c>
      <c r="L69" s="26" t="s">
        <v>36</v>
      </c>
      <c r="M69" s="26" t="s">
        <v>40</v>
      </c>
      <c r="N69" s="14"/>
      <c r="O69" s="32" t="str">
        <f>"275,0"</f>
        <v>275,0</v>
      </c>
      <c r="P69" s="14" t="str">
        <f>"265,1667"</f>
        <v>265,1667</v>
      </c>
      <c r="Q69" s="13"/>
    </row>
    <row r="70" spans="1:17">
      <c r="B70" s="5" t="s">
        <v>409</v>
      </c>
    </row>
    <row r="71" spans="1:17" ht="16">
      <c r="A71" s="57" t="s">
        <v>195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</row>
    <row r="72" spans="1:17">
      <c r="A72" s="10" t="s">
        <v>408</v>
      </c>
      <c r="B72" s="9" t="s">
        <v>1260</v>
      </c>
      <c r="C72" s="9" t="s">
        <v>1261</v>
      </c>
      <c r="D72" s="9" t="s">
        <v>512</v>
      </c>
      <c r="E72" s="9" t="s">
        <v>3751</v>
      </c>
      <c r="F72" s="9" t="s">
        <v>262</v>
      </c>
      <c r="G72" s="23" t="s">
        <v>187</v>
      </c>
      <c r="H72" s="23" t="s">
        <v>28</v>
      </c>
      <c r="I72" s="22" t="s">
        <v>113</v>
      </c>
      <c r="J72" s="10"/>
      <c r="K72" s="23" t="s">
        <v>205</v>
      </c>
      <c r="L72" s="23" t="s">
        <v>110</v>
      </c>
      <c r="M72" s="22" t="s">
        <v>767</v>
      </c>
      <c r="N72" s="10"/>
      <c r="O72" s="30" t="str">
        <f>"450,0"</f>
        <v>450,0</v>
      </c>
      <c r="P72" s="10" t="str">
        <f>"273,9600"</f>
        <v>273,9600</v>
      </c>
      <c r="Q72" s="9" t="s">
        <v>3342</v>
      </c>
    </row>
    <row r="73" spans="1:17">
      <c r="A73" s="12" t="s">
        <v>410</v>
      </c>
      <c r="B73" s="11" t="s">
        <v>2859</v>
      </c>
      <c r="C73" s="11" t="s">
        <v>176</v>
      </c>
      <c r="D73" s="11" t="s">
        <v>241</v>
      </c>
      <c r="E73" s="9" t="s">
        <v>3751</v>
      </c>
      <c r="F73" s="11" t="s">
        <v>3545</v>
      </c>
      <c r="G73" s="24" t="s">
        <v>85</v>
      </c>
      <c r="H73" s="24" t="s">
        <v>25</v>
      </c>
      <c r="I73" s="24" t="s">
        <v>35</v>
      </c>
      <c r="J73" s="12"/>
      <c r="K73" s="24" t="s">
        <v>120</v>
      </c>
      <c r="L73" s="25" t="s">
        <v>337</v>
      </c>
      <c r="M73" s="24" t="s">
        <v>337</v>
      </c>
      <c r="N73" s="12"/>
      <c r="O73" s="31" t="str">
        <f>"442,5"</f>
        <v>442,5</v>
      </c>
      <c r="P73" s="12" t="str">
        <f>"272,3587"</f>
        <v>272,3587</v>
      </c>
      <c r="Q73" s="11" t="s">
        <v>2860</v>
      </c>
    </row>
    <row r="74" spans="1:17">
      <c r="A74" s="12" t="s">
        <v>411</v>
      </c>
      <c r="B74" s="11" t="s">
        <v>3345</v>
      </c>
      <c r="C74" s="11" t="s">
        <v>2991</v>
      </c>
      <c r="D74" s="11" t="s">
        <v>2992</v>
      </c>
      <c r="E74" s="9" t="s">
        <v>3751</v>
      </c>
      <c r="F74" s="11" t="s">
        <v>2993</v>
      </c>
      <c r="G74" s="24" t="s">
        <v>37</v>
      </c>
      <c r="H74" s="24" t="s">
        <v>61</v>
      </c>
      <c r="I74" s="24" t="s">
        <v>113</v>
      </c>
      <c r="J74" s="12"/>
      <c r="K74" s="24" t="s">
        <v>317</v>
      </c>
      <c r="L74" s="24" t="s">
        <v>99</v>
      </c>
      <c r="M74" s="24" t="s">
        <v>154</v>
      </c>
      <c r="N74" s="12"/>
      <c r="O74" s="31" t="str">
        <f>"427,5"</f>
        <v>427,5</v>
      </c>
      <c r="P74" s="12" t="str">
        <f>"265,5203"</f>
        <v>265,5203</v>
      </c>
      <c r="Q74" s="11"/>
    </row>
    <row r="75" spans="1:17">
      <c r="A75" s="12" t="s">
        <v>413</v>
      </c>
      <c r="B75" s="11" t="s">
        <v>510</v>
      </c>
      <c r="C75" s="11" t="s">
        <v>511</v>
      </c>
      <c r="D75" s="11" t="s">
        <v>512</v>
      </c>
      <c r="E75" s="9" t="s">
        <v>3751</v>
      </c>
      <c r="F75" s="11" t="s">
        <v>3608</v>
      </c>
      <c r="G75" s="24" t="s">
        <v>46</v>
      </c>
      <c r="H75" s="24" t="s">
        <v>47</v>
      </c>
      <c r="I75" s="24" t="s">
        <v>187</v>
      </c>
      <c r="J75" s="12"/>
      <c r="K75" s="24" t="s">
        <v>98</v>
      </c>
      <c r="L75" s="24" t="s">
        <v>133</v>
      </c>
      <c r="M75" s="25" t="s">
        <v>134</v>
      </c>
      <c r="N75" s="12"/>
      <c r="O75" s="31" t="str">
        <f>"407,5"</f>
        <v>407,5</v>
      </c>
      <c r="P75" s="12" t="str">
        <f>"248,0860"</f>
        <v>248,0860</v>
      </c>
      <c r="Q75" s="11"/>
    </row>
    <row r="76" spans="1:17">
      <c r="A76" s="12" t="s">
        <v>414</v>
      </c>
      <c r="B76" s="11" t="s">
        <v>2994</v>
      </c>
      <c r="C76" s="11" t="s">
        <v>2995</v>
      </c>
      <c r="D76" s="11" t="s">
        <v>234</v>
      </c>
      <c r="E76" s="9" t="s">
        <v>3751</v>
      </c>
      <c r="F76" s="11" t="s">
        <v>3545</v>
      </c>
      <c r="G76" s="25" t="s">
        <v>25</v>
      </c>
      <c r="H76" s="24" t="s">
        <v>25</v>
      </c>
      <c r="I76" s="24" t="s">
        <v>253</v>
      </c>
      <c r="J76" s="12"/>
      <c r="K76" s="25" t="s">
        <v>98</v>
      </c>
      <c r="L76" s="25" t="s">
        <v>154</v>
      </c>
      <c r="M76" s="24" t="s">
        <v>205</v>
      </c>
      <c r="N76" s="12"/>
      <c r="O76" s="31" t="str">
        <f>"402,5"</f>
        <v>402,5</v>
      </c>
      <c r="P76" s="12" t="str">
        <f>"244,9615"</f>
        <v>244,9615</v>
      </c>
      <c r="Q76" s="11" t="s">
        <v>1098</v>
      </c>
    </row>
    <row r="77" spans="1:17">
      <c r="A77" s="12" t="s">
        <v>415</v>
      </c>
      <c r="B77" s="11" t="s">
        <v>1679</v>
      </c>
      <c r="C77" s="11" t="s">
        <v>2861</v>
      </c>
      <c r="D77" s="11" t="s">
        <v>1624</v>
      </c>
      <c r="E77" s="9" t="s">
        <v>3751</v>
      </c>
      <c r="F77" s="11" t="s">
        <v>3528</v>
      </c>
      <c r="G77" s="24" t="s">
        <v>85</v>
      </c>
      <c r="H77" s="24" t="s">
        <v>25</v>
      </c>
      <c r="I77" s="24" t="s">
        <v>35</v>
      </c>
      <c r="J77" s="12"/>
      <c r="K77" s="24" t="s">
        <v>98</v>
      </c>
      <c r="L77" s="24" t="s">
        <v>1681</v>
      </c>
      <c r="M77" s="25" t="s">
        <v>1682</v>
      </c>
      <c r="N77" s="12"/>
      <c r="O77" s="31" t="str">
        <f>"395,5"</f>
        <v>395,5</v>
      </c>
      <c r="P77" s="12" t="str">
        <f>"243,8653"</f>
        <v>243,8653</v>
      </c>
      <c r="Q77" s="11"/>
    </row>
    <row r="78" spans="1:17">
      <c r="A78" s="12" t="s">
        <v>416</v>
      </c>
      <c r="B78" s="11" t="s">
        <v>1275</v>
      </c>
      <c r="C78" s="11" t="s">
        <v>1276</v>
      </c>
      <c r="D78" s="11" t="s">
        <v>524</v>
      </c>
      <c r="E78" s="9" t="s">
        <v>3751</v>
      </c>
      <c r="F78" s="11" t="s">
        <v>3509</v>
      </c>
      <c r="G78" s="24" t="s">
        <v>35</v>
      </c>
      <c r="H78" s="24" t="s">
        <v>36</v>
      </c>
      <c r="I78" s="24" t="s">
        <v>59</v>
      </c>
      <c r="J78" s="12"/>
      <c r="K78" s="24" t="s">
        <v>309</v>
      </c>
      <c r="L78" s="24" t="s">
        <v>289</v>
      </c>
      <c r="M78" s="24" t="s">
        <v>98</v>
      </c>
      <c r="N78" s="12"/>
      <c r="O78" s="31" t="str">
        <f>"395,0"</f>
        <v>395,0</v>
      </c>
      <c r="P78" s="12" t="str">
        <f>"242,3720"</f>
        <v>242,3720</v>
      </c>
      <c r="Q78" s="11"/>
    </row>
    <row r="79" spans="1:17">
      <c r="A79" s="12" t="s">
        <v>417</v>
      </c>
      <c r="B79" s="11" t="s">
        <v>513</v>
      </c>
      <c r="C79" s="11" t="s">
        <v>514</v>
      </c>
      <c r="D79" s="11" t="s">
        <v>515</v>
      </c>
      <c r="E79" s="9" t="s">
        <v>3751</v>
      </c>
      <c r="F79" s="11" t="s">
        <v>3523</v>
      </c>
      <c r="G79" s="24" t="s">
        <v>45</v>
      </c>
      <c r="H79" s="25" t="s">
        <v>25</v>
      </c>
      <c r="I79" s="24" t="s">
        <v>25</v>
      </c>
      <c r="J79" s="12"/>
      <c r="K79" s="24" t="s">
        <v>86</v>
      </c>
      <c r="L79" s="24" t="s">
        <v>87</v>
      </c>
      <c r="M79" s="24" t="s">
        <v>133</v>
      </c>
      <c r="N79" s="12"/>
      <c r="O79" s="31" t="str">
        <f>"385,0"</f>
        <v>385,0</v>
      </c>
      <c r="P79" s="12" t="str">
        <f>"237,6990"</f>
        <v>237,6990</v>
      </c>
      <c r="Q79" s="11"/>
    </row>
    <row r="80" spans="1:17">
      <c r="A80" s="12" t="s">
        <v>408</v>
      </c>
      <c r="B80" s="11" t="s">
        <v>2996</v>
      </c>
      <c r="C80" s="11" t="s">
        <v>2997</v>
      </c>
      <c r="D80" s="11" t="s">
        <v>714</v>
      </c>
      <c r="E80" s="11" t="s">
        <v>3753</v>
      </c>
      <c r="F80" s="11" t="s">
        <v>3634</v>
      </c>
      <c r="G80" s="24" t="s">
        <v>248</v>
      </c>
      <c r="H80" s="24" t="s">
        <v>253</v>
      </c>
      <c r="I80" s="25" t="s">
        <v>26</v>
      </c>
      <c r="J80" s="12"/>
      <c r="K80" s="25" t="s">
        <v>68</v>
      </c>
      <c r="L80" s="24" t="s">
        <v>289</v>
      </c>
      <c r="M80" s="25" t="s">
        <v>317</v>
      </c>
      <c r="N80" s="12"/>
      <c r="O80" s="31" t="str">
        <f>"370,0"</f>
        <v>370,0</v>
      </c>
      <c r="P80" s="12" t="str">
        <f>"243,5439"</f>
        <v>243,5439</v>
      </c>
      <c r="Q80" s="11"/>
    </row>
    <row r="81" spans="1:17">
      <c r="A81" s="12" t="s">
        <v>410</v>
      </c>
      <c r="B81" s="11" t="s">
        <v>525</v>
      </c>
      <c r="C81" s="11" t="s">
        <v>526</v>
      </c>
      <c r="D81" s="11" t="s">
        <v>244</v>
      </c>
      <c r="E81" s="11" t="s">
        <v>3753</v>
      </c>
      <c r="F81" s="11" t="s">
        <v>3571</v>
      </c>
      <c r="G81" s="24" t="s">
        <v>85</v>
      </c>
      <c r="H81" s="24" t="s">
        <v>45</v>
      </c>
      <c r="I81" s="24" t="s">
        <v>248</v>
      </c>
      <c r="J81" s="12"/>
      <c r="K81" s="24" t="s">
        <v>71</v>
      </c>
      <c r="L81" s="24" t="s">
        <v>68</v>
      </c>
      <c r="M81" s="25" t="s">
        <v>289</v>
      </c>
      <c r="N81" s="12"/>
      <c r="O81" s="31" t="str">
        <f>"357,5"</f>
        <v>357,5</v>
      </c>
      <c r="P81" s="12" t="str">
        <f>"231,7658"</f>
        <v>231,7658</v>
      </c>
      <c r="Q81" s="11" t="s">
        <v>3343</v>
      </c>
    </row>
    <row r="82" spans="1:17">
      <c r="A82" s="12" t="s">
        <v>408</v>
      </c>
      <c r="B82" s="11" t="s">
        <v>1679</v>
      </c>
      <c r="C82" s="11" t="s">
        <v>1680</v>
      </c>
      <c r="D82" s="11" t="s">
        <v>1624</v>
      </c>
      <c r="E82" s="11" t="s">
        <v>3756</v>
      </c>
      <c r="F82" s="11" t="s">
        <v>3528</v>
      </c>
      <c r="G82" s="24" t="s">
        <v>85</v>
      </c>
      <c r="H82" s="24" t="s">
        <v>25</v>
      </c>
      <c r="I82" s="24" t="s">
        <v>35</v>
      </c>
      <c r="J82" s="12"/>
      <c r="K82" s="24" t="s">
        <v>98</v>
      </c>
      <c r="L82" s="24" t="s">
        <v>1681</v>
      </c>
      <c r="M82" s="25" t="s">
        <v>1682</v>
      </c>
      <c r="N82" s="12"/>
      <c r="O82" s="31" t="str">
        <f>"395,5"</f>
        <v>395,5</v>
      </c>
      <c r="P82" s="12" t="str">
        <f>"310,4405"</f>
        <v>310,4405</v>
      </c>
      <c r="Q82" s="11"/>
    </row>
    <row r="83" spans="1:17">
      <c r="A83" s="14" t="s">
        <v>410</v>
      </c>
      <c r="B83" s="13" t="s">
        <v>2336</v>
      </c>
      <c r="C83" s="13" t="s">
        <v>2337</v>
      </c>
      <c r="D83" s="13" t="s">
        <v>1617</v>
      </c>
      <c r="E83" s="13" t="s">
        <v>3756</v>
      </c>
      <c r="F83" s="13" t="s">
        <v>3562</v>
      </c>
      <c r="G83" s="26" t="s">
        <v>59</v>
      </c>
      <c r="H83" s="27" t="s">
        <v>226</v>
      </c>
      <c r="I83" s="27" t="s">
        <v>226</v>
      </c>
      <c r="J83" s="14"/>
      <c r="K83" s="26" t="s">
        <v>68</v>
      </c>
      <c r="L83" s="26" t="s">
        <v>317</v>
      </c>
      <c r="M83" s="27" t="s">
        <v>2998</v>
      </c>
      <c r="N83" s="14"/>
      <c r="O83" s="32" t="str">
        <f>"392,5"</f>
        <v>392,5</v>
      </c>
      <c r="P83" s="14" t="str">
        <f>"279,2206"</f>
        <v>279,2206</v>
      </c>
      <c r="Q83" s="13" t="s">
        <v>2338</v>
      </c>
    </row>
    <row r="84" spans="1:17">
      <c r="B84" s="5" t="s">
        <v>409</v>
      </c>
    </row>
    <row r="85" spans="1:17" ht="16">
      <c r="A85" s="57" t="s">
        <v>280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</row>
    <row r="86" spans="1:17">
      <c r="A86" s="10" t="s">
        <v>408</v>
      </c>
      <c r="B86" s="9" t="s">
        <v>2999</v>
      </c>
      <c r="C86" s="9" t="s">
        <v>2401</v>
      </c>
      <c r="D86" s="9" t="s">
        <v>3000</v>
      </c>
      <c r="E86" s="9" t="s">
        <v>3751</v>
      </c>
      <c r="F86" s="9" t="s">
        <v>3635</v>
      </c>
      <c r="G86" s="23" t="s">
        <v>37</v>
      </c>
      <c r="H86" s="23" t="s">
        <v>28</v>
      </c>
      <c r="I86" s="22" t="s">
        <v>113</v>
      </c>
      <c r="J86" s="10"/>
      <c r="K86" s="23" t="s">
        <v>86</v>
      </c>
      <c r="L86" s="23" t="s">
        <v>133</v>
      </c>
      <c r="M86" s="22" t="s">
        <v>205</v>
      </c>
      <c r="N86" s="10"/>
      <c r="O86" s="30" t="str">
        <f>"415,0"</f>
        <v>415,0</v>
      </c>
      <c r="P86" s="10" t="str">
        <f>"243,4805"</f>
        <v>243,4805</v>
      </c>
      <c r="Q86" s="9" t="s">
        <v>3001</v>
      </c>
    </row>
    <row r="87" spans="1:17">
      <c r="A87" s="12" t="s">
        <v>410</v>
      </c>
      <c r="B87" s="11" t="s">
        <v>1317</v>
      </c>
      <c r="C87" s="11" t="s">
        <v>1318</v>
      </c>
      <c r="D87" s="11" t="s">
        <v>287</v>
      </c>
      <c r="E87" s="11" t="s">
        <v>3751</v>
      </c>
      <c r="F87" s="11" t="s">
        <v>3564</v>
      </c>
      <c r="G87" s="24" t="s">
        <v>46</v>
      </c>
      <c r="H87" s="24" t="s">
        <v>36</v>
      </c>
      <c r="I87" s="25" t="s">
        <v>37</v>
      </c>
      <c r="J87" s="12"/>
      <c r="K87" s="24" t="s">
        <v>71</v>
      </c>
      <c r="L87" s="24" t="s">
        <v>97</v>
      </c>
      <c r="M87" s="24" t="s">
        <v>691</v>
      </c>
      <c r="N87" s="12"/>
      <c r="O87" s="31" t="str">
        <f>"402,5"</f>
        <v>402,5</v>
      </c>
      <c r="P87" s="12" t="str">
        <f>"229,8275"</f>
        <v>229,8275</v>
      </c>
      <c r="Q87" s="11" t="s">
        <v>1274</v>
      </c>
    </row>
    <row r="88" spans="1:17">
      <c r="A88" s="12" t="s">
        <v>411</v>
      </c>
      <c r="B88" s="11" t="s">
        <v>3002</v>
      </c>
      <c r="C88" s="11" t="s">
        <v>3003</v>
      </c>
      <c r="D88" s="11" t="s">
        <v>1762</v>
      </c>
      <c r="E88" s="11" t="s">
        <v>3751</v>
      </c>
      <c r="F88" s="11" t="s">
        <v>3535</v>
      </c>
      <c r="G88" s="24" t="s">
        <v>54</v>
      </c>
      <c r="H88" s="24" t="s">
        <v>78</v>
      </c>
      <c r="I88" s="25" t="s">
        <v>76</v>
      </c>
      <c r="J88" s="12"/>
      <c r="K88" s="24" t="s">
        <v>37</v>
      </c>
      <c r="L88" s="24" t="s">
        <v>70</v>
      </c>
      <c r="M88" s="25" t="s">
        <v>66</v>
      </c>
      <c r="N88" s="12"/>
      <c r="O88" s="31" t="str">
        <f>"305,0"</f>
        <v>305,0</v>
      </c>
      <c r="P88" s="12" t="str">
        <f>"178,4250"</f>
        <v>178,4250</v>
      </c>
      <c r="Q88" s="11" t="s">
        <v>2860</v>
      </c>
    </row>
    <row r="89" spans="1:17">
      <c r="A89" s="12" t="s">
        <v>412</v>
      </c>
      <c r="B89" s="11" t="s">
        <v>3004</v>
      </c>
      <c r="C89" s="11" t="s">
        <v>3005</v>
      </c>
      <c r="D89" s="11" t="s">
        <v>3006</v>
      </c>
      <c r="E89" s="11" t="s">
        <v>3751</v>
      </c>
      <c r="F89" s="11" t="s">
        <v>3572</v>
      </c>
      <c r="G89" s="24" t="s">
        <v>40</v>
      </c>
      <c r="H89" s="24" t="s">
        <v>70</v>
      </c>
      <c r="I89" s="25" t="s">
        <v>66</v>
      </c>
      <c r="J89" s="12"/>
      <c r="K89" s="25"/>
      <c r="L89" s="12"/>
      <c r="M89" s="12"/>
      <c r="N89" s="12"/>
      <c r="O89" s="31">
        <v>0</v>
      </c>
      <c r="P89" s="12" t="str">
        <f>"0,0000"</f>
        <v>0,0000</v>
      </c>
      <c r="Q89" s="11" t="s">
        <v>2243</v>
      </c>
    </row>
    <row r="90" spans="1:17">
      <c r="A90" s="14" t="s">
        <v>412</v>
      </c>
      <c r="B90" s="13" t="s">
        <v>3004</v>
      </c>
      <c r="C90" s="13" t="s">
        <v>3007</v>
      </c>
      <c r="D90" s="13" t="s">
        <v>3006</v>
      </c>
      <c r="E90" s="13" t="s">
        <v>3753</v>
      </c>
      <c r="F90" s="13" t="s">
        <v>3572</v>
      </c>
      <c r="G90" s="26" t="s">
        <v>40</v>
      </c>
      <c r="H90" s="26" t="s">
        <v>70</v>
      </c>
      <c r="I90" s="27" t="s">
        <v>66</v>
      </c>
      <c r="J90" s="14"/>
      <c r="K90" s="27"/>
      <c r="L90" s="14"/>
      <c r="M90" s="14"/>
      <c r="N90" s="14"/>
      <c r="O90" s="32">
        <v>0</v>
      </c>
      <c r="P90" s="14" t="str">
        <f>"0,0000"</f>
        <v>0,0000</v>
      </c>
      <c r="Q90" s="13" t="s">
        <v>2243</v>
      </c>
    </row>
    <row r="91" spans="1:17">
      <c r="B91" s="5" t="s">
        <v>409</v>
      </c>
    </row>
    <row r="92" spans="1:17" ht="16">
      <c r="A92" s="57" t="s">
        <v>328</v>
      </c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</row>
    <row r="93" spans="1:17">
      <c r="A93" s="8" t="s">
        <v>408</v>
      </c>
      <c r="B93" s="7" t="s">
        <v>1326</v>
      </c>
      <c r="C93" s="7" t="s">
        <v>1327</v>
      </c>
      <c r="D93" s="7" t="s">
        <v>1328</v>
      </c>
      <c r="E93" s="7" t="s">
        <v>3751</v>
      </c>
      <c r="F93" s="7" t="s">
        <v>3523</v>
      </c>
      <c r="G93" s="20" t="s">
        <v>36</v>
      </c>
      <c r="H93" s="20" t="s">
        <v>37</v>
      </c>
      <c r="I93" s="8"/>
      <c r="J93" s="8"/>
      <c r="K93" s="20" t="s">
        <v>133</v>
      </c>
      <c r="L93" s="20" t="s">
        <v>134</v>
      </c>
      <c r="M93" s="8"/>
      <c r="N93" s="8"/>
      <c r="O93" s="29" t="str">
        <f>"420,0"</f>
        <v>420,0</v>
      </c>
      <c r="P93" s="8" t="str">
        <f>"239,3160"</f>
        <v>239,3160</v>
      </c>
      <c r="Q93" s="7" t="s">
        <v>1329</v>
      </c>
    </row>
    <row r="94" spans="1:17">
      <c r="B94" s="5" t="s">
        <v>409</v>
      </c>
    </row>
    <row r="95" spans="1:17">
      <c r="B95" s="5" t="s">
        <v>409</v>
      </c>
    </row>
    <row r="96" spans="1:17">
      <c r="B96" s="5" t="s">
        <v>409</v>
      </c>
    </row>
    <row r="97" spans="2:6" ht="18">
      <c r="B97" s="15" t="s">
        <v>365</v>
      </c>
      <c r="C97" s="15"/>
      <c r="F97" s="3"/>
    </row>
    <row r="98" spans="2:6" ht="16">
      <c r="B98" s="16" t="s">
        <v>385</v>
      </c>
      <c r="C98" s="16"/>
      <c r="F98" s="3"/>
    </row>
    <row r="99" spans="2:6" ht="14">
      <c r="B99" s="17"/>
      <c r="C99" s="18" t="s">
        <v>367</v>
      </c>
      <c r="F99" s="3"/>
    </row>
    <row r="100" spans="2:6" ht="14">
      <c r="B100" s="19" t="s">
        <v>368</v>
      </c>
      <c r="C100" s="19" t="s">
        <v>369</v>
      </c>
      <c r="D100" s="19" t="s">
        <v>3230</v>
      </c>
      <c r="E100" s="19" t="s">
        <v>371</v>
      </c>
      <c r="F100" s="19" t="s">
        <v>372</v>
      </c>
    </row>
    <row r="101" spans="2:6">
      <c r="B101" s="5" t="s">
        <v>2801</v>
      </c>
      <c r="C101" s="5" t="s">
        <v>367</v>
      </c>
      <c r="D101" s="6" t="s">
        <v>569</v>
      </c>
      <c r="E101" s="6" t="s">
        <v>264</v>
      </c>
      <c r="F101" s="6" t="s">
        <v>3008</v>
      </c>
    </row>
    <row r="102" spans="2:6">
      <c r="B102" s="5" t="s">
        <v>1121</v>
      </c>
      <c r="C102" s="5" t="s">
        <v>367</v>
      </c>
      <c r="D102" s="6" t="s">
        <v>373</v>
      </c>
      <c r="E102" s="6" t="s">
        <v>377</v>
      </c>
      <c r="F102" s="6" t="s">
        <v>3009</v>
      </c>
    </row>
    <row r="103" spans="2:6">
      <c r="B103" s="5" t="s">
        <v>491</v>
      </c>
      <c r="C103" s="5" t="s">
        <v>367</v>
      </c>
      <c r="D103" s="6" t="s">
        <v>394</v>
      </c>
      <c r="E103" s="6" t="s">
        <v>3010</v>
      </c>
      <c r="F103" s="6" t="s">
        <v>3011</v>
      </c>
    </row>
    <row r="105" spans="2:6" ht="14">
      <c r="B105" s="17"/>
      <c r="C105" s="18" t="s">
        <v>382</v>
      </c>
    </row>
    <row r="106" spans="2:6" ht="14">
      <c r="B106" s="19" t="s">
        <v>368</v>
      </c>
      <c r="C106" s="19" t="s">
        <v>369</v>
      </c>
      <c r="D106" s="19" t="s">
        <v>3230</v>
      </c>
      <c r="E106" s="19" t="s">
        <v>371</v>
      </c>
      <c r="F106" s="19" t="s">
        <v>372</v>
      </c>
    </row>
    <row r="107" spans="2:6">
      <c r="B107" s="5" t="s">
        <v>1121</v>
      </c>
      <c r="C107" s="5" t="s">
        <v>1358</v>
      </c>
      <c r="D107" s="6" t="s">
        <v>373</v>
      </c>
      <c r="E107" s="6" t="s">
        <v>377</v>
      </c>
      <c r="F107" s="6" t="s">
        <v>3012</v>
      </c>
    </row>
    <row r="108" spans="2:6">
      <c r="B108" s="5" t="s">
        <v>1679</v>
      </c>
      <c r="C108" s="5" t="s">
        <v>1358</v>
      </c>
      <c r="D108" s="6" t="s">
        <v>390</v>
      </c>
      <c r="E108" s="6" t="s">
        <v>3013</v>
      </c>
      <c r="F108" s="6" t="s">
        <v>3014</v>
      </c>
    </row>
    <row r="109" spans="2:6">
      <c r="B109" s="5" t="s">
        <v>2336</v>
      </c>
      <c r="C109" s="5" t="s">
        <v>1358</v>
      </c>
      <c r="D109" s="6" t="s">
        <v>390</v>
      </c>
      <c r="E109" s="6" t="s">
        <v>570</v>
      </c>
      <c r="F109" s="6" t="s">
        <v>3015</v>
      </c>
    </row>
    <row r="110" spans="2:6">
      <c r="B110" s="5" t="s">
        <v>409</v>
      </c>
    </row>
  </sheetData>
  <mergeCells count="24">
    <mergeCell ref="A1:Q2"/>
    <mergeCell ref="A3:A4"/>
    <mergeCell ref="C3:C4"/>
    <mergeCell ref="D3:D4"/>
    <mergeCell ref="E3:E4"/>
    <mergeCell ref="F3:F4"/>
    <mergeCell ref="G3:J3"/>
    <mergeCell ref="K3:N3"/>
    <mergeCell ref="A27:N27"/>
    <mergeCell ref="A31:N31"/>
    <mergeCell ref="O3:O4"/>
    <mergeCell ref="P3:P4"/>
    <mergeCell ref="Q3:Q4"/>
    <mergeCell ref="A5:N5"/>
    <mergeCell ref="B3:B4"/>
    <mergeCell ref="A9:N9"/>
    <mergeCell ref="A13:N13"/>
    <mergeCell ref="A19:N19"/>
    <mergeCell ref="A22:N22"/>
    <mergeCell ref="A35:N35"/>
    <mergeCell ref="A54:N54"/>
    <mergeCell ref="A71:N71"/>
    <mergeCell ref="A85:N85"/>
    <mergeCell ref="A92:N9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94"/>
  <sheetViews>
    <sheetView workbookViewId="0">
      <selection activeCell="E78" sqref="E78"/>
    </sheetView>
  </sheetViews>
  <sheetFormatPr baseColWidth="10" defaultColWidth="9.1640625" defaultRowHeight="13"/>
  <cols>
    <col min="1" max="1" width="7.5" style="5" bestFit="1" customWidth="1"/>
    <col min="2" max="2" width="24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4.83203125" style="5" customWidth="1"/>
    <col min="7" max="14" width="5.5" style="6" customWidth="1"/>
    <col min="15" max="15" width="7.83203125" style="28" bestFit="1" customWidth="1"/>
    <col min="16" max="16" width="8.5" style="6" bestFit="1" customWidth="1"/>
    <col min="17" max="17" width="25.5" style="5" customWidth="1"/>
    <col min="18" max="16384" width="9.1640625" style="3"/>
  </cols>
  <sheetData>
    <row r="1" spans="1:17" s="2" customFormat="1" ht="29" customHeight="1">
      <c r="A1" s="68" t="s">
        <v>3294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2" t="s">
        <v>8</v>
      </c>
      <c r="L3" s="62"/>
      <c r="M3" s="62"/>
      <c r="N3" s="62"/>
      <c r="O3" s="60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1"/>
      <c r="P4" s="63"/>
      <c r="Q4" s="65"/>
    </row>
    <row r="5" spans="1:17" ht="16">
      <c r="A5" s="66" t="s">
        <v>31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10" t="s">
        <v>408</v>
      </c>
      <c r="B6" s="9" t="s">
        <v>1378</v>
      </c>
      <c r="C6" s="9" t="s">
        <v>1379</v>
      </c>
      <c r="D6" s="9" t="s">
        <v>34</v>
      </c>
      <c r="E6" s="9" t="s">
        <v>3751</v>
      </c>
      <c r="F6" s="9" t="s">
        <v>3509</v>
      </c>
      <c r="G6" s="23" t="s">
        <v>39</v>
      </c>
      <c r="H6" s="23" t="s">
        <v>106</v>
      </c>
      <c r="I6" s="22" t="s">
        <v>78</v>
      </c>
      <c r="J6" s="10"/>
      <c r="K6" s="23" t="s">
        <v>35</v>
      </c>
      <c r="L6" s="22" t="s">
        <v>59</v>
      </c>
      <c r="M6" s="22" t="s">
        <v>59</v>
      </c>
      <c r="N6" s="10"/>
      <c r="O6" s="30" t="str">
        <f>"260,0"</f>
        <v>260,0</v>
      </c>
      <c r="P6" s="10" t="str">
        <f>"289,8740"</f>
        <v>289,8740</v>
      </c>
      <c r="Q6" s="9" t="s">
        <v>1380</v>
      </c>
    </row>
    <row r="7" spans="1:17">
      <c r="A7" s="12" t="s">
        <v>410</v>
      </c>
      <c r="B7" s="11" t="s">
        <v>3334</v>
      </c>
      <c r="C7" s="11" t="s">
        <v>42</v>
      </c>
      <c r="D7" s="11" t="s">
        <v>43</v>
      </c>
      <c r="E7" s="11" t="s">
        <v>3751</v>
      </c>
      <c r="F7" s="11" t="s">
        <v>44</v>
      </c>
      <c r="G7" s="24" t="s">
        <v>15</v>
      </c>
      <c r="H7" s="25" t="s">
        <v>18</v>
      </c>
      <c r="I7" s="24" t="s">
        <v>18</v>
      </c>
      <c r="J7" s="12"/>
      <c r="K7" s="25" t="s">
        <v>46</v>
      </c>
      <c r="L7" s="24" t="s">
        <v>46</v>
      </c>
      <c r="M7" s="24" t="s">
        <v>47</v>
      </c>
      <c r="N7" s="12"/>
      <c r="O7" s="31" t="str">
        <f>"242,5"</f>
        <v>242,5</v>
      </c>
      <c r="P7" s="12" t="str">
        <f>"277,5898"</f>
        <v>277,5898</v>
      </c>
      <c r="Q7" s="11"/>
    </row>
    <row r="8" spans="1:17">
      <c r="A8" s="12" t="s">
        <v>411</v>
      </c>
      <c r="B8" s="11" t="s">
        <v>3352</v>
      </c>
      <c r="C8" s="11" t="s">
        <v>2920</v>
      </c>
      <c r="D8" s="11" t="s">
        <v>2921</v>
      </c>
      <c r="E8" s="11" t="s">
        <v>3751</v>
      </c>
      <c r="F8" s="11" t="s">
        <v>199</v>
      </c>
      <c r="G8" s="24" t="s">
        <v>855</v>
      </c>
      <c r="H8" s="24" t="s">
        <v>591</v>
      </c>
      <c r="I8" s="24" t="s">
        <v>14</v>
      </c>
      <c r="J8" s="12"/>
      <c r="K8" s="24" t="s">
        <v>106</v>
      </c>
      <c r="L8" s="25" t="s">
        <v>76</v>
      </c>
      <c r="M8" s="24" t="s">
        <v>77</v>
      </c>
      <c r="N8" s="12"/>
      <c r="O8" s="31" t="str">
        <f>"195,0"</f>
        <v>195,0</v>
      </c>
      <c r="P8" s="12" t="str">
        <f>"220,8375"</f>
        <v>220,8375</v>
      </c>
      <c r="Q8" s="11" t="s">
        <v>3349</v>
      </c>
    </row>
    <row r="9" spans="1:17">
      <c r="A9" s="14" t="s">
        <v>408</v>
      </c>
      <c r="B9" s="13" t="s">
        <v>2922</v>
      </c>
      <c r="C9" s="13" t="s">
        <v>2923</v>
      </c>
      <c r="D9" s="13" t="s">
        <v>919</v>
      </c>
      <c r="E9" s="13" t="s">
        <v>3757</v>
      </c>
      <c r="F9" s="13" t="s">
        <v>3553</v>
      </c>
      <c r="G9" s="26" t="s">
        <v>52</v>
      </c>
      <c r="H9" s="27" t="s">
        <v>53</v>
      </c>
      <c r="I9" s="27" t="s">
        <v>53</v>
      </c>
      <c r="J9" s="14"/>
      <c r="K9" s="26" t="s">
        <v>77</v>
      </c>
      <c r="L9" s="26" t="s">
        <v>132</v>
      </c>
      <c r="M9" s="26" t="s">
        <v>85</v>
      </c>
      <c r="N9" s="14"/>
      <c r="O9" s="32" t="str">
        <f>"190,0"</f>
        <v>190,0</v>
      </c>
      <c r="P9" s="14" t="str">
        <f>"301,4143"</f>
        <v>301,4143</v>
      </c>
      <c r="Q9" s="13" t="s">
        <v>3348</v>
      </c>
    </row>
    <row r="10" spans="1:17">
      <c r="B10" s="5" t="s">
        <v>409</v>
      </c>
    </row>
    <row r="11" spans="1:17" ht="16">
      <c r="A11" s="57" t="s">
        <v>93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7">
      <c r="A12" s="10" t="s">
        <v>408</v>
      </c>
      <c r="B12" s="9" t="s">
        <v>1485</v>
      </c>
      <c r="C12" s="9" t="s">
        <v>1486</v>
      </c>
      <c r="D12" s="9" t="s">
        <v>96</v>
      </c>
      <c r="E12" s="9" t="s">
        <v>3751</v>
      </c>
      <c r="F12" s="9" t="s">
        <v>3591</v>
      </c>
      <c r="G12" s="23" t="s">
        <v>54</v>
      </c>
      <c r="H12" s="23" t="s">
        <v>106</v>
      </c>
      <c r="I12" s="22" t="s">
        <v>76</v>
      </c>
      <c r="J12" s="10"/>
      <c r="K12" s="23" t="s">
        <v>45</v>
      </c>
      <c r="L12" s="23" t="s">
        <v>46</v>
      </c>
      <c r="M12" s="23" t="s">
        <v>59</v>
      </c>
      <c r="N12" s="10"/>
      <c r="O12" s="30" t="str">
        <f>"275,0"</f>
        <v>275,0</v>
      </c>
      <c r="P12" s="10" t="str">
        <f>"263,8900"</f>
        <v>263,8900</v>
      </c>
      <c r="Q12" s="9" t="s">
        <v>72</v>
      </c>
    </row>
    <row r="13" spans="1:17">
      <c r="A13" s="14" t="s">
        <v>408</v>
      </c>
      <c r="B13" s="13" t="s">
        <v>611</v>
      </c>
      <c r="C13" s="13" t="s">
        <v>612</v>
      </c>
      <c r="D13" s="13" t="s">
        <v>96</v>
      </c>
      <c r="E13" s="13" t="s">
        <v>3753</v>
      </c>
      <c r="F13" s="13" t="s">
        <v>3573</v>
      </c>
      <c r="G13" s="26" t="s">
        <v>19</v>
      </c>
      <c r="H13" s="26" t="s">
        <v>38</v>
      </c>
      <c r="I13" s="26" t="s">
        <v>600</v>
      </c>
      <c r="J13" s="14"/>
      <c r="K13" s="26" t="s">
        <v>40</v>
      </c>
      <c r="L13" s="27" t="s">
        <v>70</v>
      </c>
      <c r="M13" s="27" t="s">
        <v>70</v>
      </c>
      <c r="N13" s="14"/>
      <c r="O13" s="32" t="str">
        <f>"272,5"</f>
        <v>272,5</v>
      </c>
      <c r="P13" s="14" t="str">
        <f>"268,8127"</f>
        <v>268,8127</v>
      </c>
      <c r="Q13" s="13" t="s">
        <v>613</v>
      </c>
    </row>
    <row r="14" spans="1:17">
      <c r="B14" s="5" t="s">
        <v>409</v>
      </c>
    </row>
    <row r="15" spans="1:17" ht="16">
      <c r="A15" s="57" t="s">
        <v>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7">
      <c r="A16" s="8" t="s">
        <v>408</v>
      </c>
      <c r="B16" s="7" t="s">
        <v>2924</v>
      </c>
      <c r="C16" s="7" t="s">
        <v>2925</v>
      </c>
      <c r="D16" s="7" t="s">
        <v>2926</v>
      </c>
      <c r="E16" s="7" t="s">
        <v>3752</v>
      </c>
      <c r="F16" s="7" t="s">
        <v>3627</v>
      </c>
      <c r="G16" s="20" t="s">
        <v>13</v>
      </c>
      <c r="H16" s="21" t="s">
        <v>15</v>
      </c>
      <c r="I16" s="21" t="s">
        <v>15</v>
      </c>
      <c r="J16" s="8"/>
      <c r="K16" s="21" t="s">
        <v>76</v>
      </c>
      <c r="L16" s="20" t="s">
        <v>76</v>
      </c>
      <c r="M16" s="20" t="s">
        <v>77</v>
      </c>
      <c r="N16" s="8"/>
      <c r="O16" s="29" t="str">
        <f>"190,0"</f>
        <v>190,0</v>
      </c>
      <c r="P16" s="8" t="str">
        <f>"198,3030"</f>
        <v>198,3030</v>
      </c>
      <c r="Q16" s="7" t="s">
        <v>3289</v>
      </c>
    </row>
    <row r="17" spans="1:17">
      <c r="B17" s="5" t="s">
        <v>409</v>
      </c>
    </row>
    <row r="18" spans="1:17" ht="16">
      <c r="A18" s="57" t="s">
        <v>55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1:17">
      <c r="A19" s="10" t="s">
        <v>408</v>
      </c>
      <c r="B19" s="9" t="s">
        <v>2607</v>
      </c>
      <c r="C19" s="9" t="s">
        <v>2608</v>
      </c>
      <c r="D19" s="9" t="s">
        <v>964</v>
      </c>
      <c r="E19" s="9" t="s">
        <v>3752</v>
      </c>
      <c r="F19" s="9" t="s">
        <v>1495</v>
      </c>
      <c r="G19" s="23" t="s">
        <v>18</v>
      </c>
      <c r="H19" s="23" t="s">
        <v>60</v>
      </c>
      <c r="I19" s="22" t="s">
        <v>39</v>
      </c>
      <c r="J19" s="10"/>
      <c r="K19" s="23" t="s">
        <v>132</v>
      </c>
      <c r="L19" s="23" t="s">
        <v>35</v>
      </c>
      <c r="M19" s="23" t="s">
        <v>46</v>
      </c>
      <c r="N19" s="10"/>
      <c r="O19" s="30" t="str">
        <f>"237,5"</f>
        <v>237,5</v>
      </c>
      <c r="P19" s="10" t="str">
        <f>"183,7775"</f>
        <v>183,7775</v>
      </c>
      <c r="Q19" s="9"/>
    </row>
    <row r="20" spans="1:17">
      <c r="A20" s="14" t="s">
        <v>408</v>
      </c>
      <c r="B20" s="13" t="s">
        <v>2716</v>
      </c>
      <c r="C20" s="13" t="s">
        <v>2609</v>
      </c>
      <c r="D20" s="13" t="s">
        <v>2610</v>
      </c>
      <c r="E20" s="13" t="s">
        <v>3754</v>
      </c>
      <c r="F20" s="13" t="s">
        <v>1495</v>
      </c>
      <c r="G20" s="26" t="s">
        <v>38</v>
      </c>
      <c r="H20" s="27" t="s">
        <v>54</v>
      </c>
      <c r="I20" s="26" t="s">
        <v>54</v>
      </c>
      <c r="J20" s="14"/>
      <c r="K20" s="27" t="s">
        <v>106</v>
      </c>
      <c r="L20" s="26" t="s">
        <v>106</v>
      </c>
      <c r="M20" s="26" t="s">
        <v>132</v>
      </c>
      <c r="N20" s="14"/>
      <c r="O20" s="32" t="str">
        <f>"235,0"</f>
        <v>235,0</v>
      </c>
      <c r="P20" s="14" t="str">
        <f>"199,8205"</f>
        <v>199,8205</v>
      </c>
      <c r="Q20" s="13"/>
    </row>
    <row r="21" spans="1:17">
      <c r="B21" s="5" t="s">
        <v>409</v>
      </c>
    </row>
    <row r="22" spans="1:17" ht="16">
      <c r="A22" s="57" t="s">
        <v>93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7">
      <c r="A23" s="10" t="s">
        <v>408</v>
      </c>
      <c r="B23" s="9" t="s">
        <v>3353</v>
      </c>
      <c r="C23" s="9" t="s">
        <v>100</v>
      </c>
      <c r="D23" s="9" t="s">
        <v>101</v>
      </c>
      <c r="E23" s="9" t="s">
        <v>3751</v>
      </c>
      <c r="F23" s="9" t="s">
        <v>102</v>
      </c>
      <c r="G23" s="23" t="s">
        <v>54</v>
      </c>
      <c r="H23" s="23" t="s">
        <v>78</v>
      </c>
      <c r="I23" s="23" t="s">
        <v>77</v>
      </c>
      <c r="J23" s="10"/>
      <c r="K23" s="22" t="s">
        <v>71</v>
      </c>
      <c r="L23" s="23" t="s">
        <v>83</v>
      </c>
      <c r="M23" s="23" t="s">
        <v>86</v>
      </c>
      <c r="N23" s="10"/>
      <c r="O23" s="30" t="str">
        <f>"350,0"</f>
        <v>350,0</v>
      </c>
      <c r="P23" s="10" t="str">
        <f>"250,3200"</f>
        <v>250,3200</v>
      </c>
      <c r="Q23" s="9"/>
    </row>
    <row r="24" spans="1:17">
      <c r="A24" s="12" t="s">
        <v>408</v>
      </c>
      <c r="B24" s="11" t="s">
        <v>2927</v>
      </c>
      <c r="C24" s="11" t="s">
        <v>2928</v>
      </c>
      <c r="D24" s="11" t="s">
        <v>104</v>
      </c>
      <c r="E24" s="11" t="s">
        <v>3756</v>
      </c>
      <c r="F24" s="11" t="s">
        <v>3543</v>
      </c>
      <c r="G24" s="24" t="s">
        <v>451</v>
      </c>
      <c r="H24" s="25" t="s">
        <v>84</v>
      </c>
      <c r="I24" s="24" t="s">
        <v>132</v>
      </c>
      <c r="J24" s="12"/>
      <c r="K24" s="24" t="s">
        <v>70</v>
      </c>
      <c r="L24" s="24" t="s">
        <v>92</v>
      </c>
      <c r="M24" s="24" t="s">
        <v>83</v>
      </c>
      <c r="N24" s="12"/>
      <c r="O24" s="31" t="str">
        <f>"340,0"</f>
        <v>340,0</v>
      </c>
      <c r="P24" s="12" t="str">
        <f>"281,2463"</f>
        <v>281,2463</v>
      </c>
      <c r="Q24" s="11" t="s">
        <v>2929</v>
      </c>
    </row>
    <row r="25" spans="1:17">
      <c r="A25" s="14" t="s">
        <v>410</v>
      </c>
      <c r="B25" s="13" t="s">
        <v>3354</v>
      </c>
      <c r="C25" s="13" t="s">
        <v>103</v>
      </c>
      <c r="D25" s="13" t="s">
        <v>104</v>
      </c>
      <c r="E25" s="13" t="s">
        <v>3756</v>
      </c>
      <c r="F25" s="13" t="s">
        <v>105</v>
      </c>
      <c r="G25" s="26" t="s">
        <v>38</v>
      </c>
      <c r="H25" s="26" t="s">
        <v>39</v>
      </c>
      <c r="I25" s="27" t="s">
        <v>106</v>
      </c>
      <c r="J25" s="14"/>
      <c r="K25" s="26" t="s">
        <v>35</v>
      </c>
      <c r="L25" s="26" t="s">
        <v>36</v>
      </c>
      <c r="M25" s="26" t="s">
        <v>37</v>
      </c>
      <c r="N25" s="14"/>
      <c r="O25" s="32" t="str">
        <f>"270,0"</f>
        <v>270,0</v>
      </c>
      <c r="P25" s="14" t="str">
        <f>"242,7637"</f>
        <v>242,7637</v>
      </c>
      <c r="Q25" s="13"/>
    </row>
    <row r="26" spans="1:17">
      <c r="B26" s="5" t="s">
        <v>409</v>
      </c>
    </row>
    <row r="27" spans="1:17" ht="16">
      <c r="A27" s="57" t="s">
        <v>62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</row>
    <row r="28" spans="1:17">
      <c r="A28" s="10" t="s">
        <v>408</v>
      </c>
      <c r="B28" s="9" t="s">
        <v>2614</v>
      </c>
      <c r="C28" s="9" t="s">
        <v>2615</v>
      </c>
      <c r="D28" s="9" t="s">
        <v>676</v>
      </c>
      <c r="E28" s="9" t="s">
        <v>3755</v>
      </c>
      <c r="F28" s="9" t="s">
        <v>1495</v>
      </c>
      <c r="G28" s="23" t="s">
        <v>53</v>
      </c>
      <c r="H28" s="22" t="s">
        <v>14</v>
      </c>
      <c r="I28" s="22" t="s">
        <v>14</v>
      </c>
      <c r="J28" s="10"/>
      <c r="K28" s="23" t="s">
        <v>132</v>
      </c>
      <c r="L28" s="23" t="s">
        <v>25</v>
      </c>
      <c r="M28" s="22" t="s">
        <v>26</v>
      </c>
      <c r="N28" s="10"/>
      <c r="O28" s="30" t="str">
        <f>"205,0"</f>
        <v>205,0</v>
      </c>
      <c r="P28" s="10" t="str">
        <f>"138,0470"</f>
        <v>138,0470</v>
      </c>
      <c r="Q28" s="9"/>
    </row>
    <row r="29" spans="1:17">
      <c r="A29" s="12" t="s">
        <v>408</v>
      </c>
      <c r="B29" s="11" t="s">
        <v>656</v>
      </c>
      <c r="C29" s="11" t="s">
        <v>657</v>
      </c>
      <c r="D29" s="11" t="s">
        <v>473</v>
      </c>
      <c r="E29" s="11" t="s">
        <v>3751</v>
      </c>
      <c r="F29" s="11" t="s">
        <v>3542</v>
      </c>
      <c r="G29" s="24" t="s">
        <v>70</v>
      </c>
      <c r="H29" s="24" t="s">
        <v>181</v>
      </c>
      <c r="I29" s="25" t="s">
        <v>71</v>
      </c>
      <c r="J29" s="12"/>
      <c r="K29" s="24" t="s">
        <v>114</v>
      </c>
      <c r="L29" s="24" t="s">
        <v>128</v>
      </c>
      <c r="M29" s="25" t="s">
        <v>128</v>
      </c>
      <c r="N29" s="12"/>
      <c r="O29" s="31" t="str">
        <f>"497,5"</f>
        <v>497,5</v>
      </c>
      <c r="P29" s="12" t="str">
        <f>"334,0215"</f>
        <v>334,0215</v>
      </c>
      <c r="Q29" s="11" t="s">
        <v>658</v>
      </c>
    </row>
    <row r="30" spans="1:17">
      <c r="A30" s="12" t="s">
        <v>410</v>
      </c>
      <c r="B30" s="11" t="s">
        <v>126</v>
      </c>
      <c r="C30" s="11" t="s">
        <v>127</v>
      </c>
      <c r="D30" s="11" t="s">
        <v>123</v>
      </c>
      <c r="E30" s="11" t="s">
        <v>3751</v>
      </c>
      <c r="F30" s="11" t="s">
        <v>3611</v>
      </c>
      <c r="G30" s="24" t="s">
        <v>37</v>
      </c>
      <c r="H30" s="25" t="s">
        <v>61</v>
      </c>
      <c r="I30" s="24" t="s">
        <v>61</v>
      </c>
      <c r="J30" s="12"/>
      <c r="K30" s="24" t="s">
        <v>110</v>
      </c>
      <c r="L30" s="24" t="s">
        <v>114</v>
      </c>
      <c r="M30" s="25" t="s">
        <v>128</v>
      </c>
      <c r="N30" s="12"/>
      <c r="O30" s="31" t="str">
        <f>"467,5"</f>
        <v>467,5</v>
      </c>
      <c r="P30" s="12" t="str">
        <f>"313,1783"</f>
        <v>313,1783</v>
      </c>
      <c r="Q30" s="11" t="s">
        <v>72</v>
      </c>
    </row>
    <row r="31" spans="1:17">
      <c r="A31" s="12" t="s">
        <v>411</v>
      </c>
      <c r="B31" s="11" t="s">
        <v>659</v>
      </c>
      <c r="C31" s="11" t="s">
        <v>660</v>
      </c>
      <c r="D31" s="11" t="s">
        <v>651</v>
      </c>
      <c r="E31" s="11" t="s">
        <v>3751</v>
      </c>
      <c r="F31" s="11" t="s">
        <v>199</v>
      </c>
      <c r="G31" s="24" t="s">
        <v>59</v>
      </c>
      <c r="H31" s="25" t="s">
        <v>226</v>
      </c>
      <c r="I31" s="25" t="s">
        <v>226</v>
      </c>
      <c r="J31" s="12"/>
      <c r="K31" s="24" t="s">
        <v>121</v>
      </c>
      <c r="L31" s="24" t="s">
        <v>337</v>
      </c>
      <c r="M31" s="25" t="s">
        <v>211</v>
      </c>
      <c r="N31" s="12"/>
      <c r="O31" s="31" t="str">
        <f>"457,5"</f>
        <v>457,5</v>
      </c>
      <c r="P31" s="12" t="str">
        <f>"309,6818"</f>
        <v>309,6818</v>
      </c>
      <c r="Q31" s="11"/>
    </row>
    <row r="32" spans="1:17">
      <c r="A32" s="12" t="s">
        <v>413</v>
      </c>
      <c r="B32" s="11" t="s">
        <v>674</v>
      </c>
      <c r="C32" s="11" t="s">
        <v>675</v>
      </c>
      <c r="D32" s="11" t="s">
        <v>676</v>
      </c>
      <c r="E32" s="11" t="s">
        <v>3751</v>
      </c>
      <c r="F32" s="11" t="s">
        <v>3579</v>
      </c>
      <c r="G32" s="24" t="s">
        <v>59</v>
      </c>
      <c r="H32" s="25" t="s">
        <v>37</v>
      </c>
      <c r="I32" s="25" t="s">
        <v>226</v>
      </c>
      <c r="J32" s="12"/>
      <c r="K32" s="25" t="s">
        <v>154</v>
      </c>
      <c r="L32" s="24" t="s">
        <v>154</v>
      </c>
      <c r="M32" s="25" t="s">
        <v>205</v>
      </c>
      <c r="N32" s="12"/>
      <c r="O32" s="31">
        <v>410</v>
      </c>
      <c r="P32" s="12" t="str">
        <f>"276,4980"</f>
        <v>276,4980</v>
      </c>
      <c r="Q32" s="11"/>
    </row>
    <row r="33" spans="1:17">
      <c r="A33" s="12" t="s">
        <v>408</v>
      </c>
      <c r="B33" s="11" t="s">
        <v>2930</v>
      </c>
      <c r="C33" s="11" t="s">
        <v>2931</v>
      </c>
      <c r="D33" s="11" t="s">
        <v>470</v>
      </c>
      <c r="E33" s="11" t="s">
        <v>3757</v>
      </c>
      <c r="F33" s="11" t="s">
        <v>3560</v>
      </c>
      <c r="G33" s="24" t="s">
        <v>132</v>
      </c>
      <c r="H33" s="25" t="s">
        <v>85</v>
      </c>
      <c r="I33" s="24" t="s">
        <v>45</v>
      </c>
      <c r="J33" s="12"/>
      <c r="K33" s="24" t="s">
        <v>66</v>
      </c>
      <c r="L33" s="24" t="s">
        <v>67</v>
      </c>
      <c r="M33" s="24" t="s">
        <v>83</v>
      </c>
      <c r="N33" s="12"/>
      <c r="O33" s="31" t="str">
        <f>"350,0"</f>
        <v>350,0</v>
      </c>
      <c r="P33" s="12" t="str">
        <f>"384,7452"</f>
        <v>384,7452</v>
      </c>
      <c r="Q33" s="11"/>
    </row>
    <row r="34" spans="1:17">
      <c r="A34" s="14" t="s">
        <v>410</v>
      </c>
      <c r="B34" s="13" t="s">
        <v>147</v>
      </c>
      <c r="C34" s="13" t="s">
        <v>148</v>
      </c>
      <c r="D34" s="13" t="s">
        <v>149</v>
      </c>
      <c r="E34" s="13" t="s">
        <v>3757</v>
      </c>
      <c r="F34" s="13" t="s">
        <v>3613</v>
      </c>
      <c r="G34" s="26" t="s">
        <v>54</v>
      </c>
      <c r="H34" s="26" t="s">
        <v>78</v>
      </c>
      <c r="I34" s="26" t="s">
        <v>77</v>
      </c>
      <c r="J34" s="14"/>
      <c r="K34" s="26" t="s">
        <v>35</v>
      </c>
      <c r="L34" s="26" t="s">
        <v>59</v>
      </c>
      <c r="M34" s="26" t="s">
        <v>28</v>
      </c>
      <c r="N34" s="14"/>
      <c r="O34" s="32" t="str">
        <f>"300,0"</f>
        <v>300,0</v>
      </c>
      <c r="P34" s="14" t="str">
        <f>"278,5806"</f>
        <v>278,5806</v>
      </c>
      <c r="Q34" s="13"/>
    </row>
    <row r="35" spans="1:17">
      <c r="B35" s="5" t="s">
        <v>409</v>
      </c>
    </row>
    <row r="36" spans="1:17" ht="16">
      <c r="A36" s="57" t="s">
        <v>150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7">
      <c r="A37" s="10" t="s">
        <v>408</v>
      </c>
      <c r="B37" s="9" t="s">
        <v>3355</v>
      </c>
      <c r="C37" s="9" t="s">
        <v>151</v>
      </c>
      <c r="D37" s="9" t="s">
        <v>152</v>
      </c>
      <c r="E37" s="9" t="s">
        <v>3754</v>
      </c>
      <c r="F37" s="9" t="s">
        <v>153</v>
      </c>
      <c r="G37" s="23" t="s">
        <v>25</v>
      </c>
      <c r="H37" s="23" t="s">
        <v>46</v>
      </c>
      <c r="I37" s="22" t="s">
        <v>59</v>
      </c>
      <c r="J37" s="10"/>
      <c r="K37" s="23" t="s">
        <v>86</v>
      </c>
      <c r="L37" s="23" t="s">
        <v>154</v>
      </c>
      <c r="M37" s="22" t="s">
        <v>134</v>
      </c>
      <c r="N37" s="10"/>
      <c r="O37" s="30" t="str">
        <f>"400,0"</f>
        <v>400,0</v>
      </c>
      <c r="P37" s="10" t="str">
        <f>"255,3600"</f>
        <v>255,3600</v>
      </c>
      <c r="Q37" s="9"/>
    </row>
    <row r="38" spans="1:17">
      <c r="A38" s="12" t="s">
        <v>408</v>
      </c>
      <c r="B38" s="11" t="s">
        <v>3356</v>
      </c>
      <c r="C38" s="11" t="s">
        <v>157</v>
      </c>
      <c r="D38" s="11" t="s">
        <v>158</v>
      </c>
      <c r="E38" s="11" t="s">
        <v>3751</v>
      </c>
      <c r="F38" s="11" t="s">
        <v>109</v>
      </c>
      <c r="G38" s="24" t="s">
        <v>66</v>
      </c>
      <c r="H38" s="25" t="s">
        <v>71</v>
      </c>
      <c r="I38" s="25" t="s">
        <v>71</v>
      </c>
      <c r="J38" s="12"/>
      <c r="K38" s="24" t="s">
        <v>160</v>
      </c>
      <c r="L38" s="24" t="s">
        <v>161</v>
      </c>
      <c r="M38" s="25" t="s">
        <v>162</v>
      </c>
      <c r="N38" s="12"/>
      <c r="O38" s="31" t="str">
        <f>"520,0"</f>
        <v>520,0</v>
      </c>
      <c r="P38" s="12" t="str">
        <f>"334,2560"</f>
        <v>334,2560</v>
      </c>
      <c r="Q38" s="11"/>
    </row>
    <row r="39" spans="1:17">
      <c r="A39" s="12" t="s">
        <v>410</v>
      </c>
      <c r="B39" s="11" t="s">
        <v>3357</v>
      </c>
      <c r="C39" s="11" t="s">
        <v>1409</v>
      </c>
      <c r="D39" s="11" t="s">
        <v>158</v>
      </c>
      <c r="E39" s="11" t="s">
        <v>3751</v>
      </c>
      <c r="F39" s="11" t="s">
        <v>1410</v>
      </c>
      <c r="G39" s="24" t="s">
        <v>40</v>
      </c>
      <c r="H39" s="24" t="s">
        <v>29</v>
      </c>
      <c r="I39" s="25" t="s">
        <v>70</v>
      </c>
      <c r="J39" s="12"/>
      <c r="K39" s="24" t="s">
        <v>114</v>
      </c>
      <c r="L39" s="24" t="s">
        <v>128</v>
      </c>
      <c r="M39" s="25" t="s">
        <v>217</v>
      </c>
      <c r="N39" s="12"/>
      <c r="O39" s="31" t="str">
        <f>"485,0"</f>
        <v>485,0</v>
      </c>
      <c r="P39" s="12" t="str">
        <f>"311,7580"</f>
        <v>311,7580</v>
      </c>
      <c r="Q39" s="11"/>
    </row>
    <row r="40" spans="1:17">
      <c r="A40" s="12" t="s">
        <v>411</v>
      </c>
      <c r="B40" s="11" t="s">
        <v>2932</v>
      </c>
      <c r="C40" s="11" t="s">
        <v>2933</v>
      </c>
      <c r="D40" s="11" t="s">
        <v>1174</v>
      </c>
      <c r="E40" s="11" t="s">
        <v>3751</v>
      </c>
      <c r="F40" s="11" t="s">
        <v>3581</v>
      </c>
      <c r="G40" s="24" t="s">
        <v>28</v>
      </c>
      <c r="H40" s="25" t="s">
        <v>113</v>
      </c>
      <c r="I40" s="12"/>
      <c r="J40" s="12"/>
      <c r="K40" s="24" t="s">
        <v>120</v>
      </c>
      <c r="L40" s="24" t="s">
        <v>114</v>
      </c>
      <c r="M40" s="24" t="s">
        <v>128</v>
      </c>
      <c r="N40" s="12"/>
      <c r="O40" s="31" t="str">
        <f>"475,0"</f>
        <v>475,0</v>
      </c>
      <c r="P40" s="12" t="str">
        <f>"304,6175"</f>
        <v>304,6175</v>
      </c>
      <c r="Q40" s="11"/>
    </row>
    <row r="41" spans="1:17">
      <c r="A41" s="12" t="s">
        <v>413</v>
      </c>
      <c r="B41" s="11" t="s">
        <v>3358</v>
      </c>
      <c r="C41" s="11" t="s">
        <v>172</v>
      </c>
      <c r="D41" s="11" t="s">
        <v>173</v>
      </c>
      <c r="E41" s="11" t="s">
        <v>3751</v>
      </c>
      <c r="F41" s="11" t="s">
        <v>174</v>
      </c>
      <c r="G41" s="24" t="s">
        <v>37</v>
      </c>
      <c r="H41" s="24" t="s">
        <v>28</v>
      </c>
      <c r="I41" s="12"/>
      <c r="J41" s="12"/>
      <c r="K41" s="25" t="s">
        <v>121</v>
      </c>
      <c r="L41" s="24" t="s">
        <v>121</v>
      </c>
      <c r="M41" s="25" t="s">
        <v>128</v>
      </c>
      <c r="N41" s="12"/>
      <c r="O41" s="31" t="str">
        <f>"455,0"</f>
        <v>455,0</v>
      </c>
      <c r="P41" s="12" t="str">
        <f>"297,3880"</f>
        <v>297,3880</v>
      </c>
      <c r="Q41" s="11"/>
    </row>
    <row r="42" spans="1:17">
      <c r="A42" s="12" t="s">
        <v>414</v>
      </c>
      <c r="B42" s="11" t="s">
        <v>2934</v>
      </c>
      <c r="C42" s="11" t="s">
        <v>2935</v>
      </c>
      <c r="D42" s="11" t="s">
        <v>683</v>
      </c>
      <c r="E42" s="11" t="s">
        <v>3751</v>
      </c>
      <c r="F42" s="11" t="s">
        <v>3636</v>
      </c>
      <c r="G42" s="24" t="s">
        <v>46</v>
      </c>
      <c r="H42" s="25" t="s">
        <v>59</v>
      </c>
      <c r="I42" s="25" t="s">
        <v>59</v>
      </c>
      <c r="J42" s="12"/>
      <c r="K42" s="24" t="s">
        <v>134</v>
      </c>
      <c r="L42" s="24" t="s">
        <v>119</v>
      </c>
      <c r="M42" s="25" t="s">
        <v>120</v>
      </c>
      <c r="N42" s="12"/>
      <c r="O42" s="31" t="str">
        <f>"415,0"</f>
        <v>415,0</v>
      </c>
      <c r="P42" s="12" t="str">
        <f>"267,0940"</f>
        <v>267,0940</v>
      </c>
      <c r="Q42" s="11" t="s">
        <v>1526</v>
      </c>
    </row>
    <row r="43" spans="1:17">
      <c r="A43" s="14" t="s">
        <v>412</v>
      </c>
      <c r="B43" s="13" t="s">
        <v>2626</v>
      </c>
      <c r="C43" s="13" t="s">
        <v>2627</v>
      </c>
      <c r="D43" s="13" t="s">
        <v>1210</v>
      </c>
      <c r="E43" s="11" t="s">
        <v>3751</v>
      </c>
      <c r="F43" s="13" t="s">
        <v>75</v>
      </c>
      <c r="G43" s="27" t="s">
        <v>76</v>
      </c>
      <c r="H43" s="27" t="s">
        <v>77</v>
      </c>
      <c r="I43" s="27" t="s">
        <v>77</v>
      </c>
      <c r="J43" s="14"/>
      <c r="K43" s="14"/>
      <c r="L43" s="14"/>
      <c r="M43" s="27"/>
      <c r="N43" s="14"/>
      <c r="O43" s="32">
        <v>0</v>
      </c>
      <c r="P43" s="14" t="str">
        <f>"0,0000"</f>
        <v>0,0000</v>
      </c>
      <c r="Q43" s="13"/>
    </row>
    <row r="44" spans="1:17">
      <c r="B44" s="5" t="s">
        <v>409</v>
      </c>
    </row>
    <row r="45" spans="1:17" ht="16">
      <c r="A45" s="57" t="s">
        <v>195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  <row r="46" spans="1:17">
      <c r="A46" s="10" t="s">
        <v>408</v>
      </c>
      <c r="B46" s="9" t="s">
        <v>2936</v>
      </c>
      <c r="C46" s="9" t="s">
        <v>2937</v>
      </c>
      <c r="D46" s="9" t="s">
        <v>2938</v>
      </c>
      <c r="E46" s="9" t="s">
        <v>3755</v>
      </c>
      <c r="F46" s="9" t="s">
        <v>3637</v>
      </c>
      <c r="G46" s="22" t="s">
        <v>53</v>
      </c>
      <c r="H46" s="23" t="s">
        <v>53</v>
      </c>
      <c r="I46" s="22" t="s">
        <v>14</v>
      </c>
      <c r="J46" s="10"/>
      <c r="K46" s="23" t="s">
        <v>76</v>
      </c>
      <c r="L46" s="23" t="s">
        <v>132</v>
      </c>
      <c r="M46" s="22" t="s">
        <v>45</v>
      </c>
      <c r="N46" s="10"/>
      <c r="O46" s="30" t="str">
        <f>"190,0"</f>
        <v>190,0</v>
      </c>
      <c r="P46" s="10" t="str">
        <f>"119,8520"</f>
        <v>119,8520</v>
      </c>
      <c r="Q46" s="9" t="s">
        <v>3289</v>
      </c>
    </row>
    <row r="47" spans="1:17">
      <c r="A47" s="12" t="s">
        <v>408</v>
      </c>
      <c r="B47" s="11" t="s">
        <v>196</v>
      </c>
      <c r="C47" s="11" t="s">
        <v>197</v>
      </c>
      <c r="D47" s="11" t="s">
        <v>198</v>
      </c>
      <c r="E47" s="11" t="s">
        <v>3754</v>
      </c>
      <c r="F47" s="11" t="s">
        <v>199</v>
      </c>
      <c r="G47" s="24" t="s">
        <v>40</v>
      </c>
      <c r="H47" s="24" t="s">
        <v>70</v>
      </c>
      <c r="I47" s="24" t="s">
        <v>71</v>
      </c>
      <c r="J47" s="12"/>
      <c r="K47" s="24" t="s">
        <v>119</v>
      </c>
      <c r="L47" s="24" t="s">
        <v>110</v>
      </c>
      <c r="M47" s="24" t="s">
        <v>111</v>
      </c>
      <c r="N47" s="12"/>
      <c r="O47" s="31" t="str">
        <f>"485,0"</f>
        <v>485,0</v>
      </c>
      <c r="P47" s="12" t="str">
        <f>"299,1965"</f>
        <v>299,1965</v>
      </c>
      <c r="Q47" s="11" t="s">
        <v>3349</v>
      </c>
    </row>
    <row r="48" spans="1:17">
      <c r="A48" s="12" t="s">
        <v>408</v>
      </c>
      <c r="B48" s="11" t="s">
        <v>207</v>
      </c>
      <c r="C48" s="11" t="s">
        <v>208</v>
      </c>
      <c r="D48" s="11" t="s">
        <v>209</v>
      </c>
      <c r="E48" s="11" t="s">
        <v>3751</v>
      </c>
      <c r="F48" s="11" t="s">
        <v>199</v>
      </c>
      <c r="G48" s="24" t="s">
        <v>67</v>
      </c>
      <c r="H48" s="24" t="s">
        <v>210</v>
      </c>
      <c r="I48" s="24" t="s">
        <v>68</v>
      </c>
      <c r="J48" s="12"/>
      <c r="K48" s="24" t="s">
        <v>211</v>
      </c>
      <c r="L48" s="25" t="s">
        <v>212</v>
      </c>
      <c r="M48" s="25" t="s">
        <v>212</v>
      </c>
      <c r="N48" s="12"/>
      <c r="O48" s="31" t="str">
        <f>"535,0"</f>
        <v>535,0</v>
      </c>
      <c r="P48" s="12" t="str">
        <f>"327,4735"</f>
        <v>327,4735</v>
      </c>
      <c r="Q48" s="11" t="s">
        <v>3350</v>
      </c>
    </row>
    <row r="49" spans="1:17">
      <c r="A49" s="12" t="s">
        <v>410</v>
      </c>
      <c r="B49" s="11" t="s">
        <v>2939</v>
      </c>
      <c r="C49" s="11" t="s">
        <v>2940</v>
      </c>
      <c r="D49" s="11" t="s">
        <v>1668</v>
      </c>
      <c r="E49" s="11" t="s">
        <v>3751</v>
      </c>
      <c r="F49" s="11" t="s">
        <v>3638</v>
      </c>
      <c r="G49" s="24" t="s">
        <v>40</v>
      </c>
      <c r="H49" s="25" t="s">
        <v>596</v>
      </c>
      <c r="I49" s="24" t="s">
        <v>596</v>
      </c>
      <c r="J49" s="12"/>
      <c r="K49" s="24" t="s">
        <v>128</v>
      </c>
      <c r="L49" s="24" t="s">
        <v>217</v>
      </c>
      <c r="M49" s="24" t="s">
        <v>211</v>
      </c>
      <c r="N49" s="12"/>
      <c r="O49" s="31" t="str">
        <f>"507,5"</f>
        <v>507,5</v>
      </c>
      <c r="P49" s="12" t="str">
        <f>"312,2140"</f>
        <v>312,2140</v>
      </c>
      <c r="Q49" s="11" t="s">
        <v>3351</v>
      </c>
    </row>
    <row r="50" spans="1:17">
      <c r="A50" s="12" t="s">
        <v>411</v>
      </c>
      <c r="B50" s="11" t="s">
        <v>2655</v>
      </c>
      <c r="C50" s="11" t="s">
        <v>2656</v>
      </c>
      <c r="D50" s="11" t="s">
        <v>244</v>
      </c>
      <c r="E50" s="11" t="s">
        <v>3751</v>
      </c>
      <c r="F50" s="11" t="s">
        <v>199</v>
      </c>
      <c r="G50" s="24" t="s">
        <v>40</v>
      </c>
      <c r="H50" s="25" t="s">
        <v>596</v>
      </c>
      <c r="I50" s="25" t="s">
        <v>596</v>
      </c>
      <c r="J50" s="12"/>
      <c r="K50" s="25" t="s">
        <v>225</v>
      </c>
      <c r="L50" s="24" t="s">
        <v>225</v>
      </c>
      <c r="M50" s="24" t="s">
        <v>159</v>
      </c>
      <c r="N50" s="12"/>
      <c r="O50" s="31" t="str">
        <f>"477,5"</f>
        <v>477,5</v>
      </c>
      <c r="P50" s="12" t="str">
        <f>"292,0390"</f>
        <v>292,0390</v>
      </c>
      <c r="Q50" s="11" t="s">
        <v>3349</v>
      </c>
    </row>
    <row r="51" spans="1:17">
      <c r="A51" s="12" t="s">
        <v>413</v>
      </c>
      <c r="B51" s="11" t="s">
        <v>2941</v>
      </c>
      <c r="C51" s="11" t="s">
        <v>2942</v>
      </c>
      <c r="D51" s="11" t="s">
        <v>2858</v>
      </c>
      <c r="E51" s="11" t="s">
        <v>3751</v>
      </c>
      <c r="F51" s="11" t="s">
        <v>3588</v>
      </c>
      <c r="G51" s="24" t="s">
        <v>37</v>
      </c>
      <c r="H51" s="24" t="s">
        <v>29</v>
      </c>
      <c r="I51" s="25" t="s">
        <v>180</v>
      </c>
      <c r="J51" s="12"/>
      <c r="K51" s="24" t="s">
        <v>119</v>
      </c>
      <c r="L51" s="24" t="s">
        <v>125</v>
      </c>
      <c r="M51" s="24" t="s">
        <v>121</v>
      </c>
      <c r="N51" s="12"/>
      <c r="O51" s="31" t="str">
        <f>"465,0"</f>
        <v>465,0</v>
      </c>
      <c r="P51" s="12" t="str">
        <f>"286,3470"</f>
        <v>286,3470</v>
      </c>
      <c r="Q51" s="11" t="s">
        <v>72</v>
      </c>
    </row>
    <row r="52" spans="1:17">
      <c r="A52" s="12" t="s">
        <v>414</v>
      </c>
      <c r="B52" s="11" t="s">
        <v>1679</v>
      </c>
      <c r="C52" s="11" t="s">
        <v>2861</v>
      </c>
      <c r="D52" s="11" t="s">
        <v>1624</v>
      </c>
      <c r="E52" s="11" t="s">
        <v>3751</v>
      </c>
      <c r="F52" s="11" t="s">
        <v>3528</v>
      </c>
      <c r="G52" s="24" t="s">
        <v>85</v>
      </c>
      <c r="H52" s="24" t="s">
        <v>25</v>
      </c>
      <c r="I52" s="24" t="s">
        <v>35</v>
      </c>
      <c r="J52" s="12"/>
      <c r="K52" s="24" t="s">
        <v>98</v>
      </c>
      <c r="L52" s="24" t="s">
        <v>1681</v>
      </c>
      <c r="M52" s="25" t="s">
        <v>1682</v>
      </c>
      <c r="N52" s="12"/>
      <c r="O52" s="31" t="str">
        <f>"395,5"</f>
        <v>395,5</v>
      </c>
      <c r="P52" s="12" t="str">
        <f>"243,8653"</f>
        <v>243,8653</v>
      </c>
      <c r="Q52" s="11"/>
    </row>
    <row r="53" spans="1:17">
      <c r="A53" s="12" t="s">
        <v>415</v>
      </c>
      <c r="B53" s="11" t="s">
        <v>2660</v>
      </c>
      <c r="C53" s="11" t="s">
        <v>2661</v>
      </c>
      <c r="D53" s="11" t="s">
        <v>2662</v>
      </c>
      <c r="E53" s="11" t="s">
        <v>3751</v>
      </c>
      <c r="F53" s="11" t="s">
        <v>75</v>
      </c>
      <c r="G53" s="25" t="s">
        <v>76</v>
      </c>
      <c r="H53" s="24" t="s">
        <v>77</v>
      </c>
      <c r="I53" s="25" t="s">
        <v>132</v>
      </c>
      <c r="J53" s="12"/>
      <c r="K53" s="24" t="s">
        <v>71</v>
      </c>
      <c r="L53" s="25" t="s">
        <v>83</v>
      </c>
      <c r="M53" s="24" t="s">
        <v>97</v>
      </c>
      <c r="N53" s="12"/>
      <c r="O53" s="31" t="str">
        <f>"345,0"</f>
        <v>345,0</v>
      </c>
      <c r="P53" s="12" t="str">
        <f>"217,2810"</f>
        <v>217,2810</v>
      </c>
      <c r="Q53" s="11"/>
    </row>
    <row r="54" spans="1:17">
      <c r="A54" s="12" t="s">
        <v>408</v>
      </c>
      <c r="B54" s="11" t="s">
        <v>2943</v>
      </c>
      <c r="C54" s="11" t="s">
        <v>2944</v>
      </c>
      <c r="D54" s="11" t="s">
        <v>1683</v>
      </c>
      <c r="E54" s="11" t="s">
        <v>3753</v>
      </c>
      <c r="F54" s="11" t="s">
        <v>3602</v>
      </c>
      <c r="G54" s="24" t="s">
        <v>36</v>
      </c>
      <c r="H54" s="25" t="s">
        <v>37</v>
      </c>
      <c r="I54" s="25" t="s">
        <v>37</v>
      </c>
      <c r="J54" s="12"/>
      <c r="K54" s="24" t="s">
        <v>133</v>
      </c>
      <c r="L54" s="24" t="s">
        <v>134</v>
      </c>
      <c r="M54" s="25" t="s">
        <v>119</v>
      </c>
      <c r="N54" s="12"/>
      <c r="O54" s="31" t="str">
        <f>"410,0"</f>
        <v>410,0</v>
      </c>
      <c r="P54" s="12" t="str">
        <f>"267,8440"</f>
        <v>267,8440</v>
      </c>
      <c r="Q54" s="11"/>
    </row>
    <row r="55" spans="1:17">
      <c r="A55" s="12" t="s">
        <v>410</v>
      </c>
      <c r="B55" s="11" t="s">
        <v>2945</v>
      </c>
      <c r="C55" s="11" t="s">
        <v>2136</v>
      </c>
      <c r="D55" s="11" t="s">
        <v>1632</v>
      </c>
      <c r="E55" s="11" t="s">
        <v>3753</v>
      </c>
      <c r="F55" s="11" t="s">
        <v>3639</v>
      </c>
      <c r="G55" s="24" t="s">
        <v>85</v>
      </c>
      <c r="H55" s="24" t="s">
        <v>248</v>
      </c>
      <c r="I55" s="25" t="s">
        <v>25</v>
      </c>
      <c r="J55" s="12"/>
      <c r="K55" s="24" t="s">
        <v>71</v>
      </c>
      <c r="L55" s="24" t="s">
        <v>97</v>
      </c>
      <c r="M55" s="25" t="s">
        <v>86</v>
      </c>
      <c r="N55" s="12"/>
      <c r="O55" s="31" t="str">
        <f>"362,5"</f>
        <v>362,5</v>
      </c>
      <c r="P55" s="12" t="str">
        <f>"243,2668"</f>
        <v>243,2668</v>
      </c>
      <c r="Q55" s="11" t="s">
        <v>2946</v>
      </c>
    </row>
    <row r="56" spans="1:17">
      <c r="A56" s="12" t="s">
        <v>411</v>
      </c>
      <c r="B56" s="11" t="s">
        <v>2665</v>
      </c>
      <c r="C56" s="11" t="s">
        <v>2666</v>
      </c>
      <c r="D56" s="11" t="s">
        <v>1608</v>
      </c>
      <c r="E56" s="11" t="s">
        <v>3753</v>
      </c>
      <c r="F56" s="11" t="s">
        <v>1495</v>
      </c>
      <c r="G56" s="24" t="s">
        <v>45</v>
      </c>
      <c r="H56" s="25" t="s">
        <v>25</v>
      </c>
      <c r="I56" s="25" t="s">
        <v>25</v>
      </c>
      <c r="J56" s="12"/>
      <c r="K56" s="24" t="s">
        <v>37</v>
      </c>
      <c r="L56" s="24" t="s">
        <v>29</v>
      </c>
      <c r="M56" s="24" t="s">
        <v>71</v>
      </c>
      <c r="N56" s="12"/>
      <c r="O56" s="31" t="str">
        <f>"340,0"</f>
        <v>340,0</v>
      </c>
      <c r="P56" s="12" t="str">
        <f>"234,3160"</f>
        <v>234,3160</v>
      </c>
      <c r="Q56" s="11"/>
    </row>
    <row r="57" spans="1:17">
      <c r="A57" s="12" t="s">
        <v>408</v>
      </c>
      <c r="B57" s="11" t="s">
        <v>1679</v>
      </c>
      <c r="C57" s="11" t="s">
        <v>1680</v>
      </c>
      <c r="D57" s="11" t="s">
        <v>1624</v>
      </c>
      <c r="E57" s="11" t="s">
        <v>3756</v>
      </c>
      <c r="F57" s="11" t="s">
        <v>3528</v>
      </c>
      <c r="G57" s="24" t="s">
        <v>85</v>
      </c>
      <c r="H57" s="24" t="s">
        <v>25</v>
      </c>
      <c r="I57" s="24" t="s">
        <v>35</v>
      </c>
      <c r="J57" s="12"/>
      <c r="K57" s="24" t="s">
        <v>98</v>
      </c>
      <c r="L57" s="24" t="s">
        <v>1681</v>
      </c>
      <c r="M57" s="25" t="s">
        <v>1682</v>
      </c>
      <c r="N57" s="12"/>
      <c r="O57" s="31" t="str">
        <f>"395,5"</f>
        <v>395,5</v>
      </c>
      <c r="P57" s="12" t="str">
        <f>"310,4405"</f>
        <v>310,4405</v>
      </c>
      <c r="Q57" s="11"/>
    </row>
    <row r="58" spans="1:17">
      <c r="A58" s="12" t="s">
        <v>408</v>
      </c>
      <c r="B58" s="11" t="s">
        <v>255</v>
      </c>
      <c r="C58" s="11" t="s">
        <v>256</v>
      </c>
      <c r="D58" s="11" t="s">
        <v>215</v>
      </c>
      <c r="E58" s="11" t="s">
        <v>3757</v>
      </c>
      <c r="F58" s="11" t="s">
        <v>3589</v>
      </c>
      <c r="G58" s="24" t="s">
        <v>77</v>
      </c>
      <c r="H58" s="24" t="s">
        <v>84</v>
      </c>
      <c r="I58" s="24" t="s">
        <v>132</v>
      </c>
      <c r="J58" s="12"/>
      <c r="K58" s="24" t="s">
        <v>71</v>
      </c>
      <c r="L58" s="24" t="s">
        <v>83</v>
      </c>
      <c r="M58" s="24" t="s">
        <v>86</v>
      </c>
      <c r="N58" s="12"/>
      <c r="O58" s="31" t="str">
        <f>"355,0"</f>
        <v>355,0</v>
      </c>
      <c r="P58" s="12" t="str">
        <f>"345,8870"</f>
        <v>345,8870</v>
      </c>
      <c r="Q58" s="11" t="s">
        <v>257</v>
      </c>
    </row>
    <row r="59" spans="1:17">
      <c r="A59" s="14" t="s">
        <v>408</v>
      </c>
      <c r="B59" s="13" t="s">
        <v>2667</v>
      </c>
      <c r="C59" s="13" t="s">
        <v>2668</v>
      </c>
      <c r="D59" s="13" t="s">
        <v>1256</v>
      </c>
      <c r="E59" s="13" t="s">
        <v>3758</v>
      </c>
      <c r="F59" s="13" t="s">
        <v>3640</v>
      </c>
      <c r="G59" s="26" t="s">
        <v>18</v>
      </c>
      <c r="H59" s="26" t="s">
        <v>435</v>
      </c>
      <c r="I59" s="26" t="s">
        <v>38</v>
      </c>
      <c r="J59" s="14"/>
      <c r="K59" s="26" t="s">
        <v>35</v>
      </c>
      <c r="L59" s="26" t="s">
        <v>36</v>
      </c>
      <c r="M59" s="26" t="s">
        <v>2669</v>
      </c>
      <c r="N59" s="26" t="s">
        <v>37</v>
      </c>
      <c r="O59" s="32" t="str">
        <f>"256,0"</f>
        <v>256,0</v>
      </c>
      <c r="P59" s="14" t="str">
        <f>"298,6010"</f>
        <v>298,6010</v>
      </c>
      <c r="Q59" s="13"/>
    </row>
    <row r="60" spans="1:17">
      <c r="B60" s="5" t="s">
        <v>409</v>
      </c>
    </row>
    <row r="61" spans="1:17" ht="16">
      <c r="A61" s="57" t="s">
        <v>258</v>
      </c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</row>
    <row r="62" spans="1:17">
      <c r="A62" s="10" t="s">
        <v>408</v>
      </c>
      <c r="B62" s="9" t="s">
        <v>3359</v>
      </c>
      <c r="C62" s="9" t="s">
        <v>260</v>
      </c>
      <c r="D62" s="9" t="s">
        <v>261</v>
      </c>
      <c r="E62" s="9" t="s">
        <v>3751</v>
      </c>
      <c r="F62" s="9" t="s">
        <v>262</v>
      </c>
      <c r="G62" s="23" t="s">
        <v>71</v>
      </c>
      <c r="H62" s="23" t="s">
        <v>83</v>
      </c>
      <c r="I62" s="22" t="s">
        <v>97</v>
      </c>
      <c r="J62" s="10"/>
      <c r="K62" s="23" t="s">
        <v>221</v>
      </c>
      <c r="L62" s="23" t="s">
        <v>263</v>
      </c>
      <c r="M62" s="22" t="s">
        <v>264</v>
      </c>
      <c r="N62" s="10"/>
      <c r="O62" s="30" t="str">
        <f>"580,0"</f>
        <v>580,0</v>
      </c>
      <c r="P62" s="10" t="str">
        <f>"343,5340"</f>
        <v>343,5340</v>
      </c>
      <c r="Q62" s="9" t="s">
        <v>265</v>
      </c>
    </row>
    <row r="63" spans="1:17">
      <c r="A63" s="12" t="s">
        <v>410</v>
      </c>
      <c r="B63" s="11" t="s">
        <v>768</v>
      </c>
      <c r="C63" s="11" t="s">
        <v>769</v>
      </c>
      <c r="D63" s="11" t="s">
        <v>770</v>
      </c>
      <c r="E63" s="11" t="s">
        <v>3751</v>
      </c>
      <c r="F63" s="11" t="s">
        <v>3509</v>
      </c>
      <c r="G63" s="24" t="s">
        <v>71</v>
      </c>
      <c r="H63" s="24" t="s">
        <v>83</v>
      </c>
      <c r="I63" s="24" t="s">
        <v>288</v>
      </c>
      <c r="J63" s="25" t="s">
        <v>771</v>
      </c>
      <c r="K63" s="24" t="s">
        <v>121</v>
      </c>
      <c r="L63" s="25" t="s">
        <v>112</v>
      </c>
      <c r="M63" s="25" t="s">
        <v>128</v>
      </c>
      <c r="N63" s="12"/>
      <c r="O63" s="31" t="str">
        <f>"497,5"</f>
        <v>497,5</v>
      </c>
      <c r="P63" s="12" t="str">
        <f>"292,8782"</f>
        <v>292,8782</v>
      </c>
      <c r="Q63" s="11" t="s">
        <v>772</v>
      </c>
    </row>
    <row r="64" spans="1:17">
      <c r="A64" s="12" t="s">
        <v>411</v>
      </c>
      <c r="B64" s="11" t="s">
        <v>2947</v>
      </c>
      <c r="C64" s="11" t="s">
        <v>2948</v>
      </c>
      <c r="D64" s="11" t="s">
        <v>1287</v>
      </c>
      <c r="E64" s="11" t="s">
        <v>3751</v>
      </c>
      <c r="F64" s="11" t="s">
        <v>3509</v>
      </c>
      <c r="G64" s="24" t="s">
        <v>25</v>
      </c>
      <c r="H64" s="25" t="s">
        <v>35</v>
      </c>
      <c r="I64" s="25" t="s">
        <v>35</v>
      </c>
      <c r="J64" s="12"/>
      <c r="K64" s="25" t="s">
        <v>501</v>
      </c>
      <c r="L64" s="24" t="s">
        <v>501</v>
      </c>
      <c r="M64" s="24" t="s">
        <v>121</v>
      </c>
      <c r="N64" s="12"/>
      <c r="O64" s="31" t="str">
        <f>"425,0"</f>
        <v>425,0</v>
      </c>
      <c r="P64" s="12" t="str">
        <f>"255,3825"</f>
        <v>255,3825</v>
      </c>
      <c r="Q64" s="11"/>
    </row>
    <row r="65" spans="1:17">
      <c r="A65" s="12" t="s">
        <v>413</v>
      </c>
      <c r="B65" s="11" t="s">
        <v>2717</v>
      </c>
      <c r="C65" s="11" t="s">
        <v>2676</v>
      </c>
      <c r="D65" s="11" t="s">
        <v>1699</v>
      </c>
      <c r="E65" s="11" t="s">
        <v>3751</v>
      </c>
      <c r="F65" s="11" t="s">
        <v>1495</v>
      </c>
      <c r="G65" s="24" t="s">
        <v>132</v>
      </c>
      <c r="H65" s="25" t="s">
        <v>45</v>
      </c>
      <c r="I65" s="24" t="s">
        <v>35</v>
      </c>
      <c r="J65" s="12"/>
      <c r="K65" s="24" t="s">
        <v>133</v>
      </c>
      <c r="L65" s="24" t="s">
        <v>119</v>
      </c>
      <c r="M65" s="24" t="s">
        <v>120</v>
      </c>
      <c r="N65" s="12"/>
      <c r="O65" s="31" t="str">
        <f>"420,0"</f>
        <v>420,0</v>
      </c>
      <c r="P65" s="12" t="str">
        <f>"248,6820"</f>
        <v>248,6820</v>
      </c>
      <c r="Q65" s="11"/>
    </row>
    <row r="66" spans="1:17">
      <c r="A66" s="12" t="s">
        <v>408</v>
      </c>
      <c r="B66" s="11" t="s">
        <v>2677</v>
      </c>
      <c r="C66" s="11" t="s">
        <v>2678</v>
      </c>
      <c r="D66" s="11" t="s">
        <v>529</v>
      </c>
      <c r="E66" s="11" t="s">
        <v>3753</v>
      </c>
      <c r="F66" s="11" t="s">
        <v>75</v>
      </c>
      <c r="G66" s="24" t="s">
        <v>106</v>
      </c>
      <c r="H66" s="24" t="s">
        <v>597</v>
      </c>
      <c r="I66" s="25" t="s">
        <v>79</v>
      </c>
      <c r="J66" s="12"/>
      <c r="K66" s="24" t="s">
        <v>36</v>
      </c>
      <c r="L66" s="24" t="s">
        <v>37</v>
      </c>
      <c r="M66" s="24" t="s">
        <v>40</v>
      </c>
      <c r="N66" s="12"/>
      <c r="O66" s="31" t="str">
        <f>"292,5"</f>
        <v>292,5</v>
      </c>
      <c r="P66" s="12" t="str">
        <f>"187,7973"</f>
        <v>187,7973</v>
      </c>
      <c r="Q66" s="11"/>
    </row>
    <row r="67" spans="1:17">
      <c r="A67" s="14" t="s">
        <v>408</v>
      </c>
      <c r="B67" s="13" t="s">
        <v>278</v>
      </c>
      <c r="C67" s="13" t="s">
        <v>279</v>
      </c>
      <c r="D67" s="13" t="s">
        <v>270</v>
      </c>
      <c r="E67" s="13" t="s">
        <v>3756</v>
      </c>
      <c r="F67" s="13" t="s">
        <v>3520</v>
      </c>
      <c r="G67" s="26" t="s">
        <v>35</v>
      </c>
      <c r="H67" s="26" t="s">
        <v>36</v>
      </c>
      <c r="I67" s="27" t="s">
        <v>37</v>
      </c>
      <c r="J67" s="14"/>
      <c r="K67" s="26" t="s">
        <v>133</v>
      </c>
      <c r="L67" s="27" t="s">
        <v>134</v>
      </c>
      <c r="M67" s="27" t="s">
        <v>205</v>
      </c>
      <c r="N67" s="14"/>
      <c r="O67" s="32" t="str">
        <f>"400,0"</f>
        <v>400,0</v>
      </c>
      <c r="P67" s="14" t="str">
        <f>"307,3371"</f>
        <v>307,3371</v>
      </c>
      <c r="Q67" s="13"/>
    </row>
    <row r="68" spans="1:17">
      <c r="B68" s="5" t="s">
        <v>409</v>
      </c>
    </row>
    <row r="69" spans="1:17" ht="16">
      <c r="A69" s="57" t="s">
        <v>280</v>
      </c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</row>
    <row r="70" spans="1:17">
      <c r="A70" s="10" t="s">
        <v>408</v>
      </c>
      <c r="B70" s="9" t="s">
        <v>2679</v>
      </c>
      <c r="C70" s="9" t="s">
        <v>2680</v>
      </c>
      <c r="D70" s="9" t="s">
        <v>1783</v>
      </c>
      <c r="E70" s="9" t="s">
        <v>3752</v>
      </c>
      <c r="F70" s="9" t="s">
        <v>1495</v>
      </c>
      <c r="G70" s="23" t="s">
        <v>51</v>
      </c>
      <c r="H70" s="23" t="s">
        <v>53</v>
      </c>
      <c r="I70" s="22" t="s">
        <v>855</v>
      </c>
      <c r="J70" s="10"/>
      <c r="K70" s="23" t="s">
        <v>35</v>
      </c>
      <c r="L70" s="23" t="s">
        <v>36</v>
      </c>
      <c r="M70" s="23" t="s">
        <v>59</v>
      </c>
      <c r="N70" s="10"/>
      <c r="O70" s="30" t="str">
        <f>"225,0"</f>
        <v>225,0</v>
      </c>
      <c r="P70" s="10" t="str">
        <f>"128,8800"</f>
        <v>128,8800</v>
      </c>
      <c r="Q70" s="9"/>
    </row>
    <row r="71" spans="1:17">
      <c r="A71" s="12" t="s">
        <v>408</v>
      </c>
      <c r="B71" s="11" t="s">
        <v>3360</v>
      </c>
      <c r="C71" s="11" t="s">
        <v>315</v>
      </c>
      <c r="D71" s="11" t="s">
        <v>304</v>
      </c>
      <c r="E71" s="11" t="s">
        <v>3751</v>
      </c>
      <c r="F71" s="11" t="s">
        <v>316</v>
      </c>
      <c r="G71" s="24" t="s">
        <v>68</v>
      </c>
      <c r="H71" s="24" t="s">
        <v>97</v>
      </c>
      <c r="I71" s="24" t="s">
        <v>317</v>
      </c>
      <c r="J71" s="12"/>
      <c r="K71" s="24" t="s">
        <v>128</v>
      </c>
      <c r="L71" s="24" t="s">
        <v>217</v>
      </c>
      <c r="M71" s="24" t="s">
        <v>211</v>
      </c>
      <c r="N71" s="12"/>
      <c r="O71" s="31" t="str">
        <f>"547,5"</f>
        <v>547,5</v>
      </c>
      <c r="P71" s="12" t="str">
        <f>"313,0057"</f>
        <v>313,0057</v>
      </c>
      <c r="Q71" s="11" t="s">
        <v>318</v>
      </c>
    </row>
    <row r="72" spans="1:17">
      <c r="A72" s="12" t="s">
        <v>412</v>
      </c>
      <c r="B72" s="11" t="s">
        <v>812</v>
      </c>
      <c r="C72" s="11" t="s">
        <v>813</v>
      </c>
      <c r="D72" s="11" t="s">
        <v>814</v>
      </c>
      <c r="E72" s="11" t="s">
        <v>3751</v>
      </c>
      <c r="F72" s="11" t="s">
        <v>199</v>
      </c>
      <c r="G72" s="25" t="s">
        <v>87</v>
      </c>
      <c r="H72" s="25" t="s">
        <v>87</v>
      </c>
      <c r="I72" s="25" t="s">
        <v>87</v>
      </c>
      <c r="J72" s="12"/>
      <c r="K72" s="12"/>
      <c r="L72" s="12"/>
      <c r="M72" s="25"/>
      <c r="N72" s="12"/>
      <c r="O72" s="31">
        <v>0</v>
      </c>
      <c r="P72" s="12" t="str">
        <f>"0,0000"</f>
        <v>0,0000</v>
      </c>
      <c r="Q72" s="11"/>
    </row>
    <row r="73" spans="1:17">
      <c r="A73" s="14" t="s">
        <v>408</v>
      </c>
      <c r="B73" s="13" t="s">
        <v>2949</v>
      </c>
      <c r="C73" s="13" t="s">
        <v>2950</v>
      </c>
      <c r="D73" s="13" t="s">
        <v>2951</v>
      </c>
      <c r="E73" s="13" t="s">
        <v>3758</v>
      </c>
      <c r="F73" s="13" t="s">
        <v>3509</v>
      </c>
      <c r="G73" s="26" t="s">
        <v>76</v>
      </c>
      <c r="H73" s="26" t="s">
        <v>77</v>
      </c>
      <c r="I73" s="27" t="s">
        <v>132</v>
      </c>
      <c r="J73" s="14"/>
      <c r="K73" s="26" t="s">
        <v>83</v>
      </c>
      <c r="L73" s="26" t="s">
        <v>97</v>
      </c>
      <c r="M73" s="26" t="s">
        <v>86</v>
      </c>
      <c r="N73" s="14"/>
      <c r="O73" s="32" t="str">
        <f>"350,0"</f>
        <v>350,0</v>
      </c>
      <c r="P73" s="14" t="str">
        <f>"348,4089"</f>
        <v>348,4089</v>
      </c>
      <c r="Q73" s="13"/>
    </row>
    <row r="74" spans="1:17">
      <c r="B74" s="5" t="s">
        <v>409</v>
      </c>
    </row>
    <row r="75" spans="1:17" ht="16">
      <c r="A75" s="57" t="s">
        <v>328</v>
      </c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</row>
    <row r="76" spans="1:17">
      <c r="A76" s="10" t="s">
        <v>408</v>
      </c>
      <c r="B76" s="9" t="s">
        <v>2689</v>
      </c>
      <c r="C76" s="9" t="s">
        <v>2690</v>
      </c>
      <c r="D76" s="9" t="s">
        <v>2691</v>
      </c>
      <c r="E76" s="9" t="s">
        <v>3752</v>
      </c>
      <c r="F76" s="9" t="s">
        <v>1495</v>
      </c>
      <c r="G76" s="22" t="s">
        <v>39</v>
      </c>
      <c r="H76" s="23" t="s">
        <v>54</v>
      </c>
      <c r="I76" s="23" t="s">
        <v>586</v>
      </c>
      <c r="J76" s="10"/>
      <c r="K76" s="23" t="s">
        <v>37</v>
      </c>
      <c r="L76" s="23" t="s">
        <v>29</v>
      </c>
      <c r="M76" s="23" t="s">
        <v>66</v>
      </c>
      <c r="N76" s="10"/>
      <c r="O76" s="30" t="str">
        <f>"302,5"</f>
        <v>302,5</v>
      </c>
      <c r="P76" s="10" t="str">
        <f>"170,8520"</f>
        <v>170,8520</v>
      </c>
      <c r="Q76" s="9"/>
    </row>
    <row r="77" spans="1:17">
      <c r="A77" s="14" t="s">
        <v>408</v>
      </c>
      <c r="B77" s="13" t="s">
        <v>1797</v>
      </c>
      <c r="C77" s="13" t="s">
        <v>1798</v>
      </c>
      <c r="D77" s="13" t="s">
        <v>1799</v>
      </c>
      <c r="E77" s="13" t="s">
        <v>3751</v>
      </c>
      <c r="F77" s="13" t="s">
        <v>3641</v>
      </c>
      <c r="G77" s="27" t="s">
        <v>86</v>
      </c>
      <c r="H77" s="27" t="s">
        <v>86</v>
      </c>
      <c r="I77" s="26" t="s">
        <v>86</v>
      </c>
      <c r="J77" s="14"/>
      <c r="K77" s="27" t="s">
        <v>161</v>
      </c>
      <c r="L77" s="26" t="s">
        <v>161</v>
      </c>
      <c r="M77" s="26" t="s">
        <v>1800</v>
      </c>
      <c r="N77" s="14"/>
      <c r="O77" s="32" t="str">
        <f>"562,5"</f>
        <v>562,5</v>
      </c>
      <c r="P77" s="14" t="str">
        <f>"317,0250"</f>
        <v>317,0250</v>
      </c>
      <c r="Q77" s="13"/>
    </row>
    <row r="78" spans="1:17">
      <c r="B78" s="5" t="s">
        <v>409</v>
      </c>
    </row>
    <row r="79" spans="1:17">
      <c r="B79" s="5" t="s">
        <v>409</v>
      </c>
    </row>
    <row r="80" spans="1:17">
      <c r="B80" s="5" t="s">
        <v>409</v>
      </c>
    </row>
    <row r="81" spans="2:6" ht="18">
      <c r="B81" s="15" t="s">
        <v>365</v>
      </c>
      <c r="C81" s="15"/>
      <c r="F81" s="3"/>
    </row>
    <row r="82" spans="2:6" ht="16">
      <c r="B82" s="16" t="s">
        <v>385</v>
      </c>
      <c r="C82" s="16"/>
      <c r="F82" s="3"/>
    </row>
    <row r="83" spans="2:6" ht="14">
      <c r="B83" s="17"/>
      <c r="C83" s="18" t="s">
        <v>367</v>
      </c>
      <c r="F83" s="3"/>
    </row>
    <row r="84" spans="2:6" ht="14">
      <c r="B84" s="19" t="s">
        <v>368</v>
      </c>
      <c r="C84" s="19" t="s">
        <v>369</v>
      </c>
      <c r="D84" s="19" t="s">
        <v>3230</v>
      </c>
      <c r="E84" s="19" t="s">
        <v>371</v>
      </c>
      <c r="F84" s="19" t="s">
        <v>372</v>
      </c>
    </row>
    <row r="85" spans="2:6">
      <c r="B85" s="5" t="s">
        <v>259</v>
      </c>
      <c r="C85" s="5" t="s">
        <v>367</v>
      </c>
      <c r="D85" s="6" t="s">
        <v>391</v>
      </c>
      <c r="E85" s="6" t="s">
        <v>2952</v>
      </c>
      <c r="F85" s="6" t="s">
        <v>2953</v>
      </c>
    </row>
    <row r="86" spans="2:6">
      <c r="B86" s="5" t="s">
        <v>156</v>
      </c>
      <c r="C86" s="5" t="s">
        <v>367</v>
      </c>
      <c r="D86" s="6" t="s">
        <v>394</v>
      </c>
      <c r="E86" s="6" t="s">
        <v>2954</v>
      </c>
      <c r="F86" s="6" t="s">
        <v>2955</v>
      </c>
    </row>
    <row r="87" spans="2:6">
      <c r="B87" s="5" t="s">
        <v>656</v>
      </c>
      <c r="C87" s="5" t="s">
        <v>367</v>
      </c>
      <c r="D87" s="6" t="s">
        <v>373</v>
      </c>
      <c r="E87" s="6" t="s">
        <v>2956</v>
      </c>
      <c r="F87" s="6" t="s">
        <v>2957</v>
      </c>
    </row>
    <row r="89" spans="2:6" ht="14">
      <c r="B89" s="17"/>
      <c r="C89" s="18" t="s">
        <v>382</v>
      </c>
    </row>
    <row r="90" spans="2:6" ht="14">
      <c r="B90" s="19" t="s">
        <v>368</v>
      </c>
      <c r="C90" s="19" t="s">
        <v>369</v>
      </c>
      <c r="D90" s="19" t="s">
        <v>3230</v>
      </c>
      <c r="E90" s="19" t="s">
        <v>371</v>
      </c>
      <c r="F90" s="19" t="s">
        <v>372</v>
      </c>
    </row>
    <row r="91" spans="2:6">
      <c r="B91" s="5" t="s">
        <v>2930</v>
      </c>
      <c r="C91" s="5" t="s">
        <v>403</v>
      </c>
      <c r="D91" s="6" t="s">
        <v>373</v>
      </c>
      <c r="E91" s="6" t="s">
        <v>333</v>
      </c>
      <c r="F91" s="6" t="s">
        <v>2958</v>
      </c>
    </row>
    <row r="92" spans="2:6">
      <c r="B92" s="5" t="s">
        <v>2949</v>
      </c>
      <c r="C92" s="5" t="s">
        <v>400</v>
      </c>
      <c r="D92" s="6" t="s">
        <v>397</v>
      </c>
      <c r="E92" s="6" t="s">
        <v>333</v>
      </c>
      <c r="F92" s="6" t="s">
        <v>2959</v>
      </c>
    </row>
    <row r="93" spans="2:6">
      <c r="B93" s="5" t="s">
        <v>255</v>
      </c>
      <c r="C93" s="5" t="s">
        <v>403</v>
      </c>
      <c r="D93" s="6" t="s">
        <v>390</v>
      </c>
      <c r="E93" s="6" t="s">
        <v>284</v>
      </c>
      <c r="F93" s="6" t="s">
        <v>2960</v>
      </c>
    </row>
    <row r="94" spans="2:6">
      <c r="B94" s="5" t="s">
        <v>409</v>
      </c>
    </row>
  </sheetData>
  <mergeCells count="23"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45:N45"/>
    <mergeCell ref="A61:N61"/>
    <mergeCell ref="A69:N69"/>
    <mergeCell ref="A75:N75"/>
    <mergeCell ref="B3:B4"/>
    <mergeCell ref="A11:N11"/>
    <mergeCell ref="A15:N15"/>
    <mergeCell ref="A18:N18"/>
    <mergeCell ref="A22:N22"/>
    <mergeCell ref="A27:N27"/>
    <mergeCell ref="A36:N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13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1" style="5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22.16406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4.5" style="5" customWidth="1"/>
    <col min="18" max="16384" width="9.1640625" style="3"/>
  </cols>
  <sheetData>
    <row r="1" spans="1:17" s="2" customFormat="1" ht="29" customHeight="1">
      <c r="A1" s="68" t="s">
        <v>3292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5"/>
    </row>
    <row r="3" spans="1:17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2" t="s">
        <v>8</v>
      </c>
      <c r="L3" s="62"/>
      <c r="M3" s="62"/>
      <c r="N3" s="62"/>
      <c r="O3" s="62" t="s">
        <v>1</v>
      </c>
      <c r="P3" s="62" t="s">
        <v>3</v>
      </c>
      <c r="Q3" s="64" t="s">
        <v>2</v>
      </c>
    </row>
    <row r="4" spans="1:17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63"/>
      <c r="P4" s="63"/>
      <c r="Q4" s="65"/>
    </row>
    <row r="5" spans="1:17" ht="16">
      <c r="A5" s="66" t="s">
        <v>62</v>
      </c>
      <c r="B5" s="66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7">
      <c r="A6" s="8" t="s">
        <v>408</v>
      </c>
      <c r="B6" s="7" t="s">
        <v>3016</v>
      </c>
      <c r="C6" s="7" t="s">
        <v>3017</v>
      </c>
      <c r="D6" s="7" t="s">
        <v>123</v>
      </c>
      <c r="E6" s="7" t="s">
        <v>3751</v>
      </c>
      <c r="F6" s="7" t="s">
        <v>3509</v>
      </c>
      <c r="G6" s="20" t="s">
        <v>45</v>
      </c>
      <c r="H6" s="21" t="s">
        <v>35</v>
      </c>
      <c r="I6" s="21" t="s">
        <v>46</v>
      </c>
      <c r="J6" s="8"/>
      <c r="K6" s="20" t="s">
        <v>70</v>
      </c>
      <c r="L6" s="20" t="s">
        <v>71</v>
      </c>
      <c r="M6" s="20" t="s">
        <v>210</v>
      </c>
      <c r="N6" s="8"/>
      <c r="O6" s="8" t="str">
        <f>"352,5"</f>
        <v>352,5</v>
      </c>
      <c r="P6" s="8" t="str">
        <f>"236,1398"</f>
        <v>236,1398</v>
      </c>
      <c r="Q6" s="7"/>
    </row>
    <row r="7" spans="1:17">
      <c r="B7" s="5" t="s">
        <v>409</v>
      </c>
    </row>
    <row r="8" spans="1:17" ht="16">
      <c r="A8" s="57" t="s">
        <v>150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17">
      <c r="A9" s="8" t="s">
        <v>408</v>
      </c>
      <c r="B9" s="7" t="s">
        <v>3018</v>
      </c>
      <c r="C9" s="7" t="s">
        <v>3019</v>
      </c>
      <c r="D9" s="7" t="s">
        <v>1199</v>
      </c>
      <c r="E9" s="7" t="s">
        <v>3751</v>
      </c>
      <c r="F9" s="7" t="s">
        <v>3509</v>
      </c>
      <c r="G9" s="20" t="s">
        <v>28</v>
      </c>
      <c r="H9" s="20" t="s">
        <v>70</v>
      </c>
      <c r="I9" s="21" t="s">
        <v>71</v>
      </c>
      <c r="J9" s="8"/>
      <c r="K9" s="20" t="s">
        <v>133</v>
      </c>
      <c r="L9" s="20" t="s">
        <v>134</v>
      </c>
      <c r="M9" s="21" t="s">
        <v>119</v>
      </c>
      <c r="N9" s="8"/>
      <c r="O9" s="8" t="str">
        <f>"440,0"</f>
        <v>440,0</v>
      </c>
      <c r="P9" s="8" t="str">
        <f>"282,3480"</f>
        <v>282,3480</v>
      </c>
      <c r="Q9" s="7"/>
    </row>
    <row r="10" spans="1:17">
      <c r="B10" s="5" t="s">
        <v>409</v>
      </c>
    </row>
    <row r="11" spans="1:17" ht="16">
      <c r="A11" s="57" t="s">
        <v>195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7">
      <c r="A12" s="8" t="s">
        <v>408</v>
      </c>
      <c r="B12" s="7" t="s">
        <v>3020</v>
      </c>
      <c r="C12" s="7" t="s">
        <v>3021</v>
      </c>
      <c r="D12" s="7" t="s">
        <v>3022</v>
      </c>
      <c r="E12" s="7" t="s">
        <v>3751</v>
      </c>
      <c r="F12" s="7" t="s">
        <v>3534</v>
      </c>
      <c r="G12" s="21" t="s">
        <v>83</v>
      </c>
      <c r="H12" s="20" t="s">
        <v>83</v>
      </c>
      <c r="I12" s="8"/>
      <c r="J12" s="8"/>
      <c r="K12" s="20" t="s">
        <v>120</v>
      </c>
      <c r="L12" s="20" t="s">
        <v>2652</v>
      </c>
      <c r="M12" s="8"/>
      <c r="N12" s="8"/>
      <c r="O12" s="8" t="str">
        <f>"517,5"</f>
        <v>517,5</v>
      </c>
      <c r="P12" s="8" t="str">
        <f>"325,7662"</f>
        <v>325,7662</v>
      </c>
      <c r="Q12" s="7"/>
    </row>
    <row r="13" spans="1:17">
      <c r="B13" s="5" t="s">
        <v>409</v>
      </c>
    </row>
  </sheetData>
  <mergeCells count="15"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  <mergeCell ref="A8:N8"/>
    <mergeCell ref="A11:N11"/>
    <mergeCell ref="B3:B4"/>
    <mergeCell ref="O3:O4"/>
    <mergeCell ref="P3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349"/>
  <sheetViews>
    <sheetView workbookViewId="0">
      <selection activeCell="E302" sqref="E302"/>
    </sheetView>
  </sheetViews>
  <sheetFormatPr baseColWidth="10" defaultColWidth="9.1640625" defaultRowHeight="13"/>
  <cols>
    <col min="1" max="1" width="7.5" style="5" bestFit="1" customWidth="1"/>
    <col min="2" max="2" width="23.83203125" style="5" bestFit="1" customWidth="1"/>
    <col min="3" max="3" width="27.83203125" style="5" customWidth="1"/>
    <col min="4" max="4" width="21.5" style="5" bestFit="1" customWidth="1"/>
    <col min="5" max="5" width="10.5" style="5" bestFit="1" customWidth="1"/>
    <col min="6" max="6" width="24.5" style="5" bestFit="1" customWidth="1"/>
    <col min="7" max="10" width="5.5" style="6" customWidth="1"/>
    <col min="11" max="11" width="10.5" style="28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68" t="s">
        <v>3305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2" customFormat="1" ht="62" customHeight="1" thickBot="1">
      <c r="A2" s="72"/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3" s="1" customFormat="1" ht="12.75" customHeight="1">
      <c r="A3" s="76" t="s">
        <v>3507</v>
      </c>
      <c r="B3" s="58" t="s">
        <v>0</v>
      </c>
      <c r="C3" s="78" t="s">
        <v>3749</v>
      </c>
      <c r="D3" s="78" t="s">
        <v>5</v>
      </c>
      <c r="E3" s="62" t="s">
        <v>3750</v>
      </c>
      <c r="F3" s="62" t="s">
        <v>3290</v>
      </c>
      <c r="G3" s="62" t="s">
        <v>7</v>
      </c>
      <c r="H3" s="62"/>
      <c r="I3" s="62"/>
      <c r="J3" s="62"/>
      <c r="K3" s="60" t="s">
        <v>1462</v>
      </c>
      <c r="L3" s="62" t="s">
        <v>3</v>
      </c>
      <c r="M3" s="64" t="s">
        <v>2</v>
      </c>
    </row>
    <row r="4" spans="1:13" s="1" customFormat="1" ht="21" customHeight="1" thickBot="1">
      <c r="A4" s="77"/>
      <c r="B4" s="59"/>
      <c r="C4" s="63"/>
      <c r="D4" s="63"/>
      <c r="E4" s="63"/>
      <c r="F4" s="63"/>
      <c r="G4" s="4">
        <v>1</v>
      </c>
      <c r="H4" s="4">
        <v>2</v>
      </c>
      <c r="I4" s="4">
        <v>3</v>
      </c>
      <c r="J4" s="4" t="s">
        <v>4</v>
      </c>
      <c r="K4" s="61"/>
      <c r="L4" s="63"/>
      <c r="M4" s="65"/>
    </row>
    <row r="5" spans="1:13" ht="16">
      <c r="A5" s="66" t="s">
        <v>1835</v>
      </c>
      <c r="B5" s="66"/>
      <c r="C5" s="67"/>
      <c r="D5" s="67"/>
      <c r="E5" s="67"/>
      <c r="F5" s="67"/>
      <c r="G5" s="67"/>
      <c r="H5" s="67"/>
      <c r="I5" s="67"/>
      <c r="J5" s="67"/>
    </row>
    <row r="6" spans="1:13">
      <c r="A6" s="10" t="s">
        <v>408</v>
      </c>
      <c r="B6" s="9" t="s">
        <v>1836</v>
      </c>
      <c r="C6" s="9" t="s">
        <v>1837</v>
      </c>
      <c r="D6" s="9" t="s">
        <v>1838</v>
      </c>
      <c r="E6" s="9" t="s">
        <v>3755</v>
      </c>
      <c r="F6" s="9" t="s">
        <v>3537</v>
      </c>
      <c r="G6" s="23" t="s">
        <v>17</v>
      </c>
      <c r="H6" s="23" t="s">
        <v>864</v>
      </c>
      <c r="I6" s="22" t="s">
        <v>51</v>
      </c>
      <c r="J6" s="10"/>
      <c r="K6" s="30" t="str">
        <f>"47,5"</f>
        <v>47,5</v>
      </c>
      <c r="L6" s="10" t="str">
        <f>"67,3930"</f>
        <v>67,3930</v>
      </c>
      <c r="M6" s="9" t="s">
        <v>1839</v>
      </c>
    </row>
    <row r="7" spans="1:13">
      <c r="A7" s="12" t="s">
        <v>408</v>
      </c>
      <c r="B7" s="11" t="s">
        <v>1840</v>
      </c>
      <c r="C7" s="11" t="s">
        <v>1841</v>
      </c>
      <c r="D7" s="11" t="s">
        <v>1842</v>
      </c>
      <c r="E7" s="11" t="s">
        <v>3751</v>
      </c>
      <c r="F7" s="11" t="s">
        <v>3509</v>
      </c>
      <c r="G7" s="24" t="s">
        <v>864</v>
      </c>
      <c r="H7" s="25" t="s">
        <v>51</v>
      </c>
      <c r="I7" s="25" t="s">
        <v>51</v>
      </c>
      <c r="J7" s="12"/>
      <c r="K7" s="31" t="str">
        <f>"47,5"</f>
        <v>47,5</v>
      </c>
      <c r="L7" s="12" t="str">
        <f>"68,3097"</f>
        <v>68,3097</v>
      </c>
      <c r="M7" s="11" t="s">
        <v>3368</v>
      </c>
    </row>
    <row r="8" spans="1:13">
      <c r="A8" s="14" t="s">
        <v>410</v>
      </c>
      <c r="B8" s="13" t="s">
        <v>1843</v>
      </c>
      <c r="C8" s="13" t="s">
        <v>1844</v>
      </c>
      <c r="D8" s="13" t="s">
        <v>1845</v>
      </c>
      <c r="E8" s="13" t="s">
        <v>3751</v>
      </c>
      <c r="F8" s="13" t="s">
        <v>3509</v>
      </c>
      <c r="G8" s="26" t="s">
        <v>439</v>
      </c>
      <c r="H8" s="27" t="s">
        <v>440</v>
      </c>
      <c r="I8" s="27" t="s">
        <v>440</v>
      </c>
      <c r="J8" s="14"/>
      <c r="K8" s="32" t="str">
        <f>"37,5"</f>
        <v>37,5</v>
      </c>
      <c r="L8" s="14" t="str">
        <f>"53,2837"</f>
        <v>53,2837</v>
      </c>
      <c r="M8" s="13"/>
    </row>
    <row r="9" spans="1:13">
      <c r="B9" s="5" t="s">
        <v>409</v>
      </c>
    </row>
    <row r="10" spans="1:13" ht="16">
      <c r="A10" s="57" t="s">
        <v>851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3">
      <c r="A11" s="10" t="s">
        <v>408</v>
      </c>
      <c r="B11" s="9" t="s">
        <v>1846</v>
      </c>
      <c r="C11" s="9" t="s">
        <v>1847</v>
      </c>
      <c r="D11" s="9" t="s">
        <v>859</v>
      </c>
      <c r="E11" s="9" t="s">
        <v>3751</v>
      </c>
      <c r="F11" s="9" t="s">
        <v>3509</v>
      </c>
      <c r="G11" s="22" t="s">
        <v>865</v>
      </c>
      <c r="H11" s="23" t="s">
        <v>865</v>
      </c>
      <c r="I11" s="23" t="s">
        <v>889</v>
      </c>
      <c r="J11" s="10"/>
      <c r="K11" s="30" t="str">
        <f>"57,5"</f>
        <v>57,5</v>
      </c>
      <c r="L11" s="10" t="str">
        <f>"76,5038"</f>
        <v>76,5038</v>
      </c>
      <c r="M11" s="9" t="s">
        <v>1848</v>
      </c>
    </row>
    <row r="12" spans="1:13">
      <c r="A12" s="12" t="s">
        <v>410</v>
      </c>
      <c r="B12" s="11" t="s">
        <v>1849</v>
      </c>
      <c r="C12" s="11" t="s">
        <v>1850</v>
      </c>
      <c r="D12" s="11" t="s">
        <v>1376</v>
      </c>
      <c r="E12" s="11" t="s">
        <v>3751</v>
      </c>
      <c r="F12" s="11" t="s">
        <v>3509</v>
      </c>
      <c r="G12" s="24" t="s">
        <v>864</v>
      </c>
      <c r="H12" s="24" t="s">
        <v>865</v>
      </c>
      <c r="I12" s="24" t="s">
        <v>52</v>
      </c>
      <c r="J12" s="12"/>
      <c r="K12" s="31" t="str">
        <f>"55,0"</f>
        <v>55,0</v>
      </c>
      <c r="L12" s="12" t="str">
        <f>"73,4030"</f>
        <v>73,4030</v>
      </c>
      <c r="M12" s="11" t="s">
        <v>3405</v>
      </c>
    </row>
    <row r="13" spans="1:13">
      <c r="A13" s="12" t="s">
        <v>411</v>
      </c>
      <c r="B13" s="11" t="s">
        <v>1851</v>
      </c>
      <c r="C13" s="11" t="s">
        <v>1852</v>
      </c>
      <c r="D13" s="11" t="s">
        <v>859</v>
      </c>
      <c r="E13" s="11" t="s">
        <v>3751</v>
      </c>
      <c r="F13" s="11" t="s">
        <v>3602</v>
      </c>
      <c r="G13" s="24" t="s">
        <v>915</v>
      </c>
      <c r="H13" s="24" t="s">
        <v>16</v>
      </c>
      <c r="I13" s="25" t="s">
        <v>17</v>
      </c>
      <c r="J13" s="12"/>
      <c r="K13" s="31" t="str">
        <f>"40,0"</f>
        <v>40,0</v>
      </c>
      <c r="L13" s="12" t="str">
        <f>"53,2200"</f>
        <v>53,2200</v>
      </c>
      <c r="M13" s="11" t="s">
        <v>2212</v>
      </c>
    </row>
    <row r="14" spans="1:13">
      <c r="A14" s="14" t="s">
        <v>412</v>
      </c>
      <c r="B14" s="13" t="s">
        <v>1853</v>
      </c>
      <c r="C14" s="13" t="s">
        <v>1854</v>
      </c>
      <c r="D14" s="13" t="s">
        <v>1855</v>
      </c>
      <c r="E14" s="13" t="s">
        <v>3751</v>
      </c>
      <c r="F14" s="13" t="s">
        <v>3583</v>
      </c>
      <c r="G14" s="27" t="s">
        <v>16</v>
      </c>
      <c r="H14" s="14"/>
      <c r="I14" s="14"/>
      <c r="J14" s="14"/>
      <c r="K14" s="32">
        <v>0</v>
      </c>
      <c r="L14" s="14" t="str">
        <f>"0,0000"</f>
        <v>0,0000</v>
      </c>
      <c r="M14" s="13" t="s">
        <v>3406</v>
      </c>
    </row>
    <row r="15" spans="1:13">
      <c r="B15" s="5" t="s">
        <v>409</v>
      </c>
    </row>
    <row r="16" spans="1:13" ht="16">
      <c r="A16" s="57" t="s">
        <v>9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3">
      <c r="A17" s="10" t="s">
        <v>408</v>
      </c>
      <c r="B17" s="9" t="s">
        <v>1856</v>
      </c>
      <c r="C17" s="9" t="s">
        <v>1857</v>
      </c>
      <c r="D17" s="9" t="s">
        <v>12</v>
      </c>
      <c r="E17" s="9" t="s">
        <v>3755</v>
      </c>
      <c r="F17" s="9" t="s">
        <v>3509</v>
      </c>
      <c r="G17" s="23" t="s">
        <v>916</v>
      </c>
      <c r="H17" s="23" t="s">
        <v>915</v>
      </c>
      <c r="I17" s="23" t="s">
        <v>869</v>
      </c>
      <c r="J17" s="10"/>
      <c r="K17" s="30" t="str">
        <f>"35,0"</f>
        <v>35,0</v>
      </c>
      <c r="L17" s="10" t="str">
        <f>"44,2890"</f>
        <v>44,2890</v>
      </c>
      <c r="M17" s="9" t="s">
        <v>3407</v>
      </c>
    </row>
    <row r="18" spans="1:13">
      <c r="A18" s="12" t="s">
        <v>408</v>
      </c>
      <c r="B18" s="11" t="s">
        <v>1858</v>
      </c>
      <c r="C18" s="11" t="s">
        <v>1859</v>
      </c>
      <c r="D18" s="11" t="s">
        <v>1860</v>
      </c>
      <c r="E18" s="11" t="s">
        <v>3752</v>
      </c>
      <c r="F18" s="11" t="s">
        <v>3540</v>
      </c>
      <c r="G18" s="24" t="s">
        <v>52</v>
      </c>
      <c r="H18" s="24" t="s">
        <v>889</v>
      </c>
      <c r="I18" s="24" t="s">
        <v>53</v>
      </c>
      <c r="J18" s="12"/>
      <c r="K18" s="31" t="str">
        <f>"60,0"</f>
        <v>60,0</v>
      </c>
      <c r="L18" s="12" t="str">
        <f>"77,7840"</f>
        <v>77,7840</v>
      </c>
      <c r="M18" s="11" t="s">
        <v>3408</v>
      </c>
    </row>
    <row r="19" spans="1:13">
      <c r="A19" s="12" t="s">
        <v>408</v>
      </c>
      <c r="B19" s="11" t="s">
        <v>1861</v>
      </c>
      <c r="C19" s="11" t="s">
        <v>1634</v>
      </c>
      <c r="D19" s="11" t="s">
        <v>1862</v>
      </c>
      <c r="E19" s="11" t="s">
        <v>3751</v>
      </c>
      <c r="F19" s="11" t="s">
        <v>3509</v>
      </c>
      <c r="G19" s="24" t="s">
        <v>14</v>
      </c>
      <c r="H19" s="24" t="s">
        <v>15</v>
      </c>
      <c r="I19" s="24" t="s">
        <v>27</v>
      </c>
      <c r="J19" s="12"/>
      <c r="K19" s="31" t="str">
        <f>"77,5"</f>
        <v>77,5</v>
      </c>
      <c r="L19" s="12" t="str">
        <f>"98,9598"</f>
        <v>98,9598</v>
      </c>
      <c r="M19" s="11"/>
    </row>
    <row r="20" spans="1:13">
      <c r="A20" s="12" t="s">
        <v>410</v>
      </c>
      <c r="B20" s="11" t="s">
        <v>1863</v>
      </c>
      <c r="C20" s="11" t="s">
        <v>1864</v>
      </c>
      <c r="D20" s="11" t="s">
        <v>1865</v>
      </c>
      <c r="E20" s="11" t="s">
        <v>3751</v>
      </c>
      <c r="F20" s="11" t="s">
        <v>3509</v>
      </c>
      <c r="G20" s="24" t="s">
        <v>865</v>
      </c>
      <c r="H20" s="25" t="s">
        <v>889</v>
      </c>
      <c r="I20" s="24" t="s">
        <v>889</v>
      </c>
      <c r="J20" s="12"/>
      <c r="K20" s="31" t="str">
        <f>"57,5"</f>
        <v>57,5</v>
      </c>
      <c r="L20" s="12" t="str">
        <f>"72,3235"</f>
        <v>72,3235</v>
      </c>
      <c r="M20" s="11" t="s">
        <v>3409</v>
      </c>
    </row>
    <row r="21" spans="1:13">
      <c r="A21" s="12" t="s">
        <v>411</v>
      </c>
      <c r="B21" s="11" t="s">
        <v>1866</v>
      </c>
      <c r="C21" s="11" t="s">
        <v>1867</v>
      </c>
      <c r="D21" s="11" t="s">
        <v>1868</v>
      </c>
      <c r="E21" s="11" t="s">
        <v>3751</v>
      </c>
      <c r="F21" s="11" t="s">
        <v>1869</v>
      </c>
      <c r="G21" s="24" t="s">
        <v>51</v>
      </c>
      <c r="H21" s="24" t="s">
        <v>889</v>
      </c>
      <c r="I21" s="25" t="s">
        <v>855</v>
      </c>
      <c r="J21" s="12"/>
      <c r="K21" s="31" t="str">
        <f>"57,5"</f>
        <v>57,5</v>
      </c>
      <c r="L21" s="12" t="str">
        <f>"72,1107"</f>
        <v>72,1107</v>
      </c>
      <c r="M21" s="11" t="s">
        <v>3439</v>
      </c>
    </row>
    <row r="22" spans="1:13">
      <c r="A22" s="12" t="s">
        <v>413</v>
      </c>
      <c r="B22" s="11" t="s">
        <v>1870</v>
      </c>
      <c r="C22" s="11" t="s">
        <v>1871</v>
      </c>
      <c r="D22" s="11" t="s">
        <v>1872</v>
      </c>
      <c r="E22" s="11" t="s">
        <v>3751</v>
      </c>
      <c r="F22" s="11" t="s">
        <v>3512</v>
      </c>
      <c r="G22" s="24" t="s">
        <v>1873</v>
      </c>
      <c r="H22" s="24" t="s">
        <v>52</v>
      </c>
      <c r="I22" s="25" t="s">
        <v>889</v>
      </c>
      <c r="J22" s="12"/>
      <c r="K22" s="31" t="str">
        <f>"55,0"</f>
        <v>55,0</v>
      </c>
      <c r="L22" s="12" t="str">
        <f>"70,7630"</f>
        <v>70,7630</v>
      </c>
      <c r="M22" s="11" t="s">
        <v>1890</v>
      </c>
    </row>
    <row r="23" spans="1:13">
      <c r="A23" s="12" t="s">
        <v>408</v>
      </c>
      <c r="B23" s="11" t="s">
        <v>1866</v>
      </c>
      <c r="C23" s="11" t="s">
        <v>1874</v>
      </c>
      <c r="D23" s="11" t="s">
        <v>1868</v>
      </c>
      <c r="E23" s="11" t="s">
        <v>3753</v>
      </c>
      <c r="F23" s="11" t="s">
        <v>1869</v>
      </c>
      <c r="G23" s="24" t="s">
        <v>51</v>
      </c>
      <c r="H23" s="24" t="s">
        <v>889</v>
      </c>
      <c r="I23" s="25" t="s">
        <v>855</v>
      </c>
      <c r="J23" s="12"/>
      <c r="K23" s="31" t="str">
        <f>"57,5"</f>
        <v>57,5</v>
      </c>
      <c r="L23" s="12" t="str">
        <f>"79,0334"</f>
        <v>79,0334</v>
      </c>
      <c r="M23" s="11" t="s">
        <v>3439</v>
      </c>
    </row>
    <row r="24" spans="1:13">
      <c r="A24" s="14" t="s">
        <v>410</v>
      </c>
      <c r="B24" s="13" t="s">
        <v>1875</v>
      </c>
      <c r="C24" s="13" t="s">
        <v>1876</v>
      </c>
      <c r="D24" s="13" t="s">
        <v>1877</v>
      </c>
      <c r="E24" s="13" t="s">
        <v>3753</v>
      </c>
      <c r="F24" s="13" t="s">
        <v>3509</v>
      </c>
      <c r="G24" s="26" t="s">
        <v>51</v>
      </c>
      <c r="H24" s="26" t="s">
        <v>865</v>
      </c>
      <c r="I24" s="26" t="s">
        <v>52</v>
      </c>
      <c r="J24" s="14"/>
      <c r="K24" s="32" t="str">
        <f>"55,0"</f>
        <v>55,0</v>
      </c>
      <c r="L24" s="14" t="str">
        <f>"72,6313"</f>
        <v>72,6313</v>
      </c>
      <c r="M24" s="13" t="s">
        <v>3368</v>
      </c>
    </row>
    <row r="25" spans="1:13">
      <c r="B25" s="5" t="s">
        <v>409</v>
      </c>
    </row>
    <row r="26" spans="1:13" ht="16">
      <c r="A26" s="57" t="s">
        <v>21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3">
      <c r="A27" s="10" t="s">
        <v>408</v>
      </c>
      <c r="B27" s="9" t="s">
        <v>1878</v>
      </c>
      <c r="C27" s="9" t="s">
        <v>1879</v>
      </c>
      <c r="D27" s="9" t="s">
        <v>1027</v>
      </c>
      <c r="E27" s="9" t="s">
        <v>3754</v>
      </c>
      <c r="F27" s="9" t="s">
        <v>3583</v>
      </c>
      <c r="G27" s="23" t="s">
        <v>889</v>
      </c>
      <c r="H27" s="22" t="s">
        <v>855</v>
      </c>
      <c r="I27" s="23" t="s">
        <v>855</v>
      </c>
      <c r="J27" s="10"/>
      <c r="K27" s="30" t="str">
        <f>"62,5"</f>
        <v>62,5</v>
      </c>
      <c r="L27" s="10" t="str">
        <f>"74,5813"</f>
        <v>74,5813</v>
      </c>
      <c r="M27" s="9"/>
    </row>
    <row r="28" spans="1:13">
      <c r="A28" s="12" t="s">
        <v>412</v>
      </c>
      <c r="B28" s="11" t="s">
        <v>1880</v>
      </c>
      <c r="C28" s="11" t="s">
        <v>1881</v>
      </c>
      <c r="D28" s="11" t="s">
        <v>590</v>
      </c>
      <c r="E28" s="11" t="s">
        <v>3754</v>
      </c>
      <c r="F28" s="11" t="s">
        <v>3509</v>
      </c>
      <c r="G28" s="25" t="s">
        <v>889</v>
      </c>
      <c r="H28" s="25" t="s">
        <v>889</v>
      </c>
      <c r="I28" s="25" t="s">
        <v>889</v>
      </c>
      <c r="J28" s="12"/>
      <c r="K28" s="31">
        <v>0</v>
      </c>
      <c r="L28" s="12" t="str">
        <f>"0,0000"</f>
        <v>0,0000</v>
      </c>
      <c r="M28" s="11" t="s">
        <v>3410</v>
      </c>
    </row>
    <row r="29" spans="1:13">
      <c r="A29" s="12" t="s">
        <v>408</v>
      </c>
      <c r="B29" s="11" t="s">
        <v>425</v>
      </c>
      <c r="C29" s="11" t="s">
        <v>426</v>
      </c>
      <c r="D29" s="11" t="s">
        <v>427</v>
      </c>
      <c r="E29" s="11" t="s">
        <v>3751</v>
      </c>
      <c r="F29" s="11" t="s">
        <v>3562</v>
      </c>
      <c r="G29" s="24" t="s">
        <v>69</v>
      </c>
      <c r="H29" s="24" t="s">
        <v>39</v>
      </c>
      <c r="I29" s="25" t="s">
        <v>428</v>
      </c>
      <c r="J29" s="12"/>
      <c r="K29" s="31" t="str">
        <f>"100,0"</f>
        <v>100,0</v>
      </c>
      <c r="L29" s="12" t="str">
        <f>"117,6600"</f>
        <v>117,6600</v>
      </c>
      <c r="M29" s="11" t="s">
        <v>429</v>
      </c>
    </row>
    <row r="30" spans="1:13">
      <c r="A30" s="12" t="s">
        <v>410</v>
      </c>
      <c r="B30" s="11" t="s">
        <v>421</v>
      </c>
      <c r="C30" s="11" t="s">
        <v>422</v>
      </c>
      <c r="D30" s="11" t="s">
        <v>423</v>
      </c>
      <c r="E30" s="11" t="s">
        <v>3751</v>
      </c>
      <c r="F30" s="11" t="s">
        <v>3526</v>
      </c>
      <c r="G30" s="24" t="s">
        <v>60</v>
      </c>
      <c r="H30" s="24" t="s">
        <v>19</v>
      </c>
      <c r="I30" s="24" t="s">
        <v>38</v>
      </c>
      <c r="J30" s="12"/>
      <c r="K30" s="31" t="str">
        <f>"90,0"</f>
        <v>90,0</v>
      </c>
      <c r="L30" s="12" t="str">
        <f>"106,0470"</f>
        <v>106,0470</v>
      </c>
      <c r="M30" s="11" t="s">
        <v>424</v>
      </c>
    </row>
    <row r="31" spans="1:13">
      <c r="A31" s="12" t="s">
        <v>411</v>
      </c>
      <c r="B31" s="11" t="s">
        <v>1882</v>
      </c>
      <c r="C31" s="11" t="s">
        <v>1883</v>
      </c>
      <c r="D31" s="11" t="s">
        <v>626</v>
      </c>
      <c r="E31" s="11" t="s">
        <v>3751</v>
      </c>
      <c r="F31" s="11" t="s">
        <v>3509</v>
      </c>
      <c r="G31" s="24" t="s">
        <v>15</v>
      </c>
      <c r="H31" s="24" t="s">
        <v>18</v>
      </c>
      <c r="I31" s="24" t="s">
        <v>435</v>
      </c>
      <c r="J31" s="12"/>
      <c r="K31" s="31" t="str">
        <f>"85,0"</f>
        <v>85,0</v>
      </c>
      <c r="L31" s="12" t="str">
        <f>"103,3515"</f>
        <v>103,3515</v>
      </c>
      <c r="M31" s="11" t="s">
        <v>1884</v>
      </c>
    </row>
    <row r="32" spans="1:13">
      <c r="A32" s="12" t="s">
        <v>413</v>
      </c>
      <c r="B32" s="11" t="s">
        <v>1885</v>
      </c>
      <c r="C32" s="11" t="s">
        <v>1886</v>
      </c>
      <c r="D32" s="11" t="s">
        <v>427</v>
      </c>
      <c r="E32" s="11" t="s">
        <v>3751</v>
      </c>
      <c r="F32" s="11" t="s">
        <v>3642</v>
      </c>
      <c r="G32" s="24" t="s">
        <v>27</v>
      </c>
      <c r="H32" s="24" t="s">
        <v>60</v>
      </c>
      <c r="I32" s="24" t="s">
        <v>435</v>
      </c>
      <c r="J32" s="12"/>
      <c r="K32" s="31" t="str">
        <f>"85,0"</f>
        <v>85,0</v>
      </c>
      <c r="L32" s="12" t="str">
        <f>"100,0110"</f>
        <v>100,0110</v>
      </c>
      <c r="M32" s="11" t="s">
        <v>3411</v>
      </c>
    </row>
    <row r="33" spans="1:13">
      <c r="A33" s="12" t="s">
        <v>414</v>
      </c>
      <c r="B33" s="11" t="s">
        <v>1887</v>
      </c>
      <c r="C33" s="11" t="s">
        <v>1888</v>
      </c>
      <c r="D33" s="11" t="s">
        <v>1889</v>
      </c>
      <c r="E33" s="11" t="s">
        <v>3751</v>
      </c>
      <c r="F33" s="11" t="s">
        <v>3512</v>
      </c>
      <c r="G33" s="24" t="s">
        <v>27</v>
      </c>
      <c r="H33" s="24" t="s">
        <v>18</v>
      </c>
      <c r="I33" s="25" t="s">
        <v>60</v>
      </c>
      <c r="J33" s="12"/>
      <c r="K33" s="31" t="str">
        <f>"80,0"</f>
        <v>80,0</v>
      </c>
      <c r="L33" s="12" t="str">
        <f>"94,6560"</f>
        <v>94,6560</v>
      </c>
      <c r="M33" s="11" t="s">
        <v>1890</v>
      </c>
    </row>
    <row r="34" spans="1:13">
      <c r="A34" s="12" t="s">
        <v>415</v>
      </c>
      <c r="B34" s="11" t="s">
        <v>1891</v>
      </c>
      <c r="C34" s="11" t="s">
        <v>1892</v>
      </c>
      <c r="D34" s="11" t="s">
        <v>1893</v>
      </c>
      <c r="E34" s="11" t="s">
        <v>3751</v>
      </c>
      <c r="F34" s="11" t="s">
        <v>3529</v>
      </c>
      <c r="G34" s="25" t="s">
        <v>52</v>
      </c>
      <c r="H34" s="24" t="s">
        <v>889</v>
      </c>
      <c r="I34" s="24" t="s">
        <v>53</v>
      </c>
      <c r="J34" s="12"/>
      <c r="K34" s="31" t="str">
        <f>"60,0"</f>
        <v>60,0</v>
      </c>
      <c r="L34" s="12" t="str">
        <f>"71,1960"</f>
        <v>71,1960</v>
      </c>
      <c r="M34" s="11" t="s">
        <v>983</v>
      </c>
    </row>
    <row r="35" spans="1:13">
      <c r="A35" s="14" t="s">
        <v>408</v>
      </c>
      <c r="B35" s="13" t="s">
        <v>1885</v>
      </c>
      <c r="C35" s="13" t="s">
        <v>1812</v>
      </c>
      <c r="D35" s="13" t="s">
        <v>427</v>
      </c>
      <c r="E35" s="13" t="s">
        <v>3753</v>
      </c>
      <c r="F35" s="13" t="s">
        <v>3642</v>
      </c>
      <c r="G35" s="26" t="s">
        <v>27</v>
      </c>
      <c r="H35" s="26" t="s">
        <v>60</v>
      </c>
      <c r="I35" s="26" t="s">
        <v>435</v>
      </c>
      <c r="J35" s="14"/>
      <c r="K35" s="32" t="str">
        <f>"85,0"</f>
        <v>85,0</v>
      </c>
      <c r="L35" s="14" t="str">
        <f>"107,8119"</f>
        <v>107,8119</v>
      </c>
      <c r="M35" s="13" t="s">
        <v>3411</v>
      </c>
    </row>
    <row r="36" spans="1:13">
      <c r="B36" s="5" t="s">
        <v>409</v>
      </c>
    </row>
    <row r="37" spans="1:13" ht="16">
      <c r="A37" s="57" t="s">
        <v>31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3">
      <c r="A38" s="10" t="s">
        <v>408</v>
      </c>
      <c r="B38" s="9" t="s">
        <v>917</v>
      </c>
      <c r="C38" s="9" t="s">
        <v>918</v>
      </c>
      <c r="D38" s="9" t="s">
        <v>919</v>
      </c>
      <c r="E38" s="9" t="s">
        <v>3752</v>
      </c>
      <c r="F38" s="9" t="s">
        <v>3509</v>
      </c>
      <c r="G38" s="23" t="s">
        <v>52</v>
      </c>
      <c r="H38" s="22" t="s">
        <v>53</v>
      </c>
      <c r="I38" s="23" t="s">
        <v>53</v>
      </c>
      <c r="J38" s="10"/>
      <c r="K38" s="30" t="str">
        <f>"60,0"</f>
        <v>60,0</v>
      </c>
      <c r="L38" s="10" t="str">
        <f>"67,5060"</f>
        <v>67,5060</v>
      </c>
      <c r="M38" s="9"/>
    </row>
    <row r="39" spans="1:13">
      <c r="A39" s="12" t="s">
        <v>408</v>
      </c>
      <c r="B39" s="11" t="s">
        <v>432</v>
      </c>
      <c r="C39" s="11" t="s">
        <v>433</v>
      </c>
      <c r="D39" s="11" t="s">
        <v>434</v>
      </c>
      <c r="E39" s="11" t="s">
        <v>3751</v>
      </c>
      <c r="F39" s="11" t="s">
        <v>3526</v>
      </c>
      <c r="G39" s="24" t="s">
        <v>18</v>
      </c>
      <c r="H39" s="24" t="s">
        <v>435</v>
      </c>
      <c r="I39" s="24" t="s">
        <v>19</v>
      </c>
      <c r="J39" s="12"/>
      <c r="K39" s="31" t="str">
        <f>"87,5"</f>
        <v>87,5</v>
      </c>
      <c r="L39" s="12" t="str">
        <f>"99,4962"</f>
        <v>99,4962</v>
      </c>
      <c r="M39" s="11" t="s">
        <v>424</v>
      </c>
    </row>
    <row r="40" spans="1:13">
      <c r="A40" s="12" t="s">
        <v>410</v>
      </c>
      <c r="B40" s="11" t="s">
        <v>1894</v>
      </c>
      <c r="C40" s="11" t="s">
        <v>1895</v>
      </c>
      <c r="D40" s="11" t="s">
        <v>1896</v>
      </c>
      <c r="E40" s="11" t="s">
        <v>3751</v>
      </c>
      <c r="F40" s="11" t="s">
        <v>3619</v>
      </c>
      <c r="G40" s="25" t="s">
        <v>591</v>
      </c>
      <c r="H40" s="24" t="s">
        <v>14</v>
      </c>
      <c r="I40" s="25" t="s">
        <v>15</v>
      </c>
      <c r="J40" s="12"/>
      <c r="K40" s="31" t="str">
        <f>"70,0"</f>
        <v>70,0</v>
      </c>
      <c r="L40" s="12" t="str">
        <f>"79,4850"</f>
        <v>79,4850</v>
      </c>
      <c r="M40" s="11" t="s">
        <v>1897</v>
      </c>
    </row>
    <row r="41" spans="1:13">
      <c r="A41" s="12" t="s">
        <v>411</v>
      </c>
      <c r="B41" s="11" t="s">
        <v>1898</v>
      </c>
      <c r="C41" s="11" t="s">
        <v>1899</v>
      </c>
      <c r="D41" s="11" t="s">
        <v>1900</v>
      </c>
      <c r="E41" s="11" t="s">
        <v>3751</v>
      </c>
      <c r="F41" s="11" t="s">
        <v>3625</v>
      </c>
      <c r="G41" s="24" t="s">
        <v>53</v>
      </c>
      <c r="H41" s="24" t="s">
        <v>13</v>
      </c>
      <c r="I41" s="24" t="s">
        <v>591</v>
      </c>
      <c r="J41" s="12"/>
      <c r="K41" s="31" t="str">
        <f>"67,5"</f>
        <v>67,5</v>
      </c>
      <c r="L41" s="12" t="str">
        <f>"76,5450"</f>
        <v>76,5450</v>
      </c>
      <c r="M41" s="11" t="s">
        <v>72</v>
      </c>
    </row>
    <row r="42" spans="1:13">
      <c r="A42" s="12" t="s">
        <v>413</v>
      </c>
      <c r="B42" s="11" t="s">
        <v>1901</v>
      </c>
      <c r="C42" s="11" t="s">
        <v>1902</v>
      </c>
      <c r="D42" s="11" t="s">
        <v>933</v>
      </c>
      <c r="E42" s="11" t="s">
        <v>3751</v>
      </c>
      <c r="F42" s="11" t="s">
        <v>3643</v>
      </c>
      <c r="G42" s="24" t="s">
        <v>591</v>
      </c>
      <c r="H42" s="25" t="s">
        <v>14</v>
      </c>
      <c r="I42" s="12"/>
      <c r="J42" s="12"/>
      <c r="K42" s="31" t="str">
        <f>"67,5"</f>
        <v>67,5</v>
      </c>
      <c r="L42" s="12" t="str">
        <f>"76,1468"</f>
        <v>76,1468</v>
      </c>
      <c r="M42" s="11"/>
    </row>
    <row r="43" spans="1:13">
      <c r="A43" s="12" t="s">
        <v>414</v>
      </c>
      <c r="B43" s="11" t="s">
        <v>1903</v>
      </c>
      <c r="C43" s="11" t="s">
        <v>1904</v>
      </c>
      <c r="D43" s="11" t="s">
        <v>922</v>
      </c>
      <c r="E43" s="11" t="s">
        <v>3751</v>
      </c>
      <c r="F43" s="11" t="s">
        <v>3644</v>
      </c>
      <c r="G43" s="25" t="s">
        <v>53</v>
      </c>
      <c r="H43" s="24" t="s">
        <v>855</v>
      </c>
      <c r="I43" s="24" t="s">
        <v>591</v>
      </c>
      <c r="J43" s="12"/>
      <c r="K43" s="31" t="str">
        <f>"67,5"</f>
        <v>67,5</v>
      </c>
      <c r="L43" s="12" t="str">
        <f>"75,6473"</f>
        <v>75,6473</v>
      </c>
      <c r="M43" s="11" t="s">
        <v>3412</v>
      </c>
    </row>
    <row r="44" spans="1:13">
      <c r="A44" s="12" t="s">
        <v>415</v>
      </c>
      <c r="B44" s="11" t="s">
        <v>3434</v>
      </c>
      <c r="C44" s="11" t="s">
        <v>1905</v>
      </c>
      <c r="D44" s="11" t="s">
        <v>925</v>
      </c>
      <c r="E44" s="11" t="s">
        <v>3751</v>
      </c>
      <c r="F44" s="11" t="s">
        <v>109</v>
      </c>
      <c r="G44" s="24" t="s">
        <v>53</v>
      </c>
      <c r="H44" s="25" t="s">
        <v>591</v>
      </c>
      <c r="I44" s="25" t="s">
        <v>591</v>
      </c>
      <c r="J44" s="12"/>
      <c r="K44" s="31" t="str">
        <f>"60,0"</f>
        <v>60,0</v>
      </c>
      <c r="L44" s="12" t="str">
        <f>"68,3160"</f>
        <v>68,3160</v>
      </c>
      <c r="M44" s="11" t="s">
        <v>3440</v>
      </c>
    </row>
    <row r="45" spans="1:13">
      <c r="A45" s="12" t="s">
        <v>412</v>
      </c>
      <c r="B45" s="11" t="s">
        <v>1906</v>
      </c>
      <c r="C45" s="11" t="s">
        <v>1907</v>
      </c>
      <c r="D45" s="11" t="s">
        <v>34</v>
      </c>
      <c r="E45" s="11" t="s">
        <v>3751</v>
      </c>
      <c r="F45" s="11" t="s">
        <v>3645</v>
      </c>
      <c r="G45" s="25" t="s">
        <v>52</v>
      </c>
      <c r="H45" s="25" t="s">
        <v>52</v>
      </c>
      <c r="I45" s="25" t="s">
        <v>889</v>
      </c>
      <c r="J45" s="12"/>
      <c r="K45" s="31">
        <v>0</v>
      </c>
      <c r="L45" s="12" t="str">
        <f>"0,0000"</f>
        <v>0,0000</v>
      </c>
      <c r="M45" s="11" t="s">
        <v>1908</v>
      </c>
    </row>
    <row r="46" spans="1:13">
      <c r="A46" s="14" t="s">
        <v>408</v>
      </c>
      <c r="B46" s="13" t="s">
        <v>1909</v>
      </c>
      <c r="C46" s="13" t="s">
        <v>677</v>
      </c>
      <c r="D46" s="13" t="s">
        <v>1900</v>
      </c>
      <c r="E46" s="13" t="s">
        <v>3753</v>
      </c>
      <c r="F46" s="13" t="s">
        <v>3523</v>
      </c>
      <c r="G46" s="27" t="s">
        <v>51</v>
      </c>
      <c r="H46" s="26" t="s">
        <v>52</v>
      </c>
      <c r="I46" s="26" t="s">
        <v>889</v>
      </c>
      <c r="J46" s="14"/>
      <c r="K46" s="32" t="str">
        <f>"57,5"</f>
        <v>57,5</v>
      </c>
      <c r="L46" s="14" t="str">
        <f>"65,2050"</f>
        <v>65,2050</v>
      </c>
      <c r="M46" s="13" t="s">
        <v>3370</v>
      </c>
    </row>
    <row r="47" spans="1:13">
      <c r="B47" s="5" t="s">
        <v>409</v>
      </c>
    </row>
    <row r="48" spans="1:13" ht="16">
      <c r="A48" s="57" t="s">
        <v>55</v>
      </c>
      <c r="B48" s="57"/>
      <c r="C48" s="57"/>
      <c r="D48" s="57"/>
      <c r="E48" s="57"/>
      <c r="F48" s="57"/>
      <c r="G48" s="57"/>
      <c r="H48" s="57"/>
      <c r="I48" s="57"/>
      <c r="J48" s="57"/>
    </row>
    <row r="49" spans="1:13">
      <c r="A49" s="10" t="s">
        <v>408</v>
      </c>
      <c r="B49" s="9" t="s">
        <v>1910</v>
      </c>
      <c r="C49" s="9" t="s">
        <v>1911</v>
      </c>
      <c r="D49" s="9" t="s">
        <v>961</v>
      </c>
      <c r="E49" s="9" t="s">
        <v>3755</v>
      </c>
      <c r="F49" s="9" t="s">
        <v>3509</v>
      </c>
      <c r="G49" s="22" t="s">
        <v>52</v>
      </c>
      <c r="H49" s="23" t="s">
        <v>52</v>
      </c>
      <c r="I49" s="22" t="s">
        <v>53</v>
      </c>
      <c r="J49" s="10"/>
      <c r="K49" s="30" t="str">
        <f>"55,0"</f>
        <v>55,0</v>
      </c>
      <c r="L49" s="10" t="str">
        <f>"57,3100"</f>
        <v>57,3100</v>
      </c>
      <c r="M49" s="9"/>
    </row>
    <row r="50" spans="1:13">
      <c r="A50" s="12" t="s">
        <v>412</v>
      </c>
      <c r="B50" s="11" t="s">
        <v>953</v>
      </c>
      <c r="C50" s="11" t="s">
        <v>954</v>
      </c>
      <c r="D50" s="11" t="s">
        <v>955</v>
      </c>
      <c r="E50" s="11" t="s">
        <v>3752</v>
      </c>
      <c r="F50" s="11" t="s">
        <v>3523</v>
      </c>
      <c r="G50" s="25" t="s">
        <v>14</v>
      </c>
      <c r="H50" s="25" t="s">
        <v>622</v>
      </c>
      <c r="I50" s="25" t="s">
        <v>622</v>
      </c>
      <c r="J50" s="12"/>
      <c r="K50" s="31">
        <v>0</v>
      </c>
      <c r="L50" s="12" t="str">
        <f>"0,0000"</f>
        <v>0,0000</v>
      </c>
      <c r="M50" s="11" t="s">
        <v>3314</v>
      </c>
    </row>
    <row r="51" spans="1:13">
      <c r="A51" s="12" t="s">
        <v>408</v>
      </c>
      <c r="B51" s="11" t="s">
        <v>1913</v>
      </c>
      <c r="C51" s="11" t="s">
        <v>1914</v>
      </c>
      <c r="D51" s="11" t="s">
        <v>1915</v>
      </c>
      <c r="E51" s="11" t="s">
        <v>3754</v>
      </c>
      <c r="F51" s="11" t="s">
        <v>3516</v>
      </c>
      <c r="G51" s="24" t="s">
        <v>17</v>
      </c>
      <c r="H51" s="24" t="s">
        <v>51</v>
      </c>
      <c r="I51" s="25" t="s">
        <v>52</v>
      </c>
      <c r="J51" s="12"/>
      <c r="K51" s="31" t="str">
        <f>"50,0"</f>
        <v>50,0</v>
      </c>
      <c r="L51" s="12" t="str">
        <f>"53,2500"</f>
        <v>53,2500</v>
      </c>
      <c r="M51" s="11" t="s">
        <v>1916</v>
      </c>
    </row>
    <row r="52" spans="1:13">
      <c r="A52" s="12" t="s">
        <v>408</v>
      </c>
      <c r="B52" s="11" t="s">
        <v>962</v>
      </c>
      <c r="C52" s="11" t="s">
        <v>963</v>
      </c>
      <c r="D52" s="11" t="s">
        <v>964</v>
      </c>
      <c r="E52" s="11" t="s">
        <v>3751</v>
      </c>
      <c r="F52" s="11" t="s">
        <v>3525</v>
      </c>
      <c r="G52" s="24" t="s">
        <v>60</v>
      </c>
      <c r="H52" s="24" t="s">
        <v>19</v>
      </c>
      <c r="I52" s="24" t="s">
        <v>38</v>
      </c>
      <c r="J52" s="12"/>
      <c r="K52" s="31" t="str">
        <f>"90,0"</f>
        <v>90,0</v>
      </c>
      <c r="L52" s="12" t="str">
        <f>"92,1510"</f>
        <v>92,1510</v>
      </c>
      <c r="M52" s="11" t="s">
        <v>965</v>
      </c>
    </row>
    <row r="53" spans="1:13">
      <c r="A53" s="12" t="s">
        <v>410</v>
      </c>
      <c r="B53" s="11" t="s">
        <v>1917</v>
      </c>
      <c r="C53" s="11" t="s">
        <v>1918</v>
      </c>
      <c r="D53" s="11" t="s">
        <v>1002</v>
      </c>
      <c r="E53" s="11" t="s">
        <v>3751</v>
      </c>
      <c r="F53" s="11" t="s">
        <v>3509</v>
      </c>
      <c r="G53" s="24" t="s">
        <v>19</v>
      </c>
      <c r="H53" s="25" t="s">
        <v>38</v>
      </c>
      <c r="I53" s="25" t="s">
        <v>38</v>
      </c>
      <c r="J53" s="12"/>
      <c r="K53" s="31" t="str">
        <f>"87,5"</f>
        <v>87,5</v>
      </c>
      <c r="L53" s="12" t="str">
        <f>"93,5200"</f>
        <v>93,5200</v>
      </c>
      <c r="M53" s="11"/>
    </row>
    <row r="54" spans="1:13">
      <c r="A54" s="12" t="s">
        <v>411</v>
      </c>
      <c r="B54" s="11" t="s">
        <v>966</v>
      </c>
      <c r="C54" s="11" t="s">
        <v>967</v>
      </c>
      <c r="D54" s="11" t="s">
        <v>968</v>
      </c>
      <c r="E54" s="11" t="s">
        <v>3751</v>
      </c>
      <c r="F54" s="11" t="s">
        <v>3509</v>
      </c>
      <c r="G54" s="24" t="s">
        <v>27</v>
      </c>
      <c r="H54" s="24" t="s">
        <v>60</v>
      </c>
      <c r="I54" s="24" t="s">
        <v>19</v>
      </c>
      <c r="J54" s="12"/>
      <c r="K54" s="31" t="str">
        <f>"87,5"</f>
        <v>87,5</v>
      </c>
      <c r="L54" s="12" t="str">
        <f>"89,9763"</f>
        <v>89,9763</v>
      </c>
      <c r="M54" s="11"/>
    </row>
    <row r="55" spans="1:13">
      <c r="A55" s="12" t="s">
        <v>413</v>
      </c>
      <c r="B55" s="11" t="s">
        <v>1919</v>
      </c>
      <c r="C55" s="11" t="s">
        <v>1920</v>
      </c>
      <c r="D55" s="11" t="s">
        <v>446</v>
      </c>
      <c r="E55" s="11" t="s">
        <v>3751</v>
      </c>
      <c r="F55" s="11" t="s">
        <v>3646</v>
      </c>
      <c r="G55" s="24" t="s">
        <v>622</v>
      </c>
      <c r="H55" s="24" t="s">
        <v>18</v>
      </c>
      <c r="I55" s="24" t="s">
        <v>435</v>
      </c>
      <c r="J55" s="12"/>
      <c r="K55" s="31" t="str">
        <f>"85,0"</f>
        <v>85,0</v>
      </c>
      <c r="L55" s="12" t="str">
        <f>"86,9380"</f>
        <v>86,9380</v>
      </c>
      <c r="M55" s="11" t="s">
        <v>779</v>
      </c>
    </row>
    <row r="56" spans="1:13">
      <c r="A56" s="12" t="s">
        <v>414</v>
      </c>
      <c r="B56" s="11" t="s">
        <v>981</v>
      </c>
      <c r="C56" s="11" t="s">
        <v>982</v>
      </c>
      <c r="D56" s="11" t="s">
        <v>961</v>
      </c>
      <c r="E56" s="11" t="s">
        <v>3751</v>
      </c>
      <c r="F56" s="11" t="s">
        <v>3529</v>
      </c>
      <c r="G56" s="24" t="s">
        <v>18</v>
      </c>
      <c r="H56" s="25" t="s">
        <v>435</v>
      </c>
      <c r="I56" s="25" t="s">
        <v>435</v>
      </c>
      <c r="J56" s="12"/>
      <c r="K56" s="31" t="str">
        <f>"80,0"</f>
        <v>80,0</v>
      </c>
      <c r="L56" s="12" t="str">
        <f>"83,3600"</f>
        <v>83,3600</v>
      </c>
      <c r="M56" s="11" t="s">
        <v>983</v>
      </c>
    </row>
    <row r="57" spans="1:13">
      <c r="A57" s="12" t="s">
        <v>415</v>
      </c>
      <c r="B57" s="11" t="s">
        <v>1921</v>
      </c>
      <c r="C57" s="11" t="s">
        <v>1922</v>
      </c>
      <c r="D57" s="11" t="s">
        <v>58</v>
      </c>
      <c r="E57" s="11" t="s">
        <v>3751</v>
      </c>
      <c r="F57" s="11" t="s">
        <v>3516</v>
      </c>
      <c r="G57" s="24" t="s">
        <v>14</v>
      </c>
      <c r="H57" s="24" t="s">
        <v>27</v>
      </c>
      <c r="I57" s="25" t="s">
        <v>435</v>
      </c>
      <c r="J57" s="12"/>
      <c r="K57" s="31" t="str">
        <f>"77,5"</f>
        <v>77,5</v>
      </c>
      <c r="L57" s="12" t="str">
        <f>"80,8480"</f>
        <v>80,8480</v>
      </c>
      <c r="M57" s="11" t="s">
        <v>811</v>
      </c>
    </row>
    <row r="58" spans="1:13">
      <c r="A58" s="12" t="s">
        <v>416</v>
      </c>
      <c r="B58" s="11" t="s">
        <v>986</v>
      </c>
      <c r="C58" s="11" t="s">
        <v>987</v>
      </c>
      <c r="D58" s="11" t="s">
        <v>971</v>
      </c>
      <c r="E58" s="11" t="s">
        <v>3751</v>
      </c>
      <c r="F58" s="11" t="s">
        <v>3509</v>
      </c>
      <c r="G58" s="24" t="s">
        <v>13</v>
      </c>
      <c r="H58" s="24" t="s">
        <v>14</v>
      </c>
      <c r="I58" s="25" t="s">
        <v>15</v>
      </c>
      <c r="J58" s="12"/>
      <c r="K58" s="31" t="str">
        <f>"70,0"</f>
        <v>70,0</v>
      </c>
      <c r="L58" s="12" t="str">
        <f>"72,2190"</f>
        <v>72,2190</v>
      </c>
      <c r="M58" s="11" t="s">
        <v>3332</v>
      </c>
    </row>
    <row r="59" spans="1:13">
      <c r="A59" s="12" t="s">
        <v>417</v>
      </c>
      <c r="B59" s="11" t="s">
        <v>1923</v>
      </c>
      <c r="C59" s="11" t="s">
        <v>1924</v>
      </c>
      <c r="D59" s="11" t="s">
        <v>1925</v>
      </c>
      <c r="E59" s="11" t="s">
        <v>3751</v>
      </c>
      <c r="F59" s="11" t="s">
        <v>3562</v>
      </c>
      <c r="G59" s="25" t="s">
        <v>855</v>
      </c>
      <c r="H59" s="24" t="s">
        <v>855</v>
      </c>
      <c r="I59" s="12"/>
      <c r="J59" s="12"/>
      <c r="K59" s="31" t="str">
        <f>"62,5"</f>
        <v>62,5</v>
      </c>
      <c r="L59" s="12" t="str">
        <f>"67,9438"</f>
        <v>67,9438</v>
      </c>
      <c r="M59" s="11"/>
    </row>
    <row r="60" spans="1:13">
      <c r="A60" s="12" t="s">
        <v>1364</v>
      </c>
      <c r="B60" s="11" t="s">
        <v>1926</v>
      </c>
      <c r="C60" s="11" t="s">
        <v>1927</v>
      </c>
      <c r="D60" s="11" t="s">
        <v>81</v>
      </c>
      <c r="E60" s="11" t="s">
        <v>3751</v>
      </c>
      <c r="F60" s="11" t="s">
        <v>3509</v>
      </c>
      <c r="G60" s="24" t="s">
        <v>889</v>
      </c>
      <c r="H60" s="24" t="s">
        <v>53</v>
      </c>
      <c r="I60" s="25" t="s">
        <v>855</v>
      </c>
      <c r="J60" s="12"/>
      <c r="K60" s="31" t="str">
        <f>"60,0"</f>
        <v>60,0</v>
      </c>
      <c r="L60" s="12" t="str">
        <f>"61,7640"</f>
        <v>61,7640</v>
      </c>
      <c r="M60" s="11"/>
    </row>
    <row r="61" spans="1:13">
      <c r="A61" s="12" t="s">
        <v>1365</v>
      </c>
      <c r="B61" s="11" t="s">
        <v>1928</v>
      </c>
      <c r="C61" s="11" t="s">
        <v>1929</v>
      </c>
      <c r="D61" s="11" t="s">
        <v>91</v>
      </c>
      <c r="E61" s="11" t="s">
        <v>3751</v>
      </c>
      <c r="F61" s="11" t="s">
        <v>3509</v>
      </c>
      <c r="G61" s="24" t="s">
        <v>889</v>
      </c>
      <c r="H61" s="25" t="s">
        <v>855</v>
      </c>
      <c r="I61" s="25" t="s">
        <v>855</v>
      </c>
      <c r="J61" s="12"/>
      <c r="K61" s="31" t="str">
        <f>"57,5"</f>
        <v>57,5</v>
      </c>
      <c r="L61" s="12" t="str">
        <f>"58,6845"</f>
        <v>58,6845</v>
      </c>
      <c r="M61" s="11" t="s">
        <v>1930</v>
      </c>
    </row>
    <row r="62" spans="1:13">
      <c r="A62" s="12" t="s">
        <v>1366</v>
      </c>
      <c r="B62" s="11" t="s">
        <v>1931</v>
      </c>
      <c r="C62" s="11" t="s">
        <v>1932</v>
      </c>
      <c r="D62" s="11" t="s">
        <v>1933</v>
      </c>
      <c r="E62" s="11" t="s">
        <v>3751</v>
      </c>
      <c r="F62" s="11" t="s">
        <v>3647</v>
      </c>
      <c r="G62" s="24" t="s">
        <v>52</v>
      </c>
      <c r="H62" s="25" t="s">
        <v>53</v>
      </c>
      <c r="I62" s="25" t="s">
        <v>53</v>
      </c>
      <c r="J62" s="12"/>
      <c r="K62" s="31" t="str">
        <f>"55,0"</f>
        <v>55,0</v>
      </c>
      <c r="L62" s="12" t="str">
        <f>"58,2340"</f>
        <v>58,2340</v>
      </c>
      <c r="M62" s="11"/>
    </row>
    <row r="63" spans="1:13">
      <c r="A63" s="14" t="s">
        <v>408</v>
      </c>
      <c r="B63" s="13" t="s">
        <v>1934</v>
      </c>
      <c r="C63" s="13" t="s">
        <v>1935</v>
      </c>
      <c r="D63" s="13" t="s">
        <v>1936</v>
      </c>
      <c r="E63" s="13" t="s">
        <v>3753</v>
      </c>
      <c r="F63" s="13" t="s">
        <v>3512</v>
      </c>
      <c r="G63" s="27" t="s">
        <v>591</v>
      </c>
      <c r="H63" s="26" t="s">
        <v>591</v>
      </c>
      <c r="I63" s="27" t="s">
        <v>622</v>
      </c>
      <c r="J63" s="14"/>
      <c r="K63" s="32" t="str">
        <f>"67,5"</f>
        <v>67,5</v>
      </c>
      <c r="L63" s="14" t="str">
        <f>"75,7338"</f>
        <v>75,7338</v>
      </c>
      <c r="M63" s="13"/>
    </row>
    <row r="64" spans="1:13">
      <c r="B64" s="5" t="s">
        <v>409</v>
      </c>
    </row>
    <row r="65" spans="1:13" ht="16">
      <c r="A65" s="57" t="s">
        <v>93</v>
      </c>
      <c r="B65" s="57"/>
      <c r="C65" s="57"/>
      <c r="D65" s="57"/>
      <c r="E65" s="57"/>
      <c r="F65" s="57"/>
      <c r="G65" s="57"/>
      <c r="H65" s="57"/>
      <c r="I65" s="57"/>
      <c r="J65" s="57"/>
    </row>
    <row r="66" spans="1:13">
      <c r="A66" s="10" t="s">
        <v>408</v>
      </c>
      <c r="B66" s="9" t="s">
        <v>1937</v>
      </c>
      <c r="C66" s="9" t="s">
        <v>1938</v>
      </c>
      <c r="D66" s="9" t="s">
        <v>1939</v>
      </c>
      <c r="E66" s="9" t="s">
        <v>3752</v>
      </c>
      <c r="F66" s="9" t="s">
        <v>3648</v>
      </c>
      <c r="G66" s="23" t="s">
        <v>915</v>
      </c>
      <c r="H66" s="22" t="s">
        <v>869</v>
      </c>
      <c r="I66" s="22" t="s">
        <v>869</v>
      </c>
      <c r="J66" s="10"/>
      <c r="K66" s="30" t="str">
        <f>"30,0"</f>
        <v>30,0</v>
      </c>
      <c r="L66" s="10" t="str">
        <f>"29,7000"</f>
        <v>29,7000</v>
      </c>
      <c r="M66" s="9" t="s">
        <v>3413</v>
      </c>
    </row>
    <row r="67" spans="1:13">
      <c r="A67" s="12" t="s">
        <v>408</v>
      </c>
      <c r="B67" s="11" t="s">
        <v>1940</v>
      </c>
      <c r="C67" s="11" t="s">
        <v>1941</v>
      </c>
      <c r="D67" s="11" t="s">
        <v>1084</v>
      </c>
      <c r="E67" s="11" t="s">
        <v>3754</v>
      </c>
      <c r="F67" s="11" t="s">
        <v>3649</v>
      </c>
      <c r="G67" s="24" t="s">
        <v>54</v>
      </c>
      <c r="H67" s="24" t="s">
        <v>106</v>
      </c>
      <c r="I67" s="25" t="s">
        <v>597</v>
      </c>
      <c r="J67" s="12"/>
      <c r="K67" s="31" t="str">
        <f>"110,0"</f>
        <v>110,0</v>
      </c>
      <c r="L67" s="12" t="str">
        <f>"108,2730"</f>
        <v>108,2730</v>
      </c>
      <c r="M67" s="11" t="s">
        <v>277</v>
      </c>
    </row>
    <row r="68" spans="1:13">
      <c r="A68" s="12" t="s">
        <v>408</v>
      </c>
      <c r="B68" s="11" t="s">
        <v>1942</v>
      </c>
      <c r="C68" s="11" t="s">
        <v>1943</v>
      </c>
      <c r="D68" s="11" t="s">
        <v>1393</v>
      </c>
      <c r="E68" s="11" t="s">
        <v>3751</v>
      </c>
      <c r="F68" s="11" t="s">
        <v>3509</v>
      </c>
      <c r="G68" s="24" t="s">
        <v>60</v>
      </c>
      <c r="H68" s="24" t="s">
        <v>19</v>
      </c>
      <c r="I68" s="25" t="s">
        <v>600</v>
      </c>
      <c r="J68" s="12"/>
      <c r="K68" s="31" t="str">
        <f>"87,5"</f>
        <v>87,5</v>
      </c>
      <c r="L68" s="12" t="str">
        <f>"86,7913"</f>
        <v>86,7913</v>
      </c>
      <c r="M68" s="11" t="s">
        <v>1944</v>
      </c>
    </row>
    <row r="69" spans="1:13">
      <c r="A69" s="12" t="s">
        <v>410</v>
      </c>
      <c r="B69" s="11" t="s">
        <v>1945</v>
      </c>
      <c r="C69" s="11" t="s">
        <v>1946</v>
      </c>
      <c r="D69" s="11" t="s">
        <v>1947</v>
      </c>
      <c r="E69" s="11" t="s">
        <v>3751</v>
      </c>
      <c r="F69" s="11" t="s">
        <v>3509</v>
      </c>
      <c r="G69" s="24" t="s">
        <v>15</v>
      </c>
      <c r="H69" s="24" t="s">
        <v>18</v>
      </c>
      <c r="I69" s="25" t="s">
        <v>60</v>
      </c>
      <c r="J69" s="12"/>
      <c r="K69" s="31" t="str">
        <f>"80,0"</f>
        <v>80,0</v>
      </c>
      <c r="L69" s="12" t="str">
        <f>"78,9680"</f>
        <v>78,9680</v>
      </c>
      <c r="M69" s="11"/>
    </row>
    <row r="70" spans="1:13">
      <c r="A70" s="12" t="s">
        <v>411</v>
      </c>
      <c r="B70" s="11" t="s">
        <v>1948</v>
      </c>
      <c r="C70" s="11" t="s">
        <v>1949</v>
      </c>
      <c r="D70" s="11" t="s">
        <v>1950</v>
      </c>
      <c r="E70" s="11" t="s">
        <v>3751</v>
      </c>
      <c r="F70" s="11" t="s">
        <v>3509</v>
      </c>
      <c r="G70" s="25" t="s">
        <v>53</v>
      </c>
      <c r="H70" s="24" t="s">
        <v>53</v>
      </c>
      <c r="I70" s="25" t="s">
        <v>13</v>
      </c>
      <c r="J70" s="12"/>
      <c r="K70" s="31" t="str">
        <f>"60,0"</f>
        <v>60,0</v>
      </c>
      <c r="L70" s="12" t="str">
        <f>"59,8080"</f>
        <v>59,8080</v>
      </c>
      <c r="M70" s="11" t="s">
        <v>1951</v>
      </c>
    </row>
    <row r="71" spans="1:13">
      <c r="A71" s="12" t="s">
        <v>413</v>
      </c>
      <c r="B71" s="11" t="s">
        <v>1952</v>
      </c>
      <c r="C71" s="11" t="s">
        <v>1953</v>
      </c>
      <c r="D71" s="11" t="s">
        <v>636</v>
      </c>
      <c r="E71" s="11" t="s">
        <v>3751</v>
      </c>
      <c r="F71" s="11" t="s">
        <v>3509</v>
      </c>
      <c r="G71" s="25" t="s">
        <v>53</v>
      </c>
      <c r="H71" s="24" t="s">
        <v>53</v>
      </c>
      <c r="I71" s="25" t="s">
        <v>591</v>
      </c>
      <c r="J71" s="12"/>
      <c r="K71" s="31" t="str">
        <f>"60,0"</f>
        <v>60,0</v>
      </c>
      <c r="L71" s="12" t="str">
        <f>"57,0360"</f>
        <v>57,0360</v>
      </c>
      <c r="M71" s="11" t="s">
        <v>2212</v>
      </c>
    </row>
    <row r="72" spans="1:13">
      <c r="A72" s="12" t="s">
        <v>408</v>
      </c>
      <c r="B72" s="11" t="s">
        <v>1011</v>
      </c>
      <c r="C72" s="11" t="s">
        <v>1012</v>
      </c>
      <c r="D72" s="11" t="s">
        <v>636</v>
      </c>
      <c r="E72" s="11" t="s">
        <v>3753</v>
      </c>
      <c r="F72" s="11" t="s">
        <v>3533</v>
      </c>
      <c r="G72" s="24" t="s">
        <v>15</v>
      </c>
      <c r="H72" s="25" t="s">
        <v>60</v>
      </c>
      <c r="I72" s="25" t="s">
        <v>435</v>
      </c>
      <c r="J72" s="12"/>
      <c r="K72" s="31" t="str">
        <f>"75,0"</f>
        <v>75,0</v>
      </c>
      <c r="L72" s="12" t="str">
        <f>"71,2950"</f>
        <v>71,2950</v>
      </c>
      <c r="M72" s="11" t="s">
        <v>3332</v>
      </c>
    </row>
    <row r="73" spans="1:13">
      <c r="A73" s="12" t="s">
        <v>412</v>
      </c>
      <c r="B73" s="11" t="s">
        <v>1954</v>
      </c>
      <c r="C73" s="11" t="s">
        <v>1955</v>
      </c>
      <c r="D73" s="11" t="s">
        <v>1956</v>
      </c>
      <c r="E73" s="11" t="s">
        <v>3753</v>
      </c>
      <c r="F73" s="11" t="s">
        <v>3626</v>
      </c>
      <c r="G73" s="25" t="s">
        <v>53</v>
      </c>
      <c r="H73" s="25" t="s">
        <v>53</v>
      </c>
      <c r="I73" s="25" t="s">
        <v>53</v>
      </c>
      <c r="J73" s="12"/>
      <c r="K73" s="31">
        <v>0</v>
      </c>
      <c r="L73" s="12" t="str">
        <f>"0,0000"</f>
        <v>0,0000</v>
      </c>
      <c r="M73" s="11" t="s">
        <v>2065</v>
      </c>
    </row>
    <row r="74" spans="1:13">
      <c r="A74" s="14" t="s">
        <v>408</v>
      </c>
      <c r="B74" s="13" t="s">
        <v>1942</v>
      </c>
      <c r="C74" s="13" t="s">
        <v>1957</v>
      </c>
      <c r="D74" s="13" t="s">
        <v>1393</v>
      </c>
      <c r="E74" s="13" t="s">
        <v>3756</v>
      </c>
      <c r="F74" s="13" t="s">
        <v>3509</v>
      </c>
      <c r="G74" s="26" t="s">
        <v>60</v>
      </c>
      <c r="H74" s="26" t="s">
        <v>19</v>
      </c>
      <c r="I74" s="27" t="s">
        <v>600</v>
      </c>
      <c r="J74" s="14"/>
      <c r="K74" s="32" t="str">
        <f>"87,5"</f>
        <v>87,5</v>
      </c>
      <c r="L74" s="14" t="str">
        <f>"108,4891"</f>
        <v>108,4891</v>
      </c>
      <c r="M74" s="13" t="s">
        <v>1944</v>
      </c>
    </row>
    <row r="75" spans="1:13">
      <c r="B75" s="5" t="s">
        <v>409</v>
      </c>
    </row>
    <row r="76" spans="1:13" ht="16">
      <c r="A76" s="57" t="s">
        <v>9</v>
      </c>
      <c r="B76" s="57"/>
      <c r="C76" s="57"/>
      <c r="D76" s="57"/>
      <c r="E76" s="57"/>
      <c r="F76" s="57"/>
      <c r="G76" s="57"/>
      <c r="H76" s="57"/>
      <c r="I76" s="57"/>
      <c r="J76" s="57"/>
    </row>
    <row r="77" spans="1:13">
      <c r="A77" s="10" t="s">
        <v>408</v>
      </c>
      <c r="B77" s="9" t="s">
        <v>1958</v>
      </c>
      <c r="C77" s="9" t="s">
        <v>1959</v>
      </c>
      <c r="D77" s="9" t="s">
        <v>1960</v>
      </c>
      <c r="E77" s="9" t="s">
        <v>3755</v>
      </c>
      <c r="F77" s="9" t="s">
        <v>3579</v>
      </c>
      <c r="G77" s="23" t="s">
        <v>52</v>
      </c>
      <c r="H77" s="23" t="s">
        <v>53</v>
      </c>
      <c r="I77" s="23" t="s">
        <v>13</v>
      </c>
      <c r="J77" s="10"/>
      <c r="K77" s="30" t="str">
        <f>"65,0"</f>
        <v>65,0</v>
      </c>
      <c r="L77" s="10" t="str">
        <f>"65,5135"</f>
        <v>65,5135</v>
      </c>
      <c r="M77" s="9" t="s">
        <v>3414</v>
      </c>
    </row>
    <row r="78" spans="1:13">
      <c r="A78" s="12" t="s">
        <v>410</v>
      </c>
      <c r="B78" s="11" t="s">
        <v>1961</v>
      </c>
      <c r="C78" s="11" t="s">
        <v>1962</v>
      </c>
      <c r="D78" s="11" t="s">
        <v>1960</v>
      </c>
      <c r="E78" s="11" t="s">
        <v>3755</v>
      </c>
      <c r="F78" s="11" t="s">
        <v>3650</v>
      </c>
      <c r="G78" s="24" t="s">
        <v>855</v>
      </c>
      <c r="H78" s="25" t="s">
        <v>13</v>
      </c>
      <c r="I78" s="25" t="s">
        <v>13</v>
      </c>
      <c r="J78" s="12"/>
      <c r="K78" s="31" t="str">
        <f>"62,5"</f>
        <v>62,5</v>
      </c>
      <c r="L78" s="12" t="str">
        <f>"62,9937"</f>
        <v>62,9937</v>
      </c>
      <c r="M78" s="11" t="s">
        <v>3415</v>
      </c>
    </row>
    <row r="79" spans="1:13">
      <c r="A79" s="12" t="s">
        <v>411</v>
      </c>
      <c r="B79" s="11" t="s">
        <v>1963</v>
      </c>
      <c r="C79" s="11" t="s">
        <v>1964</v>
      </c>
      <c r="D79" s="11" t="s">
        <v>1965</v>
      </c>
      <c r="E79" s="11" t="s">
        <v>3755</v>
      </c>
      <c r="F79" s="11" t="s">
        <v>3594</v>
      </c>
      <c r="G79" s="24" t="s">
        <v>439</v>
      </c>
      <c r="H79" s="25" t="s">
        <v>440</v>
      </c>
      <c r="I79" s="25" t="s">
        <v>440</v>
      </c>
      <c r="J79" s="12"/>
      <c r="K79" s="31" t="str">
        <f>"37,5"</f>
        <v>37,5</v>
      </c>
      <c r="L79" s="12" t="str">
        <f>"48,0525"</f>
        <v>48,0525</v>
      </c>
      <c r="M79" s="11" t="s">
        <v>3319</v>
      </c>
    </row>
    <row r="80" spans="1:13">
      <c r="A80" s="12" t="s">
        <v>408</v>
      </c>
      <c r="B80" s="11" t="s">
        <v>1966</v>
      </c>
      <c r="C80" s="11" t="s">
        <v>1967</v>
      </c>
      <c r="D80" s="11" t="s">
        <v>1968</v>
      </c>
      <c r="E80" s="11" t="s">
        <v>3752</v>
      </c>
      <c r="F80" s="11" t="s">
        <v>75</v>
      </c>
      <c r="G80" s="24" t="s">
        <v>14</v>
      </c>
      <c r="H80" s="24" t="s">
        <v>435</v>
      </c>
      <c r="I80" s="24" t="s">
        <v>38</v>
      </c>
      <c r="J80" s="12"/>
      <c r="K80" s="31" t="str">
        <f>"90,0"</f>
        <v>90,0</v>
      </c>
      <c r="L80" s="12" t="str">
        <f>"89,9550"</f>
        <v>89,9550</v>
      </c>
      <c r="M80" s="11"/>
    </row>
    <row r="81" spans="1:13">
      <c r="A81" s="14" t="s">
        <v>408</v>
      </c>
      <c r="B81" s="13" t="s">
        <v>1022</v>
      </c>
      <c r="C81" s="13" t="s">
        <v>1023</v>
      </c>
      <c r="D81" s="13" t="s">
        <v>1024</v>
      </c>
      <c r="E81" s="13" t="s">
        <v>3754</v>
      </c>
      <c r="F81" s="13" t="s">
        <v>199</v>
      </c>
      <c r="G81" s="27" t="s">
        <v>54</v>
      </c>
      <c r="H81" s="27" t="s">
        <v>54</v>
      </c>
      <c r="I81" s="26" t="s">
        <v>54</v>
      </c>
      <c r="J81" s="14"/>
      <c r="K81" s="32" t="str">
        <f>"105,0"</f>
        <v>105,0</v>
      </c>
      <c r="L81" s="14" t="str">
        <f>"103,2465"</f>
        <v>103,2465</v>
      </c>
      <c r="M81" s="13" t="s">
        <v>2685</v>
      </c>
    </row>
    <row r="82" spans="1:13">
      <c r="B82" s="5" t="s">
        <v>409</v>
      </c>
    </row>
    <row r="83" spans="1:13" ht="16">
      <c r="A83" s="57" t="s">
        <v>31</v>
      </c>
      <c r="B83" s="57"/>
      <c r="C83" s="57"/>
      <c r="D83" s="57"/>
      <c r="E83" s="57"/>
      <c r="F83" s="57"/>
      <c r="G83" s="57"/>
      <c r="H83" s="57"/>
      <c r="I83" s="57"/>
      <c r="J83" s="57"/>
    </row>
    <row r="84" spans="1:13">
      <c r="A84" s="10" t="s">
        <v>408</v>
      </c>
      <c r="B84" s="9" t="s">
        <v>1969</v>
      </c>
      <c r="C84" s="9" t="s">
        <v>1970</v>
      </c>
      <c r="D84" s="9" t="s">
        <v>34</v>
      </c>
      <c r="E84" s="9" t="s">
        <v>3755</v>
      </c>
      <c r="F84" s="9" t="s">
        <v>3651</v>
      </c>
      <c r="G84" s="23" t="s">
        <v>15</v>
      </c>
      <c r="H84" s="23" t="s">
        <v>1033</v>
      </c>
      <c r="I84" s="23" t="s">
        <v>18</v>
      </c>
      <c r="J84" s="23" t="s">
        <v>60</v>
      </c>
      <c r="K84" s="30" t="str">
        <f>"80,0"</f>
        <v>80,0</v>
      </c>
      <c r="L84" s="10" t="str">
        <f>"68,2320"</f>
        <v>68,2320</v>
      </c>
      <c r="M84" s="9" t="s">
        <v>1971</v>
      </c>
    </row>
    <row r="85" spans="1:13">
      <c r="A85" s="12" t="s">
        <v>410</v>
      </c>
      <c r="B85" s="11" t="s">
        <v>1972</v>
      </c>
      <c r="C85" s="11" t="s">
        <v>1973</v>
      </c>
      <c r="D85" s="11" t="s">
        <v>942</v>
      </c>
      <c r="E85" s="11" t="s">
        <v>3755</v>
      </c>
      <c r="F85" s="11" t="s">
        <v>3650</v>
      </c>
      <c r="G85" s="24" t="s">
        <v>13</v>
      </c>
      <c r="H85" s="24" t="s">
        <v>591</v>
      </c>
      <c r="I85" s="24" t="s">
        <v>14</v>
      </c>
      <c r="J85" s="12"/>
      <c r="K85" s="31" t="str">
        <f>"70,0"</f>
        <v>70,0</v>
      </c>
      <c r="L85" s="12" t="str">
        <f>"61,8100"</f>
        <v>61,8100</v>
      </c>
      <c r="M85" s="11" t="s">
        <v>3415</v>
      </c>
    </row>
    <row r="86" spans="1:13">
      <c r="A86" s="12" t="s">
        <v>408</v>
      </c>
      <c r="B86" s="11" t="s">
        <v>1974</v>
      </c>
      <c r="C86" s="11" t="s">
        <v>1975</v>
      </c>
      <c r="D86" s="11" t="s">
        <v>460</v>
      </c>
      <c r="E86" s="11" t="s">
        <v>3752</v>
      </c>
      <c r="F86" s="11" t="s">
        <v>3509</v>
      </c>
      <c r="G86" s="24" t="s">
        <v>106</v>
      </c>
      <c r="H86" s="25" t="s">
        <v>78</v>
      </c>
      <c r="I86" s="25" t="s">
        <v>78</v>
      </c>
      <c r="J86" s="12"/>
      <c r="K86" s="31" t="str">
        <f>"110,0"</f>
        <v>110,0</v>
      </c>
      <c r="L86" s="12" t="str">
        <f>"94,5340"</f>
        <v>94,5340</v>
      </c>
      <c r="M86" s="11" t="s">
        <v>1976</v>
      </c>
    </row>
    <row r="87" spans="1:13">
      <c r="A87" s="12" t="s">
        <v>412</v>
      </c>
      <c r="B87" s="11" t="s">
        <v>1977</v>
      </c>
      <c r="C87" s="11" t="s">
        <v>1978</v>
      </c>
      <c r="D87" s="11" t="s">
        <v>922</v>
      </c>
      <c r="E87" s="11" t="s">
        <v>3752</v>
      </c>
      <c r="F87" s="11" t="s">
        <v>3650</v>
      </c>
      <c r="G87" s="25" t="s">
        <v>38</v>
      </c>
      <c r="H87" s="25" t="s">
        <v>38</v>
      </c>
      <c r="I87" s="25" t="s">
        <v>38</v>
      </c>
      <c r="J87" s="12"/>
      <c r="K87" s="31">
        <v>0</v>
      </c>
      <c r="L87" s="12" t="str">
        <f>"0,0000"</f>
        <v>0,0000</v>
      </c>
      <c r="M87" s="11" t="s">
        <v>3415</v>
      </c>
    </row>
    <row r="88" spans="1:13">
      <c r="A88" s="12" t="s">
        <v>408</v>
      </c>
      <c r="B88" s="11" t="s">
        <v>1035</v>
      </c>
      <c r="C88" s="11" t="s">
        <v>1036</v>
      </c>
      <c r="D88" s="11" t="s">
        <v>1037</v>
      </c>
      <c r="E88" s="11" t="s">
        <v>3751</v>
      </c>
      <c r="F88" s="11" t="s">
        <v>199</v>
      </c>
      <c r="G88" s="24" t="s">
        <v>54</v>
      </c>
      <c r="H88" s="24" t="s">
        <v>1039</v>
      </c>
      <c r="I88" s="25" t="s">
        <v>76</v>
      </c>
      <c r="J88" s="12"/>
      <c r="K88" s="31" t="str">
        <f>"116,0"</f>
        <v>116,0</v>
      </c>
      <c r="L88" s="12" t="str">
        <f>"100,4792"</f>
        <v>100,4792</v>
      </c>
      <c r="M88" s="11" t="s">
        <v>3347</v>
      </c>
    </row>
    <row r="89" spans="1:13">
      <c r="A89" s="12" t="s">
        <v>410</v>
      </c>
      <c r="B89" s="11" t="s">
        <v>1979</v>
      </c>
      <c r="C89" s="11" t="s">
        <v>1980</v>
      </c>
      <c r="D89" s="11" t="s">
        <v>919</v>
      </c>
      <c r="E89" s="11" t="s">
        <v>3751</v>
      </c>
      <c r="F89" s="11" t="s">
        <v>3650</v>
      </c>
      <c r="G89" s="25" t="s">
        <v>605</v>
      </c>
      <c r="H89" s="24" t="s">
        <v>605</v>
      </c>
      <c r="I89" s="25" t="s">
        <v>39</v>
      </c>
      <c r="J89" s="12"/>
      <c r="K89" s="31" t="str">
        <f>"97,5"</f>
        <v>97,5</v>
      </c>
      <c r="L89" s="12" t="str">
        <f>"84,0548"</f>
        <v>84,0548</v>
      </c>
      <c r="M89" s="11" t="s">
        <v>3415</v>
      </c>
    </row>
    <row r="90" spans="1:13">
      <c r="A90" s="12" t="s">
        <v>411</v>
      </c>
      <c r="B90" s="11" t="s">
        <v>1981</v>
      </c>
      <c r="C90" s="11" t="s">
        <v>1982</v>
      </c>
      <c r="D90" s="11" t="s">
        <v>1983</v>
      </c>
      <c r="E90" s="11" t="s">
        <v>3751</v>
      </c>
      <c r="F90" s="11" t="s">
        <v>3509</v>
      </c>
      <c r="G90" s="24" t="s">
        <v>19</v>
      </c>
      <c r="H90" s="25" t="s">
        <v>605</v>
      </c>
      <c r="I90" s="25" t="s">
        <v>605</v>
      </c>
      <c r="J90" s="12"/>
      <c r="K90" s="31" t="str">
        <f>"87,5"</f>
        <v>87,5</v>
      </c>
      <c r="L90" s="12" t="str">
        <f>"78,9687"</f>
        <v>78,9687</v>
      </c>
      <c r="M90" s="11" t="s">
        <v>3416</v>
      </c>
    </row>
    <row r="91" spans="1:13">
      <c r="A91" s="14" t="s">
        <v>412</v>
      </c>
      <c r="B91" s="13" t="s">
        <v>1984</v>
      </c>
      <c r="C91" s="13" t="s">
        <v>1985</v>
      </c>
      <c r="D91" s="13" t="s">
        <v>50</v>
      </c>
      <c r="E91" s="13" t="s">
        <v>3751</v>
      </c>
      <c r="F91" s="13" t="s">
        <v>3652</v>
      </c>
      <c r="G91" s="27" t="s">
        <v>451</v>
      </c>
      <c r="H91" s="27" t="s">
        <v>451</v>
      </c>
      <c r="I91" s="27" t="s">
        <v>451</v>
      </c>
      <c r="J91" s="14"/>
      <c r="K91" s="32">
        <v>0</v>
      </c>
      <c r="L91" s="14" t="str">
        <f>"0,0000"</f>
        <v>0,0000</v>
      </c>
      <c r="M91" s="13" t="s">
        <v>3417</v>
      </c>
    </row>
    <row r="92" spans="1:13">
      <c r="B92" s="5" t="s">
        <v>409</v>
      </c>
    </row>
    <row r="93" spans="1:13" ht="16">
      <c r="A93" s="57" t="s">
        <v>55</v>
      </c>
      <c r="B93" s="57"/>
      <c r="C93" s="57"/>
      <c r="D93" s="57"/>
      <c r="E93" s="57"/>
      <c r="F93" s="57"/>
      <c r="G93" s="57"/>
      <c r="H93" s="57"/>
      <c r="I93" s="57"/>
      <c r="J93" s="57"/>
    </row>
    <row r="94" spans="1:13">
      <c r="A94" s="10" t="s">
        <v>408</v>
      </c>
      <c r="B94" s="9" t="s">
        <v>1986</v>
      </c>
      <c r="C94" s="9" t="s">
        <v>1987</v>
      </c>
      <c r="D94" s="9" t="s">
        <v>1473</v>
      </c>
      <c r="E94" s="9" t="s">
        <v>3752</v>
      </c>
      <c r="F94" s="9" t="s">
        <v>3651</v>
      </c>
      <c r="G94" s="23" t="s">
        <v>451</v>
      </c>
      <c r="H94" s="23" t="s">
        <v>77</v>
      </c>
      <c r="I94" s="23" t="s">
        <v>84</v>
      </c>
      <c r="J94" s="10"/>
      <c r="K94" s="30" t="str">
        <f>"127,5"</f>
        <v>127,5</v>
      </c>
      <c r="L94" s="10" t="str">
        <f>"99,3735"</f>
        <v>99,3735</v>
      </c>
      <c r="M94" s="9" t="s">
        <v>1971</v>
      </c>
    </row>
    <row r="95" spans="1:13">
      <c r="A95" s="12" t="s">
        <v>408</v>
      </c>
      <c r="B95" s="11" t="s">
        <v>1988</v>
      </c>
      <c r="C95" s="11" t="s">
        <v>1176</v>
      </c>
      <c r="D95" s="11" t="s">
        <v>971</v>
      </c>
      <c r="E95" s="11" t="s">
        <v>3754</v>
      </c>
      <c r="F95" s="11" t="s">
        <v>3509</v>
      </c>
      <c r="G95" s="24" t="s">
        <v>39</v>
      </c>
      <c r="H95" s="25" t="s">
        <v>586</v>
      </c>
      <c r="I95" s="24" t="s">
        <v>586</v>
      </c>
      <c r="J95" s="12"/>
      <c r="K95" s="31" t="str">
        <f>"107,5"</f>
        <v>107,5</v>
      </c>
      <c r="L95" s="12" t="str">
        <f>"83,8930"</f>
        <v>83,8930</v>
      </c>
      <c r="M95" s="11"/>
    </row>
    <row r="96" spans="1:13">
      <c r="A96" s="12" t="s">
        <v>410</v>
      </c>
      <c r="B96" s="11" t="s">
        <v>1989</v>
      </c>
      <c r="C96" s="11" t="s">
        <v>1990</v>
      </c>
      <c r="D96" s="11" t="s">
        <v>1476</v>
      </c>
      <c r="E96" s="11" t="s">
        <v>3754</v>
      </c>
      <c r="F96" s="11" t="s">
        <v>3653</v>
      </c>
      <c r="G96" s="24" t="s">
        <v>428</v>
      </c>
      <c r="H96" s="25" t="s">
        <v>586</v>
      </c>
      <c r="I96" s="25" t="s">
        <v>586</v>
      </c>
      <c r="J96" s="12"/>
      <c r="K96" s="31" t="str">
        <f>"102,5"</f>
        <v>102,5</v>
      </c>
      <c r="L96" s="12" t="str">
        <f>"79,4990"</f>
        <v>79,4990</v>
      </c>
      <c r="M96" s="11" t="s">
        <v>1991</v>
      </c>
    </row>
    <row r="97" spans="1:13">
      <c r="A97" s="12" t="s">
        <v>412</v>
      </c>
      <c r="B97" s="11" t="s">
        <v>1992</v>
      </c>
      <c r="C97" s="11" t="s">
        <v>1993</v>
      </c>
      <c r="D97" s="11" t="s">
        <v>1933</v>
      </c>
      <c r="E97" s="11" t="s">
        <v>3754</v>
      </c>
      <c r="F97" s="11" t="s">
        <v>3509</v>
      </c>
      <c r="G97" s="25" t="s">
        <v>18</v>
      </c>
      <c r="H97" s="25" t="s">
        <v>18</v>
      </c>
      <c r="I97" s="12"/>
      <c r="J97" s="12"/>
      <c r="K97" s="31">
        <v>0</v>
      </c>
      <c r="L97" s="12" t="str">
        <f>"0,0000"</f>
        <v>0,0000</v>
      </c>
      <c r="M97" s="11"/>
    </row>
    <row r="98" spans="1:13">
      <c r="A98" s="12" t="s">
        <v>412</v>
      </c>
      <c r="B98" s="11" t="s">
        <v>1994</v>
      </c>
      <c r="C98" s="11" t="s">
        <v>1995</v>
      </c>
      <c r="D98" s="11" t="s">
        <v>1044</v>
      </c>
      <c r="E98" s="11" t="s">
        <v>3754</v>
      </c>
      <c r="F98" s="11" t="s">
        <v>3610</v>
      </c>
      <c r="G98" s="25" t="s">
        <v>76</v>
      </c>
      <c r="H98" s="25" t="s">
        <v>76</v>
      </c>
      <c r="I98" s="25" t="s">
        <v>76</v>
      </c>
      <c r="J98" s="12"/>
      <c r="K98" s="31">
        <v>0</v>
      </c>
      <c r="L98" s="12" t="str">
        <f>"0,0000"</f>
        <v>0,0000</v>
      </c>
      <c r="M98" s="11"/>
    </row>
    <row r="99" spans="1:13">
      <c r="A99" s="12" t="s">
        <v>408</v>
      </c>
      <c r="B99" s="11" t="s">
        <v>1996</v>
      </c>
      <c r="C99" s="11" t="s">
        <v>1997</v>
      </c>
      <c r="D99" s="11" t="s">
        <v>1998</v>
      </c>
      <c r="E99" s="11" t="s">
        <v>3751</v>
      </c>
      <c r="F99" s="11" t="s">
        <v>3592</v>
      </c>
      <c r="G99" s="24" t="s">
        <v>35</v>
      </c>
      <c r="H99" s="24" t="s">
        <v>36</v>
      </c>
      <c r="I99" s="25" t="s">
        <v>187</v>
      </c>
      <c r="J99" s="12"/>
      <c r="K99" s="31" t="str">
        <f>"160,0"</f>
        <v>160,0</v>
      </c>
      <c r="L99" s="12" t="str">
        <f>"123,5040"</f>
        <v>123,5040</v>
      </c>
      <c r="M99" s="11"/>
    </row>
    <row r="100" spans="1:13">
      <c r="A100" s="12" t="s">
        <v>410</v>
      </c>
      <c r="B100" s="11" t="s">
        <v>1999</v>
      </c>
      <c r="C100" s="11" t="s">
        <v>2000</v>
      </c>
      <c r="D100" s="11" t="s">
        <v>631</v>
      </c>
      <c r="E100" s="11" t="s">
        <v>3751</v>
      </c>
      <c r="F100" s="11" t="s">
        <v>3512</v>
      </c>
      <c r="G100" s="24" t="s">
        <v>248</v>
      </c>
      <c r="H100" s="24" t="s">
        <v>26</v>
      </c>
      <c r="I100" s="25" t="s">
        <v>494</v>
      </c>
      <c r="J100" s="12"/>
      <c r="K100" s="31" t="str">
        <f>"152,5"</f>
        <v>152,5</v>
      </c>
      <c r="L100" s="12" t="str">
        <f>"119,7430"</f>
        <v>119,7430</v>
      </c>
      <c r="M100" s="11"/>
    </row>
    <row r="101" spans="1:13">
      <c r="A101" s="12" t="s">
        <v>411</v>
      </c>
      <c r="B101" s="11" t="s">
        <v>2001</v>
      </c>
      <c r="C101" s="11" t="s">
        <v>2002</v>
      </c>
      <c r="D101" s="11" t="s">
        <v>1998</v>
      </c>
      <c r="E101" s="11" t="s">
        <v>3751</v>
      </c>
      <c r="F101" s="11" t="s">
        <v>2003</v>
      </c>
      <c r="G101" s="24" t="s">
        <v>25</v>
      </c>
      <c r="H101" s="24" t="s">
        <v>35</v>
      </c>
      <c r="I101" s="25" t="s">
        <v>26</v>
      </c>
      <c r="J101" s="12"/>
      <c r="K101" s="31" t="str">
        <f>"150,0"</f>
        <v>150,0</v>
      </c>
      <c r="L101" s="12" t="str">
        <f>"115,7850"</f>
        <v>115,7850</v>
      </c>
      <c r="M101" s="11" t="s">
        <v>2004</v>
      </c>
    </row>
    <row r="102" spans="1:13">
      <c r="A102" s="12" t="s">
        <v>413</v>
      </c>
      <c r="B102" s="11" t="s">
        <v>2005</v>
      </c>
      <c r="C102" s="11" t="s">
        <v>2006</v>
      </c>
      <c r="D102" s="11" t="s">
        <v>968</v>
      </c>
      <c r="E102" s="11" t="s">
        <v>3751</v>
      </c>
      <c r="F102" s="11" t="s">
        <v>3509</v>
      </c>
      <c r="G102" s="24" t="s">
        <v>85</v>
      </c>
      <c r="H102" s="24" t="s">
        <v>248</v>
      </c>
      <c r="I102" s="25" t="s">
        <v>26</v>
      </c>
      <c r="J102" s="12"/>
      <c r="K102" s="31" t="str">
        <f>"142,5"</f>
        <v>142,5</v>
      </c>
      <c r="L102" s="12" t="str">
        <f>"110,7937"</f>
        <v>110,7937</v>
      </c>
      <c r="M102" s="11" t="s">
        <v>2007</v>
      </c>
    </row>
    <row r="103" spans="1:13">
      <c r="A103" s="12" t="s">
        <v>414</v>
      </c>
      <c r="B103" s="11" t="s">
        <v>2008</v>
      </c>
      <c r="C103" s="11" t="s">
        <v>2009</v>
      </c>
      <c r="D103" s="11" t="s">
        <v>1002</v>
      </c>
      <c r="E103" s="11" t="s">
        <v>3751</v>
      </c>
      <c r="F103" s="11" t="s">
        <v>3654</v>
      </c>
      <c r="G103" s="24" t="s">
        <v>85</v>
      </c>
      <c r="H103" s="24" t="s">
        <v>45</v>
      </c>
      <c r="I103" s="25" t="s">
        <v>248</v>
      </c>
      <c r="J103" s="12"/>
      <c r="K103" s="31" t="str">
        <f>"140,0"</f>
        <v>140,0</v>
      </c>
      <c r="L103" s="12" t="str">
        <f>"113,7080"</f>
        <v>113,7080</v>
      </c>
      <c r="M103" s="11"/>
    </row>
    <row r="104" spans="1:13">
      <c r="A104" s="12" t="s">
        <v>415</v>
      </c>
      <c r="B104" s="11" t="s">
        <v>2010</v>
      </c>
      <c r="C104" s="11" t="s">
        <v>2011</v>
      </c>
      <c r="D104" s="11" t="s">
        <v>1044</v>
      </c>
      <c r="E104" s="11" t="s">
        <v>3751</v>
      </c>
      <c r="F104" s="11" t="s">
        <v>3509</v>
      </c>
      <c r="G104" s="24" t="s">
        <v>586</v>
      </c>
      <c r="H104" s="24" t="s">
        <v>76</v>
      </c>
      <c r="I104" s="24" t="s">
        <v>77</v>
      </c>
      <c r="J104" s="12"/>
      <c r="K104" s="31" t="str">
        <f>"125,0"</f>
        <v>125,0</v>
      </c>
      <c r="L104" s="12" t="str">
        <f>"98,0250"</f>
        <v>98,0250</v>
      </c>
      <c r="M104" s="11"/>
    </row>
    <row r="105" spans="1:13">
      <c r="A105" s="12" t="s">
        <v>416</v>
      </c>
      <c r="B105" s="11" t="s">
        <v>2012</v>
      </c>
      <c r="C105" s="11" t="s">
        <v>2013</v>
      </c>
      <c r="D105" s="11" t="s">
        <v>446</v>
      </c>
      <c r="E105" s="11" t="s">
        <v>3751</v>
      </c>
      <c r="F105" s="11" t="s">
        <v>3655</v>
      </c>
      <c r="G105" s="24" t="s">
        <v>54</v>
      </c>
      <c r="H105" s="24" t="s">
        <v>586</v>
      </c>
      <c r="I105" s="25" t="s">
        <v>106</v>
      </c>
      <c r="J105" s="12"/>
      <c r="K105" s="31" t="str">
        <f>"107,5"</f>
        <v>107,5</v>
      </c>
      <c r="L105" s="12" t="str">
        <f>"83,0867"</f>
        <v>83,0867</v>
      </c>
      <c r="M105" s="11"/>
    </row>
    <row r="106" spans="1:13">
      <c r="A106" s="12" t="s">
        <v>417</v>
      </c>
      <c r="B106" s="11" t="s">
        <v>2014</v>
      </c>
      <c r="C106" s="11" t="s">
        <v>2015</v>
      </c>
      <c r="D106" s="11" t="s">
        <v>599</v>
      </c>
      <c r="E106" s="11" t="s">
        <v>3751</v>
      </c>
      <c r="F106" s="11" t="s">
        <v>2016</v>
      </c>
      <c r="G106" s="24" t="s">
        <v>14</v>
      </c>
      <c r="H106" s="24" t="s">
        <v>18</v>
      </c>
      <c r="I106" s="25" t="s">
        <v>435</v>
      </c>
      <c r="J106" s="12"/>
      <c r="K106" s="31" t="str">
        <f>"80,0"</f>
        <v>80,0</v>
      </c>
      <c r="L106" s="12" t="str">
        <f>"65,4240"</f>
        <v>65,4240</v>
      </c>
      <c r="M106" s="11" t="s">
        <v>3441</v>
      </c>
    </row>
    <row r="107" spans="1:13">
      <c r="A107" s="12" t="s">
        <v>412</v>
      </c>
      <c r="B107" s="11" t="s">
        <v>2017</v>
      </c>
      <c r="C107" s="11" t="s">
        <v>2018</v>
      </c>
      <c r="D107" s="11" t="s">
        <v>955</v>
      </c>
      <c r="E107" s="11" t="s">
        <v>3751</v>
      </c>
      <c r="F107" s="11" t="s">
        <v>3610</v>
      </c>
      <c r="G107" s="25" t="s">
        <v>248</v>
      </c>
      <c r="H107" s="25" t="s">
        <v>248</v>
      </c>
      <c r="I107" s="12"/>
      <c r="J107" s="12"/>
      <c r="K107" s="31">
        <v>0</v>
      </c>
      <c r="L107" s="12" t="str">
        <f>"0,0000"</f>
        <v>0,0000</v>
      </c>
      <c r="M107" s="11"/>
    </row>
    <row r="108" spans="1:13">
      <c r="A108" s="12" t="s">
        <v>412</v>
      </c>
      <c r="B108" s="11" t="s">
        <v>1394</v>
      </c>
      <c r="C108" s="11" t="s">
        <v>1395</v>
      </c>
      <c r="D108" s="11" t="s">
        <v>964</v>
      </c>
      <c r="E108" s="11" t="s">
        <v>3751</v>
      </c>
      <c r="F108" s="11" t="s">
        <v>3558</v>
      </c>
      <c r="G108" s="25" t="s">
        <v>76</v>
      </c>
      <c r="H108" s="25" t="s">
        <v>76</v>
      </c>
      <c r="I108" s="25" t="s">
        <v>451</v>
      </c>
      <c r="J108" s="12"/>
      <c r="K108" s="31">
        <v>0</v>
      </c>
      <c r="L108" s="12" t="str">
        <f>"0,0000"</f>
        <v>0,0000</v>
      </c>
      <c r="M108" s="11"/>
    </row>
    <row r="109" spans="1:13">
      <c r="A109" s="12" t="s">
        <v>408</v>
      </c>
      <c r="B109" s="11" t="s">
        <v>2019</v>
      </c>
      <c r="C109" s="11" t="s">
        <v>2020</v>
      </c>
      <c r="D109" s="11" t="s">
        <v>1056</v>
      </c>
      <c r="E109" s="11" t="s">
        <v>3753</v>
      </c>
      <c r="F109" s="11" t="s">
        <v>3509</v>
      </c>
      <c r="G109" s="24" t="s">
        <v>39</v>
      </c>
      <c r="H109" s="24" t="s">
        <v>586</v>
      </c>
      <c r="I109" s="25" t="s">
        <v>597</v>
      </c>
      <c r="J109" s="12"/>
      <c r="K109" s="31" t="str">
        <f>"107,5"</f>
        <v>107,5</v>
      </c>
      <c r="L109" s="12" t="str">
        <f>"83,9019"</f>
        <v>83,9019</v>
      </c>
      <c r="M109" s="11"/>
    </row>
    <row r="110" spans="1:13">
      <c r="A110" s="14" t="s">
        <v>408</v>
      </c>
      <c r="B110" s="13" t="s">
        <v>2021</v>
      </c>
      <c r="C110" s="13" t="s">
        <v>2022</v>
      </c>
      <c r="D110" s="13" t="s">
        <v>958</v>
      </c>
      <c r="E110" s="13" t="s">
        <v>3757</v>
      </c>
      <c r="F110" s="13" t="s">
        <v>3601</v>
      </c>
      <c r="G110" s="26" t="s">
        <v>39</v>
      </c>
      <c r="H110" s="26" t="s">
        <v>428</v>
      </c>
      <c r="I110" s="27" t="s">
        <v>54</v>
      </c>
      <c r="J110" s="14"/>
      <c r="K110" s="32" t="str">
        <f>"102,5"</f>
        <v>102,5</v>
      </c>
      <c r="L110" s="14" t="str">
        <f>"117,7224"</f>
        <v>117,7224</v>
      </c>
      <c r="M110" s="13" t="s">
        <v>1526</v>
      </c>
    </row>
    <row r="111" spans="1:13">
      <c r="B111" s="5" t="s">
        <v>409</v>
      </c>
    </row>
    <row r="112" spans="1:13" ht="16">
      <c r="A112" s="57" t="s">
        <v>93</v>
      </c>
      <c r="B112" s="57"/>
      <c r="C112" s="57"/>
      <c r="D112" s="57"/>
      <c r="E112" s="57"/>
      <c r="F112" s="57"/>
      <c r="G112" s="57"/>
      <c r="H112" s="57"/>
      <c r="I112" s="57"/>
      <c r="J112" s="57"/>
    </row>
    <row r="113" spans="1:13">
      <c r="A113" s="10" t="s">
        <v>408</v>
      </c>
      <c r="B113" s="9" t="s">
        <v>2023</v>
      </c>
      <c r="C113" s="9" t="s">
        <v>2024</v>
      </c>
      <c r="D113" s="9" t="s">
        <v>104</v>
      </c>
      <c r="E113" s="9" t="s">
        <v>3755</v>
      </c>
      <c r="F113" s="9" t="s">
        <v>3656</v>
      </c>
      <c r="G113" s="23" t="s">
        <v>39</v>
      </c>
      <c r="H113" s="23" t="s">
        <v>428</v>
      </c>
      <c r="I113" s="22" t="s">
        <v>54</v>
      </c>
      <c r="J113" s="10"/>
      <c r="K113" s="30" t="str">
        <f>"102,5"</f>
        <v>102,5</v>
      </c>
      <c r="L113" s="10" t="str">
        <f>"73,7282"</f>
        <v>73,7282</v>
      </c>
      <c r="M113" s="9" t="s">
        <v>2025</v>
      </c>
    </row>
    <row r="114" spans="1:13">
      <c r="A114" s="12" t="s">
        <v>408</v>
      </c>
      <c r="B114" s="11" t="s">
        <v>2026</v>
      </c>
      <c r="C114" s="11" t="s">
        <v>2027</v>
      </c>
      <c r="D114" s="11" t="s">
        <v>2028</v>
      </c>
      <c r="E114" s="11" t="s">
        <v>3752</v>
      </c>
      <c r="F114" s="11" t="s">
        <v>3645</v>
      </c>
      <c r="G114" s="24" t="s">
        <v>428</v>
      </c>
      <c r="H114" s="25" t="s">
        <v>54</v>
      </c>
      <c r="I114" s="25" t="s">
        <v>54</v>
      </c>
      <c r="J114" s="12"/>
      <c r="K114" s="31" t="str">
        <f>"102,5"</f>
        <v>102,5</v>
      </c>
      <c r="L114" s="12" t="str">
        <f>"74,9788"</f>
        <v>74,9788</v>
      </c>
      <c r="M114" s="11" t="s">
        <v>1908</v>
      </c>
    </row>
    <row r="115" spans="1:13">
      <c r="A115" s="12" t="s">
        <v>408</v>
      </c>
      <c r="B115" s="11" t="s">
        <v>2029</v>
      </c>
      <c r="C115" s="11" t="s">
        <v>2030</v>
      </c>
      <c r="D115" s="11" t="s">
        <v>2028</v>
      </c>
      <c r="E115" s="11" t="s">
        <v>3754</v>
      </c>
      <c r="F115" s="11" t="s">
        <v>3601</v>
      </c>
      <c r="G115" s="24" t="s">
        <v>78</v>
      </c>
      <c r="H115" s="24" t="s">
        <v>76</v>
      </c>
      <c r="I115" s="24" t="s">
        <v>77</v>
      </c>
      <c r="J115" s="12"/>
      <c r="K115" s="31" t="str">
        <f>"125,0"</f>
        <v>125,0</v>
      </c>
      <c r="L115" s="12" t="str">
        <f>"91,4375"</f>
        <v>91,4375</v>
      </c>
      <c r="M115" s="11" t="s">
        <v>2031</v>
      </c>
    </row>
    <row r="116" spans="1:13">
      <c r="A116" s="12" t="s">
        <v>410</v>
      </c>
      <c r="B116" s="11" t="s">
        <v>2032</v>
      </c>
      <c r="C116" s="11" t="s">
        <v>1171</v>
      </c>
      <c r="D116" s="11" t="s">
        <v>639</v>
      </c>
      <c r="E116" s="11" t="s">
        <v>3754</v>
      </c>
      <c r="F116" s="11" t="s">
        <v>3648</v>
      </c>
      <c r="G116" s="25" t="s">
        <v>54</v>
      </c>
      <c r="H116" s="24" t="s">
        <v>54</v>
      </c>
      <c r="I116" s="25" t="s">
        <v>79</v>
      </c>
      <c r="J116" s="12"/>
      <c r="K116" s="31" t="str">
        <f>"105,0"</f>
        <v>105,0</v>
      </c>
      <c r="L116" s="12" t="str">
        <f>"76,4925"</f>
        <v>76,4925</v>
      </c>
      <c r="M116" s="11" t="s">
        <v>3413</v>
      </c>
    </row>
    <row r="117" spans="1:13">
      <c r="A117" s="12" t="s">
        <v>408</v>
      </c>
      <c r="B117" s="11" t="s">
        <v>2033</v>
      </c>
      <c r="C117" s="11" t="s">
        <v>2034</v>
      </c>
      <c r="D117" s="11" t="s">
        <v>636</v>
      </c>
      <c r="E117" s="11" t="s">
        <v>3751</v>
      </c>
      <c r="F117" s="11" t="s">
        <v>3509</v>
      </c>
      <c r="G117" s="24" t="s">
        <v>46</v>
      </c>
      <c r="H117" s="25" t="s">
        <v>36</v>
      </c>
      <c r="I117" s="25" t="s">
        <v>36</v>
      </c>
      <c r="J117" s="12"/>
      <c r="K117" s="31" t="str">
        <f>"155,0"</f>
        <v>155,0</v>
      </c>
      <c r="L117" s="12" t="str">
        <f>"110,4530"</f>
        <v>110,4530</v>
      </c>
      <c r="M117" s="11"/>
    </row>
    <row r="118" spans="1:13">
      <c r="A118" s="12" t="s">
        <v>410</v>
      </c>
      <c r="B118" s="11" t="s">
        <v>2035</v>
      </c>
      <c r="C118" s="11" t="s">
        <v>1080</v>
      </c>
      <c r="D118" s="11" t="s">
        <v>2036</v>
      </c>
      <c r="E118" s="11" t="s">
        <v>3751</v>
      </c>
      <c r="F118" s="11" t="s">
        <v>3509</v>
      </c>
      <c r="G118" s="25" t="s">
        <v>25</v>
      </c>
      <c r="H118" s="24" t="s">
        <v>25</v>
      </c>
      <c r="I118" s="24" t="s">
        <v>35</v>
      </c>
      <c r="J118" s="12"/>
      <c r="K118" s="31" t="str">
        <f>"150,0"</f>
        <v>150,0</v>
      </c>
      <c r="L118" s="12" t="str">
        <f>"108,2100"</f>
        <v>108,2100</v>
      </c>
      <c r="M118" s="11"/>
    </row>
    <row r="119" spans="1:13">
      <c r="A119" s="12" t="s">
        <v>411</v>
      </c>
      <c r="B119" s="11" t="s">
        <v>2037</v>
      </c>
      <c r="C119" s="11" t="s">
        <v>1525</v>
      </c>
      <c r="D119" s="11" t="s">
        <v>104</v>
      </c>
      <c r="E119" s="11" t="s">
        <v>3751</v>
      </c>
      <c r="F119" s="11" t="s">
        <v>3590</v>
      </c>
      <c r="G119" s="24" t="s">
        <v>248</v>
      </c>
      <c r="H119" s="24" t="s">
        <v>253</v>
      </c>
      <c r="I119" s="25" t="s">
        <v>35</v>
      </c>
      <c r="J119" s="12"/>
      <c r="K119" s="31" t="str">
        <f>"147,5"</f>
        <v>147,5</v>
      </c>
      <c r="L119" s="12" t="str">
        <f>"106,0967"</f>
        <v>106,0967</v>
      </c>
      <c r="M119" s="11"/>
    </row>
    <row r="120" spans="1:13">
      <c r="A120" s="12" t="s">
        <v>413</v>
      </c>
      <c r="B120" s="11" t="s">
        <v>3435</v>
      </c>
      <c r="C120" s="11" t="s">
        <v>2038</v>
      </c>
      <c r="D120" s="11" t="s">
        <v>2036</v>
      </c>
      <c r="E120" s="11" t="s">
        <v>3751</v>
      </c>
      <c r="F120" s="11" t="s">
        <v>109</v>
      </c>
      <c r="G120" s="24" t="s">
        <v>25</v>
      </c>
      <c r="H120" s="25" t="s">
        <v>46</v>
      </c>
      <c r="I120" s="25" t="s">
        <v>46</v>
      </c>
      <c r="J120" s="12"/>
      <c r="K120" s="31" t="str">
        <f>"145,0"</f>
        <v>145,0</v>
      </c>
      <c r="L120" s="12" t="str">
        <f>"104,6030"</f>
        <v>104,6030</v>
      </c>
      <c r="M120" s="11"/>
    </row>
    <row r="121" spans="1:13">
      <c r="A121" s="12" t="s">
        <v>414</v>
      </c>
      <c r="B121" s="11" t="s">
        <v>3436</v>
      </c>
      <c r="C121" s="11" t="s">
        <v>2039</v>
      </c>
      <c r="D121" s="11" t="s">
        <v>636</v>
      </c>
      <c r="E121" s="11" t="s">
        <v>3751</v>
      </c>
      <c r="F121" s="11" t="s">
        <v>124</v>
      </c>
      <c r="G121" s="24" t="s">
        <v>85</v>
      </c>
      <c r="H121" s="24" t="s">
        <v>25</v>
      </c>
      <c r="I121" s="25" t="s">
        <v>35</v>
      </c>
      <c r="J121" s="12"/>
      <c r="K121" s="31" t="str">
        <f>"145,0"</f>
        <v>145,0</v>
      </c>
      <c r="L121" s="12" t="str">
        <f>"103,3270"</f>
        <v>103,3270</v>
      </c>
      <c r="M121" s="11"/>
    </row>
    <row r="122" spans="1:13">
      <c r="A122" s="12" t="s">
        <v>415</v>
      </c>
      <c r="B122" s="11" t="s">
        <v>2040</v>
      </c>
      <c r="C122" s="11" t="s">
        <v>2041</v>
      </c>
      <c r="D122" s="11" t="s">
        <v>2042</v>
      </c>
      <c r="E122" s="11" t="s">
        <v>3751</v>
      </c>
      <c r="F122" s="11" t="s">
        <v>3562</v>
      </c>
      <c r="G122" s="24" t="s">
        <v>132</v>
      </c>
      <c r="H122" s="24" t="s">
        <v>85</v>
      </c>
      <c r="I122" s="24" t="s">
        <v>45</v>
      </c>
      <c r="J122" s="12"/>
      <c r="K122" s="31" t="str">
        <f>"140,0"</f>
        <v>140,0</v>
      </c>
      <c r="L122" s="12" t="str">
        <f>"100,0440"</f>
        <v>100,0440</v>
      </c>
      <c r="M122" s="11" t="s">
        <v>478</v>
      </c>
    </row>
    <row r="123" spans="1:13">
      <c r="A123" s="12" t="s">
        <v>416</v>
      </c>
      <c r="B123" s="11" t="s">
        <v>2043</v>
      </c>
      <c r="C123" s="11" t="s">
        <v>2044</v>
      </c>
      <c r="D123" s="11" t="s">
        <v>1398</v>
      </c>
      <c r="E123" s="11" t="s">
        <v>3751</v>
      </c>
      <c r="F123" s="11" t="s">
        <v>3545</v>
      </c>
      <c r="G123" s="24" t="s">
        <v>77</v>
      </c>
      <c r="H123" s="24" t="s">
        <v>132</v>
      </c>
      <c r="I123" s="25" t="s">
        <v>85</v>
      </c>
      <c r="J123" s="12"/>
      <c r="K123" s="31" t="str">
        <f>"130,0"</f>
        <v>130,0</v>
      </c>
      <c r="L123" s="12" t="str">
        <f>"93,9640"</f>
        <v>93,9640</v>
      </c>
      <c r="M123" s="11"/>
    </row>
    <row r="124" spans="1:13">
      <c r="A124" s="12" t="s">
        <v>417</v>
      </c>
      <c r="B124" s="11" t="s">
        <v>2045</v>
      </c>
      <c r="C124" s="11" t="s">
        <v>2046</v>
      </c>
      <c r="D124" s="11" t="s">
        <v>2047</v>
      </c>
      <c r="E124" s="11" t="s">
        <v>3751</v>
      </c>
      <c r="F124" s="11" t="s">
        <v>3587</v>
      </c>
      <c r="G124" s="24" t="s">
        <v>106</v>
      </c>
      <c r="H124" s="24" t="s">
        <v>79</v>
      </c>
      <c r="I124" s="25" t="s">
        <v>76</v>
      </c>
      <c r="J124" s="12"/>
      <c r="K124" s="31" t="str">
        <f>"117,5"</f>
        <v>117,5</v>
      </c>
      <c r="L124" s="12" t="str">
        <f>"84,2005"</f>
        <v>84,2005</v>
      </c>
      <c r="M124" s="11" t="s">
        <v>2048</v>
      </c>
    </row>
    <row r="125" spans="1:13">
      <c r="A125" s="12" t="s">
        <v>1364</v>
      </c>
      <c r="B125" s="11" t="s">
        <v>2049</v>
      </c>
      <c r="C125" s="11" t="s">
        <v>2050</v>
      </c>
      <c r="D125" s="11" t="s">
        <v>1069</v>
      </c>
      <c r="E125" s="11" t="s">
        <v>3751</v>
      </c>
      <c r="F125" s="11" t="s">
        <v>3657</v>
      </c>
      <c r="G125" s="24" t="s">
        <v>586</v>
      </c>
      <c r="H125" s="25" t="s">
        <v>597</v>
      </c>
      <c r="I125" s="25" t="s">
        <v>597</v>
      </c>
      <c r="J125" s="12"/>
      <c r="K125" s="31" t="str">
        <f>"107,5"</f>
        <v>107,5</v>
      </c>
      <c r="L125" s="12" t="str">
        <f>"77,6258"</f>
        <v>77,6258</v>
      </c>
      <c r="M125" s="11"/>
    </row>
    <row r="126" spans="1:13">
      <c r="A126" s="12" t="s">
        <v>1365</v>
      </c>
      <c r="B126" s="11" t="s">
        <v>2051</v>
      </c>
      <c r="C126" s="11" t="s">
        <v>2052</v>
      </c>
      <c r="D126" s="11" t="s">
        <v>1956</v>
      </c>
      <c r="E126" s="11" t="s">
        <v>3751</v>
      </c>
      <c r="F126" s="11" t="s">
        <v>3509</v>
      </c>
      <c r="G126" s="25" t="s">
        <v>54</v>
      </c>
      <c r="H126" s="25" t="s">
        <v>54</v>
      </c>
      <c r="I126" s="24" t="s">
        <v>54</v>
      </c>
      <c r="J126" s="12"/>
      <c r="K126" s="31" t="str">
        <f>"105,0"</f>
        <v>105,0</v>
      </c>
      <c r="L126" s="12" t="str">
        <f>"76,5765"</f>
        <v>76,5765</v>
      </c>
      <c r="M126" s="11"/>
    </row>
    <row r="127" spans="1:13">
      <c r="A127" s="12" t="s">
        <v>412</v>
      </c>
      <c r="B127" s="11" t="s">
        <v>2053</v>
      </c>
      <c r="C127" s="11" t="s">
        <v>2054</v>
      </c>
      <c r="D127" s="11" t="s">
        <v>1066</v>
      </c>
      <c r="E127" s="11" t="s">
        <v>3751</v>
      </c>
      <c r="F127" s="11" t="s">
        <v>3613</v>
      </c>
      <c r="G127" s="25" t="s">
        <v>78</v>
      </c>
      <c r="H127" s="25" t="s">
        <v>78</v>
      </c>
      <c r="I127" s="25" t="s">
        <v>78</v>
      </c>
      <c r="J127" s="12"/>
      <c r="K127" s="31">
        <v>0</v>
      </c>
      <c r="L127" s="12" t="str">
        <f>"0,0000"</f>
        <v>0,0000</v>
      </c>
      <c r="M127" s="11" t="s">
        <v>2004</v>
      </c>
    </row>
    <row r="128" spans="1:13">
      <c r="A128" s="12" t="s">
        <v>408</v>
      </c>
      <c r="B128" s="11" t="s">
        <v>2055</v>
      </c>
      <c r="C128" s="11" t="s">
        <v>2056</v>
      </c>
      <c r="D128" s="11" t="s">
        <v>467</v>
      </c>
      <c r="E128" s="11" t="s">
        <v>3753</v>
      </c>
      <c r="F128" s="11" t="s">
        <v>3658</v>
      </c>
      <c r="G128" s="24" t="s">
        <v>106</v>
      </c>
      <c r="H128" s="24" t="s">
        <v>76</v>
      </c>
      <c r="I128" s="24" t="s">
        <v>84</v>
      </c>
      <c r="J128" s="12"/>
      <c r="K128" s="31" t="str">
        <f>"127,5"</f>
        <v>127,5</v>
      </c>
      <c r="L128" s="12" t="str">
        <f>"93,4791"</f>
        <v>93,4791</v>
      </c>
      <c r="M128" s="11"/>
    </row>
    <row r="129" spans="1:13">
      <c r="A129" s="12" t="s">
        <v>408</v>
      </c>
      <c r="B129" s="11" t="s">
        <v>2057</v>
      </c>
      <c r="C129" s="11" t="s">
        <v>2058</v>
      </c>
      <c r="D129" s="11" t="s">
        <v>2042</v>
      </c>
      <c r="E129" s="11" t="s">
        <v>3756</v>
      </c>
      <c r="F129" s="11" t="s">
        <v>3659</v>
      </c>
      <c r="G129" s="24" t="s">
        <v>521</v>
      </c>
      <c r="H129" s="25" t="s">
        <v>474</v>
      </c>
      <c r="I129" s="25" t="s">
        <v>474</v>
      </c>
      <c r="J129" s="12"/>
      <c r="K129" s="31" t="str">
        <f>"132,5"</f>
        <v>132,5</v>
      </c>
      <c r="L129" s="12" t="str">
        <f>"110,5915"</f>
        <v>110,5915</v>
      </c>
      <c r="M129" s="11"/>
    </row>
    <row r="130" spans="1:13">
      <c r="A130" s="12" t="s">
        <v>408</v>
      </c>
      <c r="B130" s="11" t="s">
        <v>2059</v>
      </c>
      <c r="C130" s="11" t="s">
        <v>2060</v>
      </c>
      <c r="D130" s="11" t="s">
        <v>1393</v>
      </c>
      <c r="E130" s="11" t="s">
        <v>3757</v>
      </c>
      <c r="F130" s="11" t="s">
        <v>3599</v>
      </c>
      <c r="G130" s="25" t="s">
        <v>18</v>
      </c>
      <c r="H130" s="24" t="s">
        <v>18</v>
      </c>
      <c r="I130" s="24" t="s">
        <v>435</v>
      </c>
      <c r="J130" s="12"/>
      <c r="K130" s="31" t="str">
        <f>"85,0"</f>
        <v>85,0</v>
      </c>
      <c r="L130" s="12" t="str">
        <f>"99,3564"</f>
        <v>99,3564</v>
      </c>
      <c r="M130" s="11" t="s">
        <v>310</v>
      </c>
    </row>
    <row r="131" spans="1:13">
      <c r="A131" s="14" t="s">
        <v>408</v>
      </c>
      <c r="B131" s="13" t="s">
        <v>2061</v>
      </c>
      <c r="C131" s="13" t="s">
        <v>2062</v>
      </c>
      <c r="D131" s="13" t="s">
        <v>1081</v>
      </c>
      <c r="E131" s="13" t="s">
        <v>3758</v>
      </c>
      <c r="F131" s="13" t="s">
        <v>3636</v>
      </c>
      <c r="G131" s="26" t="s">
        <v>106</v>
      </c>
      <c r="H131" s="27" t="s">
        <v>78</v>
      </c>
      <c r="I131" s="27" t="s">
        <v>78</v>
      </c>
      <c r="J131" s="14"/>
      <c r="K131" s="32" t="str">
        <f>"110,0"</f>
        <v>110,0</v>
      </c>
      <c r="L131" s="14" t="str">
        <f>"148,0281"</f>
        <v>148,0281</v>
      </c>
      <c r="M131" s="13"/>
    </row>
    <row r="132" spans="1:13">
      <c r="B132" s="5" t="s">
        <v>409</v>
      </c>
    </row>
    <row r="133" spans="1:13" ht="16">
      <c r="A133" s="57" t="s">
        <v>62</v>
      </c>
      <c r="B133" s="57"/>
      <c r="C133" s="57"/>
      <c r="D133" s="57"/>
      <c r="E133" s="57"/>
      <c r="F133" s="57"/>
      <c r="G133" s="57"/>
      <c r="H133" s="57"/>
      <c r="I133" s="57"/>
      <c r="J133" s="57"/>
    </row>
    <row r="134" spans="1:13">
      <c r="A134" s="10" t="s">
        <v>408</v>
      </c>
      <c r="B134" s="9" t="s">
        <v>2063</v>
      </c>
      <c r="C134" s="9" t="s">
        <v>2064</v>
      </c>
      <c r="D134" s="9" t="s">
        <v>141</v>
      </c>
      <c r="E134" s="9" t="s">
        <v>3755</v>
      </c>
      <c r="F134" s="9" t="s">
        <v>3626</v>
      </c>
      <c r="G134" s="22" t="s">
        <v>18</v>
      </c>
      <c r="H134" s="23" t="s">
        <v>18</v>
      </c>
      <c r="I134" s="23" t="s">
        <v>60</v>
      </c>
      <c r="J134" s="10"/>
      <c r="K134" s="30" t="str">
        <f>"82,5"</f>
        <v>82,5</v>
      </c>
      <c r="L134" s="10" t="str">
        <f>"55,7617"</f>
        <v>55,7617</v>
      </c>
      <c r="M134" s="9" t="s">
        <v>2065</v>
      </c>
    </row>
    <row r="135" spans="1:13">
      <c r="A135" s="12" t="s">
        <v>408</v>
      </c>
      <c r="B135" s="11" t="s">
        <v>2066</v>
      </c>
      <c r="C135" s="11" t="s">
        <v>2067</v>
      </c>
      <c r="D135" s="11" t="s">
        <v>2068</v>
      </c>
      <c r="E135" s="11" t="s">
        <v>3752</v>
      </c>
      <c r="F135" s="11" t="s">
        <v>3642</v>
      </c>
      <c r="G135" s="24" t="s">
        <v>85</v>
      </c>
      <c r="H135" s="24" t="s">
        <v>45</v>
      </c>
      <c r="I135" s="25" t="s">
        <v>25</v>
      </c>
      <c r="J135" s="12"/>
      <c r="K135" s="31" t="str">
        <f>"140,0"</f>
        <v>140,0</v>
      </c>
      <c r="L135" s="12" t="str">
        <f>"97,0620"</f>
        <v>97,0620</v>
      </c>
      <c r="M135" s="11" t="s">
        <v>3411</v>
      </c>
    </row>
    <row r="136" spans="1:13">
      <c r="A136" s="12" t="s">
        <v>410</v>
      </c>
      <c r="B136" s="11" t="s">
        <v>2069</v>
      </c>
      <c r="C136" s="11" t="s">
        <v>2070</v>
      </c>
      <c r="D136" s="11" t="s">
        <v>108</v>
      </c>
      <c r="E136" s="11" t="s">
        <v>3752</v>
      </c>
      <c r="F136" s="11" t="s">
        <v>3660</v>
      </c>
      <c r="G136" s="24" t="s">
        <v>451</v>
      </c>
      <c r="H136" s="24" t="s">
        <v>77</v>
      </c>
      <c r="I136" s="25" t="s">
        <v>84</v>
      </c>
      <c r="J136" s="12"/>
      <c r="K136" s="31" t="str">
        <f>"125,0"</f>
        <v>125,0</v>
      </c>
      <c r="L136" s="12" t="str">
        <f>"84,5500"</f>
        <v>84,5500</v>
      </c>
      <c r="M136" s="11" t="s">
        <v>1897</v>
      </c>
    </row>
    <row r="137" spans="1:13">
      <c r="A137" s="12" t="s">
        <v>411</v>
      </c>
      <c r="B137" s="11" t="s">
        <v>2071</v>
      </c>
      <c r="C137" s="11" t="s">
        <v>2072</v>
      </c>
      <c r="D137" s="11" t="s">
        <v>2068</v>
      </c>
      <c r="E137" s="11" t="s">
        <v>3752</v>
      </c>
      <c r="F137" s="11" t="s">
        <v>3661</v>
      </c>
      <c r="G137" s="24" t="s">
        <v>78</v>
      </c>
      <c r="H137" s="24" t="s">
        <v>79</v>
      </c>
      <c r="I137" s="24" t="s">
        <v>76</v>
      </c>
      <c r="J137" s="12"/>
      <c r="K137" s="31" t="str">
        <f>"120,0"</f>
        <v>120,0</v>
      </c>
      <c r="L137" s="12" t="str">
        <f>"83,1960"</f>
        <v>83,1960</v>
      </c>
      <c r="M137" s="11" t="s">
        <v>2073</v>
      </c>
    </row>
    <row r="138" spans="1:13">
      <c r="A138" s="12" t="s">
        <v>408</v>
      </c>
      <c r="B138" s="11" t="s">
        <v>3315</v>
      </c>
      <c r="C138" s="11" t="s">
        <v>2074</v>
      </c>
      <c r="D138" s="11" t="s">
        <v>456</v>
      </c>
      <c r="E138" s="11" t="s">
        <v>3754</v>
      </c>
      <c r="F138" s="11" t="s">
        <v>109</v>
      </c>
      <c r="G138" s="24" t="s">
        <v>25</v>
      </c>
      <c r="H138" s="25" t="s">
        <v>253</v>
      </c>
      <c r="I138" s="24" t="s">
        <v>35</v>
      </c>
      <c r="J138" s="12"/>
      <c r="K138" s="31" t="str">
        <f>"150,0"</f>
        <v>150,0</v>
      </c>
      <c r="L138" s="12" t="str">
        <f>"102,9750"</f>
        <v>102,9750</v>
      </c>
      <c r="M138" s="11"/>
    </row>
    <row r="139" spans="1:13">
      <c r="A139" s="12" t="s">
        <v>410</v>
      </c>
      <c r="B139" s="11" t="s">
        <v>2075</v>
      </c>
      <c r="C139" s="11" t="s">
        <v>2076</v>
      </c>
      <c r="D139" s="11" t="s">
        <v>473</v>
      </c>
      <c r="E139" s="11" t="s">
        <v>3754</v>
      </c>
      <c r="F139" s="11" t="s">
        <v>3509</v>
      </c>
      <c r="G139" s="24" t="s">
        <v>84</v>
      </c>
      <c r="H139" s="24" t="s">
        <v>85</v>
      </c>
      <c r="I139" s="25" t="s">
        <v>25</v>
      </c>
      <c r="J139" s="12"/>
      <c r="K139" s="31" t="str">
        <f>"135,0"</f>
        <v>135,0</v>
      </c>
      <c r="L139" s="12" t="str">
        <f>"90,6390"</f>
        <v>90,6390</v>
      </c>
      <c r="M139" s="11"/>
    </row>
    <row r="140" spans="1:13">
      <c r="A140" s="12" t="s">
        <v>411</v>
      </c>
      <c r="B140" s="11" t="s">
        <v>2077</v>
      </c>
      <c r="C140" s="11" t="s">
        <v>2078</v>
      </c>
      <c r="D140" s="11" t="s">
        <v>145</v>
      </c>
      <c r="E140" s="11" t="s">
        <v>3754</v>
      </c>
      <c r="F140" s="11" t="s">
        <v>3509</v>
      </c>
      <c r="G140" s="25" t="s">
        <v>132</v>
      </c>
      <c r="H140" s="24" t="s">
        <v>132</v>
      </c>
      <c r="I140" s="25" t="s">
        <v>521</v>
      </c>
      <c r="J140" s="12"/>
      <c r="K140" s="31" t="str">
        <f>"130,0"</f>
        <v>130,0</v>
      </c>
      <c r="L140" s="12" t="str">
        <f>"87,4120"</f>
        <v>87,4120</v>
      </c>
      <c r="M140" s="11" t="s">
        <v>2079</v>
      </c>
    </row>
    <row r="141" spans="1:13">
      <c r="A141" s="12" t="s">
        <v>408</v>
      </c>
      <c r="B141" s="11" t="s">
        <v>2080</v>
      </c>
      <c r="C141" s="11" t="s">
        <v>1379</v>
      </c>
      <c r="D141" s="11" t="s">
        <v>108</v>
      </c>
      <c r="E141" s="11" t="s">
        <v>3751</v>
      </c>
      <c r="F141" s="11" t="s">
        <v>3662</v>
      </c>
      <c r="G141" s="24" t="s">
        <v>37</v>
      </c>
      <c r="H141" s="24" t="s">
        <v>28</v>
      </c>
      <c r="I141" s="24" t="s">
        <v>61</v>
      </c>
      <c r="J141" s="25" t="s">
        <v>40</v>
      </c>
      <c r="K141" s="31" t="str">
        <f>"177,5"</f>
        <v>177,5</v>
      </c>
      <c r="L141" s="12" t="str">
        <f>"120,0610"</f>
        <v>120,0610</v>
      </c>
      <c r="M141" s="11"/>
    </row>
    <row r="142" spans="1:13">
      <c r="A142" s="12" t="s">
        <v>410</v>
      </c>
      <c r="B142" s="11" t="s">
        <v>2081</v>
      </c>
      <c r="C142" s="11" t="s">
        <v>2082</v>
      </c>
      <c r="D142" s="11" t="s">
        <v>1107</v>
      </c>
      <c r="E142" s="11" t="s">
        <v>3751</v>
      </c>
      <c r="F142" s="11" t="s">
        <v>3597</v>
      </c>
      <c r="G142" s="24" t="s">
        <v>187</v>
      </c>
      <c r="H142" s="24" t="s">
        <v>226</v>
      </c>
      <c r="I142" s="24" t="s">
        <v>2083</v>
      </c>
      <c r="J142" s="25" t="s">
        <v>2084</v>
      </c>
      <c r="K142" s="31" t="str">
        <f>"176,0"</f>
        <v>176,0</v>
      </c>
      <c r="L142" s="12" t="str">
        <f>"118,7824"</f>
        <v>118,7824</v>
      </c>
      <c r="M142" s="11"/>
    </row>
    <row r="143" spans="1:13">
      <c r="A143" s="12" t="s">
        <v>411</v>
      </c>
      <c r="B143" s="11" t="s">
        <v>2085</v>
      </c>
      <c r="C143" s="11" t="s">
        <v>2086</v>
      </c>
      <c r="D143" s="11" t="s">
        <v>2087</v>
      </c>
      <c r="E143" s="11" t="s">
        <v>3751</v>
      </c>
      <c r="F143" s="11" t="s">
        <v>3576</v>
      </c>
      <c r="G143" s="24" t="s">
        <v>36</v>
      </c>
      <c r="H143" s="24" t="s">
        <v>187</v>
      </c>
      <c r="I143" s="24" t="s">
        <v>37</v>
      </c>
      <c r="J143" s="12"/>
      <c r="K143" s="31" t="str">
        <f>"170,0"</f>
        <v>170,0</v>
      </c>
      <c r="L143" s="12" t="str">
        <f>"116,1440"</f>
        <v>116,1440</v>
      </c>
      <c r="M143" s="11" t="s">
        <v>3418</v>
      </c>
    </row>
    <row r="144" spans="1:13">
      <c r="A144" s="12" t="s">
        <v>413</v>
      </c>
      <c r="B144" s="11" t="s">
        <v>2088</v>
      </c>
      <c r="C144" s="11" t="s">
        <v>2089</v>
      </c>
      <c r="D144" s="11" t="s">
        <v>1140</v>
      </c>
      <c r="E144" s="11" t="s">
        <v>3751</v>
      </c>
      <c r="F144" s="11" t="s">
        <v>3531</v>
      </c>
      <c r="G144" s="24" t="s">
        <v>35</v>
      </c>
      <c r="H144" s="24" t="s">
        <v>187</v>
      </c>
      <c r="I144" s="25" t="s">
        <v>37</v>
      </c>
      <c r="J144" s="12"/>
      <c r="K144" s="31" t="str">
        <f>"167,5"</f>
        <v>167,5</v>
      </c>
      <c r="L144" s="12" t="str">
        <f>"113,7325"</f>
        <v>113,7325</v>
      </c>
      <c r="M144" s="11" t="s">
        <v>2090</v>
      </c>
    </row>
    <row r="145" spans="1:13">
      <c r="A145" s="12" t="s">
        <v>414</v>
      </c>
      <c r="B145" s="11" t="s">
        <v>2091</v>
      </c>
      <c r="C145" s="11" t="s">
        <v>2092</v>
      </c>
      <c r="D145" s="11" t="s">
        <v>123</v>
      </c>
      <c r="E145" s="11" t="s">
        <v>3751</v>
      </c>
      <c r="F145" s="11" t="s">
        <v>3509</v>
      </c>
      <c r="G145" s="24" t="s">
        <v>47</v>
      </c>
      <c r="H145" s="24" t="s">
        <v>187</v>
      </c>
      <c r="I145" s="25" t="s">
        <v>226</v>
      </c>
      <c r="J145" s="12"/>
      <c r="K145" s="31" t="str">
        <f>"167,5"</f>
        <v>167,5</v>
      </c>
      <c r="L145" s="12" t="str">
        <f>"112,2083"</f>
        <v>112,2083</v>
      </c>
      <c r="M145" s="11" t="s">
        <v>2093</v>
      </c>
    </row>
    <row r="146" spans="1:13">
      <c r="A146" s="12" t="s">
        <v>415</v>
      </c>
      <c r="B146" s="11" t="s">
        <v>2094</v>
      </c>
      <c r="C146" s="11" t="s">
        <v>2095</v>
      </c>
      <c r="D146" s="11" t="s">
        <v>108</v>
      </c>
      <c r="E146" s="11" t="s">
        <v>3751</v>
      </c>
      <c r="F146" s="11" t="s">
        <v>3587</v>
      </c>
      <c r="G146" s="25" t="s">
        <v>46</v>
      </c>
      <c r="H146" s="24" t="s">
        <v>36</v>
      </c>
      <c r="I146" s="25" t="s">
        <v>187</v>
      </c>
      <c r="J146" s="12"/>
      <c r="K146" s="31" t="str">
        <f>"160,0"</f>
        <v>160,0</v>
      </c>
      <c r="L146" s="12" t="str">
        <f>"108,2240"</f>
        <v>108,2240</v>
      </c>
      <c r="M146" s="11"/>
    </row>
    <row r="147" spans="1:13">
      <c r="A147" s="12" t="s">
        <v>416</v>
      </c>
      <c r="B147" s="11" t="s">
        <v>2096</v>
      </c>
      <c r="C147" s="11" t="s">
        <v>2097</v>
      </c>
      <c r="D147" s="11" t="s">
        <v>131</v>
      </c>
      <c r="E147" s="11" t="s">
        <v>3751</v>
      </c>
      <c r="F147" s="11" t="s">
        <v>3509</v>
      </c>
      <c r="G147" s="24" t="s">
        <v>36</v>
      </c>
      <c r="H147" s="25" t="s">
        <v>187</v>
      </c>
      <c r="I147" s="25" t="s">
        <v>187</v>
      </c>
      <c r="J147" s="12"/>
      <c r="K147" s="31" t="str">
        <f>"160,0"</f>
        <v>160,0</v>
      </c>
      <c r="L147" s="12" t="str">
        <f>"107,5040"</f>
        <v>107,5040</v>
      </c>
      <c r="M147" s="11"/>
    </row>
    <row r="148" spans="1:13">
      <c r="A148" s="12" t="s">
        <v>417</v>
      </c>
      <c r="B148" s="11" t="s">
        <v>2098</v>
      </c>
      <c r="C148" s="11" t="s">
        <v>2099</v>
      </c>
      <c r="D148" s="11" t="s">
        <v>470</v>
      </c>
      <c r="E148" s="11" t="s">
        <v>3751</v>
      </c>
      <c r="F148" s="11" t="s">
        <v>3509</v>
      </c>
      <c r="G148" s="24" t="s">
        <v>84</v>
      </c>
      <c r="H148" s="24" t="s">
        <v>25</v>
      </c>
      <c r="I148" s="24" t="s">
        <v>46</v>
      </c>
      <c r="J148" s="12"/>
      <c r="K148" s="31" t="str">
        <f>"155,0"</f>
        <v>155,0</v>
      </c>
      <c r="L148" s="12" t="str">
        <f>"104,5320"</f>
        <v>104,5320</v>
      </c>
      <c r="M148" s="11"/>
    </row>
    <row r="149" spans="1:13">
      <c r="A149" s="12" t="s">
        <v>1364</v>
      </c>
      <c r="B149" s="11" t="s">
        <v>2100</v>
      </c>
      <c r="C149" s="11" t="s">
        <v>2101</v>
      </c>
      <c r="D149" s="11" t="s">
        <v>655</v>
      </c>
      <c r="E149" s="11" t="s">
        <v>3751</v>
      </c>
      <c r="F149" s="11" t="s">
        <v>3509</v>
      </c>
      <c r="G149" s="25" t="s">
        <v>474</v>
      </c>
      <c r="H149" s="24" t="s">
        <v>25</v>
      </c>
      <c r="I149" s="24" t="s">
        <v>35</v>
      </c>
      <c r="J149" s="12"/>
      <c r="K149" s="31" t="str">
        <f>"150,0"</f>
        <v>150,0</v>
      </c>
      <c r="L149" s="12" t="str">
        <f>"101,6850"</f>
        <v>101,6850</v>
      </c>
      <c r="M149" s="11" t="s">
        <v>1930</v>
      </c>
    </row>
    <row r="150" spans="1:13">
      <c r="A150" s="12" t="s">
        <v>1365</v>
      </c>
      <c r="B150" s="11" t="s">
        <v>2102</v>
      </c>
      <c r="C150" s="11" t="s">
        <v>2103</v>
      </c>
      <c r="D150" s="11" t="s">
        <v>149</v>
      </c>
      <c r="E150" s="11" t="s">
        <v>3751</v>
      </c>
      <c r="F150" s="11" t="s">
        <v>3663</v>
      </c>
      <c r="G150" s="25" t="s">
        <v>25</v>
      </c>
      <c r="H150" s="25" t="s">
        <v>25</v>
      </c>
      <c r="I150" s="24" t="s">
        <v>25</v>
      </c>
      <c r="J150" s="12"/>
      <c r="K150" s="31" t="str">
        <f>"145,0"</f>
        <v>145,0</v>
      </c>
      <c r="L150" s="12" t="str">
        <f>"97,5705"</f>
        <v>97,5705</v>
      </c>
      <c r="M150" s="11"/>
    </row>
    <row r="151" spans="1:13">
      <c r="A151" s="12" t="s">
        <v>1366</v>
      </c>
      <c r="B151" s="11" t="s">
        <v>2104</v>
      </c>
      <c r="C151" s="11" t="s">
        <v>2105</v>
      </c>
      <c r="D151" s="11" t="s">
        <v>655</v>
      </c>
      <c r="E151" s="11" t="s">
        <v>3751</v>
      </c>
      <c r="F151" s="11" t="s">
        <v>3509</v>
      </c>
      <c r="G151" s="24" t="s">
        <v>106</v>
      </c>
      <c r="H151" s="24" t="s">
        <v>84</v>
      </c>
      <c r="I151" s="24" t="s">
        <v>248</v>
      </c>
      <c r="J151" s="12"/>
      <c r="K151" s="31" t="str">
        <f>"142,5"</f>
        <v>142,5</v>
      </c>
      <c r="L151" s="12" t="str">
        <f>"96,6008"</f>
        <v>96,6008</v>
      </c>
      <c r="M151" s="11"/>
    </row>
    <row r="152" spans="1:13">
      <c r="A152" s="12" t="s">
        <v>1367</v>
      </c>
      <c r="B152" s="11" t="s">
        <v>2106</v>
      </c>
      <c r="C152" s="11" t="s">
        <v>2107</v>
      </c>
      <c r="D152" s="11" t="s">
        <v>123</v>
      </c>
      <c r="E152" s="11" t="s">
        <v>3751</v>
      </c>
      <c r="F152" s="11" t="s">
        <v>3579</v>
      </c>
      <c r="G152" s="24" t="s">
        <v>521</v>
      </c>
      <c r="H152" s="25" t="s">
        <v>474</v>
      </c>
      <c r="I152" s="25" t="s">
        <v>248</v>
      </c>
      <c r="J152" s="12"/>
      <c r="K152" s="31" t="str">
        <f>"132,5"</f>
        <v>132,5</v>
      </c>
      <c r="L152" s="12" t="str">
        <f>"88,7618"</f>
        <v>88,7618</v>
      </c>
      <c r="M152" s="11" t="s">
        <v>2108</v>
      </c>
    </row>
    <row r="153" spans="1:13">
      <c r="A153" s="12" t="s">
        <v>1368</v>
      </c>
      <c r="B153" s="11" t="s">
        <v>2109</v>
      </c>
      <c r="C153" s="11" t="s">
        <v>2110</v>
      </c>
      <c r="D153" s="11" t="s">
        <v>1107</v>
      </c>
      <c r="E153" s="11" t="s">
        <v>3751</v>
      </c>
      <c r="F153" s="11" t="s">
        <v>3509</v>
      </c>
      <c r="G153" s="24" t="s">
        <v>132</v>
      </c>
      <c r="H153" s="25" t="s">
        <v>45</v>
      </c>
      <c r="I153" s="25" t="s">
        <v>25</v>
      </c>
      <c r="J153" s="12"/>
      <c r="K153" s="31" t="str">
        <f>"130,0"</f>
        <v>130,0</v>
      </c>
      <c r="L153" s="12" t="str">
        <f>"87,7370"</f>
        <v>87,7370</v>
      </c>
      <c r="M153" s="11" t="s">
        <v>3419</v>
      </c>
    </row>
    <row r="154" spans="1:13">
      <c r="A154" s="12" t="s">
        <v>1369</v>
      </c>
      <c r="B154" s="11" t="s">
        <v>2111</v>
      </c>
      <c r="C154" s="11" t="s">
        <v>2112</v>
      </c>
      <c r="D154" s="11" t="s">
        <v>1091</v>
      </c>
      <c r="E154" s="11" t="s">
        <v>3751</v>
      </c>
      <c r="F154" s="11" t="s">
        <v>3575</v>
      </c>
      <c r="G154" s="24" t="s">
        <v>79</v>
      </c>
      <c r="H154" s="25" t="s">
        <v>451</v>
      </c>
      <c r="I154" s="24" t="s">
        <v>77</v>
      </c>
      <c r="J154" s="12"/>
      <c r="K154" s="31" t="str">
        <f>"125,0"</f>
        <v>125,0</v>
      </c>
      <c r="L154" s="12" t="str">
        <f>"87,2625"</f>
        <v>87,2625</v>
      </c>
      <c r="M154" s="11"/>
    </row>
    <row r="155" spans="1:13">
      <c r="A155" s="12" t="s">
        <v>1370</v>
      </c>
      <c r="B155" s="11" t="s">
        <v>2113</v>
      </c>
      <c r="C155" s="11" t="s">
        <v>2114</v>
      </c>
      <c r="D155" s="11" t="s">
        <v>2115</v>
      </c>
      <c r="E155" s="11" t="s">
        <v>3751</v>
      </c>
      <c r="F155" s="11" t="s">
        <v>3509</v>
      </c>
      <c r="G155" s="24" t="s">
        <v>106</v>
      </c>
      <c r="H155" s="24" t="s">
        <v>78</v>
      </c>
      <c r="I155" s="24" t="s">
        <v>451</v>
      </c>
      <c r="J155" s="12"/>
      <c r="K155" s="31" t="str">
        <f>"122,5"</f>
        <v>122,5</v>
      </c>
      <c r="L155" s="12" t="str">
        <f>"84,0350"</f>
        <v>84,0350</v>
      </c>
      <c r="M155" s="11"/>
    </row>
    <row r="156" spans="1:13">
      <c r="A156" s="12" t="s">
        <v>412</v>
      </c>
      <c r="B156" s="11" t="s">
        <v>1533</v>
      </c>
      <c r="C156" s="11" t="s">
        <v>1534</v>
      </c>
      <c r="D156" s="11" t="s">
        <v>1140</v>
      </c>
      <c r="E156" s="11" t="s">
        <v>3751</v>
      </c>
      <c r="F156" s="11" t="s">
        <v>199</v>
      </c>
      <c r="G156" s="25" t="s">
        <v>47</v>
      </c>
      <c r="H156" s="25" t="s">
        <v>187</v>
      </c>
      <c r="I156" s="25" t="s">
        <v>187</v>
      </c>
      <c r="J156" s="12"/>
      <c r="K156" s="31">
        <v>0</v>
      </c>
      <c r="L156" s="12" t="str">
        <f>"0,0000"</f>
        <v>0,0000</v>
      </c>
      <c r="M156" s="11" t="s">
        <v>1535</v>
      </c>
    </row>
    <row r="157" spans="1:13">
      <c r="A157" s="12" t="s">
        <v>412</v>
      </c>
      <c r="B157" s="11" t="s">
        <v>2116</v>
      </c>
      <c r="C157" s="11" t="s">
        <v>2117</v>
      </c>
      <c r="D157" s="11" t="s">
        <v>470</v>
      </c>
      <c r="E157" s="11" t="s">
        <v>3751</v>
      </c>
      <c r="F157" s="11" t="s">
        <v>3509</v>
      </c>
      <c r="G157" s="25" t="s">
        <v>69</v>
      </c>
      <c r="H157" s="25" t="s">
        <v>69</v>
      </c>
      <c r="I157" s="25" t="s">
        <v>69</v>
      </c>
      <c r="J157" s="12"/>
      <c r="K157" s="31">
        <v>0</v>
      </c>
      <c r="L157" s="12" t="str">
        <f>"0,0000"</f>
        <v>0,0000</v>
      </c>
      <c r="M157" s="11" t="s">
        <v>2118</v>
      </c>
    </row>
    <row r="158" spans="1:13">
      <c r="A158" s="12" t="s">
        <v>412</v>
      </c>
      <c r="B158" s="11" t="s">
        <v>2119</v>
      </c>
      <c r="C158" s="11" t="s">
        <v>2120</v>
      </c>
      <c r="D158" s="11" t="s">
        <v>1144</v>
      </c>
      <c r="E158" s="11" t="s">
        <v>3751</v>
      </c>
      <c r="F158" s="11" t="s">
        <v>3630</v>
      </c>
      <c r="G158" s="25" t="s">
        <v>29</v>
      </c>
      <c r="H158" s="25" t="s">
        <v>29</v>
      </c>
      <c r="I158" s="25" t="s">
        <v>29</v>
      </c>
      <c r="J158" s="12"/>
      <c r="K158" s="31">
        <v>0</v>
      </c>
      <c r="L158" s="12" t="str">
        <f>"0,0000"</f>
        <v>0,0000</v>
      </c>
      <c r="M158" s="11"/>
    </row>
    <row r="159" spans="1:13">
      <c r="A159" s="12" t="s">
        <v>408</v>
      </c>
      <c r="B159" s="11" t="s">
        <v>2080</v>
      </c>
      <c r="C159" s="11" t="s">
        <v>1381</v>
      </c>
      <c r="D159" s="11" t="s">
        <v>108</v>
      </c>
      <c r="E159" s="11" t="s">
        <v>3753</v>
      </c>
      <c r="F159" s="11" t="s">
        <v>3662</v>
      </c>
      <c r="G159" s="24" t="s">
        <v>37</v>
      </c>
      <c r="H159" s="24" t="s">
        <v>28</v>
      </c>
      <c r="I159" s="24" t="s">
        <v>61</v>
      </c>
      <c r="J159" s="25" t="s">
        <v>40</v>
      </c>
      <c r="K159" s="31" t="str">
        <f>"177,5"</f>
        <v>177,5</v>
      </c>
      <c r="L159" s="12" t="str">
        <f>"123,4227"</f>
        <v>123,4227</v>
      </c>
      <c r="M159" s="11"/>
    </row>
    <row r="160" spans="1:13">
      <c r="A160" s="12" t="s">
        <v>410</v>
      </c>
      <c r="B160" s="11" t="s">
        <v>2081</v>
      </c>
      <c r="C160" s="11" t="s">
        <v>2121</v>
      </c>
      <c r="D160" s="11" t="s">
        <v>1107</v>
      </c>
      <c r="E160" s="11" t="s">
        <v>3753</v>
      </c>
      <c r="F160" s="11" t="s">
        <v>3597</v>
      </c>
      <c r="G160" s="24" t="s">
        <v>187</v>
      </c>
      <c r="H160" s="24" t="s">
        <v>226</v>
      </c>
      <c r="I160" s="24" t="s">
        <v>2083</v>
      </c>
      <c r="J160" s="25" t="s">
        <v>2084</v>
      </c>
      <c r="K160" s="31" t="str">
        <f>"176,0"</f>
        <v>176,0</v>
      </c>
      <c r="L160" s="12" t="str">
        <f>"119,3763"</f>
        <v>119,3763</v>
      </c>
      <c r="M160" s="11"/>
    </row>
    <row r="161" spans="1:13">
      <c r="A161" s="12" t="s">
        <v>411</v>
      </c>
      <c r="B161" s="11" t="s">
        <v>2122</v>
      </c>
      <c r="C161" s="11" t="s">
        <v>2123</v>
      </c>
      <c r="D161" s="11" t="s">
        <v>108</v>
      </c>
      <c r="E161" s="11" t="s">
        <v>3753</v>
      </c>
      <c r="F161" s="11" t="s">
        <v>3509</v>
      </c>
      <c r="G161" s="24" t="s">
        <v>35</v>
      </c>
      <c r="H161" s="25" t="s">
        <v>46</v>
      </c>
      <c r="I161" s="25" t="s">
        <v>46</v>
      </c>
      <c r="J161" s="12"/>
      <c r="K161" s="31" t="str">
        <f>"150,0"</f>
        <v>150,0</v>
      </c>
      <c r="L161" s="12" t="str">
        <f>"101,4600"</f>
        <v>101,4600</v>
      </c>
      <c r="M161" s="11"/>
    </row>
    <row r="162" spans="1:13">
      <c r="A162" s="12" t="s">
        <v>413</v>
      </c>
      <c r="B162" s="11" t="s">
        <v>2124</v>
      </c>
      <c r="C162" s="11" t="s">
        <v>2125</v>
      </c>
      <c r="D162" s="11" t="s">
        <v>65</v>
      </c>
      <c r="E162" s="11" t="s">
        <v>3753</v>
      </c>
      <c r="F162" s="11" t="s">
        <v>3664</v>
      </c>
      <c r="G162" s="25" t="s">
        <v>132</v>
      </c>
      <c r="H162" s="24" t="s">
        <v>132</v>
      </c>
      <c r="I162" s="25" t="s">
        <v>25</v>
      </c>
      <c r="J162" s="12"/>
      <c r="K162" s="31" t="str">
        <f>"130,0"</f>
        <v>130,0</v>
      </c>
      <c r="L162" s="12" t="str">
        <f>"88,4000"</f>
        <v>88,4000</v>
      </c>
      <c r="M162" s="11" t="s">
        <v>2126</v>
      </c>
    </row>
    <row r="163" spans="1:13">
      <c r="A163" s="12" t="s">
        <v>414</v>
      </c>
      <c r="B163" s="11" t="s">
        <v>2127</v>
      </c>
      <c r="C163" s="11" t="s">
        <v>2128</v>
      </c>
      <c r="D163" s="11" t="s">
        <v>118</v>
      </c>
      <c r="E163" s="11" t="s">
        <v>3753</v>
      </c>
      <c r="F163" s="11" t="s">
        <v>3509</v>
      </c>
      <c r="G163" s="24" t="s">
        <v>76</v>
      </c>
      <c r="H163" s="25" t="s">
        <v>84</v>
      </c>
      <c r="I163" s="24" t="s">
        <v>84</v>
      </c>
      <c r="J163" s="12"/>
      <c r="K163" s="31" t="str">
        <f>"127,5"</f>
        <v>127,5</v>
      </c>
      <c r="L163" s="12" t="str">
        <f>"85,9223"</f>
        <v>85,9223</v>
      </c>
      <c r="M163" s="11" t="s">
        <v>2212</v>
      </c>
    </row>
    <row r="164" spans="1:13">
      <c r="A164" s="12" t="s">
        <v>415</v>
      </c>
      <c r="B164" s="11" t="s">
        <v>2129</v>
      </c>
      <c r="C164" s="11" t="s">
        <v>2130</v>
      </c>
      <c r="D164" s="11" t="s">
        <v>2131</v>
      </c>
      <c r="E164" s="11" t="s">
        <v>3753</v>
      </c>
      <c r="F164" s="11" t="s">
        <v>3665</v>
      </c>
      <c r="G164" s="24" t="s">
        <v>78</v>
      </c>
      <c r="H164" s="25" t="s">
        <v>84</v>
      </c>
      <c r="I164" s="25" t="s">
        <v>84</v>
      </c>
      <c r="J164" s="12"/>
      <c r="K164" s="31" t="str">
        <f>"115,0"</f>
        <v>115,0</v>
      </c>
      <c r="L164" s="12" t="str">
        <f>"80,3305"</f>
        <v>80,3305</v>
      </c>
      <c r="M164" s="11" t="s">
        <v>1413</v>
      </c>
    </row>
    <row r="165" spans="1:13">
      <c r="A165" s="12" t="s">
        <v>412</v>
      </c>
      <c r="B165" s="11" t="s">
        <v>2132</v>
      </c>
      <c r="C165" s="11" t="s">
        <v>2133</v>
      </c>
      <c r="D165" s="11" t="s">
        <v>2134</v>
      </c>
      <c r="E165" s="11" t="s">
        <v>3753</v>
      </c>
      <c r="F165" s="11" t="s">
        <v>3509</v>
      </c>
      <c r="G165" s="25" t="s">
        <v>35</v>
      </c>
      <c r="H165" s="25" t="s">
        <v>35</v>
      </c>
      <c r="I165" s="25" t="s">
        <v>35</v>
      </c>
      <c r="J165" s="12"/>
      <c r="K165" s="31">
        <v>0</v>
      </c>
      <c r="L165" s="12" t="str">
        <f>"0,0000"</f>
        <v>0,0000</v>
      </c>
      <c r="M165" s="11" t="s">
        <v>2135</v>
      </c>
    </row>
    <row r="166" spans="1:13">
      <c r="A166" s="12" t="s">
        <v>412</v>
      </c>
      <c r="B166" s="11" t="s">
        <v>2119</v>
      </c>
      <c r="C166" s="11" t="s">
        <v>2136</v>
      </c>
      <c r="D166" s="11" t="s">
        <v>1144</v>
      </c>
      <c r="E166" s="11" t="s">
        <v>3753</v>
      </c>
      <c r="F166" s="11" t="s">
        <v>3630</v>
      </c>
      <c r="G166" s="25" t="s">
        <v>29</v>
      </c>
      <c r="H166" s="25" t="s">
        <v>29</v>
      </c>
      <c r="I166" s="25" t="s">
        <v>29</v>
      </c>
      <c r="J166" s="12"/>
      <c r="K166" s="31">
        <v>0</v>
      </c>
      <c r="L166" s="12" t="str">
        <f>"0,0000"</f>
        <v>0,0000</v>
      </c>
      <c r="M166" s="11"/>
    </row>
    <row r="167" spans="1:13">
      <c r="A167" s="12" t="s">
        <v>408</v>
      </c>
      <c r="B167" s="11" t="s">
        <v>2137</v>
      </c>
      <c r="C167" s="11" t="s">
        <v>2138</v>
      </c>
      <c r="D167" s="11" t="s">
        <v>131</v>
      </c>
      <c r="E167" s="11" t="s">
        <v>3756</v>
      </c>
      <c r="F167" s="11" t="s">
        <v>3609</v>
      </c>
      <c r="G167" s="24" t="s">
        <v>35</v>
      </c>
      <c r="H167" s="24" t="s">
        <v>36</v>
      </c>
      <c r="I167" s="24" t="s">
        <v>187</v>
      </c>
      <c r="J167" s="12"/>
      <c r="K167" s="31" t="str">
        <f>"167,5"</f>
        <v>167,5</v>
      </c>
      <c r="L167" s="12" t="str">
        <f>"151,9334"</f>
        <v>151,9334</v>
      </c>
      <c r="M167" s="11"/>
    </row>
    <row r="168" spans="1:13">
      <c r="A168" s="12" t="s">
        <v>410</v>
      </c>
      <c r="B168" s="11" t="s">
        <v>2139</v>
      </c>
      <c r="C168" s="11" t="s">
        <v>2140</v>
      </c>
      <c r="D168" s="11" t="s">
        <v>470</v>
      </c>
      <c r="E168" s="11" t="s">
        <v>3756</v>
      </c>
      <c r="F168" s="11" t="s">
        <v>3562</v>
      </c>
      <c r="G168" s="24" t="s">
        <v>25</v>
      </c>
      <c r="H168" s="24" t="s">
        <v>26</v>
      </c>
      <c r="I168" s="25" t="s">
        <v>494</v>
      </c>
      <c r="J168" s="12"/>
      <c r="K168" s="31" t="str">
        <f>"152,5"</f>
        <v>152,5</v>
      </c>
      <c r="L168" s="12" t="str">
        <f>"118,2729"</f>
        <v>118,2729</v>
      </c>
      <c r="M168" s="11"/>
    </row>
    <row r="169" spans="1:13">
      <c r="A169" s="12" t="s">
        <v>411</v>
      </c>
      <c r="B169" s="11" t="s">
        <v>2141</v>
      </c>
      <c r="C169" s="11" t="s">
        <v>2142</v>
      </c>
      <c r="D169" s="11" t="s">
        <v>2143</v>
      </c>
      <c r="E169" s="11" t="s">
        <v>3756</v>
      </c>
      <c r="F169" s="11" t="s">
        <v>3666</v>
      </c>
      <c r="G169" s="24" t="s">
        <v>85</v>
      </c>
      <c r="H169" s="24" t="s">
        <v>45</v>
      </c>
      <c r="I169" s="25" t="s">
        <v>25</v>
      </c>
      <c r="J169" s="12"/>
      <c r="K169" s="31" t="str">
        <f>"140,0"</f>
        <v>140,0</v>
      </c>
      <c r="L169" s="12" t="str">
        <f>"130,6850"</f>
        <v>130,6850</v>
      </c>
      <c r="M169" s="11" t="s">
        <v>2144</v>
      </c>
    </row>
    <row r="170" spans="1:13">
      <c r="A170" s="12" t="s">
        <v>408</v>
      </c>
      <c r="B170" s="11" t="s">
        <v>2145</v>
      </c>
      <c r="C170" s="11" t="s">
        <v>2146</v>
      </c>
      <c r="D170" s="11" t="s">
        <v>481</v>
      </c>
      <c r="E170" s="11" t="s">
        <v>3757</v>
      </c>
      <c r="F170" s="11" t="s">
        <v>3509</v>
      </c>
      <c r="G170" s="24" t="s">
        <v>521</v>
      </c>
      <c r="H170" s="24" t="s">
        <v>474</v>
      </c>
      <c r="I170" s="25" t="s">
        <v>45</v>
      </c>
      <c r="J170" s="12"/>
      <c r="K170" s="31" t="str">
        <f>"137,5"</f>
        <v>137,5</v>
      </c>
      <c r="L170" s="12" t="str">
        <f>"143,5674"</f>
        <v>143,5674</v>
      </c>
      <c r="M170" s="11"/>
    </row>
    <row r="171" spans="1:13">
      <c r="A171" s="12" t="s">
        <v>410</v>
      </c>
      <c r="B171" s="11" t="s">
        <v>2147</v>
      </c>
      <c r="C171" s="11" t="s">
        <v>2148</v>
      </c>
      <c r="D171" s="11" t="s">
        <v>1094</v>
      </c>
      <c r="E171" s="11" t="s">
        <v>3757</v>
      </c>
      <c r="F171" s="11" t="s">
        <v>3512</v>
      </c>
      <c r="G171" s="24" t="s">
        <v>106</v>
      </c>
      <c r="H171" s="24" t="s">
        <v>78</v>
      </c>
      <c r="I171" s="25" t="s">
        <v>76</v>
      </c>
      <c r="J171" s="12"/>
      <c r="K171" s="31" t="str">
        <f>"115,0"</f>
        <v>115,0</v>
      </c>
      <c r="L171" s="12" t="str">
        <f>"113,0551"</f>
        <v>113,0551</v>
      </c>
      <c r="M171" s="11" t="s">
        <v>1890</v>
      </c>
    </row>
    <row r="172" spans="1:13">
      <c r="A172" s="14" t="s">
        <v>408</v>
      </c>
      <c r="B172" s="13" t="s">
        <v>2149</v>
      </c>
      <c r="C172" s="13" t="s">
        <v>2150</v>
      </c>
      <c r="D172" s="13" t="s">
        <v>1116</v>
      </c>
      <c r="E172" s="13" t="s">
        <v>3759</v>
      </c>
      <c r="F172" s="13" t="s">
        <v>3667</v>
      </c>
      <c r="G172" s="26" t="s">
        <v>76</v>
      </c>
      <c r="H172" s="26" t="s">
        <v>77</v>
      </c>
      <c r="I172" s="27" t="s">
        <v>132</v>
      </c>
      <c r="J172" s="14"/>
      <c r="K172" s="32" t="str">
        <f>"125,0"</f>
        <v>125,0</v>
      </c>
      <c r="L172" s="14" t="str">
        <f>"177,3660"</f>
        <v>177,3660</v>
      </c>
      <c r="M172" s="13"/>
    </row>
    <row r="173" spans="1:13">
      <c r="B173" s="5" t="s">
        <v>409</v>
      </c>
    </row>
    <row r="174" spans="1:13" ht="16">
      <c r="A174" s="57" t="s">
        <v>150</v>
      </c>
      <c r="B174" s="57"/>
      <c r="C174" s="57"/>
      <c r="D174" s="57"/>
      <c r="E174" s="57"/>
      <c r="F174" s="57"/>
      <c r="G174" s="57"/>
      <c r="H174" s="57"/>
      <c r="I174" s="57"/>
      <c r="J174" s="57"/>
    </row>
    <row r="175" spans="1:13">
      <c r="A175" s="10" t="s">
        <v>408</v>
      </c>
      <c r="B175" s="9" t="s">
        <v>2151</v>
      </c>
      <c r="C175" s="9" t="s">
        <v>2152</v>
      </c>
      <c r="D175" s="9" t="s">
        <v>1585</v>
      </c>
      <c r="E175" s="9" t="s">
        <v>3755</v>
      </c>
      <c r="F175" s="9" t="s">
        <v>3651</v>
      </c>
      <c r="G175" s="23" t="s">
        <v>428</v>
      </c>
      <c r="H175" s="22" t="s">
        <v>54</v>
      </c>
      <c r="I175" s="22" t="s">
        <v>54</v>
      </c>
      <c r="J175" s="10"/>
      <c r="K175" s="30" t="str">
        <f>"102,5"</f>
        <v>102,5</v>
      </c>
      <c r="L175" s="10" t="str">
        <f>"66,6558"</f>
        <v>66,6558</v>
      </c>
      <c r="M175" s="9" t="s">
        <v>1971</v>
      </c>
    </row>
    <row r="176" spans="1:13">
      <c r="A176" s="12" t="s">
        <v>410</v>
      </c>
      <c r="B176" s="11" t="s">
        <v>2153</v>
      </c>
      <c r="C176" s="11" t="s">
        <v>2154</v>
      </c>
      <c r="D176" s="11" t="s">
        <v>2155</v>
      </c>
      <c r="E176" s="11" t="s">
        <v>3755</v>
      </c>
      <c r="F176" s="11" t="s">
        <v>3668</v>
      </c>
      <c r="G176" s="24" t="s">
        <v>53</v>
      </c>
      <c r="H176" s="24" t="s">
        <v>13</v>
      </c>
      <c r="I176" s="24" t="s">
        <v>591</v>
      </c>
      <c r="J176" s="12"/>
      <c r="K176" s="31" t="str">
        <f>"67,5"</f>
        <v>67,5</v>
      </c>
      <c r="L176" s="12" t="str">
        <f>"45,1508"</f>
        <v>45,1508</v>
      </c>
      <c r="M176" s="11" t="s">
        <v>1976</v>
      </c>
    </row>
    <row r="177" spans="1:13">
      <c r="A177" s="12" t="s">
        <v>411</v>
      </c>
      <c r="B177" s="11" t="s">
        <v>2156</v>
      </c>
      <c r="C177" s="11" t="s">
        <v>2157</v>
      </c>
      <c r="D177" s="11" t="s">
        <v>2155</v>
      </c>
      <c r="E177" s="11" t="s">
        <v>3755</v>
      </c>
      <c r="F177" s="11" t="s">
        <v>3509</v>
      </c>
      <c r="G177" s="24" t="s">
        <v>52</v>
      </c>
      <c r="H177" s="24" t="s">
        <v>53</v>
      </c>
      <c r="I177" s="24" t="s">
        <v>855</v>
      </c>
      <c r="J177" s="12"/>
      <c r="K177" s="31" t="str">
        <f>"62,5"</f>
        <v>62,5</v>
      </c>
      <c r="L177" s="12" t="str">
        <f>"41,8063"</f>
        <v>41,8063</v>
      </c>
      <c r="M177" s="11" t="s">
        <v>2158</v>
      </c>
    </row>
    <row r="178" spans="1:13">
      <c r="A178" s="12" t="s">
        <v>408</v>
      </c>
      <c r="B178" s="11" t="s">
        <v>2159</v>
      </c>
      <c r="C178" s="11" t="s">
        <v>2160</v>
      </c>
      <c r="D178" s="11" t="s">
        <v>191</v>
      </c>
      <c r="E178" s="11" t="s">
        <v>3752</v>
      </c>
      <c r="F178" s="11" t="s">
        <v>3642</v>
      </c>
      <c r="G178" s="25" t="s">
        <v>253</v>
      </c>
      <c r="H178" s="24" t="s">
        <v>253</v>
      </c>
      <c r="I178" s="25" t="s">
        <v>26</v>
      </c>
      <c r="J178" s="12"/>
      <c r="K178" s="31" t="str">
        <f>"147,5"</f>
        <v>147,5</v>
      </c>
      <c r="L178" s="12" t="str">
        <f>"94,7540"</f>
        <v>94,7540</v>
      </c>
      <c r="M178" s="11" t="s">
        <v>3411</v>
      </c>
    </row>
    <row r="179" spans="1:13">
      <c r="A179" s="12" t="s">
        <v>408</v>
      </c>
      <c r="B179" s="11" t="s">
        <v>2161</v>
      </c>
      <c r="C179" s="11" t="s">
        <v>2162</v>
      </c>
      <c r="D179" s="11" t="s">
        <v>683</v>
      </c>
      <c r="E179" s="11" t="s">
        <v>3754</v>
      </c>
      <c r="F179" s="11" t="s">
        <v>3669</v>
      </c>
      <c r="G179" s="24" t="s">
        <v>25</v>
      </c>
      <c r="H179" s="25" t="s">
        <v>26</v>
      </c>
      <c r="I179" s="24" t="s">
        <v>26</v>
      </c>
      <c r="J179" s="12"/>
      <c r="K179" s="31" t="str">
        <f>"152,5"</f>
        <v>152,5</v>
      </c>
      <c r="L179" s="12" t="str">
        <f>"98,1490"</f>
        <v>98,1490</v>
      </c>
      <c r="M179" s="11" t="s">
        <v>3420</v>
      </c>
    </row>
    <row r="180" spans="1:13">
      <c r="A180" s="12" t="s">
        <v>410</v>
      </c>
      <c r="B180" s="11" t="s">
        <v>2163</v>
      </c>
      <c r="C180" s="11" t="s">
        <v>2164</v>
      </c>
      <c r="D180" s="11" t="s">
        <v>690</v>
      </c>
      <c r="E180" s="11" t="s">
        <v>3754</v>
      </c>
      <c r="F180" s="11" t="s">
        <v>3518</v>
      </c>
      <c r="G180" s="25" t="s">
        <v>25</v>
      </c>
      <c r="H180" s="24" t="s">
        <v>25</v>
      </c>
      <c r="I180" s="25" t="s">
        <v>26</v>
      </c>
      <c r="J180" s="12"/>
      <c r="K180" s="31" t="str">
        <f>"145,0"</f>
        <v>145,0</v>
      </c>
      <c r="L180" s="12" t="str">
        <f>"93,9455"</f>
        <v>93,9455</v>
      </c>
      <c r="M180" s="11" t="s">
        <v>3421</v>
      </c>
    </row>
    <row r="181" spans="1:13">
      <c r="A181" s="12" t="s">
        <v>411</v>
      </c>
      <c r="B181" s="11" t="s">
        <v>2165</v>
      </c>
      <c r="C181" s="11" t="s">
        <v>2166</v>
      </c>
      <c r="D181" s="11" t="s">
        <v>1602</v>
      </c>
      <c r="E181" s="11" t="s">
        <v>3754</v>
      </c>
      <c r="F181" s="11" t="s">
        <v>3509</v>
      </c>
      <c r="G181" s="24" t="s">
        <v>54</v>
      </c>
      <c r="H181" s="24" t="s">
        <v>597</v>
      </c>
      <c r="I181" s="25" t="s">
        <v>79</v>
      </c>
      <c r="J181" s="12"/>
      <c r="K181" s="31" t="str">
        <f>"112,5"</f>
        <v>112,5</v>
      </c>
      <c r="L181" s="12" t="str">
        <f>"73,8225"</f>
        <v>73,8225</v>
      </c>
      <c r="M181" s="11" t="s">
        <v>3228</v>
      </c>
    </row>
    <row r="182" spans="1:13">
      <c r="A182" s="12" t="s">
        <v>412</v>
      </c>
      <c r="B182" s="11" t="s">
        <v>2167</v>
      </c>
      <c r="C182" s="11" t="s">
        <v>2168</v>
      </c>
      <c r="D182" s="11" t="s">
        <v>1199</v>
      </c>
      <c r="E182" s="11" t="s">
        <v>3754</v>
      </c>
      <c r="F182" s="11" t="s">
        <v>3670</v>
      </c>
      <c r="G182" s="25" t="s">
        <v>248</v>
      </c>
      <c r="H182" s="25" t="s">
        <v>248</v>
      </c>
      <c r="I182" s="25" t="s">
        <v>248</v>
      </c>
      <c r="J182" s="12"/>
      <c r="K182" s="31">
        <v>0</v>
      </c>
      <c r="L182" s="12" t="str">
        <f>"0,0000"</f>
        <v>0,0000</v>
      </c>
      <c r="M182" s="11" t="s">
        <v>2169</v>
      </c>
    </row>
    <row r="183" spans="1:13">
      <c r="A183" s="12" t="s">
        <v>408</v>
      </c>
      <c r="B183" s="11" t="s">
        <v>2170</v>
      </c>
      <c r="C183" s="11" t="s">
        <v>2171</v>
      </c>
      <c r="D183" s="11" t="s">
        <v>191</v>
      </c>
      <c r="E183" s="11" t="s">
        <v>3751</v>
      </c>
      <c r="F183" s="11" t="s">
        <v>3509</v>
      </c>
      <c r="G183" s="24" t="s">
        <v>66</v>
      </c>
      <c r="H183" s="24" t="s">
        <v>67</v>
      </c>
      <c r="I183" s="25" t="s">
        <v>83</v>
      </c>
      <c r="J183" s="12"/>
      <c r="K183" s="31" t="str">
        <f>"205,0"</f>
        <v>205,0</v>
      </c>
      <c r="L183" s="12" t="str">
        <f>"131,6920"</f>
        <v>131,6920</v>
      </c>
      <c r="M183" s="11" t="s">
        <v>1897</v>
      </c>
    </row>
    <row r="184" spans="1:13">
      <c r="A184" s="12" t="s">
        <v>410</v>
      </c>
      <c r="B184" s="11" t="s">
        <v>2172</v>
      </c>
      <c r="C184" s="11" t="s">
        <v>976</v>
      </c>
      <c r="D184" s="11" t="s">
        <v>1178</v>
      </c>
      <c r="E184" s="11" t="s">
        <v>3751</v>
      </c>
      <c r="F184" s="11" t="s">
        <v>3671</v>
      </c>
      <c r="G184" s="24" t="s">
        <v>29</v>
      </c>
      <c r="H184" s="24" t="s">
        <v>66</v>
      </c>
      <c r="I184" s="24" t="s">
        <v>92</v>
      </c>
      <c r="J184" s="12"/>
      <c r="K184" s="31" t="str">
        <f>"202,5"</f>
        <v>202,5</v>
      </c>
      <c r="L184" s="12" t="str">
        <f>"130,7138"</f>
        <v>130,7138</v>
      </c>
      <c r="M184" s="11" t="s">
        <v>3422</v>
      </c>
    </row>
    <row r="185" spans="1:13">
      <c r="A185" s="12" t="s">
        <v>411</v>
      </c>
      <c r="B185" s="11" t="s">
        <v>2173</v>
      </c>
      <c r="C185" s="11" t="s">
        <v>2174</v>
      </c>
      <c r="D185" s="11" t="s">
        <v>1549</v>
      </c>
      <c r="E185" s="11" t="s">
        <v>3751</v>
      </c>
      <c r="F185" s="11" t="s">
        <v>3672</v>
      </c>
      <c r="G185" s="24" t="s">
        <v>596</v>
      </c>
      <c r="H185" s="24" t="s">
        <v>66</v>
      </c>
      <c r="I185" s="24" t="s">
        <v>92</v>
      </c>
      <c r="J185" s="12"/>
      <c r="K185" s="31" t="str">
        <f>"202,5"</f>
        <v>202,5</v>
      </c>
      <c r="L185" s="12" t="str">
        <f>"129,3570"</f>
        <v>129,3570</v>
      </c>
      <c r="M185" s="11" t="s">
        <v>2175</v>
      </c>
    </row>
    <row r="186" spans="1:13">
      <c r="A186" s="12" t="s">
        <v>413</v>
      </c>
      <c r="B186" s="11" t="s">
        <v>2176</v>
      </c>
      <c r="C186" s="11" t="s">
        <v>2177</v>
      </c>
      <c r="D186" s="11" t="s">
        <v>1199</v>
      </c>
      <c r="E186" s="11" t="s">
        <v>3751</v>
      </c>
      <c r="F186" s="11" t="s">
        <v>3510</v>
      </c>
      <c r="G186" s="24" t="s">
        <v>28</v>
      </c>
      <c r="H186" s="24" t="s">
        <v>113</v>
      </c>
      <c r="I186" s="25" t="s">
        <v>29</v>
      </c>
      <c r="J186" s="12"/>
      <c r="K186" s="31" t="str">
        <f>"182,5"</f>
        <v>182,5</v>
      </c>
      <c r="L186" s="12" t="str">
        <f>"117,1103"</f>
        <v>117,1103</v>
      </c>
      <c r="M186" s="11" t="s">
        <v>2178</v>
      </c>
    </row>
    <row r="187" spans="1:13">
      <c r="A187" s="12" t="s">
        <v>414</v>
      </c>
      <c r="B187" s="11" t="s">
        <v>2179</v>
      </c>
      <c r="C187" s="11" t="s">
        <v>2180</v>
      </c>
      <c r="D187" s="11" t="s">
        <v>1192</v>
      </c>
      <c r="E187" s="11" t="s">
        <v>3751</v>
      </c>
      <c r="F187" s="11" t="s">
        <v>3538</v>
      </c>
      <c r="G187" s="24" t="s">
        <v>28</v>
      </c>
      <c r="H187" s="25" t="s">
        <v>40</v>
      </c>
      <c r="I187" s="25" t="s">
        <v>40</v>
      </c>
      <c r="J187" s="12"/>
      <c r="K187" s="31" t="str">
        <f>"175,0"</f>
        <v>175,0</v>
      </c>
      <c r="L187" s="12" t="str">
        <f>"112,5600"</f>
        <v>112,5600</v>
      </c>
      <c r="M187" s="11" t="s">
        <v>2181</v>
      </c>
    </row>
    <row r="188" spans="1:13">
      <c r="A188" s="12" t="s">
        <v>415</v>
      </c>
      <c r="B188" s="11" t="s">
        <v>2182</v>
      </c>
      <c r="C188" s="11" t="s">
        <v>1266</v>
      </c>
      <c r="D188" s="11" t="s">
        <v>489</v>
      </c>
      <c r="E188" s="11" t="s">
        <v>3751</v>
      </c>
      <c r="F188" s="11" t="s">
        <v>3673</v>
      </c>
      <c r="G188" s="24" t="s">
        <v>28</v>
      </c>
      <c r="H188" s="25" t="s">
        <v>40</v>
      </c>
      <c r="I188" s="25" t="s">
        <v>40</v>
      </c>
      <c r="J188" s="12"/>
      <c r="K188" s="31" t="str">
        <f>"175,0"</f>
        <v>175,0</v>
      </c>
      <c r="L188" s="12" t="str">
        <f>"111,9650"</f>
        <v>111,9650</v>
      </c>
      <c r="M188" s="11"/>
    </row>
    <row r="189" spans="1:13">
      <c r="A189" s="12" t="s">
        <v>416</v>
      </c>
      <c r="B189" s="11" t="s">
        <v>2183</v>
      </c>
      <c r="C189" s="11" t="s">
        <v>2184</v>
      </c>
      <c r="D189" s="11" t="s">
        <v>1562</v>
      </c>
      <c r="E189" s="11" t="s">
        <v>3751</v>
      </c>
      <c r="F189" s="11" t="s">
        <v>3509</v>
      </c>
      <c r="G189" s="24" t="s">
        <v>59</v>
      </c>
      <c r="H189" s="24" t="s">
        <v>226</v>
      </c>
      <c r="I189" s="25" t="s">
        <v>61</v>
      </c>
      <c r="J189" s="12"/>
      <c r="K189" s="31" t="str">
        <f>"172,5"</f>
        <v>172,5</v>
      </c>
      <c r="L189" s="12" t="str">
        <f>"110,5725"</f>
        <v>110,5725</v>
      </c>
      <c r="M189" s="11"/>
    </row>
    <row r="190" spans="1:13">
      <c r="A190" s="12" t="s">
        <v>417</v>
      </c>
      <c r="B190" s="11" t="s">
        <v>2185</v>
      </c>
      <c r="C190" s="11" t="s">
        <v>2186</v>
      </c>
      <c r="D190" s="11" t="s">
        <v>704</v>
      </c>
      <c r="E190" s="11" t="s">
        <v>3751</v>
      </c>
      <c r="F190" s="11" t="s">
        <v>3564</v>
      </c>
      <c r="G190" s="24" t="s">
        <v>36</v>
      </c>
      <c r="H190" s="24" t="s">
        <v>37</v>
      </c>
      <c r="I190" s="25" t="s">
        <v>226</v>
      </c>
      <c r="J190" s="12"/>
      <c r="K190" s="31" t="str">
        <f>"170,0"</f>
        <v>170,0</v>
      </c>
      <c r="L190" s="12" t="str">
        <f>"110,0070"</f>
        <v>110,0070</v>
      </c>
      <c r="M190" s="11"/>
    </row>
    <row r="191" spans="1:13">
      <c r="A191" s="12" t="s">
        <v>1364</v>
      </c>
      <c r="B191" s="11" t="s">
        <v>1193</v>
      </c>
      <c r="C191" s="11" t="s">
        <v>1194</v>
      </c>
      <c r="D191" s="11" t="s">
        <v>1195</v>
      </c>
      <c r="E191" s="11" t="s">
        <v>3751</v>
      </c>
      <c r="F191" s="11" t="s">
        <v>3509</v>
      </c>
      <c r="G191" s="24" t="s">
        <v>47</v>
      </c>
      <c r="H191" s="24" t="s">
        <v>187</v>
      </c>
      <c r="I191" s="25" t="s">
        <v>37</v>
      </c>
      <c r="J191" s="12"/>
      <c r="K191" s="31" t="str">
        <f>"167,5"</f>
        <v>167,5</v>
      </c>
      <c r="L191" s="12" t="str">
        <f>"107,1163"</f>
        <v>107,1163</v>
      </c>
      <c r="M191" s="11" t="s">
        <v>1196</v>
      </c>
    </row>
    <row r="192" spans="1:13">
      <c r="A192" s="12" t="s">
        <v>1365</v>
      </c>
      <c r="B192" s="11" t="s">
        <v>2187</v>
      </c>
      <c r="C192" s="11" t="s">
        <v>2188</v>
      </c>
      <c r="D192" s="11" t="s">
        <v>1562</v>
      </c>
      <c r="E192" s="11" t="s">
        <v>3751</v>
      </c>
      <c r="F192" s="11" t="s">
        <v>3674</v>
      </c>
      <c r="G192" s="24" t="s">
        <v>36</v>
      </c>
      <c r="H192" s="25" t="s">
        <v>59</v>
      </c>
      <c r="I192" s="24" t="s">
        <v>59</v>
      </c>
      <c r="J192" s="12"/>
      <c r="K192" s="31" t="str">
        <f>"165,0"</f>
        <v>165,0</v>
      </c>
      <c r="L192" s="12" t="str">
        <f>"105,7650"</f>
        <v>105,7650</v>
      </c>
      <c r="M192" s="11"/>
    </row>
    <row r="193" spans="1:13">
      <c r="A193" s="12" t="s">
        <v>1366</v>
      </c>
      <c r="B193" s="11" t="s">
        <v>3326</v>
      </c>
      <c r="C193" s="11" t="s">
        <v>2189</v>
      </c>
      <c r="D193" s="11" t="s">
        <v>704</v>
      </c>
      <c r="E193" s="11" t="s">
        <v>3751</v>
      </c>
      <c r="F193" s="11" t="s">
        <v>142</v>
      </c>
      <c r="G193" s="24" t="s">
        <v>26</v>
      </c>
      <c r="H193" s="24" t="s">
        <v>47</v>
      </c>
      <c r="I193" s="25" t="s">
        <v>187</v>
      </c>
      <c r="J193" s="12"/>
      <c r="K193" s="31" t="str">
        <f>"162,5"</f>
        <v>162,5</v>
      </c>
      <c r="L193" s="12" t="str">
        <f>"105,1537"</f>
        <v>105,1537</v>
      </c>
      <c r="M193" s="11"/>
    </row>
    <row r="194" spans="1:13">
      <c r="A194" s="12" t="s">
        <v>1367</v>
      </c>
      <c r="B194" s="11" t="s">
        <v>2190</v>
      </c>
      <c r="C194" s="11" t="s">
        <v>2191</v>
      </c>
      <c r="D194" s="11" t="s">
        <v>191</v>
      </c>
      <c r="E194" s="11" t="s">
        <v>3751</v>
      </c>
      <c r="F194" s="11" t="s">
        <v>3584</v>
      </c>
      <c r="G194" s="24" t="s">
        <v>35</v>
      </c>
      <c r="H194" s="24" t="s">
        <v>46</v>
      </c>
      <c r="I194" s="24" t="s">
        <v>36</v>
      </c>
      <c r="J194" s="12"/>
      <c r="K194" s="31" t="str">
        <f>"160,0"</f>
        <v>160,0</v>
      </c>
      <c r="L194" s="12" t="str">
        <f>"102,7840"</f>
        <v>102,7840</v>
      </c>
      <c r="M194" s="11" t="s">
        <v>3423</v>
      </c>
    </row>
    <row r="195" spans="1:13">
      <c r="A195" s="12" t="s">
        <v>1368</v>
      </c>
      <c r="B195" s="11" t="s">
        <v>2192</v>
      </c>
      <c r="C195" s="11" t="s">
        <v>2193</v>
      </c>
      <c r="D195" s="11" t="s">
        <v>164</v>
      </c>
      <c r="E195" s="11" t="s">
        <v>3751</v>
      </c>
      <c r="F195" s="11" t="s">
        <v>3630</v>
      </c>
      <c r="G195" s="24" t="s">
        <v>36</v>
      </c>
      <c r="H195" s="25" t="s">
        <v>59</v>
      </c>
      <c r="I195" s="25" t="s">
        <v>59</v>
      </c>
      <c r="J195" s="12"/>
      <c r="K195" s="31" t="str">
        <f>"160,0"</f>
        <v>160,0</v>
      </c>
      <c r="L195" s="12" t="str">
        <f>"102,4320"</f>
        <v>102,4320</v>
      </c>
      <c r="M195" s="11"/>
    </row>
    <row r="196" spans="1:13">
      <c r="A196" s="12" t="s">
        <v>1369</v>
      </c>
      <c r="B196" s="11" t="s">
        <v>2194</v>
      </c>
      <c r="C196" s="11" t="s">
        <v>2195</v>
      </c>
      <c r="D196" s="11" t="s">
        <v>1549</v>
      </c>
      <c r="E196" s="11" t="s">
        <v>3751</v>
      </c>
      <c r="F196" s="11" t="s">
        <v>3543</v>
      </c>
      <c r="G196" s="24" t="s">
        <v>35</v>
      </c>
      <c r="H196" s="24" t="s">
        <v>26</v>
      </c>
      <c r="I196" s="25" t="s">
        <v>494</v>
      </c>
      <c r="J196" s="12"/>
      <c r="K196" s="31" t="str">
        <f>"152,5"</f>
        <v>152,5</v>
      </c>
      <c r="L196" s="12" t="str">
        <f>"97,4170"</f>
        <v>97,4170</v>
      </c>
      <c r="M196" s="11" t="s">
        <v>1897</v>
      </c>
    </row>
    <row r="197" spans="1:13">
      <c r="A197" s="12" t="s">
        <v>1370</v>
      </c>
      <c r="B197" s="11" t="s">
        <v>2196</v>
      </c>
      <c r="C197" s="11" t="s">
        <v>2197</v>
      </c>
      <c r="D197" s="11" t="s">
        <v>2198</v>
      </c>
      <c r="E197" s="11" t="s">
        <v>3751</v>
      </c>
      <c r="F197" s="11" t="s">
        <v>3509</v>
      </c>
      <c r="G197" s="24" t="s">
        <v>253</v>
      </c>
      <c r="H197" s="25" t="s">
        <v>26</v>
      </c>
      <c r="I197" s="25" t="s">
        <v>26</v>
      </c>
      <c r="J197" s="12"/>
      <c r="K197" s="31" t="str">
        <f>"147,5"</f>
        <v>147,5</v>
      </c>
      <c r="L197" s="12" t="str">
        <f>"94,4885"</f>
        <v>94,4885</v>
      </c>
      <c r="M197" s="11"/>
    </row>
    <row r="198" spans="1:13">
      <c r="A198" s="12" t="s">
        <v>1371</v>
      </c>
      <c r="B198" s="11" t="s">
        <v>1211</v>
      </c>
      <c r="C198" s="11" t="s">
        <v>1212</v>
      </c>
      <c r="D198" s="11" t="s">
        <v>152</v>
      </c>
      <c r="E198" s="11" t="s">
        <v>3751</v>
      </c>
      <c r="F198" s="11" t="s">
        <v>3543</v>
      </c>
      <c r="G198" s="25" t="s">
        <v>25</v>
      </c>
      <c r="H198" s="24" t="s">
        <v>25</v>
      </c>
      <c r="I198" s="25" t="s">
        <v>35</v>
      </c>
      <c r="J198" s="12"/>
      <c r="K198" s="31" t="str">
        <f>"145,0"</f>
        <v>145,0</v>
      </c>
      <c r="L198" s="12" t="str">
        <f>"92,5680"</f>
        <v>92,5680</v>
      </c>
      <c r="M198" s="11" t="s">
        <v>1088</v>
      </c>
    </row>
    <row r="199" spans="1:13">
      <c r="A199" s="12" t="s">
        <v>1372</v>
      </c>
      <c r="B199" s="11" t="s">
        <v>2199</v>
      </c>
      <c r="C199" s="11" t="s">
        <v>2200</v>
      </c>
      <c r="D199" s="11" t="s">
        <v>1210</v>
      </c>
      <c r="E199" s="11" t="s">
        <v>3751</v>
      </c>
      <c r="F199" s="11" t="s">
        <v>3509</v>
      </c>
      <c r="G199" s="25" t="s">
        <v>45</v>
      </c>
      <c r="H199" s="25" t="s">
        <v>45</v>
      </c>
      <c r="I199" s="24" t="s">
        <v>45</v>
      </c>
      <c r="J199" s="12"/>
      <c r="K199" s="31" t="str">
        <f>"140,0"</f>
        <v>140,0</v>
      </c>
      <c r="L199" s="12" t="str">
        <f>"90,1600"</f>
        <v>90,1600</v>
      </c>
      <c r="M199" s="11"/>
    </row>
    <row r="200" spans="1:13">
      <c r="A200" s="12" t="s">
        <v>1373</v>
      </c>
      <c r="B200" s="11" t="s">
        <v>2201</v>
      </c>
      <c r="C200" s="11" t="s">
        <v>2202</v>
      </c>
      <c r="D200" s="11" t="s">
        <v>1549</v>
      </c>
      <c r="E200" s="11" t="s">
        <v>3751</v>
      </c>
      <c r="F200" s="11" t="s">
        <v>3583</v>
      </c>
      <c r="G200" s="24" t="s">
        <v>45</v>
      </c>
      <c r="H200" s="25" t="s">
        <v>25</v>
      </c>
      <c r="I200" s="25" t="s">
        <v>26</v>
      </c>
      <c r="J200" s="12"/>
      <c r="K200" s="31" t="str">
        <f>"140,0"</f>
        <v>140,0</v>
      </c>
      <c r="L200" s="12" t="str">
        <f>"89,4320"</f>
        <v>89,4320</v>
      </c>
      <c r="M200" s="11"/>
    </row>
    <row r="201" spans="1:13">
      <c r="A201" s="12" t="s">
        <v>1833</v>
      </c>
      <c r="B201" s="11" t="s">
        <v>2203</v>
      </c>
      <c r="C201" s="11" t="s">
        <v>2204</v>
      </c>
      <c r="D201" s="11" t="s">
        <v>2205</v>
      </c>
      <c r="E201" s="11" t="s">
        <v>3751</v>
      </c>
      <c r="F201" s="11" t="s">
        <v>3509</v>
      </c>
      <c r="G201" s="24" t="s">
        <v>521</v>
      </c>
      <c r="H201" s="25" t="s">
        <v>85</v>
      </c>
      <c r="I201" s="24" t="s">
        <v>85</v>
      </c>
      <c r="J201" s="12"/>
      <c r="K201" s="31" t="str">
        <f>"135,0"</f>
        <v>135,0</v>
      </c>
      <c r="L201" s="12" t="str">
        <f>"89,3565"</f>
        <v>89,3565</v>
      </c>
      <c r="M201" s="11"/>
    </row>
    <row r="202" spans="1:13">
      <c r="A202" s="12" t="s">
        <v>1834</v>
      </c>
      <c r="B202" s="11" t="s">
        <v>2206</v>
      </c>
      <c r="C202" s="11" t="s">
        <v>2207</v>
      </c>
      <c r="D202" s="11" t="s">
        <v>2208</v>
      </c>
      <c r="E202" s="11" t="s">
        <v>3751</v>
      </c>
      <c r="F202" s="11" t="s">
        <v>3509</v>
      </c>
      <c r="G202" s="24" t="s">
        <v>76</v>
      </c>
      <c r="H202" s="24" t="s">
        <v>84</v>
      </c>
      <c r="I202" s="24" t="s">
        <v>521</v>
      </c>
      <c r="J202" s="12"/>
      <c r="K202" s="31" t="str">
        <f>"132,5"</f>
        <v>132,5</v>
      </c>
      <c r="L202" s="12" t="str">
        <f>"85,6348"</f>
        <v>85,6348</v>
      </c>
      <c r="M202" s="11" t="s">
        <v>2209</v>
      </c>
    </row>
    <row r="203" spans="1:13">
      <c r="A203" s="12" t="s">
        <v>2444</v>
      </c>
      <c r="B203" s="11" t="s">
        <v>2210</v>
      </c>
      <c r="C203" s="11" t="s">
        <v>2211</v>
      </c>
      <c r="D203" s="11" t="s">
        <v>1172</v>
      </c>
      <c r="E203" s="11" t="s">
        <v>3751</v>
      </c>
      <c r="F203" s="11" t="s">
        <v>3509</v>
      </c>
      <c r="G203" s="24" t="s">
        <v>521</v>
      </c>
      <c r="H203" s="25" t="s">
        <v>474</v>
      </c>
      <c r="I203" s="25" t="s">
        <v>474</v>
      </c>
      <c r="J203" s="12"/>
      <c r="K203" s="31" t="str">
        <f>"132,5"</f>
        <v>132,5</v>
      </c>
      <c r="L203" s="12" t="str">
        <f>"85,4757"</f>
        <v>85,4757</v>
      </c>
      <c r="M203" s="11" t="s">
        <v>2212</v>
      </c>
    </row>
    <row r="204" spans="1:13">
      <c r="A204" s="12" t="s">
        <v>2445</v>
      </c>
      <c r="B204" s="11" t="s">
        <v>2213</v>
      </c>
      <c r="C204" s="11" t="s">
        <v>2214</v>
      </c>
      <c r="D204" s="11" t="s">
        <v>489</v>
      </c>
      <c r="E204" s="11" t="s">
        <v>3751</v>
      </c>
      <c r="F204" s="11" t="s">
        <v>3509</v>
      </c>
      <c r="G204" s="24" t="s">
        <v>521</v>
      </c>
      <c r="H204" s="25" t="s">
        <v>45</v>
      </c>
      <c r="I204" s="25" t="s">
        <v>45</v>
      </c>
      <c r="J204" s="12"/>
      <c r="K204" s="31" t="str">
        <f>"132,5"</f>
        <v>132,5</v>
      </c>
      <c r="L204" s="12" t="str">
        <f>"84,7735"</f>
        <v>84,7735</v>
      </c>
      <c r="M204" s="11" t="s">
        <v>228</v>
      </c>
    </row>
    <row r="205" spans="1:13">
      <c r="A205" s="12" t="s">
        <v>2446</v>
      </c>
      <c r="B205" s="11" t="s">
        <v>2215</v>
      </c>
      <c r="C205" s="11" t="s">
        <v>2216</v>
      </c>
      <c r="D205" s="11" t="s">
        <v>2217</v>
      </c>
      <c r="E205" s="11" t="s">
        <v>3751</v>
      </c>
      <c r="F205" s="11" t="s">
        <v>3579</v>
      </c>
      <c r="G205" s="25" t="s">
        <v>76</v>
      </c>
      <c r="H205" s="25" t="s">
        <v>76</v>
      </c>
      <c r="I205" s="24" t="s">
        <v>76</v>
      </c>
      <c r="J205" s="12"/>
      <c r="K205" s="31" t="str">
        <f>"120,0"</f>
        <v>120,0</v>
      </c>
      <c r="L205" s="12" t="str">
        <f>"80,0400"</f>
        <v>80,0400</v>
      </c>
      <c r="M205" s="11" t="s">
        <v>2218</v>
      </c>
    </row>
    <row r="206" spans="1:13">
      <c r="A206" s="12" t="s">
        <v>2447</v>
      </c>
      <c r="B206" s="11" t="s">
        <v>2219</v>
      </c>
      <c r="C206" s="11" t="s">
        <v>2220</v>
      </c>
      <c r="D206" s="11" t="s">
        <v>1549</v>
      </c>
      <c r="E206" s="11" t="s">
        <v>3751</v>
      </c>
      <c r="F206" s="11" t="s">
        <v>3591</v>
      </c>
      <c r="G206" s="25" t="s">
        <v>106</v>
      </c>
      <c r="H206" s="25" t="s">
        <v>106</v>
      </c>
      <c r="I206" s="24" t="s">
        <v>106</v>
      </c>
      <c r="J206" s="12"/>
      <c r="K206" s="31" t="str">
        <f>"110,0"</f>
        <v>110,0</v>
      </c>
      <c r="L206" s="12" t="str">
        <f>"70,2680"</f>
        <v>70,2680</v>
      </c>
      <c r="M206" s="11" t="s">
        <v>2221</v>
      </c>
    </row>
    <row r="207" spans="1:13">
      <c r="A207" s="12" t="s">
        <v>2448</v>
      </c>
      <c r="B207" s="11" t="s">
        <v>2222</v>
      </c>
      <c r="C207" s="11" t="s">
        <v>2223</v>
      </c>
      <c r="D207" s="11" t="s">
        <v>1602</v>
      </c>
      <c r="E207" s="11" t="s">
        <v>3751</v>
      </c>
      <c r="F207" s="11" t="s">
        <v>3508</v>
      </c>
      <c r="G207" s="24" t="s">
        <v>586</v>
      </c>
      <c r="H207" s="25" t="s">
        <v>597</v>
      </c>
      <c r="I207" s="25" t="s">
        <v>597</v>
      </c>
      <c r="J207" s="12"/>
      <c r="K207" s="31" t="str">
        <f>"107,5"</f>
        <v>107,5</v>
      </c>
      <c r="L207" s="12" t="str">
        <f>"70,5415"</f>
        <v>70,5415</v>
      </c>
      <c r="M207" s="11" t="s">
        <v>3424</v>
      </c>
    </row>
    <row r="208" spans="1:13">
      <c r="A208" s="12" t="s">
        <v>412</v>
      </c>
      <c r="B208" s="11" t="s">
        <v>2224</v>
      </c>
      <c r="C208" s="11" t="s">
        <v>2225</v>
      </c>
      <c r="D208" s="11" t="s">
        <v>2226</v>
      </c>
      <c r="E208" s="11" t="s">
        <v>3751</v>
      </c>
      <c r="F208" s="11" t="s">
        <v>3509</v>
      </c>
      <c r="G208" s="25" t="s">
        <v>37</v>
      </c>
      <c r="H208" s="25" t="s">
        <v>28</v>
      </c>
      <c r="I208" s="25" t="s">
        <v>28</v>
      </c>
      <c r="J208" s="12"/>
      <c r="K208" s="31">
        <v>0</v>
      </c>
      <c r="L208" s="12" t="str">
        <f t="shared" ref="L208:L217" si="0">"0,0000"</f>
        <v>0,0000</v>
      </c>
      <c r="M208" s="11"/>
    </row>
    <row r="209" spans="1:13">
      <c r="A209" s="12" t="s">
        <v>412</v>
      </c>
      <c r="B209" s="11" t="s">
        <v>2227</v>
      </c>
      <c r="C209" s="11" t="s">
        <v>2228</v>
      </c>
      <c r="D209" s="11" t="s">
        <v>1585</v>
      </c>
      <c r="E209" s="11" t="s">
        <v>3751</v>
      </c>
      <c r="F209" s="11" t="s">
        <v>3509</v>
      </c>
      <c r="G209" s="25" t="s">
        <v>521</v>
      </c>
      <c r="H209" s="25" t="s">
        <v>521</v>
      </c>
      <c r="I209" s="12"/>
      <c r="J209" s="12"/>
      <c r="K209" s="31">
        <v>0</v>
      </c>
      <c r="L209" s="12" t="str">
        <f t="shared" si="0"/>
        <v>0,0000</v>
      </c>
      <c r="M209" s="11"/>
    </row>
    <row r="210" spans="1:13">
      <c r="A210" s="12" t="s">
        <v>412</v>
      </c>
      <c r="B210" s="11" t="s">
        <v>2229</v>
      </c>
      <c r="C210" s="11" t="s">
        <v>2230</v>
      </c>
      <c r="D210" s="11" t="s">
        <v>1178</v>
      </c>
      <c r="E210" s="11" t="s">
        <v>3751</v>
      </c>
      <c r="F210" s="11" t="s">
        <v>3509</v>
      </c>
      <c r="G210" s="25" t="s">
        <v>25</v>
      </c>
      <c r="H210" s="25" t="s">
        <v>25</v>
      </c>
      <c r="I210" s="25" t="s">
        <v>25</v>
      </c>
      <c r="J210" s="12"/>
      <c r="K210" s="31">
        <v>0</v>
      </c>
      <c r="L210" s="12" t="str">
        <f t="shared" si="0"/>
        <v>0,0000</v>
      </c>
      <c r="M210" s="11" t="s">
        <v>3425</v>
      </c>
    </row>
    <row r="211" spans="1:13">
      <c r="A211" s="12" t="s">
        <v>412</v>
      </c>
      <c r="B211" s="11" t="s">
        <v>2231</v>
      </c>
      <c r="C211" s="11" t="s">
        <v>2232</v>
      </c>
      <c r="D211" s="11" t="s">
        <v>1192</v>
      </c>
      <c r="E211" s="11" t="s">
        <v>3751</v>
      </c>
      <c r="F211" s="11" t="s">
        <v>3509</v>
      </c>
      <c r="G211" s="25" t="s">
        <v>28</v>
      </c>
      <c r="H211" s="25" t="s">
        <v>28</v>
      </c>
      <c r="I211" s="25" t="s">
        <v>28</v>
      </c>
      <c r="J211" s="12"/>
      <c r="K211" s="31">
        <v>0</v>
      </c>
      <c r="L211" s="12" t="str">
        <f t="shared" si="0"/>
        <v>0,0000</v>
      </c>
      <c r="M211" s="11"/>
    </row>
    <row r="212" spans="1:13">
      <c r="A212" s="12" t="s">
        <v>412</v>
      </c>
      <c r="B212" s="11" t="s">
        <v>2233</v>
      </c>
      <c r="C212" s="11" t="s">
        <v>2234</v>
      </c>
      <c r="D212" s="11" t="s">
        <v>155</v>
      </c>
      <c r="E212" s="11" t="s">
        <v>3751</v>
      </c>
      <c r="F212" s="11" t="s">
        <v>3587</v>
      </c>
      <c r="G212" s="25" t="s">
        <v>28</v>
      </c>
      <c r="H212" s="25" t="s">
        <v>28</v>
      </c>
      <c r="I212" s="25" t="s">
        <v>28</v>
      </c>
      <c r="J212" s="12"/>
      <c r="K212" s="31">
        <v>0</v>
      </c>
      <c r="L212" s="12" t="str">
        <f t="shared" si="0"/>
        <v>0,0000</v>
      </c>
      <c r="M212" s="11"/>
    </row>
    <row r="213" spans="1:13">
      <c r="A213" s="12" t="s">
        <v>412</v>
      </c>
      <c r="B213" s="11" t="s">
        <v>2235</v>
      </c>
      <c r="C213" s="11" t="s">
        <v>2236</v>
      </c>
      <c r="D213" s="11" t="s">
        <v>155</v>
      </c>
      <c r="E213" s="11" t="s">
        <v>3751</v>
      </c>
      <c r="F213" s="11" t="s">
        <v>3675</v>
      </c>
      <c r="G213" s="25" t="s">
        <v>45</v>
      </c>
      <c r="H213" s="25" t="s">
        <v>253</v>
      </c>
      <c r="I213" s="25" t="s">
        <v>253</v>
      </c>
      <c r="J213" s="12"/>
      <c r="K213" s="31">
        <v>0</v>
      </c>
      <c r="L213" s="12" t="str">
        <f t="shared" si="0"/>
        <v>0,0000</v>
      </c>
      <c r="M213" s="11" t="s">
        <v>2237</v>
      </c>
    </row>
    <row r="214" spans="1:13">
      <c r="A214" s="12" t="s">
        <v>412</v>
      </c>
      <c r="B214" s="11" t="s">
        <v>2238</v>
      </c>
      <c r="C214" s="11" t="s">
        <v>2239</v>
      </c>
      <c r="D214" s="11" t="s">
        <v>2198</v>
      </c>
      <c r="E214" s="11" t="s">
        <v>3751</v>
      </c>
      <c r="F214" s="11" t="s">
        <v>3632</v>
      </c>
      <c r="G214" s="25" t="s">
        <v>59</v>
      </c>
      <c r="H214" s="25" t="s">
        <v>59</v>
      </c>
      <c r="I214" s="25" t="s">
        <v>59</v>
      </c>
      <c r="J214" s="12"/>
      <c r="K214" s="31">
        <v>0</v>
      </c>
      <c r="L214" s="12" t="str">
        <f t="shared" si="0"/>
        <v>0,0000</v>
      </c>
      <c r="M214" s="11" t="s">
        <v>3341</v>
      </c>
    </row>
    <row r="215" spans="1:13">
      <c r="A215" s="12" t="s">
        <v>412</v>
      </c>
      <c r="B215" s="11" t="s">
        <v>2240</v>
      </c>
      <c r="C215" s="11" t="s">
        <v>2241</v>
      </c>
      <c r="D215" s="11" t="s">
        <v>489</v>
      </c>
      <c r="E215" s="11" t="s">
        <v>3751</v>
      </c>
      <c r="F215" s="11" t="s">
        <v>3509</v>
      </c>
      <c r="G215" s="25" t="s">
        <v>253</v>
      </c>
      <c r="H215" s="25" t="s">
        <v>253</v>
      </c>
      <c r="I215" s="25" t="s">
        <v>35</v>
      </c>
      <c r="J215" s="12"/>
      <c r="K215" s="31">
        <v>0</v>
      </c>
      <c r="L215" s="12" t="str">
        <f t="shared" si="0"/>
        <v>0,0000</v>
      </c>
      <c r="M215" s="11"/>
    </row>
    <row r="216" spans="1:13">
      <c r="A216" s="12" t="s">
        <v>412</v>
      </c>
      <c r="B216" s="11" t="s">
        <v>2242</v>
      </c>
      <c r="C216" s="11" t="s">
        <v>42</v>
      </c>
      <c r="D216" s="11" t="s">
        <v>1195</v>
      </c>
      <c r="E216" s="11" t="s">
        <v>3751</v>
      </c>
      <c r="F216" s="11" t="s">
        <v>3509</v>
      </c>
      <c r="G216" s="25" t="s">
        <v>54</v>
      </c>
      <c r="H216" s="25" t="s">
        <v>54</v>
      </c>
      <c r="I216" s="25" t="s">
        <v>54</v>
      </c>
      <c r="J216" s="12"/>
      <c r="K216" s="31">
        <v>0</v>
      </c>
      <c r="L216" s="12" t="str">
        <f t="shared" si="0"/>
        <v>0,0000</v>
      </c>
      <c r="M216" s="11" t="s">
        <v>2243</v>
      </c>
    </row>
    <row r="217" spans="1:13">
      <c r="A217" s="12" t="s">
        <v>412</v>
      </c>
      <c r="B217" s="11" t="s">
        <v>2244</v>
      </c>
      <c r="C217" s="11" t="s">
        <v>2245</v>
      </c>
      <c r="D217" s="11" t="s">
        <v>152</v>
      </c>
      <c r="E217" s="11" t="s">
        <v>3751</v>
      </c>
      <c r="F217" s="11" t="s">
        <v>3509</v>
      </c>
      <c r="G217" s="25" t="s">
        <v>35</v>
      </c>
      <c r="H217" s="12"/>
      <c r="I217" s="12"/>
      <c r="J217" s="12"/>
      <c r="K217" s="31">
        <v>0</v>
      </c>
      <c r="L217" s="12" t="str">
        <f t="shared" si="0"/>
        <v>0,0000</v>
      </c>
      <c r="M217" s="11" t="s">
        <v>72</v>
      </c>
    </row>
    <row r="218" spans="1:13">
      <c r="A218" s="12" t="s">
        <v>408</v>
      </c>
      <c r="B218" s="11" t="s">
        <v>2246</v>
      </c>
      <c r="C218" s="11" t="s">
        <v>2247</v>
      </c>
      <c r="D218" s="11" t="s">
        <v>489</v>
      </c>
      <c r="E218" s="11" t="s">
        <v>3753</v>
      </c>
      <c r="F218" s="11" t="s">
        <v>3509</v>
      </c>
      <c r="G218" s="24" t="s">
        <v>187</v>
      </c>
      <c r="H218" s="24" t="s">
        <v>226</v>
      </c>
      <c r="I218" s="24" t="s">
        <v>28</v>
      </c>
      <c r="J218" s="12"/>
      <c r="K218" s="31" t="str">
        <f>"175,0"</f>
        <v>175,0</v>
      </c>
      <c r="L218" s="12" t="str">
        <f>"116,8915"</f>
        <v>116,8915</v>
      </c>
      <c r="M218" s="11" t="s">
        <v>3426</v>
      </c>
    </row>
    <row r="219" spans="1:13">
      <c r="A219" s="12" t="s">
        <v>410</v>
      </c>
      <c r="B219" s="11" t="s">
        <v>2248</v>
      </c>
      <c r="C219" s="11" t="s">
        <v>787</v>
      </c>
      <c r="D219" s="11" t="s">
        <v>683</v>
      </c>
      <c r="E219" s="11" t="s">
        <v>3753</v>
      </c>
      <c r="F219" s="11" t="s">
        <v>3611</v>
      </c>
      <c r="G219" s="24" t="s">
        <v>36</v>
      </c>
      <c r="H219" s="24" t="s">
        <v>59</v>
      </c>
      <c r="I219" s="25" t="s">
        <v>187</v>
      </c>
      <c r="J219" s="12"/>
      <c r="K219" s="31" t="str">
        <f>"165,0"</f>
        <v>165,0</v>
      </c>
      <c r="L219" s="12" t="str">
        <f>"106,7250"</f>
        <v>106,7250</v>
      </c>
      <c r="M219" s="11"/>
    </row>
    <row r="220" spans="1:13">
      <c r="A220" s="12" t="s">
        <v>411</v>
      </c>
      <c r="B220" s="11" t="s">
        <v>2249</v>
      </c>
      <c r="C220" s="11" t="s">
        <v>2250</v>
      </c>
      <c r="D220" s="11" t="s">
        <v>683</v>
      </c>
      <c r="E220" s="11" t="s">
        <v>3753</v>
      </c>
      <c r="F220" s="11" t="s">
        <v>3579</v>
      </c>
      <c r="G220" s="25" t="s">
        <v>36</v>
      </c>
      <c r="H220" s="24" t="s">
        <v>36</v>
      </c>
      <c r="I220" s="24" t="s">
        <v>59</v>
      </c>
      <c r="J220" s="12"/>
      <c r="K220" s="31" t="str">
        <f>"165,0"</f>
        <v>165,0</v>
      </c>
      <c r="L220" s="12" t="str">
        <f>"112,5656"</f>
        <v>112,5656</v>
      </c>
      <c r="M220" s="11" t="s">
        <v>2251</v>
      </c>
    </row>
    <row r="221" spans="1:13">
      <c r="A221" s="12" t="s">
        <v>413</v>
      </c>
      <c r="B221" s="11" t="s">
        <v>2252</v>
      </c>
      <c r="C221" s="11" t="s">
        <v>2253</v>
      </c>
      <c r="D221" s="11" t="s">
        <v>1195</v>
      </c>
      <c r="E221" s="11" t="s">
        <v>3753</v>
      </c>
      <c r="F221" s="11" t="s">
        <v>3656</v>
      </c>
      <c r="G221" s="24" t="s">
        <v>36</v>
      </c>
      <c r="H221" s="24" t="s">
        <v>47</v>
      </c>
      <c r="I221" s="25" t="s">
        <v>187</v>
      </c>
      <c r="J221" s="12"/>
      <c r="K221" s="31" t="str">
        <f>"162,5"</f>
        <v>162,5</v>
      </c>
      <c r="L221" s="12" t="str">
        <f>"117,6360"</f>
        <v>117,6360</v>
      </c>
      <c r="M221" s="11"/>
    </row>
    <row r="222" spans="1:13">
      <c r="A222" s="12" t="s">
        <v>414</v>
      </c>
      <c r="B222" s="11" t="s">
        <v>2254</v>
      </c>
      <c r="C222" s="11" t="s">
        <v>2255</v>
      </c>
      <c r="D222" s="11" t="s">
        <v>1168</v>
      </c>
      <c r="E222" s="11" t="s">
        <v>3753</v>
      </c>
      <c r="F222" s="11" t="s">
        <v>3509</v>
      </c>
      <c r="G222" s="25" t="s">
        <v>25</v>
      </c>
      <c r="H222" s="25" t="s">
        <v>25</v>
      </c>
      <c r="I222" s="24" t="s">
        <v>25</v>
      </c>
      <c r="J222" s="12"/>
      <c r="K222" s="31" t="str">
        <f>"145,0"</f>
        <v>145,0</v>
      </c>
      <c r="L222" s="12" t="str">
        <f>"99,0904"</f>
        <v>99,0904</v>
      </c>
      <c r="M222" s="11" t="s">
        <v>3427</v>
      </c>
    </row>
    <row r="223" spans="1:13">
      <c r="A223" s="12" t="s">
        <v>415</v>
      </c>
      <c r="B223" s="11" t="s">
        <v>2256</v>
      </c>
      <c r="C223" s="11" t="s">
        <v>2257</v>
      </c>
      <c r="D223" s="11" t="s">
        <v>2258</v>
      </c>
      <c r="E223" s="11" t="s">
        <v>3753</v>
      </c>
      <c r="F223" s="11" t="s">
        <v>3633</v>
      </c>
      <c r="G223" s="25" t="s">
        <v>45</v>
      </c>
      <c r="H223" s="25" t="s">
        <v>45</v>
      </c>
      <c r="I223" s="24" t="s">
        <v>45</v>
      </c>
      <c r="J223" s="12"/>
      <c r="K223" s="31" t="str">
        <f>"140,0"</f>
        <v>140,0</v>
      </c>
      <c r="L223" s="12" t="str">
        <f>"100,1052"</f>
        <v>100,1052</v>
      </c>
      <c r="M223" s="11"/>
    </row>
    <row r="224" spans="1:13">
      <c r="A224" s="12" t="s">
        <v>412</v>
      </c>
      <c r="B224" s="11" t="s">
        <v>2259</v>
      </c>
      <c r="C224" s="11" t="s">
        <v>2260</v>
      </c>
      <c r="D224" s="11" t="s">
        <v>1199</v>
      </c>
      <c r="E224" s="11" t="s">
        <v>3753</v>
      </c>
      <c r="F224" s="11" t="s">
        <v>3602</v>
      </c>
      <c r="G224" s="25" t="s">
        <v>46</v>
      </c>
      <c r="H224" s="25" t="s">
        <v>46</v>
      </c>
      <c r="I224" s="25" t="s">
        <v>46</v>
      </c>
      <c r="J224" s="12"/>
      <c r="K224" s="31">
        <v>0</v>
      </c>
      <c r="L224" s="12" t="str">
        <f>"0,0000"</f>
        <v>0,0000</v>
      </c>
      <c r="M224" s="11"/>
    </row>
    <row r="225" spans="1:13">
      <c r="A225" s="12" t="s">
        <v>408</v>
      </c>
      <c r="B225" s="11" t="s">
        <v>2261</v>
      </c>
      <c r="C225" s="11" t="s">
        <v>2262</v>
      </c>
      <c r="D225" s="11" t="s">
        <v>173</v>
      </c>
      <c r="E225" s="11" t="s">
        <v>3756</v>
      </c>
      <c r="F225" s="11" t="s">
        <v>3676</v>
      </c>
      <c r="G225" s="24" t="s">
        <v>26</v>
      </c>
      <c r="H225" s="25" t="s">
        <v>494</v>
      </c>
      <c r="I225" s="25" t="s">
        <v>494</v>
      </c>
      <c r="J225" s="12"/>
      <c r="K225" s="31" t="str">
        <f>"152,5"</f>
        <v>152,5</v>
      </c>
      <c r="L225" s="12" t="str">
        <f>"118,3130"</f>
        <v>118,3130</v>
      </c>
      <c r="M225" s="11" t="s">
        <v>3333</v>
      </c>
    </row>
    <row r="226" spans="1:13">
      <c r="A226" s="12" t="s">
        <v>410</v>
      </c>
      <c r="B226" s="11" t="s">
        <v>2263</v>
      </c>
      <c r="C226" s="11" t="s">
        <v>2264</v>
      </c>
      <c r="D226" s="11" t="s">
        <v>695</v>
      </c>
      <c r="E226" s="11" t="s">
        <v>3756</v>
      </c>
      <c r="F226" s="11" t="s">
        <v>3677</v>
      </c>
      <c r="G226" s="24" t="s">
        <v>106</v>
      </c>
      <c r="H226" s="24" t="s">
        <v>76</v>
      </c>
      <c r="I226" s="25" t="s">
        <v>77</v>
      </c>
      <c r="J226" s="12"/>
      <c r="K226" s="31" t="str">
        <f>"120,0"</f>
        <v>120,0</v>
      </c>
      <c r="L226" s="12" t="str">
        <f>"96,2555"</f>
        <v>96,2555</v>
      </c>
      <c r="M226" s="11"/>
    </row>
    <row r="227" spans="1:13">
      <c r="A227" s="12" t="s">
        <v>411</v>
      </c>
      <c r="B227" s="11" t="s">
        <v>2265</v>
      </c>
      <c r="C227" s="11" t="s">
        <v>2266</v>
      </c>
      <c r="D227" s="11" t="s">
        <v>683</v>
      </c>
      <c r="E227" s="11" t="s">
        <v>3756</v>
      </c>
      <c r="F227" s="11" t="s">
        <v>3509</v>
      </c>
      <c r="G227" s="24" t="s">
        <v>78</v>
      </c>
      <c r="H227" s="25" t="s">
        <v>76</v>
      </c>
      <c r="I227" s="24" t="s">
        <v>76</v>
      </c>
      <c r="J227" s="12"/>
      <c r="K227" s="31" t="str">
        <f>"120,0"</f>
        <v>120,0</v>
      </c>
      <c r="L227" s="12" t="str">
        <f>"91,6744"</f>
        <v>91,6744</v>
      </c>
      <c r="M227" s="11" t="s">
        <v>3428</v>
      </c>
    </row>
    <row r="228" spans="1:13">
      <c r="A228" s="12" t="s">
        <v>413</v>
      </c>
      <c r="B228" s="11" t="s">
        <v>2267</v>
      </c>
      <c r="C228" s="11" t="s">
        <v>2268</v>
      </c>
      <c r="D228" s="11" t="s">
        <v>191</v>
      </c>
      <c r="E228" s="11" t="s">
        <v>3756</v>
      </c>
      <c r="F228" s="11" t="s">
        <v>3509</v>
      </c>
      <c r="G228" s="24" t="s">
        <v>106</v>
      </c>
      <c r="H228" s="24" t="s">
        <v>78</v>
      </c>
      <c r="I228" s="24" t="s">
        <v>76</v>
      </c>
      <c r="J228" s="12"/>
      <c r="K228" s="31" t="str">
        <f>"120,0"</f>
        <v>120,0</v>
      </c>
      <c r="L228" s="12" t="str">
        <f>"90,0388"</f>
        <v>90,0388</v>
      </c>
      <c r="M228" s="11" t="s">
        <v>3229</v>
      </c>
    </row>
    <row r="229" spans="1:13">
      <c r="A229" s="12" t="s">
        <v>408</v>
      </c>
      <c r="B229" s="11" t="s">
        <v>2269</v>
      </c>
      <c r="C229" s="11" t="s">
        <v>2270</v>
      </c>
      <c r="D229" s="11" t="s">
        <v>152</v>
      </c>
      <c r="E229" s="11" t="s">
        <v>3757</v>
      </c>
      <c r="F229" s="11" t="s">
        <v>3658</v>
      </c>
      <c r="G229" s="24" t="s">
        <v>77</v>
      </c>
      <c r="H229" s="24" t="s">
        <v>132</v>
      </c>
      <c r="I229" s="25" t="s">
        <v>85</v>
      </c>
      <c r="J229" s="12"/>
      <c r="K229" s="31" t="str">
        <f>"130,0"</f>
        <v>130,0</v>
      </c>
      <c r="L229" s="12" t="str">
        <f>"117,0187"</f>
        <v>117,0187</v>
      </c>
      <c r="M229" s="11"/>
    </row>
    <row r="230" spans="1:13">
      <c r="A230" s="12" t="s">
        <v>408</v>
      </c>
      <c r="B230" s="11" t="s">
        <v>1603</v>
      </c>
      <c r="C230" s="11" t="s">
        <v>1604</v>
      </c>
      <c r="D230" s="11" t="s">
        <v>1605</v>
      </c>
      <c r="E230" s="11" t="s">
        <v>3758</v>
      </c>
      <c r="F230" s="11" t="s">
        <v>3597</v>
      </c>
      <c r="G230" s="24" t="s">
        <v>76</v>
      </c>
      <c r="H230" s="25" t="s">
        <v>77</v>
      </c>
      <c r="I230" s="24" t="s">
        <v>77</v>
      </c>
      <c r="J230" s="12"/>
      <c r="K230" s="31" t="str">
        <f>"125,0"</f>
        <v>125,0</v>
      </c>
      <c r="L230" s="12" t="str">
        <f>"164,7360"</f>
        <v>164,7360</v>
      </c>
      <c r="M230" s="11"/>
    </row>
    <row r="231" spans="1:13">
      <c r="A231" s="14" t="s">
        <v>410</v>
      </c>
      <c r="B231" s="13" t="s">
        <v>2271</v>
      </c>
      <c r="C231" s="13" t="s">
        <v>2272</v>
      </c>
      <c r="D231" s="13" t="s">
        <v>2273</v>
      </c>
      <c r="E231" s="13" t="s">
        <v>3758</v>
      </c>
      <c r="F231" s="13" t="s">
        <v>3587</v>
      </c>
      <c r="G231" s="26" t="s">
        <v>39</v>
      </c>
      <c r="H231" s="26" t="s">
        <v>54</v>
      </c>
      <c r="I231" s="27" t="s">
        <v>586</v>
      </c>
      <c r="J231" s="14"/>
      <c r="K231" s="32" t="str">
        <f>"105,0"</f>
        <v>105,0</v>
      </c>
      <c r="L231" s="14" t="str">
        <f>"135,1957"</f>
        <v>135,1957</v>
      </c>
      <c r="M231" s="13" t="s">
        <v>3429</v>
      </c>
    </row>
    <row r="232" spans="1:13">
      <c r="B232" s="5" t="s">
        <v>409</v>
      </c>
    </row>
    <row r="233" spans="1:13" ht="16">
      <c r="A233" s="57" t="s">
        <v>195</v>
      </c>
      <c r="B233" s="57"/>
      <c r="C233" s="57"/>
      <c r="D233" s="57"/>
      <c r="E233" s="57"/>
      <c r="F233" s="57"/>
      <c r="G233" s="57"/>
      <c r="H233" s="57"/>
      <c r="I233" s="57"/>
      <c r="J233" s="57"/>
    </row>
    <row r="234" spans="1:13">
      <c r="A234" s="10" t="s">
        <v>408</v>
      </c>
      <c r="B234" s="9" t="s">
        <v>2274</v>
      </c>
      <c r="C234" s="9" t="s">
        <v>2275</v>
      </c>
      <c r="D234" s="9" t="s">
        <v>2276</v>
      </c>
      <c r="E234" s="9" t="s">
        <v>3752</v>
      </c>
      <c r="F234" s="9" t="s">
        <v>3678</v>
      </c>
      <c r="G234" s="23" t="s">
        <v>28</v>
      </c>
      <c r="H234" s="22" t="s">
        <v>40</v>
      </c>
      <c r="I234" s="10"/>
      <c r="J234" s="10"/>
      <c r="K234" s="30" t="str">
        <f>"175,0"</f>
        <v>175,0</v>
      </c>
      <c r="L234" s="10" t="str">
        <f>"108,3950"</f>
        <v>108,3950</v>
      </c>
      <c r="M234" s="9"/>
    </row>
    <row r="235" spans="1:13">
      <c r="A235" s="12" t="s">
        <v>410</v>
      </c>
      <c r="B235" s="11" t="s">
        <v>2277</v>
      </c>
      <c r="C235" s="11" t="s">
        <v>2278</v>
      </c>
      <c r="D235" s="11" t="s">
        <v>1620</v>
      </c>
      <c r="E235" s="11" t="s">
        <v>3752</v>
      </c>
      <c r="F235" s="11" t="s">
        <v>3679</v>
      </c>
      <c r="G235" s="25" t="s">
        <v>47</v>
      </c>
      <c r="H235" s="24" t="s">
        <v>47</v>
      </c>
      <c r="I235" s="24" t="s">
        <v>59</v>
      </c>
      <c r="J235" s="12"/>
      <c r="K235" s="31" t="str">
        <f>"165,0"</f>
        <v>165,0</v>
      </c>
      <c r="L235" s="12" t="str">
        <f>"100,5015"</f>
        <v>100,5015</v>
      </c>
      <c r="M235" s="11"/>
    </row>
    <row r="236" spans="1:13">
      <c r="A236" s="12" t="s">
        <v>411</v>
      </c>
      <c r="B236" s="11" t="s">
        <v>2279</v>
      </c>
      <c r="C236" s="11" t="s">
        <v>2280</v>
      </c>
      <c r="D236" s="11" t="s">
        <v>1652</v>
      </c>
      <c r="E236" s="11" t="s">
        <v>3752</v>
      </c>
      <c r="F236" s="11" t="s">
        <v>3680</v>
      </c>
      <c r="G236" s="24" t="s">
        <v>39</v>
      </c>
      <c r="H236" s="24" t="s">
        <v>54</v>
      </c>
      <c r="I236" s="24" t="s">
        <v>586</v>
      </c>
      <c r="J236" s="12"/>
      <c r="K236" s="31" t="str">
        <f>"107,5"</f>
        <v>107,5</v>
      </c>
      <c r="L236" s="12" t="str">
        <f>"65,7147"</f>
        <v>65,7147</v>
      </c>
      <c r="M236" s="11"/>
    </row>
    <row r="237" spans="1:13">
      <c r="A237" s="12" t="s">
        <v>408</v>
      </c>
      <c r="B237" s="11" t="s">
        <v>2281</v>
      </c>
      <c r="C237" s="11" t="s">
        <v>2282</v>
      </c>
      <c r="D237" s="11" t="s">
        <v>1662</v>
      </c>
      <c r="E237" s="11" t="s">
        <v>3754</v>
      </c>
      <c r="F237" s="11" t="s">
        <v>3516</v>
      </c>
      <c r="G237" s="24" t="s">
        <v>70</v>
      </c>
      <c r="H237" s="25" t="s">
        <v>71</v>
      </c>
      <c r="I237" s="25" t="s">
        <v>71</v>
      </c>
      <c r="J237" s="12"/>
      <c r="K237" s="31" t="str">
        <f>"190,0"</f>
        <v>190,0</v>
      </c>
      <c r="L237" s="12" t="str">
        <f>"115,8240"</f>
        <v>115,8240</v>
      </c>
      <c r="M237" s="11" t="s">
        <v>3112</v>
      </c>
    </row>
    <row r="238" spans="1:13">
      <c r="A238" s="12" t="s">
        <v>410</v>
      </c>
      <c r="B238" s="11" t="s">
        <v>2283</v>
      </c>
      <c r="C238" s="11" t="s">
        <v>2284</v>
      </c>
      <c r="D238" s="11" t="s">
        <v>1620</v>
      </c>
      <c r="E238" s="11" t="s">
        <v>3754</v>
      </c>
      <c r="F238" s="11" t="s">
        <v>3528</v>
      </c>
      <c r="G238" s="25" t="s">
        <v>35</v>
      </c>
      <c r="H238" s="24" t="s">
        <v>35</v>
      </c>
      <c r="I238" s="25" t="s">
        <v>47</v>
      </c>
      <c r="J238" s="12"/>
      <c r="K238" s="31" t="str">
        <f>"150,0"</f>
        <v>150,0</v>
      </c>
      <c r="L238" s="12" t="str">
        <f>"91,3650"</f>
        <v>91,3650</v>
      </c>
      <c r="M238" s="11"/>
    </row>
    <row r="239" spans="1:13">
      <c r="A239" s="12" t="s">
        <v>411</v>
      </c>
      <c r="B239" s="11" t="s">
        <v>2285</v>
      </c>
      <c r="C239" s="11" t="s">
        <v>2286</v>
      </c>
      <c r="D239" s="11" t="s">
        <v>2276</v>
      </c>
      <c r="E239" s="11" t="s">
        <v>3754</v>
      </c>
      <c r="F239" s="11" t="s">
        <v>3610</v>
      </c>
      <c r="G239" s="24" t="s">
        <v>132</v>
      </c>
      <c r="H239" s="24" t="s">
        <v>45</v>
      </c>
      <c r="I239" s="25" t="s">
        <v>253</v>
      </c>
      <c r="J239" s="12"/>
      <c r="K239" s="31" t="str">
        <f>"140,0"</f>
        <v>140,0</v>
      </c>
      <c r="L239" s="12" t="str">
        <f>"86,7160"</f>
        <v>86,7160</v>
      </c>
      <c r="M239" s="11" t="s">
        <v>2287</v>
      </c>
    </row>
    <row r="240" spans="1:13">
      <c r="A240" s="12" t="s">
        <v>413</v>
      </c>
      <c r="B240" s="11" t="s">
        <v>2288</v>
      </c>
      <c r="C240" s="11" t="s">
        <v>2289</v>
      </c>
      <c r="D240" s="11" t="s">
        <v>2290</v>
      </c>
      <c r="E240" s="11" t="s">
        <v>3754</v>
      </c>
      <c r="F240" s="11" t="s">
        <v>3509</v>
      </c>
      <c r="G240" s="24" t="s">
        <v>45</v>
      </c>
      <c r="H240" s="25" t="s">
        <v>253</v>
      </c>
      <c r="I240" s="25" t="s">
        <v>253</v>
      </c>
      <c r="J240" s="12"/>
      <c r="K240" s="31" t="str">
        <f>"140,0"</f>
        <v>140,0</v>
      </c>
      <c r="L240" s="12" t="str">
        <f>"86,6740"</f>
        <v>86,6740</v>
      </c>
      <c r="M240" s="11" t="s">
        <v>2158</v>
      </c>
    </row>
    <row r="241" spans="1:13">
      <c r="A241" s="12" t="s">
        <v>412</v>
      </c>
      <c r="B241" s="11" t="s">
        <v>2291</v>
      </c>
      <c r="C241" s="11" t="s">
        <v>2292</v>
      </c>
      <c r="D241" s="11" t="s">
        <v>1644</v>
      </c>
      <c r="E241" s="11" t="s">
        <v>3754</v>
      </c>
      <c r="F241" s="11" t="s">
        <v>3509</v>
      </c>
      <c r="G241" s="25" t="s">
        <v>79</v>
      </c>
      <c r="H241" s="12"/>
      <c r="I241" s="12"/>
      <c r="J241" s="12"/>
      <c r="K241" s="31">
        <v>0</v>
      </c>
      <c r="L241" s="12" t="str">
        <f>"0,0000"</f>
        <v>0,0000</v>
      </c>
      <c r="M241" s="11"/>
    </row>
    <row r="242" spans="1:13">
      <c r="A242" s="12" t="s">
        <v>412</v>
      </c>
      <c r="B242" s="11" t="s">
        <v>2293</v>
      </c>
      <c r="C242" s="11" t="s">
        <v>2294</v>
      </c>
      <c r="D242" s="11" t="s">
        <v>747</v>
      </c>
      <c r="E242" s="11" t="s">
        <v>3754</v>
      </c>
      <c r="F242" s="11" t="s">
        <v>2295</v>
      </c>
      <c r="G242" s="25" t="s">
        <v>66</v>
      </c>
      <c r="H242" s="25" t="s">
        <v>71</v>
      </c>
      <c r="I242" s="25" t="s">
        <v>92</v>
      </c>
      <c r="J242" s="12"/>
      <c r="K242" s="31">
        <v>0</v>
      </c>
      <c r="L242" s="12" t="str">
        <f>"0,0000"</f>
        <v>0,0000</v>
      </c>
      <c r="M242" s="11"/>
    </row>
    <row r="243" spans="1:13">
      <c r="A243" s="12" t="s">
        <v>408</v>
      </c>
      <c r="B243" s="11" t="s">
        <v>2296</v>
      </c>
      <c r="C243" s="11" t="s">
        <v>2297</v>
      </c>
      <c r="D243" s="11" t="s">
        <v>1256</v>
      </c>
      <c r="E243" s="11" t="s">
        <v>3751</v>
      </c>
      <c r="F243" s="11" t="s">
        <v>3681</v>
      </c>
      <c r="G243" s="24" t="s">
        <v>70</v>
      </c>
      <c r="H243" s="24" t="s">
        <v>181</v>
      </c>
      <c r="I243" s="25" t="s">
        <v>67</v>
      </c>
      <c r="J243" s="12"/>
      <c r="K243" s="31" t="str">
        <f>"197,5"</f>
        <v>197,5</v>
      </c>
      <c r="L243" s="12" t="str">
        <f>"121,2453"</f>
        <v>121,2453</v>
      </c>
      <c r="M243" s="11"/>
    </row>
    <row r="244" spans="1:13">
      <c r="A244" s="12" t="s">
        <v>410</v>
      </c>
      <c r="B244" s="11" t="s">
        <v>2298</v>
      </c>
      <c r="C244" s="11" t="s">
        <v>2299</v>
      </c>
      <c r="D244" s="11" t="s">
        <v>1620</v>
      </c>
      <c r="E244" s="11" t="s">
        <v>3751</v>
      </c>
      <c r="F244" s="11" t="s">
        <v>3509</v>
      </c>
      <c r="G244" s="24" t="s">
        <v>29</v>
      </c>
      <c r="H244" s="25" t="s">
        <v>70</v>
      </c>
      <c r="I244" s="25" t="s">
        <v>70</v>
      </c>
      <c r="J244" s="12"/>
      <c r="K244" s="31" t="str">
        <f>"185,0"</f>
        <v>185,0</v>
      </c>
      <c r="L244" s="12" t="str">
        <f>"112,6835"</f>
        <v>112,6835</v>
      </c>
      <c r="M244" s="11" t="s">
        <v>2300</v>
      </c>
    </row>
    <row r="245" spans="1:13">
      <c r="A245" s="12" t="s">
        <v>411</v>
      </c>
      <c r="B245" s="11" t="s">
        <v>2301</v>
      </c>
      <c r="C245" s="11" t="s">
        <v>2302</v>
      </c>
      <c r="D245" s="11" t="s">
        <v>1632</v>
      </c>
      <c r="E245" s="11" t="s">
        <v>3751</v>
      </c>
      <c r="F245" s="11" t="s">
        <v>3682</v>
      </c>
      <c r="G245" s="25" t="s">
        <v>28</v>
      </c>
      <c r="H245" s="24" t="s">
        <v>28</v>
      </c>
      <c r="I245" s="24" t="s">
        <v>40</v>
      </c>
      <c r="J245" s="12"/>
      <c r="K245" s="31" t="str">
        <f>"180,0"</f>
        <v>180,0</v>
      </c>
      <c r="L245" s="12" t="str">
        <f>"110,2140"</f>
        <v>110,2140</v>
      </c>
      <c r="M245" s="11"/>
    </row>
    <row r="246" spans="1:13">
      <c r="A246" s="12" t="s">
        <v>413</v>
      </c>
      <c r="B246" s="11" t="s">
        <v>2303</v>
      </c>
      <c r="C246" s="11" t="s">
        <v>2304</v>
      </c>
      <c r="D246" s="11" t="s">
        <v>215</v>
      </c>
      <c r="E246" s="11" t="s">
        <v>3751</v>
      </c>
      <c r="F246" s="11" t="s">
        <v>3683</v>
      </c>
      <c r="G246" s="24" t="s">
        <v>226</v>
      </c>
      <c r="H246" s="25" t="s">
        <v>40</v>
      </c>
      <c r="I246" s="25" t="s">
        <v>29</v>
      </c>
      <c r="J246" s="12"/>
      <c r="K246" s="31" t="str">
        <f>"172,5"</f>
        <v>172,5</v>
      </c>
      <c r="L246" s="12" t="str">
        <f>"105,2422"</f>
        <v>105,2422</v>
      </c>
      <c r="M246" s="11" t="s">
        <v>72</v>
      </c>
    </row>
    <row r="247" spans="1:13">
      <c r="A247" s="12" t="s">
        <v>414</v>
      </c>
      <c r="B247" s="11" t="s">
        <v>2305</v>
      </c>
      <c r="C247" s="11" t="s">
        <v>2306</v>
      </c>
      <c r="D247" s="11" t="s">
        <v>747</v>
      </c>
      <c r="E247" s="11" t="s">
        <v>3751</v>
      </c>
      <c r="F247" s="11" t="s">
        <v>3509</v>
      </c>
      <c r="G247" s="24" t="s">
        <v>25</v>
      </c>
      <c r="H247" s="24" t="s">
        <v>46</v>
      </c>
      <c r="I247" s="24" t="s">
        <v>47</v>
      </c>
      <c r="J247" s="12"/>
      <c r="K247" s="31" t="str">
        <f>"162,5"</f>
        <v>162,5</v>
      </c>
      <c r="L247" s="12" t="str">
        <f>"99,0925"</f>
        <v>99,0925</v>
      </c>
      <c r="M247" s="11"/>
    </row>
    <row r="248" spans="1:13">
      <c r="A248" s="12" t="s">
        <v>415</v>
      </c>
      <c r="B248" s="11" t="s">
        <v>2307</v>
      </c>
      <c r="C248" s="11" t="s">
        <v>2308</v>
      </c>
      <c r="D248" s="11" t="s">
        <v>2309</v>
      </c>
      <c r="E248" s="11" t="s">
        <v>3751</v>
      </c>
      <c r="F248" s="11" t="s">
        <v>3509</v>
      </c>
      <c r="G248" s="24" t="s">
        <v>46</v>
      </c>
      <c r="H248" s="24" t="s">
        <v>36</v>
      </c>
      <c r="I248" s="25" t="s">
        <v>59</v>
      </c>
      <c r="J248" s="12"/>
      <c r="K248" s="31" t="str">
        <f>"160,0"</f>
        <v>160,0</v>
      </c>
      <c r="L248" s="12" t="str">
        <f>"97,7280"</f>
        <v>97,7280</v>
      </c>
      <c r="M248" s="11"/>
    </row>
    <row r="249" spans="1:13">
      <c r="A249" s="12" t="s">
        <v>416</v>
      </c>
      <c r="B249" s="11" t="s">
        <v>2310</v>
      </c>
      <c r="C249" s="11" t="s">
        <v>2311</v>
      </c>
      <c r="D249" s="11" t="s">
        <v>2312</v>
      </c>
      <c r="E249" s="11" t="s">
        <v>3751</v>
      </c>
      <c r="F249" s="11" t="s">
        <v>3684</v>
      </c>
      <c r="G249" s="24" t="s">
        <v>46</v>
      </c>
      <c r="H249" s="25" t="s">
        <v>47</v>
      </c>
      <c r="I249" s="25" t="s">
        <v>59</v>
      </c>
      <c r="J249" s="12"/>
      <c r="K249" s="31" t="str">
        <f>"155,0"</f>
        <v>155,0</v>
      </c>
      <c r="L249" s="12" t="str">
        <f>"98,8435"</f>
        <v>98,8435</v>
      </c>
      <c r="M249" s="11"/>
    </row>
    <row r="250" spans="1:13">
      <c r="A250" s="12" t="s">
        <v>417</v>
      </c>
      <c r="B250" s="11" t="s">
        <v>2313</v>
      </c>
      <c r="C250" s="11" t="s">
        <v>2314</v>
      </c>
      <c r="D250" s="11" t="s">
        <v>2315</v>
      </c>
      <c r="E250" s="11" t="s">
        <v>3751</v>
      </c>
      <c r="F250" s="11" t="s">
        <v>3509</v>
      </c>
      <c r="G250" s="24" t="s">
        <v>46</v>
      </c>
      <c r="H250" s="25" t="s">
        <v>494</v>
      </c>
      <c r="I250" s="25" t="s">
        <v>494</v>
      </c>
      <c r="J250" s="12"/>
      <c r="K250" s="31" t="str">
        <f>"155,0"</f>
        <v>155,0</v>
      </c>
      <c r="L250" s="12" t="str">
        <f>"97,4175"</f>
        <v>97,4175</v>
      </c>
      <c r="M250" s="11"/>
    </row>
    <row r="251" spans="1:13">
      <c r="A251" s="12" t="s">
        <v>1364</v>
      </c>
      <c r="B251" s="11" t="s">
        <v>2316</v>
      </c>
      <c r="C251" s="11" t="s">
        <v>2317</v>
      </c>
      <c r="D251" s="11" t="s">
        <v>2318</v>
      </c>
      <c r="E251" s="11" t="s">
        <v>3751</v>
      </c>
      <c r="F251" s="11" t="s">
        <v>3509</v>
      </c>
      <c r="G251" s="25" t="s">
        <v>78</v>
      </c>
      <c r="H251" s="24" t="s">
        <v>76</v>
      </c>
      <c r="I251" s="25" t="s">
        <v>521</v>
      </c>
      <c r="J251" s="12"/>
      <c r="K251" s="31" t="str">
        <f>"120,0"</f>
        <v>120,0</v>
      </c>
      <c r="L251" s="12" t="str">
        <f>"75,8160"</f>
        <v>75,8160</v>
      </c>
      <c r="M251" s="11" t="s">
        <v>2004</v>
      </c>
    </row>
    <row r="252" spans="1:13">
      <c r="A252" s="12" t="s">
        <v>412</v>
      </c>
      <c r="B252" s="11" t="s">
        <v>2319</v>
      </c>
      <c r="C252" s="11" t="s">
        <v>2320</v>
      </c>
      <c r="D252" s="11" t="s">
        <v>732</v>
      </c>
      <c r="E252" s="11" t="s">
        <v>3751</v>
      </c>
      <c r="F252" s="11" t="s">
        <v>3509</v>
      </c>
      <c r="G252" s="25" t="s">
        <v>521</v>
      </c>
      <c r="H252" s="25" t="s">
        <v>45</v>
      </c>
      <c r="I252" s="25" t="s">
        <v>45</v>
      </c>
      <c r="J252" s="12"/>
      <c r="K252" s="31">
        <v>0</v>
      </c>
      <c r="L252" s="12" t="str">
        <f>"0,0000"</f>
        <v>0,0000</v>
      </c>
      <c r="M252" s="11" t="s">
        <v>3182</v>
      </c>
    </row>
    <row r="253" spans="1:13">
      <c r="A253" s="12" t="s">
        <v>412</v>
      </c>
      <c r="B253" s="11" t="s">
        <v>3437</v>
      </c>
      <c r="C253" s="11" t="s">
        <v>713</v>
      </c>
      <c r="D253" s="11" t="s">
        <v>747</v>
      </c>
      <c r="E253" s="11" t="s">
        <v>3751</v>
      </c>
      <c r="F253" s="11" t="s">
        <v>2295</v>
      </c>
      <c r="G253" s="25" t="s">
        <v>66</v>
      </c>
      <c r="H253" s="25" t="s">
        <v>71</v>
      </c>
      <c r="I253" s="25" t="s">
        <v>92</v>
      </c>
      <c r="J253" s="12"/>
      <c r="K253" s="31">
        <v>0</v>
      </c>
      <c r="L253" s="12" t="str">
        <f>"0,0000"</f>
        <v>0,0000</v>
      </c>
      <c r="M253" s="11"/>
    </row>
    <row r="254" spans="1:13">
      <c r="A254" s="12" t="s">
        <v>408</v>
      </c>
      <c r="B254" s="11" t="s">
        <v>2321</v>
      </c>
      <c r="C254" s="11" t="s">
        <v>2322</v>
      </c>
      <c r="D254" s="11" t="s">
        <v>215</v>
      </c>
      <c r="E254" s="11" t="s">
        <v>3753</v>
      </c>
      <c r="F254" s="11" t="s">
        <v>3685</v>
      </c>
      <c r="G254" s="24" t="s">
        <v>180</v>
      </c>
      <c r="H254" s="25" t="s">
        <v>181</v>
      </c>
      <c r="I254" s="25" t="s">
        <v>181</v>
      </c>
      <c r="J254" s="12"/>
      <c r="K254" s="31" t="str">
        <f>"192,5"</f>
        <v>192,5</v>
      </c>
      <c r="L254" s="12" t="str">
        <f>"124,4909"</f>
        <v>124,4909</v>
      </c>
      <c r="M254" s="11" t="s">
        <v>3430</v>
      </c>
    </row>
    <row r="255" spans="1:13">
      <c r="A255" s="12" t="s">
        <v>410</v>
      </c>
      <c r="B255" s="11" t="s">
        <v>2323</v>
      </c>
      <c r="C255" s="11" t="s">
        <v>2324</v>
      </c>
      <c r="D255" s="11" t="s">
        <v>215</v>
      </c>
      <c r="E255" s="11" t="s">
        <v>3753</v>
      </c>
      <c r="F255" s="11" t="s">
        <v>3686</v>
      </c>
      <c r="G255" s="24" t="s">
        <v>226</v>
      </c>
      <c r="H255" s="24" t="s">
        <v>40</v>
      </c>
      <c r="I255" s="25" t="s">
        <v>29</v>
      </c>
      <c r="J255" s="12"/>
      <c r="K255" s="31" t="str">
        <f>"180,0"</f>
        <v>180,0</v>
      </c>
      <c r="L255" s="12" t="str">
        <f>"122,3372"</f>
        <v>122,3372</v>
      </c>
      <c r="M255" s="11"/>
    </row>
    <row r="256" spans="1:13">
      <c r="A256" s="12" t="s">
        <v>411</v>
      </c>
      <c r="B256" s="11" t="s">
        <v>2325</v>
      </c>
      <c r="C256" s="11" t="s">
        <v>2326</v>
      </c>
      <c r="D256" s="11" t="s">
        <v>732</v>
      </c>
      <c r="E256" s="11" t="s">
        <v>3753</v>
      </c>
      <c r="F256" s="11" t="s">
        <v>3626</v>
      </c>
      <c r="G256" s="24" t="s">
        <v>46</v>
      </c>
      <c r="H256" s="24" t="s">
        <v>36</v>
      </c>
      <c r="I256" s="25" t="s">
        <v>59</v>
      </c>
      <c r="J256" s="12"/>
      <c r="K256" s="31" t="str">
        <f>"160,0"</f>
        <v>160,0</v>
      </c>
      <c r="L256" s="12" t="str">
        <f>"99,5180"</f>
        <v>99,5180</v>
      </c>
      <c r="M256" s="11"/>
    </row>
    <row r="257" spans="1:13">
      <c r="A257" s="12" t="s">
        <v>413</v>
      </c>
      <c r="B257" s="11" t="s">
        <v>2327</v>
      </c>
      <c r="C257" s="11" t="s">
        <v>2328</v>
      </c>
      <c r="D257" s="11" t="s">
        <v>2309</v>
      </c>
      <c r="E257" s="11" t="s">
        <v>3753</v>
      </c>
      <c r="F257" s="11" t="s">
        <v>3599</v>
      </c>
      <c r="G257" s="24" t="s">
        <v>35</v>
      </c>
      <c r="H257" s="25" t="s">
        <v>46</v>
      </c>
      <c r="I257" s="25" t="s">
        <v>46</v>
      </c>
      <c r="J257" s="12"/>
      <c r="K257" s="31" t="str">
        <f>"150,0"</f>
        <v>150,0</v>
      </c>
      <c r="L257" s="12" t="str">
        <f>"95,6513"</f>
        <v>95,6513</v>
      </c>
      <c r="M257" s="11" t="s">
        <v>310</v>
      </c>
    </row>
    <row r="258" spans="1:13">
      <c r="A258" s="12" t="s">
        <v>414</v>
      </c>
      <c r="B258" s="11" t="s">
        <v>2329</v>
      </c>
      <c r="C258" s="11" t="s">
        <v>2330</v>
      </c>
      <c r="D258" s="11" t="s">
        <v>2331</v>
      </c>
      <c r="E258" s="11" t="s">
        <v>3753</v>
      </c>
      <c r="F258" s="11" t="s">
        <v>545</v>
      </c>
      <c r="G258" s="24" t="s">
        <v>132</v>
      </c>
      <c r="H258" s="24" t="s">
        <v>45</v>
      </c>
      <c r="I258" s="25" t="s">
        <v>25</v>
      </c>
      <c r="J258" s="12"/>
      <c r="K258" s="31" t="str">
        <f>"140,0"</f>
        <v>140,0</v>
      </c>
      <c r="L258" s="12" t="str">
        <f>"97,0968"</f>
        <v>97,0968</v>
      </c>
      <c r="M258" s="11"/>
    </row>
    <row r="259" spans="1:13">
      <c r="A259" s="12" t="s">
        <v>408</v>
      </c>
      <c r="B259" s="11" t="s">
        <v>2332</v>
      </c>
      <c r="C259" s="11" t="s">
        <v>2333</v>
      </c>
      <c r="D259" s="11" t="s">
        <v>244</v>
      </c>
      <c r="E259" s="11" t="s">
        <v>3756</v>
      </c>
      <c r="F259" s="11" t="s">
        <v>3512</v>
      </c>
      <c r="G259" s="24" t="s">
        <v>37</v>
      </c>
      <c r="H259" s="24" t="s">
        <v>226</v>
      </c>
      <c r="I259" s="24" t="s">
        <v>40</v>
      </c>
      <c r="J259" s="12"/>
      <c r="K259" s="31" t="str">
        <f>"180,0"</f>
        <v>180,0</v>
      </c>
      <c r="L259" s="12" t="str">
        <f>"130,6745"</f>
        <v>130,6745</v>
      </c>
      <c r="M259" s="11"/>
    </row>
    <row r="260" spans="1:13">
      <c r="A260" s="12" t="s">
        <v>410</v>
      </c>
      <c r="B260" s="11" t="s">
        <v>2334</v>
      </c>
      <c r="C260" s="11" t="s">
        <v>2335</v>
      </c>
      <c r="D260" s="11" t="s">
        <v>234</v>
      </c>
      <c r="E260" s="11" t="s">
        <v>3756</v>
      </c>
      <c r="F260" s="11" t="s">
        <v>3687</v>
      </c>
      <c r="G260" s="25" t="s">
        <v>59</v>
      </c>
      <c r="H260" s="25" t="s">
        <v>37</v>
      </c>
      <c r="I260" s="24" t="s">
        <v>28</v>
      </c>
      <c r="J260" s="12"/>
      <c r="K260" s="31" t="str">
        <f>"175,0"</f>
        <v>175,0</v>
      </c>
      <c r="L260" s="12" t="str">
        <f>"122,4808"</f>
        <v>122,4808</v>
      </c>
      <c r="M260" s="11"/>
    </row>
    <row r="261" spans="1:13">
      <c r="A261" s="12" t="s">
        <v>411</v>
      </c>
      <c r="B261" s="11" t="s">
        <v>2336</v>
      </c>
      <c r="C261" s="11" t="s">
        <v>2337</v>
      </c>
      <c r="D261" s="11" t="s">
        <v>1617</v>
      </c>
      <c r="E261" s="11" t="s">
        <v>3756</v>
      </c>
      <c r="F261" s="11" t="s">
        <v>3562</v>
      </c>
      <c r="G261" s="24" t="s">
        <v>47</v>
      </c>
      <c r="H261" s="25" t="s">
        <v>37</v>
      </c>
      <c r="I261" s="25" t="s">
        <v>37</v>
      </c>
      <c r="J261" s="12"/>
      <c r="K261" s="31" t="str">
        <f>"162,5"</f>
        <v>162,5</v>
      </c>
      <c r="L261" s="12" t="str">
        <f>"115,6009"</f>
        <v>115,6009</v>
      </c>
      <c r="M261" s="11" t="s">
        <v>2338</v>
      </c>
    </row>
    <row r="262" spans="1:13">
      <c r="A262" s="12" t="s">
        <v>413</v>
      </c>
      <c r="B262" s="11" t="s">
        <v>2339</v>
      </c>
      <c r="C262" s="11" t="s">
        <v>2340</v>
      </c>
      <c r="D262" s="11" t="s">
        <v>2341</v>
      </c>
      <c r="E262" s="11" t="s">
        <v>3756</v>
      </c>
      <c r="F262" s="11" t="s">
        <v>3509</v>
      </c>
      <c r="G262" s="24" t="s">
        <v>26</v>
      </c>
      <c r="H262" s="24" t="s">
        <v>494</v>
      </c>
      <c r="I262" s="25" t="s">
        <v>47</v>
      </c>
      <c r="J262" s="12"/>
      <c r="K262" s="31" t="str">
        <f>"157,5"</f>
        <v>157,5</v>
      </c>
      <c r="L262" s="12" t="str">
        <f>"129,8221"</f>
        <v>129,8221</v>
      </c>
      <c r="M262" s="11"/>
    </row>
    <row r="263" spans="1:13">
      <c r="A263" s="12" t="s">
        <v>414</v>
      </c>
      <c r="B263" s="11" t="s">
        <v>1679</v>
      </c>
      <c r="C263" s="11" t="s">
        <v>1680</v>
      </c>
      <c r="D263" s="11" t="s">
        <v>1624</v>
      </c>
      <c r="E263" s="11" t="s">
        <v>3756</v>
      </c>
      <c r="F263" s="11" t="s">
        <v>3528</v>
      </c>
      <c r="G263" s="24" t="s">
        <v>85</v>
      </c>
      <c r="H263" s="24" t="s">
        <v>25</v>
      </c>
      <c r="I263" s="24" t="s">
        <v>35</v>
      </c>
      <c r="J263" s="12"/>
      <c r="K263" s="31" t="str">
        <f>"150,0"</f>
        <v>150,0</v>
      </c>
      <c r="L263" s="12" t="str">
        <f>"117,7398"</f>
        <v>117,7398</v>
      </c>
      <c r="M263" s="11"/>
    </row>
    <row r="264" spans="1:13">
      <c r="A264" s="12" t="s">
        <v>412</v>
      </c>
      <c r="B264" s="11" t="s">
        <v>1674</v>
      </c>
      <c r="C264" s="11" t="s">
        <v>1675</v>
      </c>
      <c r="D264" s="11" t="s">
        <v>1683</v>
      </c>
      <c r="E264" s="11" t="s">
        <v>3756</v>
      </c>
      <c r="F264" s="11" t="s">
        <v>3688</v>
      </c>
      <c r="G264" s="25" t="s">
        <v>71</v>
      </c>
      <c r="H264" s="25" t="s">
        <v>67</v>
      </c>
      <c r="I264" s="25" t="s">
        <v>67</v>
      </c>
      <c r="J264" s="12"/>
      <c r="K264" s="31">
        <v>0</v>
      </c>
      <c r="L264" s="12" t="str">
        <f>"0,0000"</f>
        <v>0,0000</v>
      </c>
      <c r="M264" s="11" t="s">
        <v>1676</v>
      </c>
    </row>
    <row r="265" spans="1:13">
      <c r="A265" s="14" t="s">
        <v>412</v>
      </c>
      <c r="B265" s="13" t="s">
        <v>2342</v>
      </c>
      <c r="C265" s="13" t="s">
        <v>2343</v>
      </c>
      <c r="D265" s="13" t="s">
        <v>732</v>
      </c>
      <c r="E265" s="13" t="s">
        <v>3756</v>
      </c>
      <c r="F265" s="13" t="s">
        <v>3658</v>
      </c>
      <c r="G265" s="27" t="s">
        <v>47</v>
      </c>
      <c r="H265" s="27" t="s">
        <v>59</v>
      </c>
      <c r="I265" s="14"/>
      <c r="J265" s="14"/>
      <c r="K265" s="32">
        <v>0</v>
      </c>
      <c r="L265" s="14" t="str">
        <f>"0,0000"</f>
        <v>0,0000</v>
      </c>
      <c r="M265" s="13" t="s">
        <v>2344</v>
      </c>
    </row>
    <row r="266" spans="1:13">
      <c r="B266" s="5" t="s">
        <v>409</v>
      </c>
    </row>
    <row r="267" spans="1:13" ht="16">
      <c r="A267" s="57" t="s">
        <v>258</v>
      </c>
      <c r="B267" s="57"/>
      <c r="C267" s="57"/>
      <c r="D267" s="57"/>
      <c r="E267" s="57"/>
      <c r="F267" s="57"/>
      <c r="G267" s="57"/>
      <c r="H267" s="57"/>
      <c r="I267" s="57"/>
      <c r="J267" s="57"/>
    </row>
    <row r="268" spans="1:13">
      <c r="A268" s="10" t="s">
        <v>408</v>
      </c>
      <c r="B268" s="9" t="s">
        <v>2345</v>
      </c>
      <c r="C268" s="9" t="s">
        <v>2346</v>
      </c>
      <c r="D268" s="9" t="s">
        <v>2347</v>
      </c>
      <c r="E268" s="9" t="s">
        <v>3752</v>
      </c>
      <c r="F268" s="9" t="s">
        <v>3548</v>
      </c>
      <c r="G268" s="23" t="s">
        <v>45</v>
      </c>
      <c r="H268" s="23" t="s">
        <v>25</v>
      </c>
      <c r="I268" s="23" t="s">
        <v>253</v>
      </c>
      <c r="J268" s="10"/>
      <c r="K268" s="30" t="str">
        <f>"147,5"</f>
        <v>147,5</v>
      </c>
      <c r="L268" s="10" t="str">
        <f>"88,1460"</f>
        <v>88,1460</v>
      </c>
      <c r="M268" s="9"/>
    </row>
    <row r="269" spans="1:13">
      <c r="A269" s="12" t="s">
        <v>408</v>
      </c>
      <c r="B269" s="11" t="s">
        <v>2348</v>
      </c>
      <c r="C269" s="11" t="s">
        <v>2349</v>
      </c>
      <c r="D269" s="11" t="s">
        <v>2350</v>
      </c>
      <c r="E269" s="11" t="s">
        <v>3754</v>
      </c>
      <c r="F269" s="11" t="s">
        <v>3689</v>
      </c>
      <c r="G269" s="24" t="s">
        <v>37</v>
      </c>
      <c r="H269" s="25" t="s">
        <v>61</v>
      </c>
      <c r="I269" s="25" t="s">
        <v>40</v>
      </c>
      <c r="J269" s="12"/>
      <c r="K269" s="31" t="str">
        <f>"170,0"</f>
        <v>170,0</v>
      </c>
      <c r="L269" s="12" t="str">
        <f>"102,0000"</f>
        <v>102,0000</v>
      </c>
      <c r="M269" s="11" t="s">
        <v>2351</v>
      </c>
    </row>
    <row r="270" spans="1:13">
      <c r="A270" s="12" t="s">
        <v>410</v>
      </c>
      <c r="B270" s="11" t="s">
        <v>2352</v>
      </c>
      <c r="C270" s="11" t="s">
        <v>2353</v>
      </c>
      <c r="D270" s="11" t="s">
        <v>544</v>
      </c>
      <c r="E270" s="11" t="s">
        <v>3754</v>
      </c>
      <c r="F270" s="11" t="s">
        <v>3518</v>
      </c>
      <c r="G270" s="24" t="s">
        <v>69</v>
      </c>
      <c r="H270" s="25" t="s">
        <v>39</v>
      </c>
      <c r="I270" s="25" t="s">
        <v>39</v>
      </c>
      <c r="J270" s="12"/>
      <c r="K270" s="31" t="str">
        <f>"95,0"</f>
        <v>95,0</v>
      </c>
      <c r="L270" s="12" t="str">
        <f>"55,9550"</f>
        <v>55,9550</v>
      </c>
      <c r="M270" s="11" t="s">
        <v>2004</v>
      </c>
    </row>
    <row r="271" spans="1:13">
      <c r="A271" s="12" t="s">
        <v>408</v>
      </c>
      <c r="B271" s="11" t="s">
        <v>2354</v>
      </c>
      <c r="C271" s="11" t="s">
        <v>2355</v>
      </c>
      <c r="D271" s="11" t="s">
        <v>1445</v>
      </c>
      <c r="E271" s="11" t="s">
        <v>3751</v>
      </c>
      <c r="F271" s="11" t="s">
        <v>3531</v>
      </c>
      <c r="G271" s="24" t="s">
        <v>70</v>
      </c>
      <c r="H271" s="24" t="s">
        <v>66</v>
      </c>
      <c r="I271" s="24" t="s">
        <v>181</v>
      </c>
      <c r="J271" s="12"/>
      <c r="K271" s="31" t="str">
        <f>"197,5"</f>
        <v>197,5</v>
      </c>
      <c r="L271" s="12" t="str">
        <f>"116,5645"</f>
        <v>116,5645</v>
      </c>
      <c r="M271" s="11"/>
    </row>
    <row r="272" spans="1:13">
      <c r="A272" s="12" t="s">
        <v>410</v>
      </c>
      <c r="B272" s="11" t="s">
        <v>2356</v>
      </c>
      <c r="C272" s="11" t="s">
        <v>2357</v>
      </c>
      <c r="D272" s="11" t="s">
        <v>762</v>
      </c>
      <c r="E272" s="11" t="s">
        <v>3751</v>
      </c>
      <c r="F272" s="11" t="s">
        <v>3509</v>
      </c>
      <c r="G272" s="24" t="s">
        <v>29</v>
      </c>
      <c r="H272" s="25" t="s">
        <v>92</v>
      </c>
      <c r="I272" s="25" t="s">
        <v>92</v>
      </c>
      <c r="J272" s="12"/>
      <c r="K272" s="31" t="str">
        <f>"185,0"</f>
        <v>185,0</v>
      </c>
      <c r="L272" s="12" t="str">
        <f>"109,0945"</f>
        <v>109,0945</v>
      </c>
      <c r="M272" s="11"/>
    </row>
    <row r="273" spans="1:13">
      <c r="A273" s="12" t="s">
        <v>411</v>
      </c>
      <c r="B273" s="11" t="s">
        <v>2358</v>
      </c>
      <c r="C273" s="11" t="s">
        <v>2359</v>
      </c>
      <c r="D273" s="11" t="s">
        <v>1296</v>
      </c>
      <c r="E273" s="11" t="s">
        <v>3751</v>
      </c>
      <c r="F273" s="11" t="s">
        <v>3509</v>
      </c>
      <c r="G273" s="24" t="s">
        <v>37</v>
      </c>
      <c r="H273" s="24" t="s">
        <v>61</v>
      </c>
      <c r="I273" s="24" t="s">
        <v>113</v>
      </c>
      <c r="J273" s="12"/>
      <c r="K273" s="31" t="str">
        <f>"182,5"</f>
        <v>182,5</v>
      </c>
      <c r="L273" s="12" t="str">
        <f>"108,9525"</f>
        <v>108,9525</v>
      </c>
      <c r="M273" s="11"/>
    </row>
    <row r="274" spans="1:13">
      <c r="A274" s="12" t="s">
        <v>413</v>
      </c>
      <c r="B274" s="11" t="s">
        <v>2360</v>
      </c>
      <c r="C274" s="11" t="s">
        <v>2361</v>
      </c>
      <c r="D274" s="11" t="s">
        <v>1735</v>
      </c>
      <c r="E274" s="11" t="s">
        <v>3751</v>
      </c>
      <c r="F274" s="11" t="s">
        <v>3512</v>
      </c>
      <c r="G274" s="24" t="s">
        <v>46</v>
      </c>
      <c r="H274" s="24" t="s">
        <v>47</v>
      </c>
      <c r="I274" s="25" t="s">
        <v>187</v>
      </c>
      <c r="J274" s="12"/>
      <c r="K274" s="31" t="str">
        <f>"162,5"</f>
        <v>162,5</v>
      </c>
      <c r="L274" s="12" t="str">
        <f>"98,1338"</f>
        <v>98,1338</v>
      </c>
      <c r="M274" s="11" t="s">
        <v>1890</v>
      </c>
    </row>
    <row r="275" spans="1:13">
      <c r="A275" s="12" t="s">
        <v>414</v>
      </c>
      <c r="B275" s="11" t="s">
        <v>2362</v>
      </c>
      <c r="C275" s="11" t="s">
        <v>1061</v>
      </c>
      <c r="D275" s="11" t="s">
        <v>1304</v>
      </c>
      <c r="E275" s="11" t="s">
        <v>3751</v>
      </c>
      <c r="F275" s="11" t="s">
        <v>3648</v>
      </c>
      <c r="G275" s="24" t="s">
        <v>76</v>
      </c>
      <c r="H275" s="24" t="s">
        <v>132</v>
      </c>
      <c r="I275" s="25" t="s">
        <v>253</v>
      </c>
      <c r="J275" s="12"/>
      <c r="K275" s="31" t="str">
        <f>"130,0"</f>
        <v>130,0</v>
      </c>
      <c r="L275" s="12" t="str">
        <f>"77,1810"</f>
        <v>77,1810</v>
      </c>
      <c r="M275" s="11" t="s">
        <v>3413</v>
      </c>
    </row>
    <row r="276" spans="1:13">
      <c r="A276" s="12" t="s">
        <v>412</v>
      </c>
      <c r="B276" s="11" t="s">
        <v>2363</v>
      </c>
      <c r="C276" s="11" t="s">
        <v>2364</v>
      </c>
      <c r="D276" s="11" t="s">
        <v>754</v>
      </c>
      <c r="E276" s="11" t="s">
        <v>3751</v>
      </c>
      <c r="F276" s="11" t="s">
        <v>3690</v>
      </c>
      <c r="G276" s="25" t="s">
        <v>187</v>
      </c>
      <c r="H276" s="25" t="s">
        <v>187</v>
      </c>
      <c r="I276" s="12"/>
      <c r="J276" s="12"/>
      <c r="K276" s="31">
        <v>0</v>
      </c>
      <c r="L276" s="12" t="str">
        <f>"0,0000"</f>
        <v>0,0000</v>
      </c>
      <c r="M276" s="11"/>
    </row>
    <row r="277" spans="1:13">
      <c r="A277" s="12" t="s">
        <v>408</v>
      </c>
      <c r="B277" s="11" t="s">
        <v>2365</v>
      </c>
      <c r="C277" s="11" t="s">
        <v>2366</v>
      </c>
      <c r="D277" s="11" t="s">
        <v>2367</v>
      </c>
      <c r="E277" s="11" t="s">
        <v>3753</v>
      </c>
      <c r="F277" s="11" t="s">
        <v>3508</v>
      </c>
      <c r="G277" s="24" t="s">
        <v>29</v>
      </c>
      <c r="H277" s="25" t="s">
        <v>70</v>
      </c>
      <c r="I277" s="25" t="s">
        <v>70</v>
      </c>
      <c r="J277" s="12"/>
      <c r="K277" s="31" t="str">
        <f>"185,0"</f>
        <v>185,0</v>
      </c>
      <c r="L277" s="12" t="str">
        <f>"112,9479"</f>
        <v>112,9479</v>
      </c>
      <c r="M277" s="11" t="s">
        <v>2368</v>
      </c>
    </row>
    <row r="278" spans="1:13">
      <c r="A278" s="12" t="s">
        <v>410</v>
      </c>
      <c r="B278" s="11" t="s">
        <v>2358</v>
      </c>
      <c r="C278" s="11" t="s">
        <v>2369</v>
      </c>
      <c r="D278" s="11" t="s">
        <v>1296</v>
      </c>
      <c r="E278" s="11" t="s">
        <v>3753</v>
      </c>
      <c r="F278" s="11" t="s">
        <v>3509</v>
      </c>
      <c r="G278" s="24" t="s">
        <v>37</v>
      </c>
      <c r="H278" s="24" t="s">
        <v>61</v>
      </c>
      <c r="I278" s="24" t="s">
        <v>113</v>
      </c>
      <c r="J278" s="12"/>
      <c r="K278" s="31" t="str">
        <f>"182,5"</f>
        <v>182,5</v>
      </c>
      <c r="L278" s="12" t="str">
        <f>"119,4119"</f>
        <v>119,4119</v>
      </c>
      <c r="M278" s="11"/>
    </row>
    <row r="279" spans="1:13">
      <c r="A279" s="12" t="s">
        <v>411</v>
      </c>
      <c r="B279" s="11" t="s">
        <v>2370</v>
      </c>
      <c r="C279" s="11" t="s">
        <v>2371</v>
      </c>
      <c r="D279" s="11" t="s">
        <v>2372</v>
      </c>
      <c r="E279" s="11" t="s">
        <v>3753</v>
      </c>
      <c r="F279" s="11" t="s">
        <v>3577</v>
      </c>
      <c r="G279" s="25" t="s">
        <v>28</v>
      </c>
      <c r="H279" s="24" t="s">
        <v>40</v>
      </c>
      <c r="I279" s="25" t="s">
        <v>29</v>
      </c>
      <c r="J279" s="12"/>
      <c r="K279" s="31" t="str">
        <f>"180,0"</f>
        <v>180,0</v>
      </c>
      <c r="L279" s="12" t="str">
        <f>"105,9840"</f>
        <v>105,9840</v>
      </c>
      <c r="M279" s="11"/>
    </row>
    <row r="280" spans="1:13">
      <c r="A280" s="12" t="s">
        <v>408</v>
      </c>
      <c r="B280" s="11" t="s">
        <v>2373</v>
      </c>
      <c r="C280" s="11" t="s">
        <v>2374</v>
      </c>
      <c r="D280" s="11" t="s">
        <v>268</v>
      </c>
      <c r="E280" s="11" t="s">
        <v>3756</v>
      </c>
      <c r="F280" s="11" t="s">
        <v>3523</v>
      </c>
      <c r="G280" s="24" t="s">
        <v>40</v>
      </c>
      <c r="H280" s="24" t="s">
        <v>29</v>
      </c>
      <c r="I280" s="25" t="s">
        <v>70</v>
      </c>
      <c r="J280" s="12"/>
      <c r="K280" s="31" t="str">
        <f>"185,0"</f>
        <v>185,0</v>
      </c>
      <c r="L280" s="12" t="str">
        <f>"128,2003"</f>
        <v>128,2003</v>
      </c>
      <c r="M280" s="11" t="s">
        <v>2375</v>
      </c>
    </row>
    <row r="281" spans="1:13">
      <c r="A281" s="12" t="s">
        <v>410</v>
      </c>
      <c r="B281" s="11" t="s">
        <v>2376</v>
      </c>
      <c r="C281" s="11" t="s">
        <v>2377</v>
      </c>
      <c r="D281" s="11" t="s">
        <v>548</v>
      </c>
      <c r="E281" s="11" t="s">
        <v>3756</v>
      </c>
      <c r="F281" s="11" t="s">
        <v>3509</v>
      </c>
      <c r="G281" s="24" t="s">
        <v>37</v>
      </c>
      <c r="H281" s="24" t="s">
        <v>61</v>
      </c>
      <c r="I281" s="25" t="s">
        <v>113</v>
      </c>
      <c r="J281" s="12"/>
      <c r="K281" s="31" t="str">
        <f>"177,5"</f>
        <v>177,5</v>
      </c>
      <c r="L281" s="12" t="str">
        <f>"124,5614"</f>
        <v>124,5614</v>
      </c>
      <c r="M281" s="11"/>
    </row>
    <row r="282" spans="1:13">
      <c r="A282" s="12" t="s">
        <v>411</v>
      </c>
      <c r="B282" s="11" t="s">
        <v>2378</v>
      </c>
      <c r="C282" s="11" t="s">
        <v>2379</v>
      </c>
      <c r="D282" s="11" t="s">
        <v>1310</v>
      </c>
      <c r="E282" s="11" t="s">
        <v>3756</v>
      </c>
      <c r="F282" s="11" t="s">
        <v>3626</v>
      </c>
      <c r="G282" s="25" t="s">
        <v>35</v>
      </c>
      <c r="H282" s="24" t="s">
        <v>35</v>
      </c>
      <c r="I282" s="25" t="s">
        <v>46</v>
      </c>
      <c r="J282" s="12"/>
      <c r="K282" s="31" t="str">
        <f>"150,0"</f>
        <v>150,0</v>
      </c>
      <c r="L282" s="12" t="str">
        <f>"119,3332"</f>
        <v>119,3332</v>
      </c>
      <c r="M282" s="11" t="s">
        <v>3431</v>
      </c>
    </row>
    <row r="283" spans="1:13">
      <c r="A283" s="14" t="s">
        <v>408</v>
      </c>
      <c r="B283" s="13" t="s">
        <v>2380</v>
      </c>
      <c r="C283" s="13" t="s">
        <v>2381</v>
      </c>
      <c r="D283" s="13" t="s">
        <v>2382</v>
      </c>
      <c r="E283" s="13" t="s">
        <v>3757</v>
      </c>
      <c r="F283" s="13" t="s">
        <v>493</v>
      </c>
      <c r="G283" s="27" t="s">
        <v>36</v>
      </c>
      <c r="H283" s="26" t="s">
        <v>36</v>
      </c>
      <c r="I283" s="14"/>
      <c r="J283" s="14"/>
      <c r="K283" s="32" t="str">
        <f>"160,0"</f>
        <v>160,0</v>
      </c>
      <c r="L283" s="14" t="str">
        <f>"139,9440"</f>
        <v>139,9440</v>
      </c>
      <c r="M283" s="13"/>
    </row>
    <row r="284" spans="1:13">
      <c r="B284" s="5" t="s">
        <v>409</v>
      </c>
    </row>
    <row r="285" spans="1:13" ht="16">
      <c r="A285" s="57" t="s">
        <v>280</v>
      </c>
      <c r="B285" s="57"/>
      <c r="C285" s="57"/>
      <c r="D285" s="57"/>
      <c r="E285" s="57"/>
      <c r="F285" s="57"/>
      <c r="G285" s="57"/>
      <c r="H285" s="57"/>
      <c r="I285" s="57"/>
      <c r="J285" s="57"/>
    </row>
    <row r="286" spans="1:13">
      <c r="A286" s="10" t="s">
        <v>408</v>
      </c>
      <c r="B286" s="9" t="s">
        <v>2383</v>
      </c>
      <c r="C286" s="9" t="s">
        <v>2384</v>
      </c>
      <c r="D286" s="9" t="s">
        <v>554</v>
      </c>
      <c r="E286" s="9" t="s">
        <v>3754</v>
      </c>
      <c r="F286" s="9" t="s">
        <v>3509</v>
      </c>
      <c r="G286" s="23" t="s">
        <v>180</v>
      </c>
      <c r="H286" s="23" t="s">
        <v>181</v>
      </c>
      <c r="I286" s="23" t="s">
        <v>92</v>
      </c>
      <c r="J286" s="10"/>
      <c r="K286" s="30" t="str">
        <f>"202,5"</f>
        <v>202,5</v>
      </c>
      <c r="L286" s="10" t="str">
        <f>"115,4857"</f>
        <v>115,4857</v>
      </c>
      <c r="M286" s="9"/>
    </row>
    <row r="287" spans="1:13">
      <c r="A287" s="12" t="s">
        <v>408</v>
      </c>
      <c r="B287" s="11" t="s">
        <v>2385</v>
      </c>
      <c r="C287" s="11" t="s">
        <v>2386</v>
      </c>
      <c r="D287" s="11" t="s">
        <v>2387</v>
      </c>
      <c r="E287" s="11" t="s">
        <v>3751</v>
      </c>
      <c r="F287" s="11" t="s">
        <v>3553</v>
      </c>
      <c r="G287" s="24" t="s">
        <v>133</v>
      </c>
      <c r="H287" s="24" t="s">
        <v>633</v>
      </c>
      <c r="I287" s="25" t="s">
        <v>119</v>
      </c>
      <c r="J287" s="12"/>
      <c r="K287" s="31" t="str">
        <f>"251,0"</f>
        <v>251,0</v>
      </c>
      <c r="L287" s="12" t="str">
        <f>"143,4465"</f>
        <v>143,4465</v>
      </c>
      <c r="M287" s="11"/>
    </row>
    <row r="288" spans="1:13">
      <c r="A288" s="12" t="s">
        <v>410</v>
      </c>
      <c r="B288" s="11" t="s">
        <v>2388</v>
      </c>
      <c r="C288" s="11" t="s">
        <v>2389</v>
      </c>
      <c r="D288" s="11" t="s">
        <v>2390</v>
      </c>
      <c r="E288" s="11" t="s">
        <v>3751</v>
      </c>
      <c r="F288" s="11" t="s">
        <v>3630</v>
      </c>
      <c r="G288" s="24" t="s">
        <v>67</v>
      </c>
      <c r="H288" s="24" t="s">
        <v>83</v>
      </c>
      <c r="I288" s="24" t="s">
        <v>68</v>
      </c>
      <c r="J288" s="12"/>
      <c r="K288" s="31" t="str">
        <f>"215,0"</f>
        <v>215,0</v>
      </c>
      <c r="L288" s="12" t="str">
        <f>"122,6360"</f>
        <v>122,6360</v>
      </c>
      <c r="M288" s="11" t="s">
        <v>2391</v>
      </c>
    </row>
    <row r="289" spans="1:13">
      <c r="A289" s="12" t="s">
        <v>411</v>
      </c>
      <c r="B289" s="11" t="s">
        <v>2392</v>
      </c>
      <c r="C289" s="11" t="s">
        <v>2393</v>
      </c>
      <c r="D289" s="11" t="s">
        <v>2394</v>
      </c>
      <c r="E289" s="11" t="s">
        <v>3751</v>
      </c>
      <c r="F289" s="11" t="s">
        <v>3626</v>
      </c>
      <c r="G289" s="24" t="s">
        <v>71</v>
      </c>
      <c r="H289" s="24" t="s">
        <v>83</v>
      </c>
      <c r="I289" s="25" t="s">
        <v>210</v>
      </c>
      <c r="J289" s="12"/>
      <c r="K289" s="31" t="str">
        <f>"210,0"</f>
        <v>210,0</v>
      </c>
      <c r="L289" s="12" t="str">
        <f>"120,3300"</f>
        <v>120,3300</v>
      </c>
      <c r="M289" s="11" t="s">
        <v>192</v>
      </c>
    </row>
    <row r="290" spans="1:13">
      <c r="A290" s="12" t="s">
        <v>413</v>
      </c>
      <c r="B290" s="11" t="s">
        <v>2395</v>
      </c>
      <c r="C290" s="11" t="s">
        <v>2396</v>
      </c>
      <c r="D290" s="11" t="s">
        <v>1758</v>
      </c>
      <c r="E290" s="11" t="s">
        <v>3751</v>
      </c>
      <c r="F290" s="11" t="s">
        <v>3509</v>
      </c>
      <c r="G290" s="24" t="s">
        <v>113</v>
      </c>
      <c r="H290" s="25" t="s">
        <v>180</v>
      </c>
      <c r="I290" s="24" t="s">
        <v>92</v>
      </c>
      <c r="J290" s="12"/>
      <c r="K290" s="31" t="str">
        <f>"202,5"</f>
        <v>202,5</v>
      </c>
      <c r="L290" s="12" t="str">
        <f>"115,8098"</f>
        <v>115,8098</v>
      </c>
      <c r="M290" s="11" t="s">
        <v>3432</v>
      </c>
    </row>
    <row r="291" spans="1:13">
      <c r="A291" s="12" t="s">
        <v>414</v>
      </c>
      <c r="B291" s="11" t="s">
        <v>2397</v>
      </c>
      <c r="C291" s="11" t="s">
        <v>2398</v>
      </c>
      <c r="D291" s="11" t="s">
        <v>2399</v>
      </c>
      <c r="E291" s="11" t="s">
        <v>3751</v>
      </c>
      <c r="F291" s="11" t="s">
        <v>3597</v>
      </c>
      <c r="G291" s="24" t="s">
        <v>66</v>
      </c>
      <c r="H291" s="25" t="s">
        <v>92</v>
      </c>
      <c r="I291" s="25" t="s">
        <v>92</v>
      </c>
      <c r="J291" s="12"/>
      <c r="K291" s="31" t="str">
        <f>"195,0"</f>
        <v>195,0</v>
      </c>
      <c r="L291" s="12" t="str">
        <f>"112,8660"</f>
        <v>112,8660</v>
      </c>
      <c r="M291" s="11" t="s">
        <v>310</v>
      </c>
    </row>
    <row r="292" spans="1:13">
      <c r="A292" s="12" t="s">
        <v>415</v>
      </c>
      <c r="B292" s="11" t="s">
        <v>2400</v>
      </c>
      <c r="C292" s="11" t="s">
        <v>2401</v>
      </c>
      <c r="D292" s="11" t="s">
        <v>2402</v>
      </c>
      <c r="E292" s="11" t="s">
        <v>3751</v>
      </c>
      <c r="F292" s="11" t="s">
        <v>3509</v>
      </c>
      <c r="G292" s="24" t="s">
        <v>61</v>
      </c>
      <c r="H292" s="25" t="s">
        <v>40</v>
      </c>
      <c r="I292" s="24" t="s">
        <v>40</v>
      </c>
      <c r="J292" s="12"/>
      <c r="K292" s="31" t="str">
        <f>"180,0"</f>
        <v>180,0</v>
      </c>
      <c r="L292" s="12" t="str">
        <f>"103,0680"</f>
        <v>103,0680</v>
      </c>
      <c r="M292" s="11" t="s">
        <v>3433</v>
      </c>
    </row>
    <row r="293" spans="1:13">
      <c r="A293" s="12" t="s">
        <v>416</v>
      </c>
      <c r="B293" s="11" t="s">
        <v>2403</v>
      </c>
      <c r="C293" s="11" t="s">
        <v>2404</v>
      </c>
      <c r="D293" s="11" t="s">
        <v>2405</v>
      </c>
      <c r="E293" s="11" t="s">
        <v>3751</v>
      </c>
      <c r="F293" s="11" t="s">
        <v>3509</v>
      </c>
      <c r="G293" s="24" t="s">
        <v>37</v>
      </c>
      <c r="H293" s="25" t="s">
        <v>28</v>
      </c>
      <c r="I293" s="24" t="s">
        <v>28</v>
      </c>
      <c r="J293" s="12"/>
      <c r="K293" s="31" t="str">
        <f>"175,0"</f>
        <v>175,0</v>
      </c>
      <c r="L293" s="12" t="str">
        <f>"101,9550"</f>
        <v>101,9550</v>
      </c>
      <c r="M293" s="11"/>
    </row>
    <row r="294" spans="1:13">
      <c r="A294" s="12" t="s">
        <v>408</v>
      </c>
      <c r="B294" s="11" t="s">
        <v>2406</v>
      </c>
      <c r="C294" s="11" t="s">
        <v>2407</v>
      </c>
      <c r="D294" s="11" t="s">
        <v>2408</v>
      </c>
      <c r="E294" s="11" t="s">
        <v>3753</v>
      </c>
      <c r="F294" s="11" t="s">
        <v>3691</v>
      </c>
      <c r="G294" s="24" t="s">
        <v>28</v>
      </c>
      <c r="H294" s="25" t="s">
        <v>113</v>
      </c>
      <c r="I294" s="24" t="s">
        <v>113</v>
      </c>
      <c r="J294" s="12"/>
      <c r="K294" s="31" t="str">
        <f>"182,5"</f>
        <v>182,5</v>
      </c>
      <c r="L294" s="12" t="str">
        <f>"117,2717"</f>
        <v>117,2717</v>
      </c>
      <c r="M294" s="11"/>
    </row>
    <row r="295" spans="1:13">
      <c r="A295" s="12" t="s">
        <v>410</v>
      </c>
      <c r="B295" s="11" t="s">
        <v>2409</v>
      </c>
      <c r="C295" s="11" t="s">
        <v>2410</v>
      </c>
      <c r="D295" s="11" t="s">
        <v>2411</v>
      </c>
      <c r="E295" s="11" t="s">
        <v>3753</v>
      </c>
      <c r="F295" s="11" t="s">
        <v>3692</v>
      </c>
      <c r="G295" s="24" t="s">
        <v>36</v>
      </c>
      <c r="H295" s="24" t="s">
        <v>37</v>
      </c>
      <c r="I295" s="24" t="s">
        <v>61</v>
      </c>
      <c r="J295" s="12"/>
      <c r="K295" s="31" t="str">
        <f>"177,5"</f>
        <v>177,5</v>
      </c>
      <c r="L295" s="12" t="str">
        <f>"109,8232"</f>
        <v>109,8232</v>
      </c>
      <c r="M295" s="11"/>
    </row>
    <row r="296" spans="1:13">
      <c r="A296" s="12" t="s">
        <v>408</v>
      </c>
      <c r="B296" s="11" t="s">
        <v>2412</v>
      </c>
      <c r="C296" s="11" t="s">
        <v>2413</v>
      </c>
      <c r="D296" s="11" t="s">
        <v>2414</v>
      </c>
      <c r="E296" s="11" t="s">
        <v>3756</v>
      </c>
      <c r="F296" s="11" t="s">
        <v>3509</v>
      </c>
      <c r="G296" s="24" t="s">
        <v>71</v>
      </c>
      <c r="H296" s="25" t="s">
        <v>309</v>
      </c>
      <c r="I296" s="25" t="s">
        <v>309</v>
      </c>
      <c r="J296" s="12"/>
      <c r="K296" s="31" t="str">
        <f>"200,0"</f>
        <v>200,0</v>
      </c>
      <c r="L296" s="12" t="str">
        <f>"133,4790"</f>
        <v>133,4790</v>
      </c>
      <c r="M296" s="11" t="s">
        <v>2415</v>
      </c>
    </row>
    <row r="297" spans="1:13">
      <c r="A297" s="14" t="s">
        <v>408</v>
      </c>
      <c r="B297" s="13" t="s">
        <v>1792</v>
      </c>
      <c r="C297" s="13" t="s">
        <v>1793</v>
      </c>
      <c r="D297" s="13" t="s">
        <v>1794</v>
      </c>
      <c r="E297" s="13" t="s">
        <v>3757</v>
      </c>
      <c r="F297" s="13" t="s">
        <v>3597</v>
      </c>
      <c r="G297" s="26" t="s">
        <v>25</v>
      </c>
      <c r="H297" s="26" t="s">
        <v>35</v>
      </c>
      <c r="I297" s="27" t="s">
        <v>46</v>
      </c>
      <c r="J297" s="14"/>
      <c r="K297" s="32" t="str">
        <f>"150,0"</f>
        <v>150,0</v>
      </c>
      <c r="L297" s="14" t="str">
        <f>"140,3763"</f>
        <v>140,3763</v>
      </c>
      <c r="M297" s="13"/>
    </row>
    <row r="298" spans="1:13">
      <c r="B298" s="5" t="s">
        <v>409</v>
      </c>
    </row>
    <row r="299" spans="1:13" ht="16">
      <c r="A299" s="57" t="s">
        <v>328</v>
      </c>
      <c r="B299" s="57"/>
      <c r="C299" s="57"/>
      <c r="D299" s="57"/>
      <c r="E299" s="57"/>
      <c r="F299" s="57"/>
      <c r="G299" s="57"/>
      <c r="H299" s="57"/>
      <c r="I299" s="57"/>
      <c r="J299" s="57"/>
    </row>
    <row r="300" spans="1:13">
      <c r="A300" s="10" t="s">
        <v>408</v>
      </c>
      <c r="B300" s="9" t="s">
        <v>3438</v>
      </c>
      <c r="C300" s="9" t="s">
        <v>2416</v>
      </c>
      <c r="D300" s="9" t="s">
        <v>2417</v>
      </c>
      <c r="E300" s="9" t="s">
        <v>3751</v>
      </c>
      <c r="F300" s="9" t="s">
        <v>1521</v>
      </c>
      <c r="G300" s="23" t="s">
        <v>29</v>
      </c>
      <c r="H300" s="23" t="s">
        <v>70</v>
      </c>
      <c r="I300" s="22" t="s">
        <v>180</v>
      </c>
      <c r="J300" s="10"/>
      <c r="K300" s="30" t="str">
        <f>"190,0"</f>
        <v>190,0</v>
      </c>
      <c r="L300" s="10" t="str">
        <f>"108,1860"</f>
        <v>108,1860</v>
      </c>
      <c r="M300" s="9"/>
    </row>
    <row r="301" spans="1:13">
      <c r="A301" s="14" t="s">
        <v>408</v>
      </c>
      <c r="B301" s="13" t="s">
        <v>2418</v>
      </c>
      <c r="C301" s="13" t="s">
        <v>2419</v>
      </c>
      <c r="D301" s="13" t="s">
        <v>2420</v>
      </c>
      <c r="E301" s="13" t="s">
        <v>3753</v>
      </c>
      <c r="F301" s="13" t="s">
        <v>3693</v>
      </c>
      <c r="G301" s="26" t="s">
        <v>71</v>
      </c>
      <c r="H301" s="27" t="s">
        <v>92</v>
      </c>
      <c r="I301" s="27" t="s">
        <v>2421</v>
      </c>
      <c r="J301" s="14"/>
      <c r="K301" s="32" t="str">
        <f>"200,0"</f>
        <v>200,0</v>
      </c>
      <c r="L301" s="14" t="str">
        <f>"125,6146"</f>
        <v>125,6146</v>
      </c>
      <c r="M301" s="13"/>
    </row>
    <row r="302" spans="1:13">
      <c r="B302" s="5" t="s">
        <v>409</v>
      </c>
    </row>
    <row r="303" spans="1:13">
      <c r="B303" s="5" t="s">
        <v>409</v>
      </c>
    </row>
    <row r="304" spans="1:13">
      <c r="B304" s="5" t="s">
        <v>409</v>
      </c>
    </row>
    <row r="305" spans="2:6" ht="18">
      <c r="B305" s="15" t="s">
        <v>365</v>
      </c>
      <c r="C305" s="15"/>
      <c r="F305" s="3"/>
    </row>
    <row r="306" spans="2:6" ht="16">
      <c r="B306" s="16" t="s">
        <v>366</v>
      </c>
      <c r="C306" s="16"/>
      <c r="F306" s="3"/>
    </row>
    <row r="307" spans="2:6" ht="14">
      <c r="B307" s="17"/>
      <c r="C307" s="18" t="s">
        <v>1332</v>
      </c>
      <c r="F307" s="3"/>
    </row>
    <row r="308" spans="2:6" ht="14">
      <c r="B308" s="19" t="s">
        <v>368</v>
      </c>
      <c r="C308" s="19" t="s">
        <v>369</v>
      </c>
      <c r="D308" s="19" t="s">
        <v>3230</v>
      </c>
      <c r="E308" s="19" t="s">
        <v>1456</v>
      </c>
      <c r="F308" s="19" t="s">
        <v>372</v>
      </c>
    </row>
    <row r="309" spans="2:6">
      <c r="B309" s="5" t="s">
        <v>1858</v>
      </c>
      <c r="C309" s="5" t="s">
        <v>387</v>
      </c>
      <c r="D309" s="6" t="s">
        <v>1333</v>
      </c>
      <c r="E309" s="6" t="s">
        <v>53</v>
      </c>
      <c r="F309" s="6" t="s">
        <v>2422</v>
      </c>
    </row>
    <row r="310" spans="2:6">
      <c r="B310" s="5" t="s">
        <v>917</v>
      </c>
      <c r="C310" s="5" t="s">
        <v>387</v>
      </c>
      <c r="D310" s="6" t="s">
        <v>376</v>
      </c>
      <c r="E310" s="6" t="s">
        <v>53</v>
      </c>
      <c r="F310" s="6" t="s">
        <v>2423</v>
      </c>
    </row>
    <row r="311" spans="2:6">
      <c r="B311" s="5" t="s">
        <v>1836</v>
      </c>
      <c r="C311" s="5" t="s">
        <v>1334</v>
      </c>
      <c r="D311" s="6" t="s">
        <v>2424</v>
      </c>
      <c r="E311" s="6" t="s">
        <v>864</v>
      </c>
      <c r="F311" s="6" t="s">
        <v>2425</v>
      </c>
    </row>
    <row r="313" spans="2:6" ht="14">
      <c r="B313" s="17"/>
      <c r="C313" s="18" t="s">
        <v>367</v>
      </c>
    </row>
    <row r="314" spans="2:6" ht="14">
      <c r="B314" s="19" t="s">
        <v>368</v>
      </c>
      <c r="C314" s="19" t="s">
        <v>369</v>
      </c>
      <c r="D314" s="19" t="s">
        <v>3230</v>
      </c>
      <c r="E314" s="19" t="s">
        <v>1456</v>
      </c>
      <c r="F314" s="19" t="s">
        <v>372</v>
      </c>
    </row>
    <row r="315" spans="2:6">
      <c r="B315" s="5" t="s">
        <v>425</v>
      </c>
      <c r="C315" s="5" t="s">
        <v>367</v>
      </c>
      <c r="D315" s="6" t="s">
        <v>384</v>
      </c>
      <c r="E315" s="6" t="s">
        <v>39</v>
      </c>
      <c r="F315" s="6" t="s">
        <v>2426</v>
      </c>
    </row>
    <row r="316" spans="2:6">
      <c r="B316" s="5" t="s">
        <v>421</v>
      </c>
      <c r="C316" s="5" t="s">
        <v>367</v>
      </c>
      <c r="D316" s="6" t="s">
        <v>384</v>
      </c>
      <c r="E316" s="6" t="s">
        <v>38</v>
      </c>
      <c r="F316" s="6" t="s">
        <v>2427</v>
      </c>
    </row>
    <row r="317" spans="2:6">
      <c r="B317" s="5" t="s">
        <v>1882</v>
      </c>
      <c r="C317" s="5" t="s">
        <v>367</v>
      </c>
      <c r="D317" s="6" t="s">
        <v>384</v>
      </c>
      <c r="E317" s="6" t="s">
        <v>435</v>
      </c>
      <c r="F317" s="6" t="s">
        <v>2428</v>
      </c>
    </row>
    <row r="319" spans="2:6" ht="14">
      <c r="B319" s="17"/>
      <c r="C319" s="18" t="s">
        <v>382</v>
      </c>
    </row>
    <row r="320" spans="2:6" ht="14">
      <c r="B320" s="19" t="s">
        <v>368</v>
      </c>
      <c r="C320" s="19" t="s">
        <v>369</v>
      </c>
      <c r="D320" s="19" t="s">
        <v>3230</v>
      </c>
      <c r="E320" s="19" t="s">
        <v>1456</v>
      </c>
      <c r="F320" s="19" t="s">
        <v>372</v>
      </c>
    </row>
    <row r="321" spans="2:6">
      <c r="B321" s="5" t="s">
        <v>1942</v>
      </c>
      <c r="C321" s="5" t="s">
        <v>1358</v>
      </c>
      <c r="D321" s="6" t="s">
        <v>569</v>
      </c>
      <c r="E321" s="6" t="s">
        <v>19</v>
      </c>
      <c r="F321" s="6" t="s">
        <v>2429</v>
      </c>
    </row>
    <row r="322" spans="2:6">
      <c r="B322" s="5" t="s">
        <v>1885</v>
      </c>
      <c r="C322" s="5" t="s">
        <v>383</v>
      </c>
      <c r="D322" s="6" t="s">
        <v>384</v>
      </c>
      <c r="E322" s="6" t="s">
        <v>435</v>
      </c>
      <c r="F322" s="6" t="s">
        <v>2430</v>
      </c>
    </row>
    <row r="323" spans="2:6">
      <c r="B323" s="5" t="s">
        <v>1866</v>
      </c>
      <c r="C323" s="5" t="s">
        <v>383</v>
      </c>
      <c r="D323" s="6" t="s">
        <v>1333</v>
      </c>
      <c r="E323" s="6" t="s">
        <v>889</v>
      </c>
      <c r="F323" s="6" t="s">
        <v>2431</v>
      </c>
    </row>
    <row r="325" spans="2:6" ht="16">
      <c r="B325" s="16" t="s">
        <v>385</v>
      </c>
      <c r="C325" s="16"/>
    </row>
    <row r="326" spans="2:6" ht="14">
      <c r="B326" s="17"/>
      <c r="C326" s="18" t="s">
        <v>386</v>
      </c>
    </row>
    <row r="327" spans="2:6" ht="14">
      <c r="B327" s="19" t="s">
        <v>368</v>
      </c>
      <c r="C327" s="19" t="s">
        <v>369</v>
      </c>
      <c r="D327" s="19" t="s">
        <v>3230</v>
      </c>
      <c r="E327" s="19" t="s">
        <v>1456</v>
      </c>
      <c r="F327" s="19" t="s">
        <v>372</v>
      </c>
    </row>
    <row r="328" spans="2:6">
      <c r="B328" s="5" t="s">
        <v>2274</v>
      </c>
      <c r="C328" s="5" t="s">
        <v>387</v>
      </c>
      <c r="D328" s="6" t="s">
        <v>390</v>
      </c>
      <c r="E328" s="6" t="s">
        <v>28</v>
      </c>
      <c r="F328" s="6" t="s">
        <v>2432</v>
      </c>
    </row>
    <row r="329" spans="2:6">
      <c r="B329" s="5" t="s">
        <v>2277</v>
      </c>
      <c r="C329" s="5" t="s">
        <v>387</v>
      </c>
      <c r="D329" s="6" t="s">
        <v>390</v>
      </c>
      <c r="E329" s="6" t="s">
        <v>59</v>
      </c>
      <c r="F329" s="6" t="s">
        <v>2433</v>
      </c>
    </row>
    <row r="330" spans="2:6">
      <c r="B330" s="5" t="s">
        <v>1986</v>
      </c>
      <c r="C330" s="5" t="s">
        <v>387</v>
      </c>
      <c r="D330" s="6" t="s">
        <v>379</v>
      </c>
      <c r="E330" s="6" t="s">
        <v>84</v>
      </c>
      <c r="F330" s="6" t="s">
        <v>2434</v>
      </c>
    </row>
    <row r="332" spans="2:6" ht="14">
      <c r="B332" s="17"/>
      <c r="C332" s="18" t="s">
        <v>388</v>
      </c>
    </row>
    <row r="333" spans="2:6" ht="14">
      <c r="B333" s="19" t="s">
        <v>368</v>
      </c>
      <c r="C333" s="19" t="s">
        <v>369</v>
      </c>
      <c r="D333" s="19" t="s">
        <v>3230</v>
      </c>
      <c r="E333" s="19" t="s">
        <v>1456</v>
      </c>
      <c r="F333" s="19" t="s">
        <v>372</v>
      </c>
    </row>
    <row r="334" spans="2:6">
      <c r="B334" s="5" t="s">
        <v>2281</v>
      </c>
      <c r="C334" s="5" t="s">
        <v>388</v>
      </c>
      <c r="D334" s="6" t="s">
        <v>390</v>
      </c>
      <c r="E334" s="6" t="s">
        <v>70</v>
      </c>
      <c r="F334" s="6" t="s">
        <v>2435</v>
      </c>
    </row>
    <row r="335" spans="2:6">
      <c r="B335" s="5" t="s">
        <v>2383</v>
      </c>
      <c r="C335" s="5" t="s">
        <v>388</v>
      </c>
      <c r="D335" s="6" t="s">
        <v>397</v>
      </c>
      <c r="E335" s="6" t="s">
        <v>92</v>
      </c>
      <c r="F335" s="6" t="s">
        <v>2436</v>
      </c>
    </row>
    <row r="336" spans="2:6">
      <c r="B336" s="5" t="s">
        <v>1022</v>
      </c>
      <c r="C336" s="5" t="s">
        <v>388</v>
      </c>
      <c r="D336" s="6" t="s">
        <v>1333</v>
      </c>
      <c r="E336" s="6" t="s">
        <v>54</v>
      </c>
      <c r="F336" s="6" t="s">
        <v>2437</v>
      </c>
    </row>
    <row r="338" spans="2:6" ht="14">
      <c r="B338" s="17"/>
      <c r="C338" s="18" t="s">
        <v>367</v>
      </c>
    </row>
    <row r="339" spans="2:6" ht="14">
      <c r="B339" s="19" t="s">
        <v>368</v>
      </c>
      <c r="C339" s="19" t="s">
        <v>369</v>
      </c>
      <c r="D339" s="19" t="s">
        <v>3230</v>
      </c>
      <c r="E339" s="19" t="s">
        <v>1456</v>
      </c>
      <c r="F339" s="19" t="s">
        <v>372</v>
      </c>
    </row>
    <row r="340" spans="2:6">
      <c r="B340" s="5" t="s">
        <v>2385</v>
      </c>
      <c r="C340" s="5" t="s">
        <v>367</v>
      </c>
      <c r="D340" s="6" t="s">
        <v>397</v>
      </c>
      <c r="E340" s="6" t="s">
        <v>633</v>
      </c>
      <c r="F340" s="6" t="s">
        <v>2438</v>
      </c>
    </row>
    <row r="341" spans="2:6">
      <c r="B341" s="5" t="s">
        <v>2170</v>
      </c>
      <c r="C341" s="5" t="s">
        <v>367</v>
      </c>
      <c r="D341" s="6" t="s">
        <v>394</v>
      </c>
      <c r="E341" s="6" t="s">
        <v>67</v>
      </c>
      <c r="F341" s="6" t="s">
        <v>2439</v>
      </c>
    </row>
    <row r="342" spans="2:6">
      <c r="B342" s="5" t="s">
        <v>2172</v>
      </c>
      <c r="C342" s="5" t="s">
        <v>367</v>
      </c>
      <c r="D342" s="6" t="s">
        <v>394</v>
      </c>
      <c r="E342" s="6" t="s">
        <v>92</v>
      </c>
      <c r="F342" s="6" t="s">
        <v>2440</v>
      </c>
    </row>
    <row r="344" spans="2:6" ht="14">
      <c r="B344" s="17"/>
      <c r="C344" s="18" t="s">
        <v>382</v>
      </c>
    </row>
    <row r="345" spans="2:6" ht="14">
      <c r="B345" s="19" t="s">
        <v>368</v>
      </c>
      <c r="C345" s="19" t="s">
        <v>369</v>
      </c>
      <c r="D345" s="19" t="s">
        <v>3230</v>
      </c>
      <c r="E345" s="19" t="s">
        <v>1456</v>
      </c>
      <c r="F345" s="19" t="s">
        <v>372</v>
      </c>
    </row>
    <row r="346" spans="2:6">
      <c r="B346" s="5" t="s">
        <v>2149</v>
      </c>
      <c r="C346" s="5" t="s">
        <v>2441</v>
      </c>
      <c r="D346" s="6" t="s">
        <v>373</v>
      </c>
      <c r="E346" s="6" t="s">
        <v>77</v>
      </c>
      <c r="F346" s="6" t="s">
        <v>2442</v>
      </c>
    </row>
    <row r="347" spans="2:6">
      <c r="B347" s="5" t="s">
        <v>1603</v>
      </c>
      <c r="C347" s="5" t="s">
        <v>400</v>
      </c>
      <c r="D347" s="6" t="s">
        <v>394</v>
      </c>
      <c r="E347" s="6" t="s">
        <v>77</v>
      </c>
      <c r="F347" s="6" t="s">
        <v>1830</v>
      </c>
    </row>
    <row r="348" spans="2:6">
      <c r="B348" s="5" t="s">
        <v>2137</v>
      </c>
      <c r="C348" s="5" t="s">
        <v>1358</v>
      </c>
      <c r="D348" s="6" t="s">
        <v>373</v>
      </c>
      <c r="E348" s="6" t="s">
        <v>187</v>
      </c>
      <c r="F348" s="6" t="s">
        <v>2443</v>
      </c>
    </row>
    <row r="349" spans="2:6">
      <c r="B349" s="5" t="s">
        <v>409</v>
      </c>
    </row>
  </sheetData>
  <mergeCells count="28">
    <mergeCell ref="A1:M2"/>
    <mergeCell ref="A3:A4"/>
    <mergeCell ref="C3:C4"/>
    <mergeCell ref="D3:D4"/>
    <mergeCell ref="E3:E4"/>
    <mergeCell ref="F3:F4"/>
    <mergeCell ref="G3:J3"/>
    <mergeCell ref="A65:J65"/>
    <mergeCell ref="K3:K4"/>
    <mergeCell ref="L3:L4"/>
    <mergeCell ref="M3:M4"/>
    <mergeCell ref="A5:J5"/>
    <mergeCell ref="A233:J233"/>
    <mergeCell ref="A267:J267"/>
    <mergeCell ref="A285:J285"/>
    <mergeCell ref="A299:J299"/>
    <mergeCell ref="B3:B4"/>
    <mergeCell ref="A76:J76"/>
    <mergeCell ref="A83:J83"/>
    <mergeCell ref="A93:J93"/>
    <mergeCell ref="A112:J112"/>
    <mergeCell ref="A133:J133"/>
    <mergeCell ref="A174:J174"/>
    <mergeCell ref="A10:J10"/>
    <mergeCell ref="A16:J16"/>
    <mergeCell ref="A26:J26"/>
    <mergeCell ref="A37:J37"/>
    <mergeCell ref="A48:J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WRPF ПЛ без экипировки ДК</vt:lpstr>
      <vt:lpstr>WRPF ПЛ без экипировки</vt:lpstr>
      <vt:lpstr>WRPF ПЛ в бинтах ДК</vt:lpstr>
      <vt:lpstr>WRPF ПЛ в бинтах</vt:lpstr>
      <vt:lpstr>WEPF ПЛ однослой ДК</vt:lpstr>
      <vt:lpstr>WRPF Двоеборье без экип ДК</vt:lpstr>
      <vt:lpstr>WRPF Двоеборье без экип</vt:lpstr>
      <vt:lpstr>WEPF Двоеборье экип</vt:lpstr>
      <vt:lpstr>WRPF Жим лежа без экип ДК</vt:lpstr>
      <vt:lpstr>WRPF Жим лежа без экип</vt:lpstr>
      <vt:lpstr>WEPF Жим однослой ДК</vt:lpstr>
      <vt:lpstr>WEPF Жим многослой ДК</vt:lpstr>
      <vt:lpstr>WEPF Жим однослой</vt:lpstr>
      <vt:lpstr>WEPF Жим софт однопетельная ДК</vt:lpstr>
      <vt:lpstr>WEPF Жим софт однопетельная</vt:lpstr>
      <vt:lpstr>WEPF Жим софт многопетельнаяДК</vt:lpstr>
      <vt:lpstr>WEPF Жим софт многопетельная</vt:lpstr>
      <vt:lpstr>WRPF Жим СФО</vt:lpstr>
      <vt:lpstr>WRPF Тяга без экипировки ДК</vt:lpstr>
      <vt:lpstr>WRPF Тяга без экипировки</vt:lpstr>
      <vt:lpstr>WEPF Тяга экип ДК</vt:lpstr>
      <vt:lpstr>WEPF Тяга экип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2021-12-22T19:47:46Z</dcterms:modified>
</cp:coreProperties>
</file>