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29C94DE4-FF69-2B47-B0FB-05E7164032BA}" xr6:coauthVersionLast="45" xr6:coauthVersionMax="45" xr10:uidLastSave="{00000000-0000-0000-0000-000000000000}"/>
  <bookViews>
    <workbookView xWindow="480" yWindow="460" windowWidth="28320" windowHeight="15900" activeTab="15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однослой" sheetId="7" r:id="rId4"/>
    <sheet name="IPL Двоеборье без экип ДК" sheetId="34" r:id="rId5"/>
    <sheet name="IPL Присед без экипировки ДК" sheetId="30" r:id="rId6"/>
    <sheet name="IPL Присед без экипировки" sheetId="29" r:id="rId7"/>
    <sheet name="IPL Присед однослой" sheetId="27" r:id="rId8"/>
    <sheet name="IPL Жим без экипировки ДК" sheetId="14" r:id="rId9"/>
    <sheet name="IPL Жим без экипировки" sheetId="13" r:id="rId10"/>
    <sheet name="IPL Жим однослой" sheetId="15" r:id="rId11"/>
    <sheet name="СПР Жим софт однопетельная ДК" sheetId="38" r:id="rId12"/>
    <sheet name="СПР Жим софт однопетельная" sheetId="37" r:id="rId13"/>
    <sheet name="IPL Тяга без экипировки ДК" sheetId="20" r:id="rId14"/>
    <sheet name="IPL Тяга без экипировки" sheetId="19" r:id="rId15"/>
    <sheet name="IPL Тяга однослой" sheetId="2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38" l="1"/>
  <c r="K20" i="38"/>
  <c r="L19" i="38"/>
  <c r="K19" i="38"/>
  <c r="L16" i="38"/>
  <c r="K16" i="38"/>
  <c r="L15" i="38"/>
  <c r="K15" i="38"/>
  <c r="L14" i="38"/>
  <c r="K14" i="38"/>
  <c r="L11" i="38"/>
  <c r="K11" i="38"/>
  <c r="L10" i="38"/>
  <c r="K10" i="38"/>
  <c r="L7" i="38"/>
  <c r="L6" i="38"/>
  <c r="K6" i="38"/>
  <c r="L20" i="37"/>
  <c r="K20" i="37"/>
  <c r="L17" i="37"/>
  <c r="K17" i="37"/>
  <c r="L14" i="37"/>
  <c r="K14" i="37"/>
  <c r="L13" i="37"/>
  <c r="K13" i="37"/>
  <c r="L12" i="37"/>
  <c r="K12" i="37"/>
  <c r="L9" i="37"/>
  <c r="K9" i="37"/>
  <c r="L6" i="37"/>
  <c r="K6" i="37"/>
  <c r="P12" i="34"/>
  <c r="O12" i="34"/>
  <c r="P9" i="34"/>
  <c r="O9" i="34"/>
  <c r="P6" i="34"/>
  <c r="O6" i="34"/>
  <c r="L15" i="30"/>
  <c r="K15" i="30"/>
  <c r="L12" i="30"/>
  <c r="K12" i="30"/>
  <c r="L9" i="30"/>
  <c r="K9" i="30"/>
  <c r="L6" i="30"/>
  <c r="K6" i="30"/>
  <c r="L10" i="29"/>
  <c r="K10" i="29"/>
  <c r="L9" i="29"/>
  <c r="K9" i="29"/>
  <c r="L6" i="29"/>
  <c r="K6" i="29"/>
  <c r="L7" i="27"/>
  <c r="K7" i="27"/>
  <c r="L6" i="27"/>
  <c r="K6" i="27"/>
  <c r="L10" i="23"/>
  <c r="K10" i="23"/>
  <c r="L9" i="23"/>
  <c r="K9" i="23"/>
  <c r="L6" i="23"/>
  <c r="K6" i="23"/>
  <c r="L49" i="20"/>
  <c r="K49" i="20"/>
  <c r="L46" i="20"/>
  <c r="K46" i="20"/>
  <c r="L45" i="20"/>
  <c r="K45" i="20"/>
  <c r="L44" i="20"/>
  <c r="K44" i="20"/>
  <c r="L41" i="20"/>
  <c r="K41" i="20"/>
  <c r="L38" i="20"/>
  <c r="K38" i="20"/>
  <c r="L37" i="20"/>
  <c r="K37" i="20"/>
  <c r="L36" i="20"/>
  <c r="K36" i="20"/>
  <c r="L33" i="20"/>
  <c r="K33" i="20"/>
  <c r="L32" i="20"/>
  <c r="K32" i="20"/>
  <c r="L31" i="20"/>
  <c r="K31" i="20"/>
  <c r="L30" i="20"/>
  <c r="K30" i="20"/>
  <c r="L27" i="20"/>
  <c r="K27" i="20"/>
  <c r="L26" i="20"/>
  <c r="K26" i="20"/>
  <c r="L25" i="20"/>
  <c r="K25" i="20"/>
  <c r="L22" i="20"/>
  <c r="K22" i="20"/>
  <c r="L21" i="20"/>
  <c r="K21" i="20"/>
  <c r="L20" i="20"/>
  <c r="K20" i="20"/>
  <c r="L17" i="20"/>
  <c r="K17" i="20"/>
  <c r="L16" i="20"/>
  <c r="K16" i="20"/>
  <c r="L15" i="20"/>
  <c r="K15" i="20"/>
  <c r="L12" i="20"/>
  <c r="K12" i="20"/>
  <c r="L9" i="20"/>
  <c r="K9" i="20"/>
  <c r="L6" i="20"/>
  <c r="K6" i="20"/>
  <c r="L26" i="19"/>
  <c r="K26" i="19"/>
  <c r="L23" i="19"/>
  <c r="K23" i="19"/>
  <c r="L22" i="19"/>
  <c r="K22" i="19"/>
  <c r="L19" i="19"/>
  <c r="K19" i="19"/>
  <c r="L18" i="19"/>
  <c r="K18" i="19"/>
  <c r="L17" i="19"/>
  <c r="K17" i="19"/>
  <c r="L16" i="19"/>
  <c r="K16" i="19"/>
  <c r="L13" i="19"/>
  <c r="K13" i="19"/>
  <c r="L10" i="19"/>
  <c r="K10" i="19"/>
  <c r="L9" i="19"/>
  <c r="K9" i="19"/>
  <c r="L6" i="19"/>
  <c r="K6" i="19"/>
  <c r="L7" i="15"/>
  <c r="K7" i="15"/>
  <c r="L6" i="15"/>
  <c r="K6" i="15"/>
  <c r="L72" i="14"/>
  <c r="K72" i="14"/>
  <c r="L69" i="14"/>
  <c r="K69" i="14"/>
  <c r="L68" i="14"/>
  <c r="K68" i="14"/>
  <c r="L67" i="14"/>
  <c r="K67" i="14"/>
  <c r="L64" i="14"/>
  <c r="K64" i="14"/>
  <c r="L63" i="14"/>
  <c r="K63" i="14"/>
  <c r="L60" i="14"/>
  <c r="K60" i="14"/>
  <c r="L57" i="14"/>
  <c r="K57" i="14"/>
  <c r="L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4" i="14"/>
  <c r="K24" i="14"/>
  <c r="L23" i="14"/>
  <c r="L22" i="14"/>
  <c r="K22" i="14"/>
  <c r="L19" i="14"/>
  <c r="K19" i="14"/>
  <c r="L18" i="14"/>
  <c r="K18" i="14"/>
  <c r="L15" i="14"/>
  <c r="K15" i="14"/>
  <c r="L12" i="14"/>
  <c r="K12" i="14"/>
  <c r="L9" i="14"/>
  <c r="K9" i="14"/>
  <c r="L6" i="14"/>
  <c r="K6" i="14"/>
  <c r="L43" i="13"/>
  <c r="K43" i="13"/>
  <c r="L42" i="13"/>
  <c r="K42" i="13"/>
  <c r="L41" i="13"/>
  <c r="K41" i="13"/>
  <c r="L38" i="13"/>
  <c r="K38" i="13"/>
  <c r="L37" i="13"/>
  <c r="K37" i="13"/>
  <c r="L36" i="13"/>
  <c r="K36" i="13"/>
  <c r="L35" i="13"/>
  <c r="K35" i="13"/>
  <c r="L34" i="13"/>
  <c r="K34" i="13"/>
  <c r="L31" i="13"/>
  <c r="K31" i="13"/>
  <c r="L30" i="13"/>
  <c r="K30" i="13"/>
  <c r="L29" i="13"/>
  <c r="L28" i="13"/>
  <c r="L27" i="13"/>
  <c r="K27" i="13"/>
  <c r="L26" i="13"/>
  <c r="K26" i="13"/>
  <c r="L25" i="13"/>
  <c r="K25" i="13"/>
  <c r="L24" i="13"/>
  <c r="K24" i="13"/>
  <c r="L23" i="13"/>
  <c r="K23" i="13"/>
  <c r="L20" i="13"/>
  <c r="K20" i="13"/>
  <c r="L19" i="13"/>
  <c r="K19" i="13"/>
  <c r="L18" i="13"/>
  <c r="K18" i="13"/>
  <c r="L15" i="13"/>
  <c r="K15" i="13"/>
  <c r="L14" i="13"/>
  <c r="K14" i="13"/>
  <c r="L13" i="13"/>
  <c r="K13" i="13"/>
  <c r="L10" i="13"/>
  <c r="K10" i="13"/>
  <c r="L9" i="13"/>
  <c r="K9" i="13"/>
  <c r="L6" i="13"/>
  <c r="K6" i="13"/>
  <c r="T6" i="12"/>
  <c r="T69" i="10"/>
  <c r="S69" i="10"/>
  <c r="T66" i="10"/>
  <c r="S66" i="10"/>
  <c r="T65" i="10"/>
  <c r="S65" i="10"/>
  <c r="T64" i="10"/>
  <c r="S64" i="10"/>
  <c r="T61" i="10"/>
  <c r="S61" i="10"/>
  <c r="T60" i="10"/>
  <c r="S60" i="10"/>
  <c r="T59" i="10"/>
  <c r="S59" i="10"/>
  <c r="T56" i="10"/>
  <c r="S56" i="10"/>
  <c r="T55" i="10"/>
  <c r="S55" i="10"/>
  <c r="T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3" i="10"/>
  <c r="S43" i="10"/>
  <c r="T42" i="10"/>
  <c r="S42" i="10"/>
  <c r="T39" i="10"/>
  <c r="S39" i="10"/>
  <c r="T36" i="10"/>
  <c r="S36" i="10"/>
  <c r="T35" i="10"/>
  <c r="S35" i="10"/>
  <c r="T34" i="10"/>
  <c r="S34" i="10"/>
  <c r="T31" i="10"/>
  <c r="S31" i="10"/>
  <c r="T28" i="10"/>
  <c r="S28" i="10"/>
  <c r="T27" i="10"/>
  <c r="S27" i="10"/>
  <c r="T26" i="10"/>
  <c r="S26" i="10"/>
  <c r="T23" i="10"/>
  <c r="T22" i="10"/>
  <c r="S22" i="10"/>
  <c r="T19" i="10"/>
  <c r="S19" i="10"/>
  <c r="T18" i="10"/>
  <c r="S18" i="10"/>
  <c r="T17" i="10"/>
  <c r="S17" i="10"/>
  <c r="T14" i="10"/>
  <c r="S14" i="10"/>
  <c r="T13" i="10"/>
  <c r="S13" i="10"/>
  <c r="T10" i="10"/>
  <c r="S10" i="10"/>
  <c r="T7" i="10"/>
  <c r="S7" i="10"/>
  <c r="T6" i="10"/>
  <c r="S6" i="10"/>
  <c r="T28" i="9"/>
  <c r="S28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6" i="9"/>
  <c r="S16" i="9"/>
  <c r="T13" i="9"/>
  <c r="S13" i="9"/>
  <c r="T10" i="9"/>
  <c r="S10" i="9"/>
  <c r="T7" i="9"/>
  <c r="S7" i="9"/>
  <c r="T6" i="9"/>
  <c r="S6" i="9"/>
  <c r="T10" i="7"/>
  <c r="S10" i="7"/>
  <c r="T7" i="7"/>
  <c r="S7" i="7"/>
  <c r="T6" i="7"/>
  <c r="S6" i="7"/>
</calcChain>
</file>

<file path=xl/sharedStrings.xml><?xml version="1.0" encoding="utf-8"?>
<sst xmlns="http://schemas.openxmlformats.org/spreadsheetml/2006/main" count="2735" uniqueCount="606">
  <si>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</si>
  <si>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</si>
  <si>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</si>
  <si>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</si>
  <si>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</si>
  <si>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</si>
  <si>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</si>
  <si>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</si>
  <si>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</si>
  <si>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</si>
  <si>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</si>
  <si>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</si>
  <si>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100</t>
  </si>
  <si>
    <t>Свобода Евгений</t>
  </si>
  <si>
    <t>Открытая (23.03.1972)/49</t>
  </si>
  <si>
    <t>93,70</t>
  </si>
  <si>
    <t>235,0</t>
  </si>
  <si>
    <t>255,0</t>
  </si>
  <si>
    <t>272,5</t>
  </si>
  <si>
    <t>165,0</t>
  </si>
  <si>
    <t>175,0</t>
  </si>
  <si>
    <t>225,0</t>
  </si>
  <si>
    <t>250,0</t>
  </si>
  <si>
    <t>262,5</t>
  </si>
  <si>
    <t>ВЕСОВАЯ КАТЕГОРИЯ   110</t>
  </si>
  <si>
    <t>Цабут Станислав</t>
  </si>
  <si>
    <t>Открытая (08.12.1992)/28</t>
  </si>
  <si>
    <t>107,70</t>
  </si>
  <si>
    <t xml:space="preserve">Норильск/Красноярский край </t>
  </si>
  <si>
    <t>265,0</t>
  </si>
  <si>
    <t>275,0</t>
  </si>
  <si>
    <t>190,0</t>
  </si>
  <si>
    <t>200,0</t>
  </si>
  <si>
    <t>210,0</t>
  </si>
  <si>
    <t>285,0</t>
  </si>
  <si>
    <t>295,0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</si>
  <si>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</si>
  <si>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</si>
  <si>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</si>
  <si>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</si>
  <si>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</si>
  <si>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</si>
  <si>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</si>
  <si>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</si>
  <si>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100</t>
  </si>
  <si>
    <t xml:space="preserve">Мастера </t>
  </si>
  <si>
    <t>1</t>
  </si>
  <si>
    <t>ВЕСОВАЯ КАТЕГОРИЯ   56</t>
  </si>
  <si>
    <t>Михайлов Федор</t>
  </si>
  <si>
    <t>Юноши 15-19 (12.02.2006)/15</t>
  </si>
  <si>
    <t>55,20</t>
  </si>
  <si>
    <t>70,0</t>
  </si>
  <si>
    <t>80,0</t>
  </si>
  <si>
    <t>87,5</t>
  </si>
  <si>
    <t>55,0</t>
  </si>
  <si>
    <t>60,0</t>
  </si>
  <si>
    <t>62,5</t>
  </si>
  <si>
    <t>115,0</t>
  </si>
  <si>
    <t>125,0</t>
  </si>
  <si>
    <t>135,0</t>
  </si>
  <si>
    <t>Открытая (12.02.2006)/15</t>
  </si>
  <si>
    <t>ВЕСОВАЯ КАТЕГОРИЯ   75</t>
  </si>
  <si>
    <t>Очиров Баир</t>
  </si>
  <si>
    <t>Юноши 15-19 (04.06.2002)/19</t>
  </si>
  <si>
    <t>68,10</t>
  </si>
  <si>
    <t>100,0</t>
  </si>
  <si>
    <t>120,0</t>
  </si>
  <si>
    <t>90,0</t>
  </si>
  <si>
    <t>95,0</t>
  </si>
  <si>
    <t>97,5</t>
  </si>
  <si>
    <t>105,0</t>
  </si>
  <si>
    <t>ВЕСОВАЯ КАТЕГОРИЯ   82.5</t>
  </si>
  <si>
    <t>Бельков Максим</t>
  </si>
  <si>
    <t>Юноши 15-19 (19.02.2002)/19</t>
  </si>
  <si>
    <t>79,50</t>
  </si>
  <si>
    <t>130,0</t>
  </si>
  <si>
    <t>137,5</t>
  </si>
  <si>
    <t>150,0</t>
  </si>
  <si>
    <t>160,0</t>
  </si>
  <si>
    <t>170,0</t>
  </si>
  <si>
    <t>ВЕСОВАЯ КАТЕГОРИЯ   90</t>
  </si>
  <si>
    <t>Пшеничников Семен</t>
  </si>
  <si>
    <t>Открытая (09.07.1991)/30</t>
  </si>
  <si>
    <t>88,50</t>
  </si>
  <si>
    <t xml:space="preserve">Братск/Иркутская область </t>
  </si>
  <si>
    <t>195,0</t>
  </si>
  <si>
    <t>172,5</t>
  </si>
  <si>
    <t>180,0</t>
  </si>
  <si>
    <t>270,0</t>
  </si>
  <si>
    <t>280,0</t>
  </si>
  <si>
    <t>290,0</t>
  </si>
  <si>
    <t>Абсандульев Дмитрий</t>
  </si>
  <si>
    <t>Открытая (31.07.1989)/32</t>
  </si>
  <si>
    <t>96,20</t>
  </si>
  <si>
    <t xml:space="preserve">Иркутск/Иркутская область </t>
  </si>
  <si>
    <t>215,0</t>
  </si>
  <si>
    <t>240,0</t>
  </si>
  <si>
    <t>140,0</t>
  </si>
  <si>
    <t>Гертель Яков</t>
  </si>
  <si>
    <t>Открытая (20.02.1976)/45</t>
  </si>
  <si>
    <t>94,50</t>
  </si>
  <si>
    <t>205,0</t>
  </si>
  <si>
    <t>220,0</t>
  </si>
  <si>
    <t>230,0</t>
  </si>
  <si>
    <t>245,0</t>
  </si>
  <si>
    <t>260,0</t>
  </si>
  <si>
    <t>Энгельгард Артем</t>
  </si>
  <si>
    <t>Открытая (04.11.1982)/39</t>
  </si>
  <si>
    <t>99,30</t>
  </si>
  <si>
    <t xml:space="preserve">Ангарск/Иркутская область </t>
  </si>
  <si>
    <t>217,5</t>
  </si>
  <si>
    <t>227,5</t>
  </si>
  <si>
    <t>155,0</t>
  </si>
  <si>
    <t>Никитин Евгений</t>
  </si>
  <si>
    <t>Открытая (12.11.1991)/30</t>
  </si>
  <si>
    <t>99,50</t>
  </si>
  <si>
    <t>157,5</t>
  </si>
  <si>
    <t>162,5</t>
  </si>
  <si>
    <t>247,5</t>
  </si>
  <si>
    <t>185,0</t>
  </si>
  <si>
    <t>212,5</t>
  </si>
  <si>
    <t>145,0</t>
  </si>
  <si>
    <t>Нечаев Евгений</t>
  </si>
  <si>
    <t>Открытая (19.03.1978)/43</t>
  </si>
  <si>
    <t>104,10</t>
  </si>
  <si>
    <t>82.5</t>
  </si>
  <si>
    <t>56</t>
  </si>
  <si>
    <t>75</t>
  </si>
  <si>
    <t>90</t>
  </si>
  <si>
    <t>670,0</t>
  </si>
  <si>
    <t>431,4800</t>
  </si>
  <si>
    <t>414,4620</t>
  </si>
  <si>
    <t>660,0</t>
  </si>
  <si>
    <t>411,5100</t>
  </si>
  <si>
    <t>2</t>
  </si>
  <si>
    <t>3</t>
  </si>
  <si>
    <t>4</t>
  </si>
  <si>
    <t>5</t>
  </si>
  <si>
    <t>ВЕСОВАЯ КАТЕГОРИЯ   44</t>
  </si>
  <si>
    <t>Свистунова Ольга</t>
  </si>
  <si>
    <t>43,00</t>
  </si>
  <si>
    <t>50,0</t>
  </si>
  <si>
    <t>30,0</t>
  </si>
  <si>
    <t>35,0</t>
  </si>
  <si>
    <t>37,5</t>
  </si>
  <si>
    <t>65,0</t>
  </si>
  <si>
    <t>75,0</t>
  </si>
  <si>
    <t>82,5</t>
  </si>
  <si>
    <t>Открытая (25.04.1999)/22</t>
  </si>
  <si>
    <t>ВЕСОВАЯ КАТЕГОРИЯ   48</t>
  </si>
  <si>
    <t>Томская Вероника</t>
  </si>
  <si>
    <t>Открытая (06.04.1996)/25</t>
  </si>
  <si>
    <t>47,80</t>
  </si>
  <si>
    <t>72,5</t>
  </si>
  <si>
    <t>40,0</t>
  </si>
  <si>
    <t>42,5</t>
  </si>
  <si>
    <t>45,0</t>
  </si>
  <si>
    <t>ВЕСОВАЯ КАТЕГОРИЯ   52</t>
  </si>
  <si>
    <t>Девятерикова Олеся</t>
  </si>
  <si>
    <t>Открытая (20.04.1988)/33</t>
  </si>
  <si>
    <t>51,60</t>
  </si>
  <si>
    <t xml:space="preserve">Усть-Илимск/Иркутская область </t>
  </si>
  <si>
    <t>Чин-чи-мин Кристина</t>
  </si>
  <si>
    <t>Открытая (11.10.1996)/25</t>
  </si>
  <si>
    <t>52,00</t>
  </si>
  <si>
    <t>85,0</t>
  </si>
  <si>
    <t>Раковская Мирослава</t>
  </si>
  <si>
    <t>55,30</t>
  </si>
  <si>
    <t>52,5</t>
  </si>
  <si>
    <t xml:space="preserve">Чан А. </t>
  </si>
  <si>
    <t>Краковская Анна</t>
  </si>
  <si>
    <t>Открытая (08.02.1986)/35</t>
  </si>
  <si>
    <t>55,00</t>
  </si>
  <si>
    <t>57,5</t>
  </si>
  <si>
    <t>110,0</t>
  </si>
  <si>
    <t>Сорока Александра</t>
  </si>
  <si>
    <t>Открытая (15.03.1995)/26</t>
  </si>
  <si>
    <t>32,5</t>
  </si>
  <si>
    <t>ВЕСОВАЯ КАТЕГОРИЯ   60</t>
  </si>
  <si>
    <t>Сайфушева Анастасия</t>
  </si>
  <si>
    <t>57,00</t>
  </si>
  <si>
    <t>Энгельгард Ольга</t>
  </si>
  <si>
    <t>Открытая (11.03.1985)/36</t>
  </si>
  <si>
    <t>59,60</t>
  </si>
  <si>
    <t xml:space="preserve">Вяхирев И. </t>
  </si>
  <si>
    <t>ВЕСОВАЯ КАТЕГОРИЯ   67.5</t>
  </si>
  <si>
    <t>Перкова Мария</t>
  </si>
  <si>
    <t>Девушки 15-19 (08.02.2005)/16</t>
  </si>
  <si>
    <t>65,10</t>
  </si>
  <si>
    <t>47,5</t>
  </si>
  <si>
    <t>Алексеева Анастасия</t>
  </si>
  <si>
    <t>Открытая (22.09.1996)/25</t>
  </si>
  <si>
    <t>64,50</t>
  </si>
  <si>
    <t>Открытая (08.02.2005)/16</t>
  </si>
  <si>
    <t>Даракчан Елена</t>
  </si>
  <si>
    <t>Открытая (03.10.1988)/33</t>
  </si>
  <si>
    <t>70,30</t>
  </si>
  <si>
    <t>122,5</t>
  </si>
  <si>
    <t>Пахомов Дмитрий</t>
  </si>
  <si>
    <t>Юноши 15-19 (10.04.2006)/15</t>
  </si>
  <si>
    <t>54,90</t>
  </si>
  <si>
    <t>Рахимов Шерозджон</t>
  </si>
  <si>
    <t>Открытая (20.04.2000)/21</t>
  </si>
  <si>
    <t>142,5</t>
  </si>
  <si>
    <t>147,5</t>
  </si>
  <si>
    <t>Астахов Владислав</t>
  </si>
  <si>
    <t>Юноши 15-19 (28.11.2005)/16</t>
  </si>
  <si>
    <t>59,30</t>
  </si>
  <si>
    <t>Филимонов Сергей</t>
  </si>
  <si>
    <t>Открытая (18.02.1972)/49</t>
  </si>
  <si>
    <t>67,50</t>
  </si>
  <si>
    <t>152,5</t>
  </si>
  <si>
    <t>Васильев Данил</t>
  </si>
  <si>
    <t>Юноши 15-19 (30.05.2008)/13</t>
  </si>
  <si>
    <t>69,10</t>
  </si>
  <si>
    <t>Макаров Матвей</t>
  </si>
  <si>
    <t>71,30</t>
  </si>
  <si>
    <t>77,5</t>
  </si>
  <si>
    <t>127,5</t>
  </si>
  <si>
    <t>Духовников Алексей</t>
  </si>
  <si>
    <t>Открытая (10.06.1992)/29</t>
  </si>
  <si>
    <t>74,80</t>
  </si>
  <si>
    <t xml:space="preserve">Байкальск/Иркутская область </t>
  </si>
  <si>
    <t>117,5</t>
  </si>
  <si>
    <t xml:space="preserve">Макаренко В. </t>
  </si>
  <si>
    <t>Пак Константин</t>
  </si>
  <si>
    <t>Открытая (23.07.1992)/29</t>
  </si>
  <si>
    <t>73,40</t>
  </si>
  <si>
    <t>Крупельницкий Рустам</t>
  </si>
  <si>
    <t>Открытая (15.01.1989)/32</t>
  </si>
  <si>
    <t>73,20</t>
  </si>
  <si>
    <t>92,5</t>
  </si>
  <si>
    <t>Гуров Кирилл</t>
  </si>
  <si>
    <t>Открытая (30.09.1990)/31</t>
  </si>
  <si>
    <t>75,00</t>
  </si>
  <si>
    <t>Шошин Вячеслав</t>
  </si>
  <si>
    <t>Открытая (03.07.1993)/28</t>
  </si>
  <si>
    <t>Вилков Денис</t>
  </si>
  <si>
    <t>Открытая (26.07.1989)/32</t>
  </si>
  <si>
    <t>81,40</t>
  </si>
  <si>
    <t>182,5</t>
  </si>
  <si>
    <t>Шаманский Константин</t>
  </si>
  <si>
    <t>Открытая (08.02.1996)/25</t>
  </si>
  <si>
    <t>88,90</t>
  </si>
  <si>
    <t>Тамбовцев Дмитрий</t>
  </si>
  <si>
    <t>Открытая (15.09.1990)/31</t>
  </si>
  <si>
    <t>89,90</t>
  </si>
  <si>
    <t>Горяшин Сергей</t>
  </si>
  <si>
    <t>Открытая (24.03.1994)/27</t>
  </si>
  <si>
    <t>89,60</t>
  </si>
  <si>
    <t>132,5</t>
  </si>
  <si>
    <t>Зверьков Андрей</t>
  </si>
  <si>
    <t>98,00</t>
  </si>
  <si>
    <t>Сосновский Никита</t>
  </si>
  <si>
    <t>Открытая (15.12.1987)/33</t>
  </si>
  <si>
    <t>97,30</t>
  </si>
  <si>
    <t>Худоногов Никита</t>
  </si>
  <si>
    <t>Открытая (03.10.1991)/30</t>
  </si>
  <si>
    <t>91,70</t>
  </si>
  <si>
    <t>Гулюк Максим</t>
  </si>
  <si>
    <t>Открытая (16.08.1979)/42</t>
  </si>
  <si>
    <t>106,50</t>
  </si>
  <si>
    <t xml:space="preserve">Женщины </t>
  </si>
  <si>
    <t>67.5</t>
  </si>
  <si>
    <t>362,5</t>
  </si>
  <si>
    <t>382,4737</t>
  </si>
  <si>
    <t>252,5</t>
  </si>
  <si>
    <t>301,3083</t>
  </si>
  <si>
    <t>300,0</t>
  </si>
  <si>
    <t>297,5700</t>
  </si>
  <si>
    <t>267,5</t>
  </si>
  <si>
    <t>640,0</t>
  </si>
  <si>
    <t>411,1360</t>
  </si>
  <si>
    <t>393,9200</t>
  </si>
  <si>
    <t>532,5</t>
  </si>
  <si>
    <t>380,1518</t>
  </si>
  <si>
    <t>-</t>
  </si>
  <si>
    <t>Джуламанов Александр</t>
  </si>
  <si>
    <t>Открытая (04.12.1992)/29</t>
  </si>
  <si>
    <t>73,50</t>
  </si>
  <si>
    <t>Тумакова Анастасия</t>
  </si>
  <si>
    <t>47,90</t>
  </si>
  <si>
    <t>Спиридончук Михаил</t>
  </si>
  <si>
    <t>Открытая (13.08.1988)/33</t>
  </si>
  <si>
    <t>74,50</t>
  </si>
  <si>
    <t>Поляков Владимир</t>
  </si>
  <si>
    <t>Открытая (06.02.1975)/46</t>
  </si>
  <si>
    <t>79,60</t>
  </si>
  <si>
    <t xml:space="preserve">Северобайкальск/Бурятия </t>
  </si>
  <si>
    <t>Тараканов Алексей</t>
  </si>
  <si>
    <t>Открытая (04.11.1989)/32</t>
  </si>
  <si>
    <t>81,90</t>
  </si>
  <si>
    <t>Хайрисламов Марат</t>
  </si>
  <si>
    <t>82,10</t>
  </si>
  <si>
    <t>Никитин Дмитрий</t>
  </si>
  <si>
    <t>Открытая (05.06.1993)/28</t>
  </si>
  <si>
    <t>89,00</t>
  </si>
  <si>
    <t xml:space="preserve">Чита/Забайкальский край </t>
  </si>
  <si>
    <t>Воробьев Максим</t>
  </si>
  <si>
    <t>Открытая (10.03.1994)/27</t>
  </si>
  <si>
    <t>87,10</t>
  </si>
  <si>
    <t>Фаткулов Артем</t>
  </si>
  <si>
    <t>89,20</t>
  </si>
  <si>
    <t>Насритдинов Тимур</t>
  </si>
  <si>
    <t>Юноши 15-19 (24.04.2004)/17</t>
  </si>
  <si>
    <t>Новиков Евгений</t>
  </si>
  <si>
    <t>Открытая (05.01.1983)/38</t>
  </si>
  <si>
    <t>99,90</t>
  </si>
  <si>
    <t xml:space="preserve">Саянск/Иркутская область </t>
  </si>
  <si>
    <t>Четвертных Александр</t>
  </si>
  <si>
    <t>Открытая (13.06.1977)/44</t>
  </si>
  <si>
    <t>98,40</t>
  </si>
  <si>
    <t>Мицких Максим</t>
  </si>
  <si>
    <t>Открытая (09.02.1991)/30</t>
  </si>
  <si>
    <t>98,60</t>
  </si>
  <si>
    <t>Гара Станислав</t>
  </si>
  <si>
    <t>Открытая (26.04.1985)/36</t>
  </si>
  <si>
    <t>97,50</t>
  </si>
  <si>
    <t>Гафыгин Сергей</t>
  </si>
  <si>
    <t>Открытая (10.12.1991)/29</t>
  </si>
  <si>
    <t>97,80</t>
  </si>
  <si>
    <t>Жданов Виталий</t>
  </si>
  <si>
    <t>Открытая (20.02.1996)/25</t>
  </si>
  <si>
    <t>109,80</t>
  </si>
  <si>
    <t>222,5</t>
  </si>
  <si>
    <t>Кичигин Кирилл</t>
  </si>
  <si>
    <t>Открытая (07.06.1996)/25</t>
  </si>
  <si>
    <t>106,80</t>
  </si>
  <si>
    <t>Доманских Никита</t>
  </si>
  <si>
    <t>Открытая (04.01.1995)/26</t>
  </si>
  <si>
    <t>105,00</t>
  </si>
  <si>
    <t>192,5</t>
  </si>
  <si>
    <t>Тирских Алексей</t>
  </si>
  <si>
    <t>Открытая (04.10.1985)/36</t>
  </si>
  <si>
    <t>108,70</t>
  </si>
  <si>
    <t>202,5</t>
  </si>
  <si>
    <t>Санников Александр</t>
  </si>
  <si>
    <t>ВЕСОВАЯ КАТЕГОРИЯ   125</t>
  </si>
  <si>
    <t>Французов Александр</t>
  </si>
  <si>
    <t>Открытая (18.10.1977)/44</t>
  </si>
  <si>
    <t>116,70</t>
  </si>
  <si>
    <t xml:space="preserve">Киренск/Иркутская область </t>
  </si>
  <si>
    <t>Чуркин Антон</t>
  </si>
  <si>
    <t>Открытая (22.04.1986)/35</t>
  </si>
  <si>
    <t>123,10</t>
  </si>
  <si>
    <t>207,5</t>
  </si>
  <si>
    <t xml:space="preserve">Результат </t>
  </si>
  <si>
    <t>131,0080</t>
  </si>
  <si>
    <t>127,7315</t>
  </si>
  <si>
    <t>124,8040</t>
  </si>
  <si>
    <t>125</t>
  </si>
  <si>
    <t>Результат</t>
  </si>
  <si>
    <t>Сафонова Анастасия</t>
  </si>
  <si>
    <t>Открытая (04.12.1991)/30</t>
  </si>
  <si>
    <t>50,60</t>
  </si>
  <si>
    <t>Вишняк Анна</t>
  </si>
  <si>
    <t>Открытая (12.12.1984)/36</t>
  </si>
  <si>
    <t>58,40</t>
  </si>
  <si>
    <t xml:space="preserve">Новосибирск/Новосибирская область </t>
  </si>
  <si>
    <t>102,5</t>
  </si>
  <si>
    <t>Скрипник Кирилл</t>
  </si>
  <si>
    <t>Юноши 15-19 (21.05.2006)/15</t>
  </si>
  <si>
    <t>67,5</t>
  </si>
  <si>
    <t>Адамян Эдгар</t>
  </si>
  <si>
    <t>Открытая (27.09.1988)/33</t>
  </si>
  <si>
    <t>58,00</t>
  </si>
  <si>
    <t>Ларионов Евгений</t>
  </si>
  <si>
    <t>Открытая (20.07.1983)/38</t>
  </si>
  <si>
    <t>65,90</t>
  </si>
  <si>
    <t>Вяхирев Илья</t>
  </si>
  <si>
    <t>Открытая (28.02.1993)/28</t>
  </si>
  <si>
    <t>73,90</t>
  </si>
  <si>
    <t>Алтухов Александр</t>
  </si>
  <si>
    <t>Открытая (22.11.1980)/41</t>
  </si>
  <si>
    <t>74,00</t>
  </si>
  <si>
    <t>Чупса Владимир</t>
  </si>
  <si>
    <t>Открытая (29.12.1987)/33</t>
  </si>
  <si>
    <t>74,90</t>
  </si>
  <si>
    <t xml:space="preserve">Шелехов/Иркутская область </t>
  </si>
  <si>
    <t>Квашнин Николай</t>
  </si>
  <si>
    <t>Открытая (20.12.1990)/30</t>
  </si>
  <si>
    <t>Мамруков Михаил</t>
  </si>
  <si>
    <t>73,60</t>
  </si>
  <si>
    <t>107,5</t>
  </si>
  <si>
    <t>Ибодов Мухамад</t>
  </si>
  <si>
    <t>Юноши 15-19 (05.08.2002)/19</t>
  </si>
  <si>
    <t>78,80</t>
  </si>
  <si>
    <t>112,5</t>
  </si>
  <si>
    <t>Жуков Владислав</t>
  </si>
  <si>
    <t>Открытая (23.09.1993)/28</t>
  </si>
  <si>
    <t>Мамедов Эльшан</t>
  </si>
  <si>
    <t>Открытая (16.07.1987)/34</t>
  </si>
  <si>
    <t>76,00</t>
  </si>
  <si>
    <t>Подолец Константин</t>
  </si>
  <si>
    <t>Открытая (10.06.1997)/24</t>
  </si>
  <si>
    <t>Усов Евгений</t>
  </si>
  <si>
    <t>Открытая (09.10.1991)/30</t>
  </si>
  <si>
    <t>82,40</t>
  </si>
  <si>
    <t>Мурадян Арсен</t>
  </si>
  <si>
    <t>Открытая (02.08.1993)/28</t>
  </si>
  <si>
    <t>81,70</t>
  </si>
  <si>
    <t>Цариев Алексей</t>
  </si>
  <si>
    <t>Открытая (08.05.1986)/35</t>
  </si>
  <si>
    <t>82,50</t>
  </si>
  <si>
    <t>Тесельский Вячеслав</t>
  </si>
  <si>
    <t>81,30</t>
  </si>
  <si>
    <t>Колков Владислав</t>
  </si>
  <si>
    <t>Юноши 15-19 (15.11.2002)/19</t>
  </si>
  <si>
    <t>86,60</t>
  </si>
  <si>
    <t>Трофимов Александр</t>
  </si>
  <si>
    <t>Открытая (22.10.1992)/29</t>
  </si>
  <si>
    <t>206,0</t>
  </si>
  <si>
    <t xml:space="preserve">Трофимов Н. </t>
  </si>
  <si>
    <t>Соловьев Иван</t>
  </si>
  <si>
    <t>Открытая (07.04.1984)/37</t>
  </si>
  <si>
    <t>Будяк Александр</t>
  </si>
  <si>
    <t>Открытая (18.09.1977)/44</t>
  </si>
  <si>
    <t>84,50</t>
  </si>
  <si>
    <t>Шатаев Леонид</t>
  </si>
  <si>
    <t>Открытая (01.12.1993)/28</t>
  </si>
  <si>
    <t>Семенов Александр</t>
  </si>
  <si>
    <t>Тарасенко Василий</t>
  </si>
  <si>
    <t>88,00</t>
  </si>
  <si>
    <t>Кустов Сергей</t>
  </si>
  <si>
    <t>Клатик Сергей</t>
  </si>
  <si>
    <t>86,80</t>
  </si>
  <si>
    <t>148,0</t>
  </si>
  <si>
    <t>Рыков Алексей</t>
  </si>
  <si>
    <t>Открытая (20.12.1983)/37</t>
  </si>
  <si>
    <t>Костикян Марат</t>
  </si>
  <si>
    <t>Открытая (26.04.1992)/29</t>
  </si>
  <si>
    <t>108,60</t>
  </si>
  <si>
    <t>187,5</t>
  </si>
  <si>
    <t>Куркутов Руслан</t>
  </si>
  <si>
    <t>Открытая (04.08.1982)/39</t>
  </si>
  <si>
    <t>108,80</t>
  </si>
  <si>
    <t>Файзулин Ренат</t>
  </si>
  <si>
    <t>Открытая (09.09.1997)/24</t>
  </si>
  <si>
    <t>120,00</t>
  </si>
  <si>
    <t>Воронцов Владислав</t>
  </si>
  <si>
    <t>Открытая (03.05.1970)/51</t>
  </si>
  <si>
    <t>121,40</t>
  </si>
  <si>
    <t>ВЕСОВАЯ КАТЕГОРИЯ   140+</t>
  </si>
  <si>
    <t>Чахалов Василий</t>
  </si>
  <si>
    <t>Открытая (07.12.1993)/27</t>
  </si>
  <si>
    <t>179,00</t>
  </si>
  <si>
    <t>132,1078</t>
  </si>
  <si>
    <t>116,0753</t>
  </si>
  <si>
    <t>140+</t>
  </si>
  <si>
    <t>115,8205</t>
  </si>
  <si>
    <t>147,6601</t>
  </si>
  <si>
    <t>126,5519</t>
  </si>
  <si>
    <t>104,8200</t>
  </si>
  <si>
    <t>6</t>
  </si>
  <si>
    <t>7</t>
  </si>
  <si>
    <t>8</t>
  </si>
  <si>
    <t>Прохоров Николай</t>
  </si>
  <si>
    <t>Открытая (19.12.1994)/26</t>
  </si>
  <si>
    <t>80,70</t>
  </si>
  <si>
    <t>Астафуров Денис</t>
  </si>
  <si>
    <t>Открытая (15.04.1982)/39</t>
  </si>
  <si>
    <t>Головня Сергей</t>
  </si>
  <si>
    <t>Открытая (05.05.1986)/35</t>
  </si>
  <si>
    <t>84,60</t>
  </si>
  <si>
    <t>Малыгин Евгений</t>
  </si>
  <si>
    <t>Открытая (03.07.1986)/35</t>
  </si>
  <si>
    <t>103,80</t>
  </si>
  <si>
    <t>Кравченко Антон</t>
  </si>
  <si>
    <t>Открытая (24.06.1983)/38</t>
  </si>
  <si>
    <t>120,90</t>
  </si>
  <si>
    <t>164,7810</t>
  </si>
  <si>
    <t>156,5355</t>
  </si>
  <si>
    <t>154,9530</t>
  </si>
  <si>
    <t>Гороховская Екатерина</t>
  </si>
  <si>
    <t>66,50</t>
  </si>
  <si>
    <t>Старцев Юрий</t>
  </si>
  <si>
    <t>Открытая (25.07.1991)/30</t>
  </si>
  <si>
    <t>73,80</t>
  </si>
  <si>
    <t>Налетов Игорь</t>
  </si>
  <si>
    <t>Открытая (09.02.1994)/27</t>
  </si>
  <si>
    <t>82,00</t>
  </si>
  <si>
    <t>Кряжев Михаил</t>
  </si>
  <si>
    <t>Открытая (26.08.1983)/38</t>
  </si>
  <si>
    <t>102,60</t>
  </si>
  <si>
    <t>Трифонов Аркадий</t>
  </si>
  <si>
    <t>Открытая (29.12.1981)/39</t>
  </si>
  <si>
    <t>121,50</t>
  </si>
  <si>
    <t>171,8160</t>
  </si>
  <si>
    <t>160,0300</t>
  </si>
  <si>
    <t>157,6575</t>
  </si>
  <si>
    <t>Блинов Алексей</t>
  </si>
  <si>
    <t>90,00</t>
  </si>
  <si>
    <t>282,5</t>
  </si>
  <si>
    <t>Николаев Иван</t>
  </si>
  <si>
    <t>Открытая (29.12.1991)/29</t>
  </si>
  <si>
    <t>67,40</t>
  </si>
  <si>
    <t>Скрипка Максим</t>
  </si>
  <si>
    <t>Открытая (20.05.1988)/33</t>
  </si>
  <si>
    <t>Быховец Артем</t>
  </si>
  <si>
    <t>Открытая (19.07.1983)/38</t>
  </si>
  <si>
    <t>96,50</t>
  </si>
  <si>
    <t>Анцупов Максим</t>
  </si>
  <si>
    <t>Открытая (01.12.1980)/41</t>
  </si>
  <si>
    <t>Спыну Игорь</t>
  </si>
  <si>
    <t>Открытая (09.02.1984)/37</t>
  </si>
  <si>
    <t>104,20</t>
  </si>
  <si>
    <t>Матвеев Андрей</t>
  </si>
  <si>
    <t>Открытая (15.06.1982)/39</t>
  </si>
  <si>
    <t>111,60</t>
  </si>
  <si>
    <t>Строганова Анна</t>
  </si>
  <si>
    <t>Открытая (24.02.1990)/31</t>
  </si>
  <si>
    <t>60,00</t>
  </si>
  <si>
    <t>Открытая (19.12.1980)/40</t>
  </si>
  <si>
    <t>Серебренников Вадим</t>
  </si>
  <si>
    <t>Открытая (01.06.1964)/57</t>
  </si>
  <si>
    <t>80,60</t>
  </si>
  <si>
    <t>Всероссийский мастерский турнир "Кубок Байкала"
СПР Жим лежа в однопетельной софт экипировке
Иркутск/Иркутская область, 03-05 декабря 2021 года</t>
  </si>
  <si>
    <t>Всероссийский мастерский турнир "Кубок Байкала"
СПР Жим лежа в однопетельной софт экипировке ДК
Иркутск/Иркутская область, 03-05 декабря 2021 года</t>
  </si>
  <si>
    <t>Национальный Кубок
IPL Силовое двоеборье без экипировки ДК
Иркутск/Иркутская область, 03-05 декабря 2021 года</t>
  </si>
  <si>
    <t>Национальный Кубок
IPL Присед без экипировки ДК
Иркутск/Иркутская область, 03-05 декабря 2021 года</t>
  </si>
  <si>
    <t>Национальный Кубок
IPL Присед без экипировки
Иркутск/Иркутская область, 03-05 декабря 2021 года</t>
  </si>
  <si>
    <t>Национальный Кубок
IPL Присед в однослойной экипировке
Иркутск/Иркутская область, 03-05 декабря 2021 года</t>
  </si>
  <si>
    <t>Национальный Кубок
IPL Становая тяга в однослойной экипировке
Иркутск/Иркутская область, 03-05 декабря 2021 года</t>
  </si>
  <si>
    <t>Весовая категория</t>
  </si>
  <si>
    <t>Национальный Кубок
IPL Становая тяга без экипировки ДК
Иркутск/Иркутская область, 03-05 декабря 2021 года</t>
  </si>
  <si>
    <t>Национальный Кубок
IPL Становая тяга без экипировки
Иркутск/Иркутская область, 03-05 декабря 2021 года</t>
  </si>
  <si>
    <t>Национальный Кубок
IPL Жим лежа в однослойной экипировке
Иркутск/Иркутская область, 03-05 декабря 2021 года</t>
  </si>
  <si>
    <t>Национальный Кубок
IPL Жим лежа без экипировки ДК
Иркутск/Иркутская область, 03-05 декабря 2021 года</t>
  </si>
  <si>
    <t>Национальный Кубок
IPL Жим лежа без экипировки
Иркутск/Иркутская область, 03-05 декабря 2021 года</t>
  </si>
  <si>
    <t>Национальный Кубок
IPL Пауэрлифтинг в бинтах ДК
Иркутск/Иркутская область, 03-05 декабря 2021 года</t>
  </si>
  <si>
    <t>Национальный Кубок
IPL Пауэрлифтинг без экипировки ДК
Иркутск/Иркутская область, 03-05 декабря 2021 года</t>
  </si>
  <si>
    <t>Национальный Кубок
IPL Пауэрлифтинг без экипировки
Иркутск/Иркутская область, 03-05 декабря 2021 года</t>
  </si>
  <si>
    <t>Национальный Кубок
IPL Пауэрлифтинг в однослойной экипировке
Иркутск/Иркутская область, 03-05 декабря 2021 года</t>
  </si>
  <si>
    <t>Юниорки 20-23 (25.04.1999)/22</t>
  </si>
  <si>
    <t>Юниорки 20-23 (11.01.2001)/20</t>
  </si>
  <si>
    <t>Юниорки 20-23 (19.09.1998)/23</t>
  </si>
  <si>
    <t>Мастера 45-49 (18.02.1972)/49</t>
  </si>
  <si>
    <t>Юниоры 20-23 (05.08.1999)/22</t>
  </si>
  <si>
    <t>Юниоры 20-23 (30.12.1998)/22</t>
  </si>
  <si>
    <t>Мастера 45-49 (20.02.1976)/45</t>
  </si>
  <si>
    <t>Мастера 45-49 (23.03.1972)/49</t>
  </si>
  <si>
    <t xml:space="preserve">Мастера 45-49 </t>
  </si>
  <si>
    <t>Мастера 40-44 (22.11.1980)/41</t>
  </si>
  <si>
    <t>Мастера 40-44 (18.03.1977)/44</t>
  </si>
  <si>
    <t>Мастера 40-44 (26.10.1977)/44</t>
  </si>
  <si>
    <t>Мастера 40-44 (15.03.1980)/41</t>
  </si>
  <si>
    <t>Мастера 45-49 (10.10.1976)/45</t>
  </si>
  <si>
    <t>Мастера 45-49 (17.06.1973)/48</t>
  </si>
  <si>
    <t>Мастера 65-69 (12.09.1955)/66</t>
  </si>
  <si>
    <t>Мастера 50-54 (03.05.1970)/51</t>
  </si>
  <si>
    <t xml:space="preserve">Мастера 65-69 </t>
  </si>
  <si>
    <t xml:space="preserve">Мастера 40-44 </t>
  </si>
  <si>
    <t>Мастера 45-49 (02.09.1976)/45</t>
  </si>
  <si>
    <t>Мастера 40-44 (17.07.1978)/43</t>
  </si>
  <si>
    <t>Мастера 40-44 (13.06.1977)/44</t>
  </si>
  <si>
    <t>Мастера 45-49 (07.08.1972)/49</t>
  </si>
  <si>
    <t>Мастера 40-44 (18.10.1977)/44</t>
  </si>
  <si>
    <t>Мастера 40-49 (19.12.1980)/40</t>
  </si>
  <si>
    <t>Мастера 50-59 (01.06.1964)/57</t>
  </si>
  <si>
    <t>Мастера 40-49 (01.12.1980)/41</t>
  </si>
  <si>
    <t>Мастера 40-44 (19.12.1980)/40</t>
  </si>
  <si>
    <t>Юниоры 20-23 (20.04.2000)/21</t>
  </si>
  <si>
    <t>Мастера 40-44 (05.10.1981)/40</t>
  </si>
  <si>
    <t xml:space="preserve">Улан-Удэ/Республика Бурятия </t>
  </si>
  <si>
    <t xml:space="preserve">Свобода Е. </t>
  </si>
  <si>
    <t xml:space="preserve">Шаманский К. </t>
  </si>
  <si>
    <t xml:space="preserve">Вилков Д. </t>
  </si>
  <si>
    <t xml:space="preserve">Старцев Ю. </t>
  </si>
  <si>
    <t xml:space="preserve">Орлов А. </t>
  </si>
  <si>
    <t xml:space="preserve">Гертель Я. </t>
  </si>
  <si>
    <t xml:space="preserve">Нурутдинов М. </t>
  </si>
  <si>
    <t xml:space="preserve">Пшеничников С. </t>
  </si>
  <si>
    <t xml:space="preserve">Ниязиев Э. </t>
  </si>
  <si>
    <t xml:space="preserve">Шиманский В. </t>
  </si>
  <si>
    <t xml:space="preserve">Четвертных А. </t>
  </si>
  <si>
    <t xml:space="preserve">Спыну И. </t>
  </si>
  <si>
    <t>Мамоны/Иркутская область</t>
  </si>
  <si>
    <t xml:space="preserve">Французов А. </t>
  </si>
  <si>
    <t xml:space="preserve">Быховец А. </t>
  </si>
  <si>
    <t xml:space="preserve">Гафыгин С. </t>
  </si>
  <si>
    <t xml:space="preserve">Котов А. </t>
  </si>
  <si>
    <t xml:space="preserve">Шабыров С. </t>
  </si>
  <si>
    <t xml:space="preserve">Гинтов Д. </t>
  </si>
  <si>
    <t xml:space="preserve">Комаров А. </t>
  </si>
  <si>
    <t xml:space="preserve">Доманских М. </t>
  </si>
  <si>
    <t xml:space="preserve">Журавлев В. </t>
  </si>
  <si>
    <t xml:space="preserve">Бондарчук Р. </t>
  </si>
  <si>
    <t xml:space="preserve">Ловцов И. </t>
  </si>
  <si>
    <t xml:space="preserve">Кандауров Ю. </t>
  </si>
  <si>
    <t xml:space="preserve">Черных Е. </t>
  </si>
  <si>
    <t xml:space="preserve">Соболев И. </t>
  </si>
  <si>
    <t xml:space="preserve">Беловал Е. </t>
  </si>
  <si>
    <t xml:space="preserve">Сорокин С. </t>
  </si>
  <si>
    <t xml:space="preserve">Вишняк А. </t>
  </si>
  <si>
    <t xml:space="preserve">Шураев П. </t>
  </si>
  <si>
    <t xml:space="preserve">Прилуцкий С. </t>
  </si>
  <si>
    <t>№</t>
  </si>
  <si>
    <t xml:space="preserve">
Дата рождения/Возраст</t>
  </si>
  <si>
    <t>Возрастная группа</t>
  </si>
  <si>
    <t>J</t>
  </si>
  <si>
    <t>O</t>
  </si>
  <si>
    <t>T</t>
  </si>
  <si>
    <t>M2</t>
  </si>
  <si>
    <t>M1</t>
  </si>
  <si>
    <t>M6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</si>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</sst>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92"/>
  <sheetViews>
    <sheetView topLeftCell="A59" workbookViewId="0">
      <selection activeCell="E70" sqref="E70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0.1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9" bestFit="1" customWidth="1"/>
    <col min="20" max="20" width="8.5" style="6" bestFit="1" customWidth="1"/>
    <col min="21" max="21" width="22" style="5" bestFit="1" customWidth="1"/>
    <col min="22" max="16384" width="9.1640625" style="3"/>
  </cols>
  <sheetData>
    <row r="1" spans="1:21" s="2" customFormat="1" ht="29" customHeight="1">
      <c r="A1" s="46" t="s">
        <v>530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11</v>
      </c>
      <c r="P3" s="40"/>
      <c r="Q3" s="40"/>
      <c r="R3" s="40"/>
      <c r="S3" s="38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41"/>
      <c r="U4" s="43"/>
    </row>
    <row r="5" spans="1:21" ht="16">
      <c r="A5" s="44" t="s">
        <v>138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9" t="s">
        <v>46</v>
      </c>
      <c r="B6" s="8" t="s">
        <v>139</v>
      </c>
      <c r="C6" s="8" t="s">
        <v>533</v>
      </c>
      <c r="D6" s="8" t="s">
        <v>140</v>
      </c>
      <c r="E6" s="8" t="s">
        <v>599</v>
      </c>
      <c r="F6" s="8" t="s">
        <v>563</v>
      </c>
      <c r="G6" s="18" t="s">
        <v>141</v>
      </c>
      <c r="H6" s="18" t="s">
        <v>54</v>
      </c>
      <c r="I6" s="19" t="s">
        <v>55</v>
      </c>
      <c r="J6" s="9"/>
      <c r="K6" s="18" t="s">
        <v>142</v>
      </c>
      <c r="L6" s="18" t="s">
        <v>143</v>
      </c>
      <c r="M6" s="19" t="s">
        <v>144</v>
      </c>
      <c r="N6" s="9"/>
      <c r="O6" s="18" t="s">
        <v>145</v>
      </c>
      <c r="P6" s="18" t="s">
        <v>146</v>
      </c>
      <c r="Q6" s="18" t="s">
        <v>147</v>
      </c>
      <c r="R6" s="9"/>
      <c r="S6" s="30" t="str">
        <f>"172,5"</f>
        <v>172,5</v>
      </c>
      <c r="T6" s="9" t="str">
        <f>"246,5887"</f>
        <v>246,5887</v>
      </c>
      <c r="U6" s="8" t="s">
        <v>564</v>
      </c>
    </row>
    <row r="7" spans="1:21">
      <c r="A7" s="11" t="s">
        <v>46</v>
      </c>
      <c r="B7" s="10" t="s">
        <v>139</v>
      </c>
      <c r="C7" s="10" t="s">
        <v>148</v>
      </c>
      <c r="D7" s="10" t="s">
        <v>140</v>
      </c>
      <c r="E7" s="10" t="s">
        <v>600</v>
      </c>
      <c r="F7" s="10" t="s">
        <v>563</v>
      </c>
      <c r="G7" s="20" t="s">
        <v>141</v>
      </c>
      <c r="H7" s="20" t="s">
        <v>54</v>
      </c>
      <c r="I7" s="21" t="s">
        <v>55</v>
      </c>
      <c r="J7" s="11"/>
      <c r="K7" s="20" t="s">
        <v>142</v>
      </c>
      <c r="L7" s="20" t="s">
        <v>143</v>
      </c>
      <c r="M7" s="21" t="s">
        <v>144</v>
      </c>
      <c r="N7" s="11"/>
      <c r="O7" s="20" t="s">
        <v>145</v>
      </c>
      <c r="P7" s="20" t="s">
        <v>146</v>
      </c>
      <c r="Q7" s="20" t="s">
        <v>147</v>
      </c>
      <c r="R7" s="11"/>
      <c r="S7" s="31" t="str">
        <f>"172,5"</f>
        <v>172,5</v>
      </c>
      <c r="T7" s="11" t="str">
        <f>"246,5887"</f>
        <v>246,5887</v>
      </c>
      <c r="U7" s="10" t="s">
        <v>564</v>
      </c>
    </row>
    <row r="8" spans="1:21">
      <c r="B8" s="5" t="s">
        <v>8</v>
      </c>
    </row>
    <row r="9" spans="1:21" ht="16">
      <c r="A9" s="34" t="s">
        <v>149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1">
      <c r="A10" s="13" t="s">
        <v>46</v>
      </c>
      <c r="B10" s="12" t="s">
        <v>150</v>
      </c>
      <c r="C10" s="12" t="s">
        <v>151</v>
      </c>
      <c r="D10" s="12" t="s">
        <v>152</v>
      </c>
      <c r="E10" s="12" t="s">
        <v>600</v>
      </c>
      <c r="F10" s="12" t="s">
        <v>94</v>
      </c>
      <c r="G10" s="23" t="s">
        <v>153</v>
      </c>
      <c r="H10" s="22" t="s">
        <v>153</v>
      </c>
      <c r="I10" s="22" t="s">
        <v>146</v>
      </c>
      <c r="J10" s="13"/>
      <c r="K10" s="22" t="s">
        <v>154</v>
      </c>
      <c r="L10" s="22" t="s">
        <v>155</v>
      </c>
      <c r="M10" s="23" t="s">
        <v>156</v>
      </c>
      <c r="N10" s="13"/>
      <c r="O10" s="22" t="s">
        <v>67</v>
      </c>
      <c r="P10" s="22" t="s">
        <v>68</v>
      </c>
      <c r="Q10" s="22" t="s">
        <v>69</v>
      </c>
      <c r="R10" s="13"/>
      <c r="S10" s="32" t="str">
        <f>"215,0"</f>
        <v>215,0</v>
      </c>
      <c r="T10" s="13" t="str">
        <f>"285,6275"</f>
        <v>285,6275</v>
      </c>
      <c r="U10" s="12"/>
    </row>
    <row r="11" spans="1:21">
      <c r="B11" s="5" t="s">
        <v>8</v>
      </c>
    </row>
    <row r="12" spans="1:21" ht="16">
      <c r="A12" s="34" t="s">
        <v>157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21">
      <c r="A13" s="9" t="s">
        <v>46</v>
      </c>
      <c r="B13" s="8" t="s">
        <v>158</v>
      </c>
      <c r="C13" s="8" t="s">
        <v>159</v>
      </c>
      <c r="D13" s="8" t="s">
        <v>160</v>
      </c>
      <c r="E13" s="8" t="s">
        <v>600</v>
      </c>
      <c r="F13" s="8" t="s">
        <v>161</v>
      </c>
      <c r="G13" s="18" t="s">
        <v>51</v>
      </c>
      <c r="H13" s="18" t="s">
        <v>146</v>
      </c>
      <c r="I13" s="18" t="s">
        <v>52</v>
      </c>
      <c r="J13" s="9"/>
      <c r="K13" s="18" t="s">
        <v>156</v>
      </c>
      <c r="L13" s="18" t="s">
        <v>141</v>
      </c>
      <c r="M13" s="9"/>
      <c r="N13" s="9"/>
      <c r="O13" s="18" t="s">
        <v>68</v>
      </c>
      <c r="P13" s="18" t="s">
        <v>65</v>
      </c>
      <c r="Q13" s="18" t="s">
        <v>70</v>
      </c>
      <c r="R13" s="9"/>
      <c r="S13" s="30" t="str">
        <f>"235,0"</f>
        <v>235,0</v>
      </c>
      <c r="T13" s="9" t="str">
        <f>"294,7135"</f>
        <v>294,7135</v>
      </c>
      <c r="U13" s="8" t="s">
        <v>565</v>
      </c>
    </row>
    <row r="14" spans="1:21">
      <c r="A14" s="11" t="s">
        <v>134</v>
      </c>
      <c r="B14" s="10" t="s">
        <v>162</v>
      </c>
      <c r="C14" s="10" t="s">
        <v>163</v>
      </c>
      <c r="D14" s="10" t="s">
        <v>164</v>
      </c>
      <c r="E14" s="10" t="s">
        <v>600</v>
      </c>
      <c r="F14" s="10" t="s">
        <v>563</v>
      </c>
      <c r="G14" s="20" t="s">
        <v>146</v>
      </c>
      <c r="H14" s="21" t="s">
        <v>165</v>
      </c>
      <c r="I14" s="21" t="s">
        <v>67</v>
      </c>
      <c r="J14" s="11"/>
      <c r="K14" s="20" t="s">
        <v>142</v>
      </c>
      <c r="L14" s="20" t="s">
        <v>143</v>
      </c>
      <c r="M14" s="21" t="s">
        <v>154</v>
      </c>
      <c r="N14" s="11"/>
      <c r="O14" s="20" t="s">
        <v>67</v>
      </c>
      <c r="P14" s="20" t="s">
        <v>65</v>
      </c>
      <c r="Q14" s="20" t="s">
        <v>70</v>
      </c>
      <c r="R14" s="11"/>
      <c r="S14" s="31" t="str">
        <f>"215,0"</f>
        <v>215,0</v>
      </c>
      <c r="T14" s="11" t="str">
        <f>"268,0190"</f>
        <v>268,0190</v>
      </c>
      <c r="U14" s="10" t="s">
        <v>564</v>
      </c>
    </row>
    <row r="15" spans="1:21">
      <c r="B15" s="5" t="s">
        <v>8</v>
      </c>
    </row>
    <row r="16" spans="1:21" ht="16">
      <c r="A16" s="34" t="s">
        <v>47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21">
      <c r="A17" s="9" t="s">
        <v>46</v>
      </c>
      <c r="B17" s="8" t="s">
        <v>166</v>
      </c>
      <c r="C17" s="8" t="s">
        <v>534</v>
      </c>
      <c r="D17" s="8" t="s">
        <v>167</v>
      </c>
      <c r="E17" s="8" t="s">
        <v>599</v>
      </c>
      <c r="F17" s="8" t="s">
        <v>94</v>
      </c>
      <c r="G17" s="18" t="s">
        <v>146</v>
      </c>
      <c r="H17" s="19" t="s">
        <v>52</v>
      </c>
      <c r="I17" s="19" t="s">
        <v>52</v>
      </c>
      <c r="J17" s="9"/>
      <c r="K17" s="19" t="s">
        <v>141</v>
      </c>
      <c r="L17" s="18" t="s">
        <v>141</v>
      </c>
      <c r="M17" s="19" t="s">
        <v>168</v>
      </c>
      <c r="N17" s="9"/>
      <c r="O17" s="18" t="s">
        <v>67</v>
      </c>
      <c r="P17" s="19" t="s">
        <v>68</v>
      </c>
      <c r="Q17" s="18" t="s">
        <v>68</v>
      </c>
      <c r="R17" s="9"/>
      <c r="S17" s="30" t="str">
        <f>"220,0"</f>
        <v>220,0</v>
      </c>
      <c r="T17" s="9" t="str">
        <f>"261,4260"</f>
        <v>261,4260</v>
      </c>
      <c r="U17" s="8" t="s">
        <v>169</v>
      </c>
    </row>
    <row r="18" spans="1:21">
      <c r="A18" s="25" t="s">
        <v>46</v>
      </c>
      <c r="B18" s="24" t="s">
        <v>170</v>
      </c>
      <c r="C18" s="24" t="s">
        <v>171</v>
      </c>
      <c r="D18" s="24" t="s">
        <v>172</v>
      </c>
      <c r="E18" s="24" t="s">
        <v>600</v>
      </c>
      <c r="F18" s="24" t="s">
        <v>94</v>
      </c>
      <c r="G18" s="26" t="s">
        <v>67</v>
      </c>
      <c r="H18" s="27" t="s">
        <v>68</v>
      </c>
      <c r="I18" s="26" t="s">
        <v>68</v>
      </c>
      <c r="J18" s="25"/>
      <c r="K18" s="26" t="s">
        <v>141</v>
      </c>
      <c r="L18" s="26" t="s">
        <v>54</v>
      </c>
      <c r="M18" s="26" t="s">
        <v>173</v>
      </c>
      <c r="N18" s="25"/>
      <c r="O18" s="26" t="s">
        <v>68</v>
      </c>
      <c r="P18" s="26" t="s">
        <v>65</v>
      </c>
      <c r="Q18" s="27" t="s">
        <v>174</v>
      </c>
      <c r="R18" s="25"/>
      <c r="S18" s="33" t="str">
        <f>"252,5"</f>
        <v>252,5</v>
      </c>
      <c r="T18" s="25" t="str">
        <f>"301,3083"</f>
        <v>301,3083</v>
      </c>
      <c r="U18" s="24"/>
    </row>
    <row r="19" spans="1:21">
      <c r="A19" s="11" t="s">
        <v>134</v>
      </c>
      <c r="B19" s="10" t="s">
        <v>175</v>
      </c>
      <c r="C19" s="10" t="s">
        <v>176</v>
      </c>
      <c r="D19" s="10" t="s">
        <v>172</v>
      </c>
      <c r="E19" s="10" t="s">
        <v>600</v>
      </c>
      <c r="F19" s="10" t="s">
        <v>94</v>
      </c>
      <c r="G19" s="20" t="s">
        <v>141</v>
      </c>
      <c r="H19" s="20" t="s">
        <v>54</v>
      </c>
      <c r="I19" s="20" t="s">
        <v>55</v>
      </c>
      <c r="J19" s="11"/>
      <c r="K19" s="20" t="s">
        <v>177</v>
      </c>
      <c r="L19" s="20" t="s">
        <v>143</v>
      </c>
      <c r="M19" s="20" t="s">
        <v>144</v>
      </c>
      <c r="N19" s="11"/>
      <c r="O19" s="20" t="s">
        <v>56</v>
      </c>
      <c r="P19" s="20" t="s">
        <v>145</v>
      </c>
      <c r="Q19" s="20" t="s">
        <v>51</v>
      </c>
      <c r="R19" s="11"/>
      <c r="S19" s="31" t="str">
        <f>"167,5"</f>
        <v>167,5</v>
      </c>
      <c r="T19" s="11" t="str">
        <f>"199,8778"</f>
        <v>199,8778</v>
      </c>
      <c r="U19" s="10" t="s">
        <v>566</v>
      </c>
    </row>
    <row r="20" spans="1:21">
      <c r="B20" s="5" t="s">
        <v>8</v>
      </c>
    </row>
    <row r="21" spans="1:21" ht="16">
      <c r="A21" s="34" t="s">
        <v>178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21">
      <c r="A22" s="9" t="s">
        <v>46</v>
      </c>
      <c r="B22" s="8" t="s">
        <v>179</v>
      </c>
      <c r="C22" s="8" t="s">
        <v>535</v>
      </c>
      <c r="D22" s="8" t="s">
        <v>180</v>
      </c>
      <c r="E22" s="8" t="s">
        <v>599</v>
      </c>
      <c r="F22" s="8" t="s">
        <v>94</v>
      </c>
      <c r="G22" s="18" t="s">
        <v>52</v>
      </c>
      <c r="H22" s="19" t="s">
        <v>67</v>
      </c>
      <c r="I22" s="19" t="s">
        <v>68</v>
      </c>
      <c r="J22" s="9"/>
      <c r="K22" s="18" t="s">
        <v>141</v>
      </c>
      <c r="L22" s="18" t="s">
        <v>168</v>
      </c>
      <c r="M22" s="19" t="s">
        <v>54</v>
      </c>
      <c r="N22" s="9"/>
      <c r="O22" s="18" t="s">
        <v>67</v>
      </c>
      <c r="P22" s="18" t="s">
        <v>65</v>
      </c>
      <c r="Q22" s="19" t="s">
        <v>174</v>
      </c>
      <c r="R22" s="9"/>
      <c r="S22" s="30" t="str">
        <f>"232,5"</f>
        <v>232,5</v>
      </c>
      <c r="T22" s="9" t="str">
        <f>"269,7930"</f>
        <v>269,7930</v>
      </c>
      <c r="U22" s="8"/>
    </row>
    <row r="23" spans="1:21">
      <c r="A23" s="11" t="s">
        <v>276</v>
      </c>
      <c r="B23" s="10" t="s">
        <v>181</v>
      </c>
      <c r="C23" s="10" t="s">
        <v>182</v>
      </c>
      <c r="D23" s="10" t="s">
        <v>183</v>
      </c>
      <c r="E23" s="10" t="s">
        <v>600</v>
      </c>
      <c r="F23" s="10" t="s">
        <v>109</v>
      </c>
      <c r="G23" s="21" t="s">
        <v>65</v>
      </c>
      <c r="H23" s="21" t="s">
        <v>65</v>
      </c>
      <c r="I23" s="21" t="s">
        <v>65</v>
      </c>
      <c r="J23" s="11"/>
      <c r="K23" s="21"/>
      <c r="L23" s="11"/>
      <c r="M23" s="11"/>
      <c r="N23" s="11"/>
      <c r="O23" s="21"/>
      <c r="P23" s="11"/>
      <c r="Q23" s="11"/>
      <c r="R23" s="11"/>
      <c r="S23" s="31">
        <v>0</v>
      </c>
      <c r="T23" s="11" t="str">
        <f>"0,0000"</f>
        <v>0,0000</v>
      </c>
      <c r="U23" s="10" t="s">
        <v>184</v>
      </c>
    </row>
    <row r="24" spans="1:21">
      <c r="B24" s="5" t="s">
        <v>8</v>
      </c>
    </row>
    <row r="25" spans="1:21" ht="16">
      <c r="A25" s="34" t="s">
        <v>185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>
      <c r="A26" s="9" t="s">
        <v>46</v>
      </c>
      <c r="B26" s="8" t="s">
        <v>186</v>
      </c>
      <c r="C26" s="8" t="s">
        <v>187</v>
      </c>
      <c r="D26" s="8" t="s">
        <v>188</v>
      </c>
      <c r="E26" s="8" t="s">
        <v>601</v>
      </c>
      <c r="F26" s="8" t="s">
        <v>563</v>
      </c>
      <c r="G26" s="18" t="s">
        <v>51</v>
      </c>
      <c r="H26" s="18" t="s">
        <v>52</v>
      </c>
      <c r="I26" s="19" t="s">
        <v>165</v>
      </c>
      <c r="J26" s="9"/>
      <c r="K26" s="18" t="s">
        <v>189</v>
      </c>
      <c r="L26" s="18" t="s">
        <v>168</v>
      </c>
      <c r="M26" s="19" t="s">
        <v>54</v>
      </c>
      <c r="N26" s="9"/>
      <c r="O26" s="18" t="s">
        <v>67</v>
      </c>
      <c r="P26" s="18" t="s">
        <v>65</v>
      </c>
      <c r="Q26" s="19" t="s">
        <v>174</v>
      </c>
      <c r="R26" s="9"/>
      <c r="S26" s="30" t="str">
        <f>"232,5"</f>
        <v>232,5</v>
      </c>
      <c r="T26" s="9" t="str">
        <f>"243,6367"</f>
        <v>243,6367</v>
      </c>
      <c r="U26" s="8" t="s">
        <v>564</v>
      </c>
    </row>
    <row r="27" spans="1:21">
      <c r="A27" s="25" t="s">
        <v>46</v>
      </c>
      <c r="B27" s="24" t="s">
        <v>190</v>
      </c>
      <c r="C27" s="24" t="s">
        <v>191</v>
      </c>
      <c r="D27" s="24" t="s">
        <v>192</v>
      </c>
      <c r="E27" s="24" t="s">
        <v>600</v>
      </c>
      <c r="F27" s="24" t="s">
        <v>563</v>
      </c>
      <c r="G27" s="26" t="s">
        <v>65</v>
      </c>
      <c r="H27" s="26" t="s">
        <v>174</v>
      </c>
      <c r="I27" s="26" t="s">
        <v>58</v>
      </c>
      <c r="J27" s="25"/>
      <c r="K27" s="26" t="s">
        <v>145</v>
      </c>
      <c r="L27" s="27" t="s">
        <v>153</v>
      </c>
      <c r="M27" s="27" t="s">
        <v>153</v>
      </c>
      <c r="N27" s="25"/>
      <c r="O27" s="26" t="s">
        <v>77</v>
      </c>
      <c r="P27" s="26" t="s">
        <v>117</v>
      </c>
      <c r="Q27" s="26" t="s">
        <v>86</v>
      </c>
      <c r="R27" s="25"/>
      <c r="S27" s="33" t="str">
        <f>"362,5"</f>
        <v>362,5</v>
      </c>
      <c r="T27" s="25" t="str">
        <f>"382,4737"</f>
        <v>382,4737</v>
      </c>
      <c r="U27" s="24" t="s">
        <v>564</v>
      </c>
    </row>
    <row r="28" spans="1:21">
      <c r="A28" s="11" t="s">
        <v>134</v>
      </c>
      <c r="B28" s="10" t="s">
        <v>186</v>
      </c>
      <c r="C28" s="10" t="s">
        <v>193</v>
      </c>
      <c r="D28" s="10" t="s">
        <v>188</v>
      </c>
      <c r="E28" s="10" t="s">
        <v>600</v>
      </c>
      <c r="F28" s="10" t="s">
        <v>563</v>
      </c>
      <c r="G28" s="20" t="s">
        <v>51</v>
      </c>
      <c r="H28" s="20" t="s">
        <v>52</v>
      </c>
      <c r="I28" s="21" t="s">
        <v>165</v>
      </c>
      <c r="J28" s="11"/>
      <c r="K28" s="20" t="s">
        <v>189</v>
      </c>
      <c r="L28" s="20" t="s">
        <v>168</v>
      </c>
      <c r="M28" s="21" t="s">
        <v>54</v>
      </c>
      <c r="N28" s="11"/>
      <c r="O28" s="20" t="s">
        <v>67</v>
      </c>
      <c r="P28" s="20" t="s">
        <v>65</v>
      </c>
      <c r="Q28" s="21" t="s">
        <v>174</v>
      </c>
      <c r="R28" s="11"/>
      <c r="S28" s="31" t="str">
        <f>"232,5"</f>
        <v>232,5</v>
      </c>
      <c r="T28" s="11" t="str">
        <f>"243,6367"</f>
        <v>243,6367</v>
      </c>
      <c r="U28" s="10" t="s">
        <v>564</v>
      </c>
    </row>
    <row r="29" spans="1:21">
      <c r="B29" s="5" t="s">
        <v>8</v>
      </c>
    </row>
    <row r="30" spans="1:21" ht="16">
      <c r="A30" s="34" t="s">
        <v>61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21">
      <c r="A31" s="13" t="s">
        <v>46</v>
      </c>
      <c r="B31" s="12" t="s">
        <v>194</v>
      </c>
      <c r="C31" s="12" t="s">
        <v>195</v>
      </c>
      <c r="D31" s="12" t="s">
        <v>196</v>
      </c>
      <c r="E31" s="12" t="s">
        <v>600</v>
      </c>
      <c r="F31" s="12" t="s">
        <v>94</v>
      </c>
      <c r="G31" s="22" t="s">
        <v>57</v>
      </c>
      <c r="H31" s="23" t="s">
        <v>66</v>
      </c>
      <c r="I31" s="22" t="s">
        <v>66</v>
      </c>
      <c r="J31" s="13"/>
      <c r="K31" s="22" t="s">
        <v>54</v>
      </c>
      <c r="L31" s="22" t="s">
        <v>55</v>
      </c>
      <c r="M31" s="23" t="s">
        <v>145</v>
      </c>
      <c r="N31" s="13"/>
      <c r="O31" s="22" t="s">
        <v>57</v>
      </c>
      <c r="P31" s="22" t="s">
        <v>66</v>
      </c>
      <c r="Q31" s="23" t="s">
        <v>197</v>
      </c>
      <c r="R31" s="13"/>
      <c r="S31" s="32" t="str">
        <f>"300,0"</f>
        <v>300,0</v>
      </c>
      <c r="T31" s="13" t="str">
        <f>"297,5700"</f>
        <v>297,5700</v>
      </c>
      <c r="U31" s="12" t="s">
        <v>567</v>
      </c>
    </row>
    <row r="32" spans="1:21">
      <c r="B32" s="5" t="s">
        <v>8</v>
      </c>
    </row>
    <row r="33" spans="1:21" ht="16">
      <c r="A33" s="34" t="s">
        <v>47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>
      <c r="A34" s="9" t="s">
        <v>46</v>
      </c>
      <c r="B34" s="8" t="s">
        <v>48</v>
      </c>
      <c r="C34" s="8" t="s">
        <v>49</v>
      </c>
      <c r="D34" s="8" t="s">
        <v>50</v>
      </c>
      <c r="E34" s="8" t="s">
        <v>601</v>
      </c>
      <c r="F34" s="8" t="s">
        <v>563</v>
      </c>
      <c r="G34" s="18" t="s">
        <v>51</v>
      </c>
      <c r="H34" s="18" t="s">
        <v>52</v>
      </c>
      <c r="I34" s="18" t="s">
        <v>53</v>
      </c>
      <c r="J34" s="9"/>
      <c r="K34" s="18" t="s">
        <v>54</v>
      </c>
      <c r="L34" s="18" t="s">
        <v>55</v>
      </c>
      <c r="M34" s="18" t="s">
        <v>56</v>
      </c>
      <c r="N34" s="9"/>
      <c r="O34" s="18" t="s">
        <v>57</v>
      </c>
      <c r="P34" s="18" t="s">
        <v>58</v>
      </c>
      <c r="Q34" s="18" t="s">
        <v>59</v>
      </c>
      <c r="R34" s="9"/>
      <c r="S34" s="30" t="str">
        <f>"285,0"</f>
        <v>285,0</v>
      </c>
      <c r="T34" s="9" t="str">
        <f>"263,1405"</f>
        <v>263,1405</v>
      </c>
      <c r="U34" s="8" t="s">
        <v>564</v>
      </c>
    </row>
    <row r="35" spans="1:21">
      <c r="A35" s="25" t="s">
        <v>46</v>
      </c>
      <c r="B35" s="24" t="s">
        <v>201</v>
      </c>
      <c r="C35" s="24" t="s">
        <v>202</v>
      </c>
      <c r="D35" s="24" t="s">
        <v>167</v>
      </c>
      <c r="E35" s="24" t="s">
        <v>600</v>
      </c>
      <c r="F35" s="24" t="s">
        <v>94</v>
      </c>
      <c r="G35" s="26" t="s">
        <v>67</v>
      </c>
      <c r="H35" s="26" t="s">
        <v>69</v>
      </c>
      <c r="I35" s="26" t="s">
        <v>70</v>
      </c>
      <c r="J35" s="25"/>
      <c r="K35" s="26" t="s">
        <v>52</v>
      </c>
      <c r="L35" s="27" t="s">
        <v>53</v>
      </c>
      <c r="M35" s="26" t="s">
        <v>67</v>
      </c>
      <c r="N35" s="25"/>
      <c r="O35" s="26" t="s">
        <v>75</v>
      </c>
      <c r="P35" s="26" t="s">
        <v>203</v>
      </c>
      <c r="Q35" s="26" t="s">
        <v>204</v>
      </c>
      <c r="R35" s="25"/>
      <c r="S35" s="33" t="str">
        <f>"342,5"</f>
        <v>342,5</v>
      </c>
      <c r="T35" s="25" t="str">
        <f>"315,6823"</f>
        <v>315,6823</v>
      </c>
      <c r="U35" s="24" t="s">
        <v>568</v>
      </c>
    </row>
    <row r="36" spans="1:21">
      <c r="A36" s="11" t="s">
        <v>134</v>
      </c>
      <c r="B36" s="10" t="s">
        <v>48</v>
      </c>
      <c r="C36" s="10" t="s">
        <v>60</v>
      </c>
      <c r="D36" s="10" t="s">
        <v>50</v>
      </c>
      <c r="E36" s="10" t="s">
        <v>600</v>
      </c>
      <c r="F36" s="10" t="s">
        <v>563</v>
      </c>
      <c r="G36" s="20" t="s">
        <v>51</v>
      </c>
      <c r="H36" s="20" t="s">
        <v>52</v>
      </c>
      <c r="I36" s="20" t="s">
        <v>53</v>
      </c>
      <c r="J36" s="11"/>
      <c r="K36" s="20" t="s">
        <v>54</v>
      </c>
      <c r="L36" s="20" t="s">
        <v>55</v>
      </c>
      <c r="M36" s="20" t="s">
        <v>56</v>
      </c>
      <c r="N36" s="11"/>
      <c r="O36" s="20" t="s">
        <v>57</v>
      </c>
      <c r="P36" s="20" t="s">
        <v>58</v>
      </c>
      <c r="Q36" s="20" t="s">
        <v>59</v>
      </c>
      <c r="R36" s="11"/>
      <c r="S36" s="31" t="str">
        <f>"285,0"</f>
        <v>285,0</v>
      </c>
      <c r="T36" s="11" t="str">
        <f>"263,1405"</f>
        <v>263,1405</v>
      </c>
      <c r="U36" s="10" t="s">
        <v>564</v>
      </c>
    </row>
    <row r="37" spans="1:21">
      <c r="B37" s="5" t="s">
        <v>8</v>
      </c>
    </row>
    <row r="38" spans="1:21" ht="16">
      <c r="A38" s="34" t="s">
        <v>178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21">
      <c r="A39" s="13" t="s">
        <v>46</v>
      </c>
      <c r="B39" s="12" t="s">
        <v>205</v>
      </c>
      <c r="C39" s="12" t="s">
        <v>206</v>
      </c>
      <c r="D39" s="12" t="s">
        <v>207</v>
      </c>
      <c r="E39" s="12" t="s">
        <v>601</v>
      </c>
      <c r="F39" s="12" t="s">
        <v>84</v>
      </c>
      <c r="G39" s="22" t="s">
        <v>165</v>
      </c>
      <c r="H39" s="22" t="s">
        <v>67</v>
      </c>
      <c r="I39" s="22" t="s">
        <v>68</v>
      </c>
      <c r="J39" s="13"/>
      <c r="K39" s="22" t="s">
        <v>141</v>
      </c>
      <c r="L39" s="22" t="s">
        <v>54</v>
      </c>
      <c r="M39" s="22" t="s">
        <v>173</v>
      </c>
      <c r="N39" s="13"/>
      <c r="O39" s="22" t="s">
        <v>68</v>
      </c>
      <c r="P39" s="22" t="s">
        <v>70</v>
      </c>
      <c r="Q39" s="22" t="s">
        <v>57</v>
      </c>
      <c r="R39" s="13"/>
      <c r="S39" s="32" t="str">
        <f>"267,5"</f>
        <v>267,5</v>
      </c>
      <c r="T39" s="13" t="str">
        <f>"230,6118"</f>
        <v>230,6118</v>
      </c>
      <c r="U39" s="12" t="s">
        <v>569</v>
      </c>
    </row>
    <row r="40" spans="1:21">
      <c r="B40" s="5" t="s">
        <v>8</v>
      </c>
    </row>
    <row r="41" spans="1:21" ht="16">
      <c r="A41" s="34" t="s">
        <v>185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21">
      <c r="A42" s="9" t="s">
        <v>46</v>
      </c>
      <c r="B42" s="8" t="s">
        <v>208</v>
      </c>
      <c r="C42" s="8" t="s">
        <v>209</v>
      </c>
      <c r="D42" s="8" t="s">
        <v>210</v>
      </c>
      <c r="E42" s="8" t="s">
        <v>600</v>
      </c>
      <c r="F42" s="8" t="s">
        <v>84</v>
      </c>
      <c r="G42" s="18" t="s">
        <v>204</v>
      </c>
      <c r="H42" s="19" t="s">
        <v>211</v>
      </c>
      <c r="I42" s="18" t="s">
        <v>211</v>
      </c>
      <c r="J42" s="9"/>
      <c r="K42" s="18" t="s">
        <v>76</v>
      </c>
      <c r="L42" s="18" t="s">
        <v>121</v>
      </c>
      <c r="M42" s="9"/>
      <c r="N42" s="9"/>
      <c r="O42" s="18" t="s">
        <v>20</v>
      </c>
      <c r="P42" s="18" t="s">
        <v>119</v>
      </c>
      <c r="Q42" s="18" t="s">
        <v>31</v>
      </c>
      <c r="R42" s="9"/>
      <c r="S42" s="30" t="str">
        <f>"487,5"</f>
        <v>487,5</v>
      </c>
      <c r="T42" s="9" t="str">
        <f>"375,8625"</f>
        <v>375,8625</v>
      </c>
      <c r="U42" s="8" t="s">
        <v>569</v>
      </c>
    </row>
    <row r="43" spans="1:21">
      <c r="A43" s="11" t="s">
        <v>46</v>
      </c>
      <c r="B43" s="10" t="s">
        <v>208</v>
      </c>
      <c r="C43" s="10" t="s">
        <v>536</v>
      </c>
      <c r="D43" s="10" t="s">
        <v>210</v>
      </c>
      <c r="E43" s="10" t="s">
        <v>602</v>
      </c>
      <c r="F43" s="10" t="s">
        <v>84</v>
      </c>
      <c r="G43" s="20" t="s">
        <v>204</v>
      </c>
      <c r="H43" s="21" t="s">
        <v>211</v>
      </c>
      <c r="I43" s="20" t="s">
        <v>211</v>
      </c>
      <c r="J43" s="11"/>
      <c r="K43" s="20" t="s">
        <v>76</v>
      </c>
      <c r="L43" s="20" t="s">
        <v>121</v>
      </c>
      <c r="M43" s="11"/>
      <c r="N43" s="11"/>
      <c r="O43" s="20" t="s">
        <v>20</v>
      </c>
      <c r="P43" s="20" t="s">
        <v>119</v>
      </c>
      <c r="Q43" s="20" t="s">
        <v>31</v>
      </c>
      <c r="R43" s="11"/>
      <c r="S43" s="31" t="str">
        <f>"487,5"</f>
        <v>487,5</v>
      </c>
      <c r="T43" s="11" t="str">
        <f>"425,4764"</f>
        <v>425,4764</v>
      </c>
      <c r="U43" s="10" t="s">
        <v>569</v>
      </c>
    </row>
    <row r="44" spans="1:21">
      <c r="B44" s="5" t="s">
        <v>8</v>
      </c>
    </row>
    <row r="45" spans="1:21" ht="16">
      <c r="A45" s="34" t="s">
        <v>61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21">
      <c r="A46" s="9" t="s">
        <v>46</v>
      </c>
      <c r="B46" s="8" t="s">
        <v>212</v>
      </c>
      <c r="C46" s="8" t="s">
        <v>213</v>
      </c>
      <c r="D46" s="8" t="s">
        <v>214</v>
      </c>
      <c r="E46" s="8" t="s">
        <v>601</v>
      </c>
      <c r="F46" s="8" t="s">
        <v>84</v>
      </c>
      <c r="G46" s="18" t="s">
        <v>52</v>
      </c>
      <c r="H46" s="18" t="s">
        <v>67</v>
      </c>
      <c r="I46" s="18" t="s">
        <v>68</v>
      </c>
      <c r="J46" s="9"/>
      <c r="K46" s="18" t="s">
        <v>189</v>
      </c>
      <c r="L46" s="19" t="s">
        <v>173</v>
      </c>
      <c r="M46" s="19" t="s">
        <v>55</v>
      </c>
      <c r="N46" s="9"/>
      <c r="O46" s="18" t="s">
        <v>67</v>
      </c>
      <c r="P46" s="18" t="s">
        <v>174</v>
      </c>
      <c r="Q46" s="18" t="s">
        <v>197</v>
      </c>
      <c r="R46" s="9"/>
      <c r="S46" s="30" t="str">
        <f>"265,0"</f>
        <v>265,0</v>
      </c>
      <c r="T46" s="9" t="str">
        <f>"200,5785"</f>
        <v>200,5785</v>
      </c>
      <c r="U46" s="8" t="s">
        <v>569</v>
      </c>
    </row>
    <row r="47" spans="1:21">
      <c r="A47" s="25" t="s">
        <v>46</v>
      </c>
      <c r="B47" s="24" t="s">
        <v>215</v>
      </c>
      <c r="C47" s="24" t="s">
        <v>537</v>
      </c>
      <c r="D47" s="24" t="s">
        <v>216</v>
      </c>
      <c r="E47" s="24" t="s">
        <v>599</v>
      </c>
      <c r="F47" s="24" t="s">
        <v>94</v>
      </c>
      <c r="G47" s="26" t="s">
        <v>70</v>
      </c>
      <c r="H47" s="26" t="s">
        <v>174</v>
      </c>
      <c r="I47" s="26" t="s">
        <v>57</v>
      </c>
      <c r="J47" s="25"/>
      <c r="K47" s="26" t="s">
        <v>51</v>
      </c>
      <c r="L47" s="26" t="s">
        <v>146</v>
      </c>
      <c r="M47" s="26" t="s">
        <v>217</v>
      </c>
      <c r="N47" s="25"/>
      <c r="O47" s="26" t="s">
        <v>66</v>
      </c>
      <c r="P47" s="26" t="s">
        <v>218</v>
      </c>
      <c r="Q47" s="26" t="s">
        <v>59</v>
      </c>
      <c r="R47" s="25"/>
      <c r="S47" s="33" t="str">
        <f>"327,5"</f>
        <v>327,5</v>
      </c>
      <c r="T47" s="25" t="str">
        <f>"242,0225"</f>
        <v>242,0225</v>
      </c>
      <c r="U47" s="24" t="s">
        <v>566</v>
      </c>
    </row>
    <row r="48" spans="1:21">
      <c r="A48" s="25" t="s">
        <v>46</v>
      </c>
      <c r="B48" s="24" t="s">
        <v>219</v>
      </c>
      <c r="C48" s="24" t="s">
        <v>220</v>
      </c>
      <c r="D48" s="24" t="s">
        <v>221</v>
      </c>
      <c r="E48" s="24" t="s">
        <v>600</v>
      </c>
      <c r="F48" s="24" t="s">
        <v>222</v>
      </c>
      <c r="G48" s="26" t="s">
        <v>31</v>
      </c>
      <c r="H48" s="26" t="s">
        <v>85</v>
      </c>
      <c r="I48" s="27" t="s">
        <v>32</v>
      </c>
      <c r="J48" s="25"/>
      <c r="K48" s="26" t="s">
        <v>223</v>
      </c>
      <c r="L48" s="26" t="s">
        <v>197</v>
      </c>
      <c r="M48" s="26" t="s">
        <v>218</v>
      </c>
      <c r="N48" s="25"/>
      <c r="O48" s="26" t="s">
        <v>31</v>
      </c>
      <c r="P48" s="26" t="s">
        <v>32</v>
      </c>
      <c r="Q48" s="26" t="s">
        <v>33</v>
      </c>
      <c r="R48" s="25"/>
      <c r="S48" s="33" t="str">
        <f>"532,5"</f>
        <v>532,5</v>
      </c>
      <c r="T48" s="25" t="str">
        <f>"380,1518"</f>
        <v>380,1518</v>
      </c>
      <c r="U48" s="24" t="s">
        <v>224</v>
      </c>
    </row>
    <row r="49" spans="1:21">
      <c r="A49" s="25" t="s">
        <v>134</v>
      </c>
      <c r="B49" s="24" t="s">
        <v>225</v>
      </c>
      <c r="C49" s="24" t="s">
        <v>226</v>
      </c>
      <c r="D49" s="24" t="s">
        <v>227</v>
      </c>
      <c r="E49" s="24" t="s">
        <v>600</v>
      </c>
      <c r="F49" s="24" t="s">
        <v>563</v>
      </c>
      <c r="G49" s="26" t="s">
        <v>97</v>
      </c>
      <c r="H49" s="26" t="s">
        <v>77</v>
      </c>
      <c r="I49" s="26" t="s">
        <v>19</v>
      </c>
      <c r="J49" s="25"/>
      <c r="K49" s="26" t="s">
        <v>68</v>
      </c>
      <c r="L49" s="26" t="s">
        <v>174</v>
      </c>
      <c r="M49" s="27" t="s">
        <v>223</v>
      </c>
      <c r="N49" s="25"/>
      <c r="O49" s="27" t="s">
        <v>87</v>
      </c>
      <c r="P49" s="27" t="s">
        <v>31</v>
      </c>
      <c r="Q49" s="26" t="s">
        <v>31</v>
      </c>
      <c r="R49" s="25"/>
      <c r="S49" s="33" t="str">
        <f>"465,0"</f>
        <v>465,0</v>
      </c>
      <c r="T49" s="25" t="str">
        <f>"336,4275"</f>
        <v>336,4275</v>
      </c>
      <c r="U49" s="24" t="s">
        <v>564</v>
      </c>
    </row>
    <row r="50" spans="1:21">
      <c r="A50" s="25" t="s">
        <v>135</v>
      </c>
      <c r="B50" s="24" t="s">
        <v>228</v>
      </c>
      <c r="C50" s="24" t="s">
        <v>229</v>
      </c>
      <c r="D50" s="24" t="s">
        <v>230</v>
      </c>
      <c r="E50" s="24" t="s">
        <v>600</v>
      </c>
      <c r="F50" s="24" t="s">
        <v>94</v>
      </c>
      <c r="G50" s="27" t="s">
        <v>75</v>
      </c>
      <c r="H50" s="26" t="s">
        <v>59</v>
      </c>
      <c r="I50" s="27" t="s">
        <v>121</v>
      </c>
      <c r="J50" s="25"/>
      <c r="K50" s="26" t="s">
        <v>52</v>
      </c>
      <c r="L50" s="26" t="s">
        <v>67</v>
      </c>
      <c r="M50" s="27" t="s">
        <v>231</v>
      </c>
      <c r="N50" s="25"/>
      <c r="O50" s="26" t="s">
        <v>75</v>
      </c>
      <c r="P50" s="26" t="s">
        <v>97</v>
      </c>
      <c r="Q50" s="26" t="s">
        <v>77</v>
      </c>
      <c r="R50" s="25"/>
      <c r="S50" s="33" t="str">
        <f>"375,0"</f>
        <v>375,0</v>
      </c>
      <c r="T50" s="25" t="str">
        <f>"271,8375"</f>
        <v>271,8375</v>
      </c>
      <c r="U50" s="24" t="s">
        <v>570</v>
      </c>
    </row>
    <row r="51" spans="1:21">
      <c r="A51" s="25" t="s">
        <v>136</v>
      </c>
      <c r="B51" s="24" t="s">
        <v>232</v>
      </c>
      <c r="C51" s="24" t="s">
        <v>233</v>
      </c>
      <c r="D51" s="24" t="s">
        <v>234</v>
      </c>
      <c r="E51" s="24" t="s">
        <v>600</v>
      </c>
      <c r="F51" s="24" t="s">
        <v>94</v>
      </c>
      <c r="G51" s="27" t="s">
        <v>57</v>
      </c>
      <c r="H51" s="26" t="s">
        <v>57</v>
      </c>
      <c r="I51" s="26" t="s">
        <v>66</v>
      </c>
      <c r="J51" s="25"/>
      <c r="K51" s="26" t="s">
        <v>165</v>
      </c>
      <c r="L51" s="26" t="s">
        <v>53</v>
      </c>
      <c r="M51" s="26" t="s">
        <v>67</v>
      </c>
      <c r="N51" s="25"/>
      <c r="O51" s="26" t="s">
        <v>59</v>
      </c>
      <c r="P51" s="26" t="s">
        <v>97</v>
      </c>
      <c r="Q51" s="26" t="s">
        <v>121</v>
      </c>
      <c r="R51" s="25"/>
      <c r="S51" s="33" t="str">
        <f>"355,0"</f>
        <v>355,0</v>
      </c>
      <c r="T51" s="25" t="str">
        <f>"252,9730"</f>
        <v>252,9730</v>
      </c>
      <c r="U51" s="24"/>
    </row>
    <row r="52" spans="1:21">
      <c r="A52" s="11" t="s">
        <v>276</v>
      </c>
      <c r="B52" s="10" t="s">
        <v>235</v>
      </c>
      <c r="C52" s="10" t="s">
        <v>236</v>
      </c>
      <c r="D52" s="10" t="s">
        <v>234</v>
      </c>
      <c r="E52" s="10" t="s">
        <v>600</v>
      </c>
      <c r="F52" s="10" t="s">
        <v>94</v>
      </c>
      <c r="G52" s="21" t="s">
        <v>87</v>
      </c>
      <c r="H52" s="21" t="s">
        <v>87</v>
      </c>
      <c r="I52" s="11"/>
      <c r="J52" s="11"/>
      <c r="K52" s="11"/>
      <c r="L52" s="21"/>
      <c r="M52" s="21"/>
      <c r="N52" s="11"/>
      <c r="O52" s="21"/>
      <c r="P52" s="11"/>
      <c r="Q52" s="11"/>
      <c r="R52" s="11"/>
      <c r="S52" s="31">
        <v>0</v>
      </c>
      <c r="T52" s="11" t="str">
        <f>"0,0000"</f>
        <v>0,0000</v>
      </c>
      <c r="U52" s="10"/>
    </row>
    <row r="53" spans="1:21">
      <c r="B53" s="5" t="s">
        <v>8</v>
      </c>
    </row>
    <row r="54" spans="1:21" ht="16">
      <c r="A54" s="34" t="s">
        <v>71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21">
      <c r="A55" s="9" t="s">
        <v>46</v>
      </c>
      <c r="B55" s="8" t="s">
        <v>72</v>
      </c>
      <c r="C55" s="8" t="s">
        <v>73</v>
      </c>
      <c r="D55" s="8" t="s">
        <v>74</v>
      </c>
      <c r="E55" s="8" t="s">
        <v>601</v>
      </c>
      <c r="F55" s="8" t="s">
        <v>563</v>
      </c>
      <c r="G55" s="18" t="s">
        <v>66</v>
      </c>
      <c r="H55" s="18" t="s">
        <v>75</v>
      </c>
      <c r="I55" s="18" t="s">
        <v>76</v>
      </c>
      <c r="J55" s="9"/>
      <c r="K55" s="18" t="s">
        <v>52</v>
      </c>
      <c r="L55" s="18" t="s">
        <v>67</v>
      </c>
      <c r="M55" s="19" t="s">
        <v>68</v>
      </c>
      <c r="N55" s="9"/>
      <c r="O55" s="18" t="s">
        <v>77</v>
      </c>
      <c r="P55" s="18" t="s">
        <v>78</v>
      </c>
      <c r="Q55" s="18" t="s">
        <v>79</v>
      </c>
      <c r="R55" s="9"/>
      <c r="S55" s="30" t="str">
        <f>"397,5"</f>
        <v>397,5</v>
      </c>
      <c r="T55" s="9" t="str">
        <f>"272,4465"</f>
        <v>272,4465</v>
      </c>
      <c r="U55" s="8" t="s">
        <v>564</v>
      </c>
    </row>
    <row r="56" spans="1:21">
      <c r="A56" s="11" t="s">
        <v>46</v>
      </c>
      <c r="B56" s="10" t="s">
        <v>237</v>
      </c>
      <c r="C56" s="10" t="s">
        <v>238</v>
      </c>
      <c r="D56" s="10" t="s">
        <v>239</v>
      </c>
      <c r="E56" s="10" t="s">
        <v>600</v>
      </c>
      <c r="F56" s="10" t="s">
        <v>94</v>
      </c>
      <c r="G56" s="20" t="s">
        <v>20</v>
      </c>
      <c r="H56" s="20" t="s">
        <v>240</v>
      </c>
      <c r="I56" s="20" t="s">
        <v>119</v>
      </c>
      <c r="J56" s="11"/>
      <c r="K56" s="20" t="s">
        <v>223</v>
      </c>
      <c r="L56" s="20" t="s">
        <v>58</v>
      </c>
      <c r="M56" s="21" t="s">
        <v>75</v>
      </c>
      <c r="N56" s="11"/>
      <c r="O56" s="20" t="s">
        <v>31</v>
      </c>
      <c r="P56" s="20" t="s">
        <v>32</v>
      </c>
      <c r="Q56" s="20" t="s">
        <v>95</v>
      </c>
      <c r="R56" s="11"/>
      <c r="S56" s="31" t="str">
        <f>"525,0"</f>
        <v>525,0</v>
      </c>
      <c r="T56" s="11" t="str">
        <f>"354,5850"</f>
        <v>354,5850</v>
      </c>
      <c r="U56" s="10"/>
    </row>
    <row r="57" spans="1:21">
      <c r="B57" s="5" t="s">
        <v>8</v>
      </c>
    </row>
    <row r="58" spans="1:21" ht="16">
      <c r="A58" s="34" t="s">
        <v>80</v>
      </c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21">
      <c r="A59" s="9" t="s">
        <v>46</v>
      </c>
      <c r="B59" s="8" t="s">
        <v>241</v>
      </c>
      <c r="C59" s="8" t="s">
        <v>242</v>
      </c>
      <c r="D59" s="8" t="s">
        <v>243</v>
      </c>
      <c r="E59" s="8" t="s">
        <v>600</v>
      </c>
      <c r="F59" s="8" t="s">
        <v>161</v>
      </c>
      <c r="G59" s="19" t="s">
        <v>102</v>
      </c>
      <c r="H59" s="18" t="s">
        <v>102</v>
      </c>
      <c r="I59" s="19" t="s">
        <v>103</v>
      </c>
      <c r="J59" s="9"/>
      <c r="K59" s="18" t="s">
        <v>78</v>
      </c>
      <c r="L59" s="19" t="s">
        <v>19</v>
      </c>
      <c r="M59" s="19" t="s">
        <v>79</v>
      </c>
      <c r="N59" s="9"/>
      <c r="O59" s="18" t="s">
        <v>105</v>
      </c>
      <c r="P59" s="19" t="s">
        <v>88</v>
      </c>
      <c r="Q59" s="19" t="s">
        <v>88</v>
      </c>
      <c r="R59" s="9"/>
      <c r="S59" s="30" t="str">
        <f>"640,0"</f>
        <v>640,0</v>
      </c>
      <c r="T59" s="9" t="str">
        <f>"411,1360"</f>
        <v>411,1360</v>
      </c>
      <c r="U59" s="8"/>
    </row>
    <row r="60" spans="1:21">
      <c r="A60" s="25" t="s">
        <v>134</v>
      </c>
      <c r="B60" s="24" t="s">
        <v>244</v>
      </c>
      <c r="C60" s="24" t="s">
        <v>245</v>
      </c>
      <c r="D60" s="24" t="s">
        <v>246</v>
      </c>
      <c r="E60" s="24" t="s">
        <v>600</v>
      </c>
      <c r="F60" s="24" t="s">
        <v>94</v>
      </c>
      <c r="G60" s="27" t="s">
        <v>31</v>
      </c>
      <c r="H60" s="26" t="s">
        <v>31</v>
      </c>
      <c r="I60" s="27" t="s">
        <v>32</v>
      </c>
      <c r="J60" s="25"/>
      <c r="K60" s="27" t="s">
        <v>97</v>
      </c>
      <c r="L60" s="26" t="s">
        <v>97</v>
      </c>
      <c r="M60" s="27" t="s">
        <v>121</v>
      </c>
      <c r="N60" s="25"/>
      <c r="O60" s="26" t="s">
        <v>102</v>
      </c>
      <c r="P60" s="26" t="s">
        <v>103</v>
      </c>
      <c r="Q60" s="27" t="s">
        <v>16</v>
      </c>
      <c r="R60" s="25"/>
      <c r="S60" s="33" t="str">
        <f>"560,0"</f>
        <v>560,0</v>
      </c>
      <c r="T60" s="25" t="str">
        <f>"357,7280"</f>
        <v>357,7280</v>
      </c>
      <c r="U60" s="24" t="s">
        <v>567</v>
      </c>
    </row>
    <row r="61" spans="1:21">
      <c r="A61" s="11" t="s">
        <v>135</v>
      </c>
      <c r="B61" s="10" t="s">
        <v>247</v>
      </c>
      <c r="C61" s="10" t="s">
        <v>248</v>
      </c>
      <c r="D61" s="10" t="s">
        <v>249</v>
      </c>
      <c r="E61" s="10" t="s">
        <v>600</v>
      </c>
      <c r="F61" s="10" t="s">
        <v>94</v>
      </c>
      <c r="G61" s="20" t="s">
        <v>75</v>
      </c>
      <c r="H61" s="20" t="s">
        <v>97</v>
      </c>
      <c r="I61" s="21" t="s">
        <v>77</v>
      </c>
      <c r="J61" s="11"/>
      <c r="K61" s="20" t="s">
        <v>58</v>
      </c>
      <c r="L61" s="20" t="s">
        <v>75</v>
      </c>
      <c r="M61" s="21" t="s">
        <v>250</v>
      </c>
      <c r="N61" s="11"/>
      <c r="O61" s="20" t="s">
        <v>97</v>
      </c>
      <c r="P61" s="20" t="s">
        <v>77</v>
      </c>
      <c r="Q61" s="20" t="s">
        <v>112</v>
      </c>
      <c r="R61" s="11"/>
      <c r="S61" s="31" t="str">
        <f>"425,0"</f>
        <v>425,0</v>
      </c>
      <c r="T61" s="11" t="str">
        <f>"271,9150"</f>
        <v>271,9150</v>
      </c>
      <c r="U61" s="10"/>
    </row>
    <row r="62" spans="1:21">
      <c r="B62" s="5" t="s">
        <v>8</v>
      </c>
    </row>
    <row r="63" spans="1:21" ht="16">
      <c r="A63" s="34" t="s">
        <v>12</v>
      </c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21">
      <c r="A64" s="9" t="s">
        <v>46</v>
      </c>
      <c r="B64" s="8" t="s">
        <v>251</v>
      </c>
      <c r="C64" s="8" t="s">
        <v>538</v>
      </c>
      <c r="D64" s="8" t="s">
        <v>252</v>
      </c>
      <c r="E64" s="8" t="s">
        <v>599</v>
      </c>
      <c r="F64" s="8" t="s">
        <v>563</v>
      </c>
      <c r="G64" s="18" t="s">
        <v>33</v>
      </c>
      <c r="H64" s="19" t="s">
        <v>103</v>
      </c>
      <c r="I64" s="18" t="s">
        <v>103</v>
      </c>
      <c r="J64" s="9"/>
      <c r="K64" s="18" t="s">
        <v>174</v>
      </c>
      <c r="L64" s="18" t="s">
        <v>66</v>
      </c>
      <c r="M64" s="19" t="s">
        <v>58</v>
      </c>
      <c r="N64" s="9"/>
      <c r="O64" s="18" t="s">
        <v>102</v>
      </c>
      <c r="P64" s="18" t="s">
        <v>96</v>
      </c>
      <c r="Q64" s="9"/>
      <c r="R64" s="9"/>
      <c r="S64" s="30" t="str">
        <f>"590,0"</f>
        <v>590,0</v>
      </c>
      <c r="T64" s="9" t="str">
        <f>"362,0240"</f>
        <v>362,0240</v>
      </c>
      <c r="U64" s="8"/>
    </row>
    <row r="65" spans="1:21">
      <c r="A65" s="25" t="s">
        <v>46</v>
      </c>
      <c r="B65" s="24" t="s">
        <v>253</v>
      </c>
      <c r="C65" s="24" t="s">
        <v>254</v>
      </c>
      <c r="D65" s="24" t="s">
        <v>255</v>
      </c>
      <c r="E65" s="24" t="s">
        <v>600</v>
      </c>
      <c r="F65" s="24" t="s">
        <v>94</v>
      </c>
      <c r="G65" s="26" t="s">
        <v>102</v>
      </c>
      <c r="H65" s="26" t="s">
        <v>103</v>
      </c>
      <c r="I65" s="27" t="s">
        <v>16</v>
      </c>
      <c r="J65" s="25"/>
      <c r="K65" s="26" t="s">
        <v>97</v>
      </c>
      <c r="L65" s="26" t="s">
        <v>77</v>
      </c>
      <c r="M65" s="27" t="s">
        <v>112</v>
      </c>
      <c r="N65" s="25"/>
      <c r="O65" s="26" t="s">
        <v>22</v>
      </c>
      <c r="P65" s="26" t="s">
        <v>105</v>
      </c>
      <c r="Q65" s="27" t="s">
        <v>29</v>
      </c>
      <c r="R65" s="25"/>
      <c r="S65" s="33" t="str">
        <f>"640,0"</f>
        <v>640,0</v>
      </c>
      <c r="T65" s="25" t="str">
        <f>"393,9200"</f>
        <v>393,9200</v>
      </c>
      <c r="U65" s="24" t="s">
        <v>570</v>
      </c>
    </row>
    <row r="66" spans="1:21">
      <c r="A66" s="11" t="s">
        <v>134</v>
      </c>
      <c r="B66" s="10" t="s">
        <v>256</v>
      </c>
      <c r="C66" s="10" t="s">
        <v>257</v>
      </c>
      <c r="D66" s="10" t="s">
        <v>258</v>
      </c>
      <c r="E66" s="10" t="s">
        <v>600</v>
      </c>
      <c r="F66" s="10" t="s">
        <v>94</v>
      </c>
      <c r="G66" s="20" t="s">
        <v>20</v>
      </c>
      <c r="H66" s="20" t="s">
        <v>119</v>
      </c>
      <c r="I66" s="20" t="s">
        <v>31</v>
      </c>
      <c r="J66" s="11"/>
      <c r="K66" s="20" t="s">
        <v>174</v>
      </c>
      <c r="L66" s="20" t="s">
        <v>223</v>
      </c>
      <c r="M66" s="20" t="s">
        <v>66</v>
      </c>
      <c r="N66" s="11"/>
      <c r="O66" s="20" t="s">
        <v>87</v>
      </c>
      <c r="P66" s="21" t="s">
        <v>85</v>
      </c>
      <c r="Q66" s="21" t="s">
        <v>85</v>
      </c>
      <c r="R66" s="11"/>
      <c r="S66" s="31" t="str">
        <f>"490,0"</f>
        <v>490,0</v>
      </c>
      <c r="T66" s="11" t="str">
        <f>"309,9250"</f>
        <v>309,9250</v>
      </c>
      <c r="U66" s="10" t="s">
        <v>570</v>
      </c>
    </row>
    <row r="67" spans="1:21">
      <c r="B67" s="5" t="s">
        <v>8</v>
      </c>
    </row>
    <row r="68" spans="1:21" ht="16">
      <c r="A68" s="34" t="s">
        <v>24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21">
      <c r="A69" s="13" t="s">
        <v>46</v>
      </c>
      <c r="B69" s="12" t="s">
        <v>259</v>
      </c>
      <c r="C69" s="12" t="s">
        <v>260</v>
      </c>
      <c r="D69" s="12" t="s">
        <v>261</v>
      </c>
      <c r="E69" s="12" t="s">
        <v>600</v>
      </c>
      <c r="F69" s="12" t="s">
        <v>94</v>
      </c>
      <c r="G69" s="23" t="s">
        <v>79</v>
      </c>
      <c r="H69" s="22" t="s">
        <v>87</v>
      </c>
      <c r="I69" s="23" t="s">
        <v>32</v>
      </c>
      <c r="J69" s="13"/>
      <c r="K69" s="22" t="s">
        <v>66</v>
      </c>
      <c r="L69" s="22" t="s">
        <v>58</v>
      </c>
      <c r="M69" s="23" t="s">
        <v>218</v>
      </c>
      <c r="N69" s="13"/>
      <c r="O69" s="22" t="s">
        <v>96</v>
      </c>
      <c r="P69" s="22" t="s">
        <v>22</v>
      </c>
      <c r="Q69" s="23" t="s">
        <v>105</v>
      </c>
      <c r="R69" s="13"/>
      <c r="S69" s="32" t="str">
        <f>"555,0"</f>
        <v>555,0</v>
      </c>
      <c r="T69" s="13" t="str">
        <f>"330,0030"</f>
        <v>330,0030</v>
      </c>
      <c r="U69" s="12"/>
    </row>
    <row r="70" spans="1:21">
      <c r="B70" s="5" t="s">
        <v>8</v>
      </c>
    </row>
    <row r="71" spans="1:21">
      <c r="B71" s="5" t="s">
        <v>8</v>
      </c>
    </row>
    <row r="72" spans="1:21">
      <c r="B72" s="5" t="s">
        <v>8</v>
      </c>
    </row>
    <row r="73" spans="1:21" ht="18">
      <c r="B73" s="7" t="s">
        <v>7</v>
      </c>
      <c r="C73" s="7"/>
    </row>
    <row r="74" spans="1:21" ht="16">
      <c r="B74" s="14" t="s">
        <v>262</v>
      </c>
      <c r="C74" s="14"/>
    </row>
    <row r="75" spans="1:21" ht="14">
      <c r="B75" s="15"/>
      <c r="C75" s="16" t="s">
        <v>37</v>
      </c>
    </row>
    <row r="76" spans="1:21" ht="14">
      <c r="B76" s="17" t="s">
        <v>38</v>
      </c>
      <c r="C76" s="17" t="s">
        <v>39</v>
      </c>
      <c r="D76" s="17" t="s">
        <v>523</v>
      </c>
      <c r="E76" s="17" t="s">
        <v>41</v>
      </c>
      <c r="F76" s="17" t="s">
        <v>42</v>
      </c>
    </row>
    <row r="77" spans="1:21">
      <c r="B77" s="5" t="s">
        <v>190</v>
      </c>
      <c r="C77" s="5" t="s">
        <v>37</v>
      </c>
      <c r="D77" s="6" t="s">
        <v>263</v>
      </c>
      <c r="E77" s="6" t="s">
        <v>264</v>
      </c>
      <c r="F77" s="6" t="s">
        <v>265</v>
      </c>
    </row>
    <row r="78" spans="1:21">
      <c r="B78" s="5" t="s">
        <v>170</v>
      </c>
      <c r="C78" s="5" t="s">
        <v>37</v>
      </c>
      <c r="D78" s="6" t="s">
        <v>126</v>
      </c>
      <c r="E78" s="6" t="s">
        <v>266</v>
      </c>
      <c r="F78" s="6" t="s">
        <v>267</v>
      </c>
    </row>
    <row r="79" spans="1:21">
      <c r="B79" s="5" t="s">
        <v>194</v>
      </c>
      <c r="C79" s="5" t="s">
        <v>37</v>
      </c>
      <c r="D79" s="6" t="s">
        <v>127</v>
      </c>
      <c r="E79" s="6" t="s">
        <v>268</v>
      </c>
      <c r="F79" s="6" t="s">
        <v>269</v>
      </c>
    </row>
    <row r="81" spans="2:6" ht="16">
      <c r="B81" s="14" t="s">
        <v>36</v>
      </c>
      <c r="C81" s="14"/>
    </row>
    <row r="82" spans="2:6" ht="14">
      <c r="B82" s="15"/>
      <c r="C82" s="16" t="s">
        <v>37</v>
      </c>
    </row>
    <row r="83" spans="2:6" ht="14">
      <c r="B83" s="17" t="s">
        <v>38</v>
      </c>
      <c r="C83" s="17" t="s">
        <v>39</v>
      </c>
      <c r="D83" s="17" t="s">
        <v>523</v>
      </c>
      <c r="E83" s="17" t="s">
        <v>41</v>
      </c>
      <c r="F83" s="17" t="s">
        <v>42</v>
      </c>
    </row>
    <row r="84" spans="2:6">
      <c r="B84" s="5" t="s">
        <v>241</v>
      </c>
      <c r="C84" s="5" t="s">
        <v>37</v>
      </c>
      <c r="D84" s="6" t="s">
        <v>128</v>
      </c>
      <c r="E84" s="6" t="s">
        <v>271</v>
      </c>
      <c r="F84" s="6" t="s">
        <v>272</v>
      </c>
    </row>
    <row r="85" spans="2:6">
      <c r="B85" s="5" t="s">
        <v>253</v>
      </c>
      <c r="C85" s="5" t="s">
        <v>37</v>
      </c>
      <c r="D85" s="6" t="s">
        <v>44</v>
      </c>
      <c r="E85" s="6" t="s">
        <v>271</v>
      </c>
      <c r="F85" s="6" t="s">
        <v>273</v>
      </c>
    </row>
    <row r="86" spans="2:6">
      <c r="B86" s="5" t="s">
        <v>219</v>
      </c>
      <c r="C86" s="5" t="s">
        <v>37</v>
      </c>
      <c r="D86" s="6" t="s">
        <v>127</v>
      </c>
      <c r="E86" s="6" t="s">
        <v>274</v>
      </c>
      <c r="F86" s="6" t="s">
        <v>275</v>
      </c>
    </row>
    <row r="87" spans="2:6">
      <c r="B87" s="5" t="s">
        <v>8</v>
      </c>
      <c r="C87" s="3"/>
      <c r="D87" s="3"/>
      <c r="E87" s="3"/>
      <c r="F87" s="3"/>
    </row>
    <row r="88" spans="2:6">
      <c r="B88" s="5" t="s">
        <v>8</v>
      </c>
      <c r="C88" s="3"/>
      <c r="D88" s="3"/>
      <c r="E88" s="3"/>
      <c r="F88" s="3"/>
    </row>
    <row r="89" spans="2:6">
      <c r="B89" s="5" t="s">
        <v>8</v>
      </c>
      <c r="C89" s="3"/>
      <c r="D89" s="3"/>
      <c r="E89" s="3"/>
      <c r="F89" s="3"/>
    </row>
    <row r="90" spans="2:6">
      <c r="B90" s="5" t="s">
        <v>8</v>
      </c>
      <c r="C90" s="3"/>
      <c r="D90" s="3"/>
      <c r="E90" s="3"/>
      <c r="F90" s="3"/>
    </row>
    <row r="91" spans="2:6">
      <c r="B91" s="5" t="s">
        <v>8</v>
      </c>
      <c r="C91" s="3"/>
      <c r="D91" s="3"/>
      <c r="E91" s="3"/>
      <c r="F91" s="3"/>
    </row>
    <row r="92" spans="2:6">
      <c r="B92" s="5" t="s">
        <v>8</v>
      </c>
      <c r="C92" s="3"/>
      <c r="D92" s="3"/>
      <c r="E92" s="3"/>
      <c r="F92" s="3"/>
    </row>
  </sheetData>
  <mergeCells count="2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63:R63"/>
    <mergeCell ref="A68:R68"/>
    <mergeCell ref="B3:B4"/>
    <mergeCell ref="A33:R33"/>
    <mergeCell ref="A38:R38"/>
    <mergeCell ref="A41:R41"/>
    <mergeCell ref="A45:R45"/>
    <mergeCell ref="A54:R54"/>
    <mergeCell ref="A58:R58"/>
    <mergeCell ref="A9:R9"/>
    <mergeCell ref="A12:R12"/>
    <mergeCell ref="A16:R16"/>
    <mergeCell ref="A21:R21"/>
    <mergeCell ref="A25:R25"/>
    <mergeCell ref="A30:R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9"/>
  <sheetViews>
    <sheetView topLeftCell="A16" workbookViewId="0">
      <selection activeCell="E44" sqref="E44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6" t="s">
        <v>528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38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149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280</v>
      </c>
      <c r="C6" s="12" t="s">
        <v>236</v>
      </c>
      <c r="D6" s="12" t="s">
        <v>281</v>
      </c>
      <c r="E6" s="12" t="s">
        <v>600</v>
      </c>
      <c r="F6" s="12" t="s">
        <v>94</v>
      </c>
      <c r="G6" s="22" t="s">
        <v>145</v>
      </c>
      <c r="H6" s="22" t="s">
        <v>51</v>
      </c>
      <c r="I6" s="23" t="s">
        <v>146</v>
      </c>
      <c r="J6" s="13"/>
      <c r="K6" s="32" t="str">
        <f>"70,0"</f>
        <v>70,0</v>
      </c>
      <c r="L6" s="13" t="str">
        <f>"92,8550"</f>
        <v>92,8550</v>
      </c>
      <c r="M6" s="12"/>
    </row>
    <row r="7" spans="1:13">
      <c r="B7" s="5" t="s">
        <v>8</v>
      </c>
    </row>
    <row r="8" spans="1:13" ht="16">
      <c r="A8" s="34" t="s">
        <v>61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9" t="s">
        <v>46</v>
      </c>
      <c r="B9" s="8" t="s">
        <v>62</v>
      </c>
      <c r="C9" s="8" t="s">
        <v>63</v>
      </c>
      <c r="D9" s="8" t="s">
        <v>64</v>
      </c>
      <c r="E9" s="8" t="s">
        <v>601</v>
      </c>
      <c r="F9" s="8" t="s">
        <v>563</v>
      </c>
      <c r="G9" s="18" t="s">
        <v>67</v>
      </c>
      <c r="H9" s="18" t="s">
        <v>68</v>
      </c>
      <c r="I9" s="18" t="s">
        <v>69</v>
      </c>
      <c r="J9" s="9"/>
      <c r="K9" s="30" t="str">
        <f>"97,5"</f>
        <v>97,5</v>
      </c>
      <c r="L9" s="9" t="str">
        <f>"74,6460"</f>
        <v>74,6460</v>
      </c>
      <c r="M9" s="8"/>
    </row>
    <row r="10" spans="1:13">
      <c r="A10" s="11" t="s">
        <v>46</v>
      </c>
      <c r="B10" s="10" t="s">
        <v>282</v>
      </c>
      <c r="C10" s="10" t="s">
        <v>283</v>
      </c>
      <c r="D10" s="10" t="s">
        <v>284</v>
      </c>
      <c r="E10" s="10" t="s">
        <v>600</v>
      </c>
      <c r="F10" s="10" t="s">
        <v>94</v>
      </c>
      <c r="G10" s="20" t="s">
        <v>57</v>
      </c>
      <c r="H10" s="20" t="s">
        <v>66</v>
      </c>
      <c r="I10" s="20" t="s">
        <v>58</v>
      </c>
      <c r="J10" s="11"/>
      <c r="K10" s="31" t="str">
        <f>"125,0"</f>
        <v>125,0</v>
      </c>
      <c r="L10" s="11" t="str">
        <f>"89,4875"</f>
        <v>89,4875</v>
      </c>
      <c r="M10" s="10"/>
    </row>
    <row r="11" spans="1:13">
      <c r="B11" s="5" t="s">
        <v>8</v>
      </c>
    </row>
    <row r="12" spans="1:13" ht="16">
      <c r="A12" s="34" t="s">
        <v>71</v>
      </c>
      <c r="B12" s="34"/>
      <c r="C12" s="35"/>
      <c r="D12" s="35"/>
      <c r="E12" s="35"/>
      <c r="F12" s="35"/>
      <c r="G12" s="35"/>
      <c r="H12" s="35"/>
      <c r="I12" s="35"/>
      <c r="J12" s="35"/>
    </row>
    <row r="13" spans="1:13">
      <c r="A13" s="9" t="s">
        <v>46</v>
      </c>
      <c r="B13" s="8" t="s">
        <v>285</v>
      </c>
      <c r="C13" s="8" t="s">
        <v>286</v>
      </c>
      <c r="D13" s="8" t="s">
        <v>287</v>
      </c>
      <c r="E13" s="8" t="s">
        <v>600</v>
      </c>
      <c r="F13" s="8" t="s">
        <v>288</v>
      </c>
      <c r="G13" s="18" t="s">
        <v>78</v>
      </c>
      <c r="H13" s="18" t="s">
        <v>19</v>
      </c>
      <c r="I13" s="19" t="s">
        <v>20</v>
      </c>
      <c r="J13" s="9"/>
      <c r="K13" s="30" t="str">
        <f>"165,0"</f>
        <v>165,0</v>
      </c>
      <c r="L13" s="9" t="str">
        <f>"113,0085"</f>
        <v>113,0085</v>
      </c>
      <c r="M13" s="8"/>
    </row>
    <row r="14" spans="1:13">
      <c r="A14" s="25" t="s">
        <v>134</v>
      </c>
      <c r="B14" s="24" t="s">
        <v>289</v>
      </c>
      <c r="C14" s="24" t="s">
        <v>290</v>
      </c>
      <c r="D14" s="24" t="s">
        <v>291</v>
      </c>
      <c r="E14" s="24" t="s">
        <v>600</v>
      </c>
      <c r="F14" s="24" t="s">
        <v>94</v>
      </c>
      <c r="G14" s="26" t="s">
        <v>97</v>
      </c>
      <c r="H14" s="26" t="s">
        <v>121</v>
      </c>
      <c r="I14" s="27" t="s">
        <v>77</v>
      </c>
      <c r="J14" s="25"/>
      <c r="K14" s="33" t="str">
        <f>"145,0"</f>
        <v>145,0</v>
      </c>
      <c r="L14" s="25" t="str">
        <f>"97,5705"</f>
        <v>97,5705</v>
      </c>
      <c r="M14" s="24"/>
    </row>
    <row r="15" spans="1:13">
      <c r="A15" s="11" t="s">
        <v>46</v>
      </c>
      <c r="B15" s="10" t="s">
        <v>292</v>
      </c>
      <c r="C15" s="10" t="s">
        <v>552</v>
      </c>
      <c r="D15" s="10" t="s">
        <v>293</v>
      </c>
      <c r="E15" s="10" t="s">
        <v>602</v>
      </c>
      <c r="F15" s="10" t="s">
        <v>94</v>
      </c>
      <c r="G15" s="20" t="s">
        <v>112</v>
      </c>
      <c r="H15" s="21" t="s">
        <v>19</v>
      </c>
      <c r="I15" s="21" t="s">
        <v>19</v>
      </c>
      <c r="J15" s="11"/>
      <c r="K15" s="31" t="str">
        <f>"155,0"</f>
        <v>155,0</v>
      </c>
      <c r="L15" s="11" t="str">
        <f>"110,3932"</f>
        <v>110,3932</v>
      </c>
      <c r="M15" s="10"/>
    </row>
    <row r="16" spans="1:13">
      <c r="B16" s="5" t="s">
        <v>8</v>
      </c>
    </row>
    <row r="17" spans="1:13" ht="16">
      <c r="A17" s="34" t="s">
        <v>80</v>
      </c>
      <c r="B17" s="34"/>
      <c r="C17" s="35"/>
      <c r="D17" s="35"/>
      <c r="E17" s="35"/>
      <c r="F17" s="35"/>
      <c r="G17" s="35"/>
      <c r="H17" s="35"/>
      <c r="I17" s="35"/>
      <c r="J17" s="35"/>
    </row>
    <row r="18" spans="1:13">
      <c r="A18" s="9" t="s">
        <v>46</v>
      </c>
      <c r="B18" s="8" t="s">
        <v>294</v>
      </c>
      <c r="C18" s="8" t="s">
        <v>295</v>
      </c>
      <c r="D18" s="8" t="s">
        <v>296</v>
      </c>
      <c r="E18" s="8" t="s">
        <v>600</v>
      </c>
      <c r="F18" s="8" t="s">
        <v>297</v>
      </c>
      <c r="G18" s="18" t="s">
        <v>79</v>
      </c>
      <c r="H18" s="18" t="s">
        <v>20</v>
      </c>
      <c r="I18" s="19" t="s">
        <v>87</v>
      </c>
      <c r="J18" s="9"/>
      <c r="K18" s="30" t="str">
        <f>"175,0"</f>
        <v>175,0</v>
      </c>
      <c r="L18" s="9" t="str">
        <f>"112,3675"</f>
        <v>112,3675</v>
      </c>
      <c r="M18" s="8" t="s">
        <v>587</v>
      </c>
    </row>
    <row r="19" spans="1:13">
      <c r="A19" s="25" t="s">
        <v>134</v>
      </c>
      <c r="B19" s="24" t="s">
        <v>298</v>
      </c>
      <c r="C19" s="24" t="s">
        <v>299</v>
      </c>
      <c r="D19" s="24" t="s">
        <v>300</v>
      </c>
      <c r="E19" s="24" t="s">
        <v>600</v>
      </c>
      <c r="F19" s="24" t="s">
        <v>297</v>
      </c>
      <c r="G19" s="26" t="s">
        <v>19</v>
      </c>
      <c r="H19" s="27" t="s">
        <v>79</v>
      </c>
      <c r="I19" s="27" t="s">
        <v>20</v>
      </c>
      <c r="J19" s="25"/>
      <c r="K19" s="33" t="str">
        <f>"165,0"</f>
        <v>165,0</v>
      </c>
      <c r="L19" s="25" t="str">
        <f>"107,1675"</f>
        <v>107,1675</v>
      </c>
      <c r="M19" s="24" t="s">
        <v>588</v>
      </c>
    </row>
    <row r="20" spans="1:13">
      <c r="A20" s="11" t="s">
        <v>46</v>
      </c>
      <c r="B20" s="10" t="s">
        <v>301</v>
      </c>
      <c r="C20" s="10" t="s">
        <v>553</v>
      </c>
      <c r="D20" s="10" t="s">
        <v>302</v>
      </c>
      <c r="E20" s="10" t="s">
        <v>603</v>
      </c>
      <c r="F20" s="10" t="s">
        <v>109</v>
      </c>
      <c r="G20" s="20" t="s">
        <v>86</v>
      </c>
      <c r="H20" s="21" t="s">
        <v>87</v>
      </c>
      <c r="I20" s="20" t="s">
        <v>87</v>
      </c>
      <c r="J20" s="11"/>
      <c r="K20" s="31" t="str">
        <f>"180,0"</f>
        <v>180,0</v>
      </c>
      <c r="L20" s="11" t="str">
        <f>"118,6662"</f>
        <v>118,6662</v>
      </c>
      <c r="M20" s="10" t="s">
        <v>589</v>
      </c>
    </row>
    <row r="21" spans="1:13">
      <c r="B21" s="5" t="s">
        <v>8</v>
      </c>
    </row>
    <row r="22" spans="1:13" ht="16">
      <c r="A22" s="34" t="s">
        <v>12</v>
      </c>
      <c r="B22" s="34"/>
      <c r="C22" s="35"/>
      <c r="D22" s="35"/>
      <c r="E22" s="35"/>
      <c r="F22" s="35"/>
      <c r="G22" s="35"/>
      <c r="H22" s="35"/>
      <c r="I22" s="35"/>
      <c r="J22" s="35"/>
    </row>
    <row r="23" spans="1:13">
      <c r="A23" s="9" t="s">
        <v>46</v>
      </c>
      <c r="B23" s="8" t="s">
        <v>303</v>
      </c>
      <c r="C23" s="8" t="s">
        <v>304</v>
      </c>
      <c r="D23" s="8" t="s">
        <v>252</v>
      </c>
      <c r="E23" s="8" t="s">
        <v>601</v>
      </c>
      <c r="F23" s="8" t="s">
        <v>297</v>
      </c>
      <c r="G23" s="18" t="s">
        <v>203</v>
      </c>
      <c r="H23" s="18" t="s">
        <v>204</v>
      </c>
      <c r="I23" s="18" t="s">
        <v>211</v>
      </c>
      <c r="J23" s="9"/>
      <c r="K23" s="30" t="str">
        <f>"152,5"</f>
        <v>152,5</v>
      </c>
      <c r="L23" s="9" t="str">
        <f>"93,5740"</f>
        <v>93,5740</v>
      </c>
      <c r="M23" s="8"/>
    </row>
    <row r="24" spans="1:13">
      <c r="A24" s="25" t="s">
        <v>46</v>
      </c>
      <c r="B24" s="24" t="s">
        <v>305</v>
      </c>
      <c r="C24" s="24" t="s">
        <v>306</v>
      </c>
      <c r="D24" s="24" t="s">
        <v>307</v>
      </c>
      <c r="E24" s="24" t="s">
        <v>600</v>
      </c>
      <c r="F24" s="24" t="s">
        <v>308</v>
      </c>
      <c r="G24" s="26" t="s">
        <v>87</v>
      </c>
      <c r="H24" s="26" t="s">
        <v>85</v>
      </c>
      <c r="I24" s="26" t="s">
        <v>101</v>
      </c>
      <c r="J24" s="25"/>
      <c r="K24" s="33" t="str">
        <f>"205,0"</f>
        <v>205,0</v>
      </c>
      <c r="L24" s="25" t="str">
        <f>"124,8040"</f>
        <v>124,8040</v>
      </c>
      <c r="M24" s="24"/>
    </row>
    <row r="25" spans="1:13">
      <c r="A25" s="25" t="s">
        <v>134</v>
      </c>
      <c r="B25" s="24" t="s">
        <v>309</v>
      </c>
      <c r="C25" s="24" t="s">
        <v>310</v>
      </c>
      <c r="D25" s="24" t="s">
        <v>311</v>
      </c>
      <c r="E25" s="24" t="s">
        <v>600</v>
      </c>
      <c r="F25" s="24" t="s">
        <v>94</v>
      </c>
      <c r="G25" s="26" t="s">
        <v>20</v>
      </c>
      <c r="H25" s="27" t="s">
        <v>87</v>
      </c>
      <c r="I25" s="25"/>
      <c r="J25" s="25"/>
      <c r="K25" s="33" t="str">
        <f>"175,0"</f>
        <v>175,0</v>
      </c>
      <c r="L25" s="25" t="str">
        <f>"107,2050"</f>
        <v>107,2050</v>
      </c>
      <c r="M25" s="24"/>
    </row>
    <row r="26" spans="1:13">
      <c r="A26" s="25" t="s">
        <v>135</v>
      </c>
      <c r="B26" s="24" t="s">
        <v>312</v>
      </c>
      <c r="C26" s="24" t="s">
        <v>313</v>
      </c>
      <c r="D26" s="24" t="s">
        <v>314</v>
      </c>
      <c r="E26" s="24" t="s">
        <v>600</v>
      </c>
      <c r="F26" s="24" t="s">
        <v>94</v>
      </c>
      <c r="G26" s="26" t="s">
        <v>79</v>
      </c>
      <c r="H26" s="27" t="s">
        <v>86</v>
      </c>
      <c r="I26" s="27" t="s">
        <v>86</v>
      </c>
      <c r="J26" s="25"/>
      <c r="K26" s="33" t="str">
        <f>"170,0"</f>
        <v>170,0</v>
      </c>
      <c r="L26" s="25" t="str">
        <f>"104,0570"</f>
        <v>104,0570</v>
      </c>
      <c r="M26" s="24"/>
    </row>
    <row r="27" spans="1:13">
      <c r="A27" s="25" t="s">
        <v>136</v>
      </c>
      <c r="B27" s="24" t="s">
        <v>13</v>
      </c>
      <c r="C27" s="24" t="s">
        <v>14</v>
      </c>
      <c r="D27" s="24" t="s">
        <v>15</v>
      </c>
      <c r="E27" s="24" t="s">
        <v>600</v>
      </c>
      <c r="F27" s="24" t="s">
        <v>563</v>
      </c>
      <c r="G27" s="26" t="s">
        <v>75</v>
      </c>
      <c r="H27" s="26" t="s">
        <v>121</v>
      </c>
      <c r="I27" s="25"/>
      <c r="J27" s="25"/>
      <c r="K27" s="33" t="str">
        <f>"145,0"</f>
        <v>145,0</v>
      </c>
      <c r="L27" s="25" t="str">
        <f>"90,7700"</f>
        <v>90,7700</v>
      </c>
      <c r="M27" s="24" t="s">
        <v>572</v>
      </c>
    </row>
    <row r="28" spans="1:13">
      <c r="A28" s="25" t="s">
        <v>276</v>
      </c>
      <c r="B28" s="24" t="s">
        <v>315</v>
      </c>
      <c r="C28" s="24" t="s">
        <v>316</v>
      </c>
      <c r="D28" s="24" t="s">
        <v>317</v>
      </c>
      <c r="E28" s="24" t="s">
        <v>600</v>
      </c>
      <c r="F28" s="24" t="s">
        <v>94</v>
      </c>
      <c r="G28" s="27" t="s">
        <v>20</v>
      </c>
      <c r="H28" s="27" t="s">
        <v>119</v>
      </c>
      <c r="I28" s="27" t="s">
        <v>119</v>
      </c>
      <c r="J28" s="25"/>
      <c r="K28" s="33">
        <v>0</v>
      </c>
      <c r="L28" s="25" t="str">
        <f>"0,0000"</f>
        <v>0,0000</v>
      </c>
      <c r="M28" s="24"/>
    </row>
    <row r="29" spans="1:13">
      <c r="A29" s="25" t="s">
        <v>276</v>
      </c>
      <c r="B29" s="24" t="s">
        <v>318</v>
      </c>
      <c r="C29" s="24" t="s">
        <v>319</v>
      </c>
      <c r="D29" s="24" t="s">
        <v>320</v>
      </c>
      <c r="E29" s="24" t="s">
        <v>600</v>
      </c>
      <c r="F29" s="24" t="s">
        <v>94</v>
      </c>
      <c r="G29" s="27" t="s">
        <v>79</v>
      </c>
      <c r="H29" s="27" t="s">
        <v>79</v>
      </c>
      <c r="I29" s="27" t="s">
        <v>79</v>
      </c>
      <c r="J29" s="25"/>
      <c r="K29" s="33">
        <v>0</v>
      </c>
      <c r="L29" s="25" t="str">
        <f>"0,0000"</f>
        <v>0,0000</v>
      </c>
      <c r="M29" s="24" t="s">
        <v>568</v>
      </c>
    </row>
    <row r="30" spans="1:13">
      <c r="A30" s="25" t="s">
        <v>46</v>
      </c>
      <c r="B30" s="24" t="s">
        <v>309</v>
      </c>
      <c r="C30" s="24" t="s">
        <v>554</v>
      </c>
      <c r="D30" s="24" t="s">
        <v>311</v>
      </c>
      <c r="E30" s="24" t="s">
        <v>603</v>
      </c>
      <c r="F30" s="24" t="s">
        <v>94</v>
      </c>
      <c r="G30" s="26" t="s">
        <v>20</v>
      </c>
      <c r="H30" s="27" t="s">
        <v>87</v>
      </c>
      <c r="I30" s="25"/>
      <c r="J30" s="25"/>
      <c r="K30" s="33" t="str">
        <f>"175,0"</f>
        <v>175,0</v>
      </c>
      <c r="L30" s="25" t="str">
        <f>"111,9220"</f>
        <v>111,9220</v>
      </c>
      <c r="M30" s="24"/>
    </row>
    <row r="31" spans="1:13">
      <c r="A31" s="11" t="s">
        <v>46</v>
      </c>
      <c r="B31" s="10" t="s">
        <v>13</v>
      </c>
      <c r="C31" s="10" t="s">
        <v>540</v>
      </c>
      <c r="D31" s="10" t="s">
        <v>15</v>
      </c>
      <c r="E31" s="10" t="s">
        <v>602</v>
      </c>
      <c r="F31" s="10" t="s">
        <v>563</v>
      </c>
      <c r="G31" s="20" t="s">
        <v>75</v>
      </c>
      <c r="H31" s="20" t="s">
        <v>121</v>
      </c>
      <c r="I31" s="11"/>
      <c r="J31" s="11"/>
      <c r="K31" s="31" t="str">
        <f>"145,0"</f>
        <v>145,0</v>
      </c>
      <c r="L31" s="11" t="str">
        <f>"102,7516"</f>
        <v>102,7516</v>
      </c>
      <c r="M31" s="10" t="s">
        <v>572</v>
      </c>
    </row>
    <row r="32" spans="1:13">
      <c r="B32" s="5" t="s">
        <v>8</v>
      </c>
    </row>
    <row r="33" spans="1:13" ht="16">
      <c r="A33" s="34" t="s">
        <v>24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3">
      <c r="A34" s="9" t="s">
        <v>46</v>
      </c>
      <c r="B34" s="8" t="s">
        <v>321</v>
      </c>
      <c r="C34" s="8" t="s">
        <v>322</v>
      </c>
      <c r="D34" s="8" t="s">
        <v>323</v>
      </c>
      <c r="E34" s="8" t="s">
        <v>600</v>
      </c>
      <c r="F34" s="8" t="s">
        <v>288</v>
      </c>
      <c r="G34" s="18" t="s">
        <v>95</v>
      </c>
      <c r="H34" s="18" t="s">
        <v>324</v>
      </c>
      <c r="I34" s="19" t="s">
        <v>111</v>
      </c>
      <c r="J34" s="9"/>
      <c r="K34" s="30" t="str">
        <f>"222,5"</f>
        <v>222,5</v>
      </c>
      <c r="L34" s="9" t="str">
        <f>"131,0080"</f>
        <v>131,0080</v>
      </c>
      <c r="M34" s="8"/>
    </row>
    <row r="35" spans="1:13">
      <c r="A35" s="25" t="s">
        <v>134</v>
      </c>
      <c r="B35" s="24" t="s">
        <v>325</v>
      </c>
      <c r="C35" s="24" t="s">
        <v>326</v>
      </c>
      <c r="D35" s="24" t="s">
        <v>327</v>
      </c>
      <c r="E35" s="24" t="s">
        <v>600</v>
      </c>
      <c r="F35" s="24" t="s">
        <v>94</v>
      </c>
      <c r="G35" s="27" t="s">
        <v>95</v>
      </c>
      <c r="H35" s="26" t="s">
        <v>95</v>
      </c>
      <c r="I35" s="27" t="s">
        <v>110</v>
      </c>
      <c r="J35" s="25"/>
      <c r="K35" s="33" t="str">
        <f>"215,0"</f>
        <v>215,0</v>
      </c>
      <c r="L35" s="25" t="str">
        <f>"127,7315"</f>
        <v>127,7315</v>
      </c>
      <c r="M35" s="24"/>
    </row>
    <row r="36" spans="1:13">
      <c r="A36" s="25" t="s">
        <v>135</v>
      </c>
      <c r="B36" s="24" t="s">
        <v>328</v>
      </c>
      <c r="C36" s="24" t="s">
        <v>329</v>
      </c>
      <c r="D36" s="24" t="s">
        <v>330</v>
      </c>
      <c r="E36" s="24" t="s">
        <v>600</v>
      </c>
      <c r="F36" s="24" t="s">
        <v>94</v>
      </c>
      <c r="G36" s="26" t="s">
        <v>331</v>
      </c>
      <c r="H36" s="26" t="s">
        <v>85</v>
      </c>
      <c r="I36" s="27" t="s">
        <v>32</v>
      </c>
      <c r="J36" s="25"/>
      <c r="K36" s="33" t="str">
        <f>"195,0"</f>
        <v>195,0</v>
      </c>
      <c r="L36" s="25" t="str">
        <f>"116,5320"</f>
        <v>116,5320</v>
      </c>
      <c r="M36" s="24" t="s">
        <v>590</v>
      </c>
    </row>
    <row r="37" spans="1:13">
      <c r="A37" s="25" t="s">
        <v>136</v>
      </c>
      <c r="B37" s="24" t="s">
        <v>332</v>
      </c>
      <c r="C37" s="24" t="s">
        <v>333</v>
      </c>
      <c r="D37" s="24" t="s">
        <v>334</v>
      </c>
      <c r="E37" s="24" t="s">
        <v>600</v>
      </c>
      <c r="F37" s="24" t="s">
        <v>308</v>
      </c>
      <c r="G37" s="26" t="s">
        <v>85</v>
      </c>
      <c r="H37" s="27" t="s">
        <v>335</v>
      </c>
      <c r="I37" s="27" t="s">
        <v>335</v>
      </c>
      <c r="J37" s="25"/>
      <c r="K37" s="33" t="str">
        <f>"195,0"</f>
        <v>195,0</v>
      </c>
      <c r="L37" s="25" t="str">
        <f>"115,1865"</f>
        <v>115,1865</v>
      </c>
      <c r="M37" s="24" t="s">
        <v>591</v>
      </c>
    </row>
    <row r="38" spans="1:13">
      <c r="A38" s="11" t="s">
        <v>46</v>
      </c>
      <c r="B38" s="10" t="s">
        <v>336</v>
      </c>
      <c r="C38" s="10" t="s">
        <v>555</v>
      </c>
      <c r="D38" s="10" t="s">
        <v>327</v>
      </c>
      <c r="E38" s="10" t="s">
        <v>602</v>
      </c>
      <c r="F38" s="10" t="s">
        <v>94</v>
      </c>
      <c r="G38" s="20" t="s">
        <v>174</v>
      </c>
      <c r="H38" s="20" t="s">
        <v>57</v>
      </c>
      <c r="I38" s="20" t="s">
        <v>66</v>
      </c>
      <c r="J38" s="11"/>
      <c r="K38" s="31" t="str">
        <f>"120,0"</f>
        <v>120,0</v>
      </c>
      <c r="L38" s="11" t="str">
        <f>"80,7025"</f>
        <v>80,7025</v>
      </c>
      <c r="M38" s="10" t="s">
        <v>579</v>
      </c>
    </row>
    <row r="39" spans="1:13">
      <c r="B39" s="5" t="s">
        <v>8</v>
      </c>
    </row>
    <row r="40" spans="1:13" ht="16">
      <c r="A40" s="34" t="s">
        <v>337</v>
      </c>
      <c r="B40" s="34"/>
      <c r="C40" s="35"/>
      <c r="D40" s="35"/>
      <c r="E40" s="35"/>
      <c r="F40" s="35"/>
      <c r="G40" s="35"/>
      <c r="H40" s="35"/>
      <c r="I40" s="35"/>
      <c r="J40" s="35"/>
    </row>
    <row r="41" spans="1:13">
      <c r="A41" s="9" t="s">
        <v>46</v>
      </c>
      <c r="B41" s="8" t="s">
        <v>338</v>
      </c>
      <c r="C41" s="8" t="s">
        <v>339</v>
      </c>
      <c r="D41" s="8" t="s">
        <v>340</v>
      </c>
      <c r="E41" s="8" t="s">
        <v>600</v>
      </c>
      <c r="F41" s="8" t="s">
        <v>341</v>
      </c>
      <c r="G41" s="18" t="s">
        <v>32</v>
      </c>
      <c r="H41" s="18" t="s">
        <v>33</v>
      </c>
      <c r="I41" s="18" t="s">
        <v>95</v>
      </c>
      <c r="J41" s="9"/>
      <c r="K41" s="30" t="str">
        <f>"215,0"</f>
        <v>215,0</v>
      </c>
      <c r="L41" s="9" t="str">
        <f>"124,4420"</f>
        <v>124,4420</v>
      </c>
      <c r="M41" s="8"/>
    </row>
    <row r="42" spans="1:13">
      <c r="A42" s="25" t="s">
        <v>134</v>
      </c>
      <c r="B42" s="24" t="s">
        <v>342</v>
      </c>
      <c r="C42" s="24" t="s">
        <v>343</v>
      </c>
      <c r="D42" s="24" t="s">
        <v>344</v>
      </c>
      <c r="E42" s="24" t="s">
        <v>600</v>
      </c>
      <c r="F42" s="24" t="s">
        <v>222</v>
      </c>
      <c r="G42" s="27" t="s">
        <v>345</v>
      </c>
      <c r="H42" s="26" t="s">
        <v>345</v>
      </c>
      <c r="I42" s="27" t="s">
        <v>95</v>
      </c>
      <c r="J42" s="25"/>
      <c r="K42" s="33" t="str">
        <f>"207,5"</f>
        <v>207,5</v>
      </c>
      <c r="L42" s="25" t="str">
        <f>"118,6277"</f>
        <v>118,6277</v>
      </c>
      <c r="M42" s="24"/>
    </row>
    <row r="43" spans="1:13">
      <c r="A43" s="11" t="s">
        <v>46</v>
      </c>
      <c r="B43" s="10" t="s">
        <v>338</v>
      </c>
      <c r="C43" s="10" t="s">
        <v>556</v>
      </c>
      <c r="D43" s="10" t="s">
        <v>340</v>
      </c>
      <c r="E43" s="10" t="s">
        <v>603</v>
      </c>
      <c r="F43" s="10" t="s">
        <v>341</v>
      </c>
      <c r="G43" s="20" t="s">
        <v>32</v>
      </c>
      <c r="H43" s="20" t="s">
        <v>33</v>
      </c>
      <c r="I43" s="20" t="s">
        <v>95</v>
      </c>
      <c r="J43" s="11"/>
      <c r="K43" s="31" t="str">
        <f>"215,0"</f>
        <v>215,0</v>
      </c>
      <c r="L43" s="11" t="str">
        <f>"129,9175"</f>
        <v>129,9175</v>
      </c>
      <c r="M43" s="10"/>
    </row>
    <row r="44" spans="1:13">
      <c r="B44" s="5" t="s">
        <v>8</v>
      </c>
    </row>
    <row r="45" spans="1:13">
      <c r="B45" s="5" t="s">
        <v>8</v>
      </c>
    </row>
    <row r="46" spans="1:13">
      <c r="B46" s="5" t="s">
        <v>8</v>
      </c>
    </row>
    <row r="47" spans="1:13" ht="18">
      <c r="B47" s="7" t="s">
        <v>7</v>
      </c>
      <c r="C47" s="7"/>
    </row>
    <row r="48" spans="1:13" ht="16">
      <c r="B48" s="14" t="s">
        <v>36</v>
      </c>
      <c r="C48" s="14"/>
    </row>
    <row r="49" spans="2:6" ht="14">
      <c r="B49" s="15"/>
      <c r="C49" s="16" t="s">
        <v>37</v>
      </c>
    </row>
    <row r="50" spans="2:6" ht="14">
      <c r="B50" s="17" t="s">
        <v>38</v>
      </c>
      <c r="C50" s="17" t="s">
        <v>39</v>
      </c>
      <c r="D50" s="17" t="s">
        <v>523</v>
      </c>
      <c r="E50" s="17" t="s">
        <v>346</v>
      </c>
      <c r="F50" s="17" t="s">
        <v>42</v>
      </c>
    </row>
    <row r="51" spans="2:6">
      <c r="B51" s="5" t="s">
        <v>321</v>
      </c>
      <c r="C51" s="5" t="s">
        <v>37</v>
      </c>
      <c r="D51" s="6" t="s">
        <v>43</v>
      </c>
      <c r="E51" s="6" t="s">
        <v>324</v>
      </c>
      <c r="F51" s="6" t="s">
        <v>347</v>
      </c>
    </row>
    <row r="52" spans="2:6">
      <c r="B52" s="5" t="s">
        <v>325</v>
      </c>
      <c r="C52" s="5" t="s">
        <v>37</v>
      </c>
      <c r="D52" s="6" t="s">
        <v>43</v>
      </c>
      <c r="E52" s="6" t="s">
        <v>95</v>
      </c>
      <c r="F52" s="6" t="s">
        <v>348</v>
      </c>
    </row>
    <row r="53" spans="2:6">
      <c r="B53" s="5" t="s">
        <v>305</v>
      </c>
      <c r="C53" s="5" t="s">
        <v>37</v>
      </c>
      <c r="D53" s="6" t="s">
        <v>44</v>
      </c>
      <c r="E53" s="6" t="s">
        <v>101</v>
      </c>
      <c r="F53" s="6" t="s">
        <v>349</v>
      </c>
    </row>
    <row r="54" spans="2:6">
      <c r="B54" s="5" t="s">
        <v>8</v>
      </c>
      <c r="C54" s="3"/>
      <c r="D54" s="3"/>
      <c r="E54" s="3"/>
      <c r="F54" s="3"/>
    </row>
    <row r="55" spans="2:6">
      <c r="B55" s="5" t="s">
        <v>8</v>
      </c>
      <c r="C55" s="3"/>
      <c r="D55" s="3"/>
      <c r="E55" s="3"/>
      <c r="F55" s="3"/>
    </row>
    <row r="56" spans="2:6">
      <c r="B56" s="5" t="s">
        <v>8</v>
      </c>
      <c r="C56" s="3"/>
      <c r="D56" s="3"/>
      <c r="E56" s="3"/>
      <c r="F56" s="3"/>
    </row>
    <row r="57" spans="2:6">
      <c r="B57" s="5" t="s">
        <v>8</v>
      </c>
      <c r="C57" s="3"/>
      <c r="D57" s="3"/>
      <c r="E57" s="3"/>
      <c r="F57" s="3"/>
    </row>
    <row r="58" spans="2:6">
      <c r="B58" s="5" t="s">
        <v>8</v>
      </c>
      <c r="C58" s="3"/>
      <c r="D58" s="3"/>
      <c r="E58" s="3"/>
      <c r="F58" s="3"/>
    </row>
    <row r="59" spans="2:6">
      <c r="B59" s="5" t="s">
        <v>8</v>
      </c>
      <c r="C59" s="3"/>
      <c r="D59" s="3"/>
      <c r="E59" s="3"/>
      <c r="F59" s="3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40:J40"/>
    <mergeCell ref="K3:K4"/>
    <mergeCell ref="L3:L4"/>
    <mergeCell ref="M3:M4"/>
    <mergeCell ref="A5:J5"/>
    <mergeCell ref="B3:B4"/>
    <mergeCell ref="A8:J8"/>
    <mergeCell ref="A12:J12"/>
    <mergeCell ref="A17:J17"/>
    <mergeCell ref="A22:J22"/>
    <mergeCell ref="A33:J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9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23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8" width="5.5" style="6" customWidth="1"/>
    <col min="9" max="9" width="5.3320312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6" t="s">
        <v>526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46</v>
      </c>
      <c r="B6" s="8" t="s">
        <v>13</v>
      </c>
      <c r="C6" s="8" t="s">
        <v>14</v>
      </c>
      <c r="D6" s="8" t="s">
        <v>15</v>
      </c>
      <c r="E6" s="8" t="s">
        <v>600</v>
      </c>
      <c r="F6" s="8" t="s">
        <v>563</v>
      </c>
      <c r="G6" s="18" t="s">
        <v>19</v>
      </c>
      <c r="H6" s="18" t="s">
        <v>20</v>
      </c>
      <c r="I6" s="9"/>
      <c r="J6" s="9"/>
      <c r="K6" s="9" t="str">
        <f>"175,0"</f>
        <v>175,0</v>
      </c>
      <c r="L6" s="9" t="str">
        <f>"109,5500"</f>
        <v>109,5500</v>
      </c>
      <c r="M6" s="8" t="s">
        <v>572</v>
      </c>
    </row>
    <row r="7" spans="1:13">
      <c r="A7" s="11" t="s">
        <v>46</v>
      </c>
      <c r="B7" s="10" t="s">
        <v>13</v>
      </c>
      <c r="C7" s="10" t="s">
        <v>540</v>
      </c>
      <c r="D7" s="10" t="s">
        <v>15</v>
      </c>
      <c r="E7" s="10" t="s">
        <v>602</v>
      </c>
      <c r="F7" s="10" t="s">
        <v>563</v>
      </c>
      <c r="G7" s="20" t="s">
        <v>19</v>
      </c>
      <c r="H7" s="20" t="s">
        <v>20</v>
      </c>
      <c r="I7" s="11"/>
      <c r="J7" s="11"/>
      <c r="K7" s="11" t="str">
        <f>"175,0"</f>
        <v>175,0</v>
      </c>
      <c r="L7" s="11" t="str">
        <f>"124,0106"</f>
        <v>124,0106</v>
      </c>
      <c r="M7" s="10" t="s">
        <v>572</v>
      </c>
    </row>
    <row r="8" spans="1:13">
      <c r="B8" s="5" t="s">
        <v>8</v>
      </c>
    </row>
    <row r="9" spans="1:13">
      <c r="B9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4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33203125" style="5" bestFit="1" customWidth="1"/>
    <col min="7" max="10" width="5.5" style="6" customWidth="1"/>
    <col min="11" max="11" width="10.5" style="29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6" t="s">
        <v>517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38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178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46</v>
      </c>
      <c r="B6" s="8" t="s">
        <v>355</v>
      </c>
      <c r="C6" s="8" t="s">
        <v>356</v>
      </c>
      <c r="D6" s="8" t="s">
        <v>357</v>
      </c>
      <c r="E6" s="8" t="s">
        <v>600</v>
      </c>
      <c r="F6" s="8" t="s">
        <v>358</v>
      </c>
      <c r="G6" s="18" t="s">
        <v>174</v>
      </c>
      <c r="H6" s="18" t="s">
        <v>66</v>
      </c>
      <c r="I6" s="18" t="s">
        <v>75</v>
      </c>
      <c r="J6" s="19" t="s">
        <v>97</v>
      </c>
      <c r="K6" s="30" t="str">
        <f>"130,0"</f>
        <v>130,0</v>
      </c>
      <c r="L6" s="9" t="str">
        <f>"131,2090"</f>
        <v>131,2090</v>
      </c>
      <c r="M6" s="8" t="s">
        <v>578</v>
      </c>
    </row>
    <row r="7" spans="1:13">
      <c r="A7" s="11" t="s">
        <v>276</v>
      </c>
      <c r="B7" s="10" t="s">
        <v>509</v>
      </c>
      <c r="C7" s="10" t="s">
        <v>510</v>
      </c>
      <c r="D7" s="10" t="s">
        <v>511</v>
      </c>
      <c r="E7" s="10" t="s">
        <v>600</v>
      </c>
      <c r="F7" s="10" t="s">
        <v>94</v>
      </c>
      <c r="G7" s="21" t="s">
        <v>383</v>
      </c>
      <c r="H7" s="21" t="s">
        <v>383</v>
      </c>
      <c r="I7" s="21" t="s">
        <v>383</v>
      </c>
      <c r="J7" s="11"/>
      <c r="K7" s="31">
        <v>0</v>
      </c>
      <c r="L7" s="11" t="str">
        <f>"0,0000"</f>
        <v>0,0000</v>
      </c>
      <c r="M7" s="10" t="s">
        <v>592</v>
      </c>
    </row>
    <row r="8" spans="1:13">
      <c r="B8" s="5" t="s">
        <v>8</v>
      </c>
    </row>
    <row r="9" spans="1:13" ht="16">
      <c r="A9" s="34" t="s">
        <v>185</v>
      </c>
      <c r="B9" s="34"/>
      <c r="C9" s="35"/>
      <c r="D9" s="35"/>
      <c r="E9" s="35"/>
      <c r="F9" s="35"/>
      <c r="G9" s="35"/>
      <c r="H9" s="35"/>
      <c r="I9" s="35"/>
      <c r="J9" s="35"/>
    </row>
    <row r="10" spans="1:13">
      <c r="A10" s="9" t="s">
        <v>46</v>
      </c>
      <c r="B10" s="8" t="s">
        <v>473</v>
      </c>
      <c r="C10" s="8" t="s">
        <v>512</v>
      </c>
      <c r="D10" s="8" t="s">
        <v>474</v>
      </c>
      <c r="E10" s="8" t="s">
        <v>600</v>
      </c>
      <c r="F10" s="8" t="s">
        <v>563</v>
      </c>
      <c r="G10" s="18" t="s">
        <v>51</v>
      </c>
      <c r="H10" s="19" t="s">
        <v>52</v>
      </c>
      <c r="I10" s="19" t="s">
        <v>52</v>
      </c>
      <c r="J10" s="9"/>
      <c r="K10" s="30" t="str">
        <f>"70,0"</f>
        <v>70,0</v>
      </c>
      <c r="L10" s="9" t="str">
        <f>"63,7140"</f>
        <v>63,7140</v>
      </c>
      <c r="M10" s="8" t="s">
        <v>564</v>
      </c>
    </row>
    <row r="11" spans="1:13">
      <c r="A11" s="11" t="s">
        <v>46</v>
      </c>
      <c r="B11" s="10" t="s">
        <v>473</v>
      </c>
      <c r="C11" s="10" t="s">
        <v>557</v>
      </c>
      <c r="D11" s="10" t="s">
        <v>474</v>
      </c>
      <c r="E11" s="10" t="s">
        <v>603</v>
      </c>
      <c r="F11" s="10" t="s">
        <v>563</v>
      </c>
      <c r="G11" s="20" t="s">
        <v>51</v>
      </c>
      <c r="H11" s="21" t="s">
        <v>52</v>
      </c>
      <c r="I11" s="21" t="s">
        <v>52</v>
      </c>
      <c r="J11" s="11"/>
      <c r="K11" s="31" t="str">
        <f>"70,0"</f>
        <v>70,0</v>
      </c>
      <c r="L11" s="11" t="str">
        <f>"63,7140"</f>
        <v>63,7140</v>
      </c>
      <c r="M11" s="10" t="s">
        <v>564</v>
      </c>
    </row>
    <row r="12" spans="1:13">
      <c r="B12" s="5" t="s">
        <v>8</v>
      </c>
    </row>
    <row r="13" spans="1:13" ht="16">
      <c r="A13" s="34" t="s">
        <v>71</v>
      </c>
      <c r="B13" s="34"/>
      <c r="C13" s="35"/>
      <c r="D13" s="35"/>
      <c r="E13" s="35"/>
      <c r="F13" s="35"/>
      <c r="G13" s="35"/>
      <c r="H13" s="35"/>
      <c r="I13" s="35"/>
      <c r="J13" s="35"/>
    </row>
    <row r="14" spans="1:13">
      <c r="A14" s="9" t="s">
        <v>46</v>
      </c>
      <c r="B14" s="8" t="s">
        <v>496</v>
      </c>
      <c r="C14" s="8" t="s">
        <v>497</v>
      </c>
      <c r="D14" s="8" t="s">
        <v>397</v>
      </c>
      <c r="E14" s="8" t="s">
        <v>600</v>
      </c>
      <c r="F14" s="8" t="s">
        <v>563</v>
      </c>
      <c r="G14" s="18" t="s">
        <v>101</v>
      </c>
      <c r="H14" s="19" t="s">
        <v>95</v>
      </c>
      <c r="I14" s="19" t="s">
        <v>95</v>
      </c>
      <c r="J14" s="9"/>
      <c r="K14" s="30" t="str">
        <f>"205,0"</f>
        <v>205,0</v>
      </c>
      <c r="L14" s="9" t="str">
        <f>"132,2455"</f>
        <v>132,2455</v>
      </c>
      <c r="M14" s="8" t="s">
        <v>564</v>
      </c>
    </row>
    <row r="15" spans="1:13">
      <c r="A15" s="25" t="s">
        <v>134</v>
      </c>
      <c r="B15" s="24" t="s">
        <v>513</v>
      </c>
      <c r="C15" s="24" t="s">
        <v>514</v>
      </c>
      <c r="D15" s="24" t="s">
        <v>515</v>
      </c>
      <c r="E15" s="24" t="s">
        <v>600</v>
      </c>
      <c r="F15" s="24" t="s">
        <v>94</v>
      </c>
      <c r="G15" s="26" t="s">
        <v>75</v>
      </c>
      <c r="H15" s="27" t="s">
        <v>97</v>
      </c>
      <c r="I15" s="27" t="s">
        <v>97</v>
      </c>
      <c r="J15" s="25"/>
      <c r="K15" s="33" t="str">
        <f>"130,0"</f>
        <v>130,0</v>
      </c>
      <c r="L15" s="25" t="str">
        <f>"85,0850"</f>
        <v>85,0850</v>
      </c>
      <c r="M15" s="24"/>
    </row>
    <row r="16" spans="1:13">
      <c r="A16" s="11" t="s">
        <v>46</v>
      </c>
      <c r="B16" s="10" t="s">
        <v>513</v>
      </c>
      <c r="C16" s="10" t="s">
        <v>558</v>
      </c>
      <c r="D16" s="10" t="s">
        <v>515</v>
      </c>
      <c r="E16" s="28" t="s">
        <v>602</v>
      </c>
      <c r="F16" s="10" t="s">
        <v>94</v>
      </c>
      <c r="G16" s="20" t="s">
        <v>75</v>
      </c>
      <c r="H16" s="21" t="s">
        <v>97</v>
      </c>
      <c r="I16" s="21" t="s">
        <v>97</v>
      </c>
      <c r="J16" s="11"/>
      <c r="K16" s="31" t="str">
        <f>"130,0"</f>
        <v>130,0</v>
      </c>
      <c r="L16" s="11" t="str">
        <f>"107,8878"</f>
        <v>107,8878</v>
      </c>
      <c r="M16" s="10"/>
    </row>
    <row r="17" spans="1:13">
      <c r="B17" s="5" t="s">
        <v>8</v>
      </c>
    </row>
    <row r="18" spans="1:13" ht="16">
      <c r="A18" s="34" t="s">
        <v>12</v>
      </c>
      <c r="B18" s="34"/>
      <c r="C18" s="35"/>
      <c r="D18" s="35"/>
      <c r="E18" s="35"/>
      <c r="F18" s="35"/>
      <c r="G18" s="35"/>
      <c r="H18" s="35"/>
      <c r="I18" s="35"/>
      <c r="J18" s="35"/>
    </row>
    <row r="19" spans="1:13">
      <c r="A19" s="9" t="s">
        <v>46</v>
      </c>
      <c r="B19" s="8" t="s">
        <v>501</v>
      </c>
      <c r="C19" s="8" t="s">
        <v>502</v>
      </c>
      <c r="D19" s="8" t="s">
        <v>252</v>
      </c>
      <c r="E19" s="8" t="s">
        <v>600</v>
      </c>
      <c r="F19" s="8" t="s">
        <v>563</v>
      </c>
      <c r="G19" s="18" t="s">
        <v>31</v>
      </c>
      <c r="H19" s="18" t="s">
        <v>32</v>
      </c>
      <c r="I19" s="19" t="s">
        <v>101</v>
      </c>
      <c r="J19" s="9"/>
      <c r="K19" s="30" t="str">
        <f>"200,0"</f>
        <v>200,0</v>
      </c>
      <c r="L19" s="9" t="str">
        <f>"117,2700"</f>
        <v>117,2700</v>
      </c>
      <c r="M19" s="8" t="s">
        <v>572</v>
      </c>
    </row>
    <row r="20" spans="1:13">
      <c r="A20" s="11" t="s">
        <v>46</v>
      </c>
      <c r="B20" s="10" t="s">
        <v>501</v>
      </c>
      <c r="C20" s="10" t="s">
        <v>559</v>
      </c>
      <c r="D20" s="10" t="s">
        <v>252</v>
      </c>
      <c r="E20" s="10" t="s">
        <v>603</v>
      </c>
      <c r="F20" s="10" t="s">
        <v>563</v>
      </c>
      <c r="G20" s="20" t="s">
        <v>31</v>
      </c>
      <c r="H20" s="20" t="s">
        <v>32</v>
      </c>
      <c r="I20" s="21" t="s">
        <v>101</v>
      </c>
      <c r="J20" s="11"/>
      <c r="K20" s="31" t="str">
        <f>"200,0"</f>
        <v>200,0</v>
      </c>
      <c r="L20" s="11" t="str">
        <f>"118,4427"</f>
        <v>118,4427</v>
      </c>
      <c r="M20" s="10" t="s">
        <v>572</v>
      </c>
    </row>
    <row r="21" spans="1:13">
      <c r="B21" s="5" t="s">
        <v>8</v>
      </c>
    </row>
    <row r="22" spans="1:13">
      <c r="B22" s="5" t="s">
        <v>8</v>
      </c>
    </row>
    <row r="23" spans="1:13">
      <c r="B23" s="5" t="s">
        <v>8</v>
      </c>
    </row>
    <row r="24" spans="1:13">
      <c r="B24" s="5" t="s">
        <v>8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A18:J18"/>
    <mergeCell ref="B3:B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46" t="s">
        <v>516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185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473</v>
      </c>
      <c r="C6" s="12" t="s">
        <v>557</v>
      </c>
      <c r="D6" s="12" t="s">
        <v>474</v>
      </c>
      <c r="E6" s="12" t="s">
        <v>603</v>
      </c>
      <c r="F6" s="12" t="s">
        <v>563</v>
      </c>
      <c r="G6" s="22" t="s">
        <v>51</v>
      </c>
      <c r="H6" s="23" t="s">
        <v>52</v>
      </c>
      <c r="I6" s="23" t="s">
        <v>52</v>
      </c>
      <c r="J6" s="13"/>
      <c r="K6" s="13" t="str">
        <f>"70,0"</f>
        <v>70,0</v>
      </c>
      <c r="L6" s="13" t="str">
        <f>"63,7140"</f>
        <v>63,7140</v>
      </c>
      <c r="M6" s="12" t="s">
        <v>564</v>
      </c>
    </row>
    <row r="7" spans="1:13">
      <c r="B7" s="5" t="s">
        <v>8</v>
      </c>
    </row>
    <row r="8" spans="1:13" ht="16">
      <c r="A8" s="34" t="s">
        <v>71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3" t="s">
        <v>46</v>
      </c>
      <c r="B9" s="12" t="s">
        <v>496</v>
      </c>
      <c r="C9" s="12" t="s">
        <v>497</v>
      </c>
      <c r="D9" s="12" t="s">
        <v>397</v>
      </c>
      <c r="E9" s="12" t="s">
        <v>600</v>
      </c>
      <c r="F9" s="12" t="s">
        <v>563</v>
      </c>
      <c r="G9" s="23" t="s">
        <v>345</v>
      </c>
      <c r="H9" s="23" t="s">
        <v>345</v>
      </c>
      <c r="I9" s="22" t="s">
        <v>345</v>
      </c>
      <c r="J9" s="13"/>
      <c r="K9" s="13" t="str">
        <f>"207,5"</f>
        <v>207,5</v>
      </c>
      <c r="L9" s="13" t="str">
        <f>"133,8582"</f>
        <v>133,8582</v>
      </c>
      <c r="M9" s="12" t="s">
        <v>564</v>
      </c>
    </row>
    <row r="10" spans="1:13">
      <c r="B10" s="5" t="s">
        <v>8</v>
      </c>
    </row>
    <row r="11" spans="1:13" ht="16">
      <c r="A11" s="34" t="s">
        <v>12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9" t="s">
        <v>46</v>
      </c>
      <c r="B12" s="8" t="s">
        <v>498</v>
      </c>
      <c r="C12" s="8" t="s">
        <v>499</v>
      </c>
      <c r="D12" s="8" t="s">
        <v>500</v>
      </c>
      <c r="E12" s="8" t="s">
        <v>600</v>
      </c>
      <c r="F12" s="8" t="s">
        <v>358</v>
      </c>
      <c r="G12" s="18" t="s">
        <v>95</v>
      </c>
      <c r="H12" s="9"/>
      <c r="I12" s="9"/>
      <c r="J12" s="9"/>
      <c r="K12" s="9" t="str">
        <f>"215,0"</f>
        <v>215,0</v>
      </c>
      <c r="L12" s="9" t="str">
        <f>"126,9575"</f>
        <v>126,9575</v>
      </c>
      <c r="M12" s="8" t="s">
        <v>593</v>
      </c>
    </row>
    <row r="13" spans="1:13">
      <c r="A13" s="25" t="s">
        <v>134</v>
      </c>
      <c r="B13" s="24" t="s">
        <v>501</v>
      </c>
      <c r="C13" s="24" t="s">
        <v>502</v>
      </c>
      <c r="D13" s="24" t="s">
        <v>252</v>
      </c>
      <c r="E13" s="24" t="s">
        <v>600</v>
      </c>
      <c r="F13" s="24" t="s">
        <v>563</v>
      </c>
      <c r="G13" s="26" t="s">
        <v>31</v>
      </c>
      <c r="H13" s="26" t="s">
        <v>32</v>
      </c>
      <c r="I13" s="27" t="s">
        <v>101</v>
      </c>
      <c r="J13" s="25"/>
      <c r="K13" s="25" t="str">
        <f>"200,0"</f>
        <v>200,0</v>
      </c>
      <c r="L13" s="25" t="str">
        <f>"117,2700"</f>
        <v>117,2700</v>
      </c>
      <c r="M13" s="24" t="s">
        <v>572</v>
      </c>
    </row>
    <row r="14" spans="1:13">
      <c r="A14" s="11" t="s">
        <v>46</v>
      </c>
      <c r="B14" s="10" t="s">
        <v>501</v>
      </c>
      <c r="C14" s="10" t="s">
        <v>559</v>
      </c>
      <c r="D14" s="10" t="s">
        <v>252</v>
      </c>
      <c r="E14" s="10" t="s">
        <v>603</v>
      </c>
      <c r="F14" s="10" t="s">
        <v>563</v>
      </c>
      <c r="G14" s="20" t="s">
        <v>31</v>
      </c>
      <c r="H14" s="20" t="s">
        <v>32</v>
      </c>
      <c r="I14" s="21" t="s">
        <v>101</v>
      </c>
      <c r="J14" s="11"/>
      <c r="K14" s="11" t="str">
        <f>"200,0"</f>
        <v>200,0</v>
      </c>
      <c r="L14" s="11" t="str">
        <f>"118,4427"</f>
        <v>118,4427</v>
      </c>
      <c r="M14" s="10" t="s">
        <v>572</v>
      </c>
    </row>
    <row r="15" spans="1:13">
      <c r="B15" s="5" t="s">
        <v>8</v>
      </c>
    </row>
    <row r="16" spans="1:13" ht="16">
      <c r="A16" s="34" t="s">
        <v>24</v>
      </c>
      <c r="B16" s="34"/>
      <c r="C16" s="35"/>
      <c r="D16" s="35"/>
      <c r="E16" s="35"/>
      <c r="F16" s="35"/>
      <c r="G16" s="35"/>
      <c r="H16" s="35"/>
      <c r="I16" s="35"/>
      <c r="J16" s="35"/>
    </row>
    <row r="17" spans="1:13">
      <c r="A17" s="13" t="s">
        <v>46</v>
      </c>
      <c r="B17" s="12" t="s">
        <v>503</v>
      </c>
      <c r="C17" s="12" t="s">
        <v>504</v>
      </c>
      <c r="D17" s="12" t="s">
        <v>505</v>
      </c>
      <c r="E17" s="12" t="s">
        <v>600</v>
      </c>
      <c r="F17" s="12" t="s">
        <v>28</v>
      </c>
      <c r="G17" s="22" t="s">
        <v>103</v>
      </c>
      <c r="H17" s="23" t="s">
        <v>104</v>
      </c>
      <c r="I17" s="22" t="s">
        <v>266</v>
      </c>
      <c r="J17" s="13"/>
      <c r="K17" s="13" t="str">
        <f>"252,5"</f>
        <v>252,5</v>
      </c>
      <c r="L17" s="13" t="str">
        <f>"144,4805"</f>
        <v>144,4805</v>
      </c>
      <c r="M17" s="12"/>
    </row>
    <row r="18" spans="1:13">
      <c r="B18" s="5" t="s">
        <v>8</v>
      </c>
    </row>
    <row r="19" spans="1:13" ht="16">
      <c r="A19" s="34" t="s">
        <v>337</v>
      </c>
      <c r="B19" s="34"/>
      <c r="C19" s="35"/>
      <c r="D19" s="35"/>
      <c r="E19" s="35"/>
      <c r="F19" s="35"/>
      <c r="G19" s="35"/>
      <c r="H19" s="35"/>
      <c r="I19" s="35"/>
      <c r="J19" s="35"/>
    </row>
    <row r="20" spans="1:13">
      <c r="A20" s="13" t="s">
        <v>46</v>
      </c>
      <c r="B20" s="12" t="s">
        <v>506</v>
      </c>
      <c r="C20" s="12" t="s">
        <v>507</v>
      </c>
      <c r="D20" s="12" t="s">
        <v>508</v>
      </c>
      <c r="E20" s="12" t="s">
        <v>600</v>
      </c>
      <c r="F20" s="12" t="s">
        <v>563</v>
      </c>
      <c r="G20" s="22" t="s">
        <v>32</v>
      </c>
      <c r="H20" s="22" t="s">
        <v>102</v>
      </c>
      <c r="I20" s="13"/>
      <c r="J20" s="13"/>
      <c r="K20" s="13" t="str">
        <f>"220,0"</f>
        <v>220,0</v>
      </c>
      <c r="L20" s="13" t="str">
        <f>"123,2770"</f>
        <v>123,2770</v>
      </c>
      <c r="M20" s="12"/>
    </row>
    <row r="21" spans="1:13">
      <c r="B21" s="5" t="s">
        <v>8</v>
      </c>
    </row>
    <row r="22" spans="1:13">
      <c r="B22" s="5" t="s">
        <v>8</v>
      </c>
    </row>
    <row r="23" spans="1:13">
      <c r="B23" s="5" t="s">
        <v>8</v>
      </c>
    </row>
    <row r="24" spans="1:13">
      <c r="B24" s="5" t="s">
        <v>8</v>
      </c>
    </row>
    <row r="25" spans="1:13">
      <c r="B25" s="5" t="s">
        <v>8</v>
      </c>
    </row>
    <row r="26" spans="1:13">
      <c r="B26" s="5" t="s">
        <v>8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6:J16"/>
    <mergeCell ref="A19:J19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6"/>
  <sheetViews>
    <sheetView topLeftCell="A19" workbookViewId="0">
      <selection activeCell="E50" sqref="E50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46" t="s">
        <v>524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11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149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150</v>
      </c>
      <c r="C6" s="12" t="s">
        <v>151</v>
      </c>
      <c r="D6" s="12" t="s">
        <v>152</v>
      </c>
      <c r="E6" s="12" t="s">
        <v>600</v>
      </c>
      <c r="F6" s="12" t="s">
        <v>94</v>
      </c>
      <c r="G6" s="22" t="s">
        <v>67</v>
      </c>
      <c r="H6" s="22" t="s">
        <v>68</v>
      </c>
      <c r="I6" s="22" t="s">
        <v>69</v>
      </c>
      <c r="J6" s="13"/>
      <c r="K6" s="13" t="str">
        <f>"97,5"</f>
        <v>97,5</v>
      </c>
      <c r="L6" s="13" t="str">
        <f>"129,5288"</f>
        <v>129,5288</v>
      </c>
      <c r="M6" s="12"/>
    </row>
    <row r="7" spans="1:13">
      <c r="B7" s="5" t="s">
        <v>8</v>
      </c>
    </row>
    <row r="8" spans="1:13" ht="16">
      <c r="A8" s="34" t="s">
        <v>157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3" t="s">
        <v>46</v>
      </c>
      <c r="B9" s="12" t="s">
        <v>162</v>
      </c>
      <c r="C9" s="12" t="s">
        <v>163</v>
      </c>
      <c r="D9" s="12" t="s">
        <v>164</v>
      </c>
      <c r="E9" s="12" t="s">
        <v>600</v>
      </c>
      <c r="F9" s="12" t="s">
        <v>563</v>
      </c>
      <c r="G9" s="22" t="s">
        <v>67</v>
      </c>
      <c r="H9" s="22" t="s">
        <v>65</v>
      </c>
      <c r="I9" s="22" t="s">
        <v>70</v>
      </c>
      <c r="J9" s="13"/>
      <c r="K9" s="13" t="str">
        <f>"105,0"</f>
        <v>105,0</v>
      </c>
      <c r="L9" s="13" t="str">
        <f>"130,8930"</f>
        <v>130,8930</v>
      </c>
      <c r="M9" s="12" t="s">
        <v>564</v>
      </c>
    </row>
    <row r="10" spans="1:13">
      <c r="B10" s="5" t="s">
        <v>8</v>
      </c>
    </row>
    <row r="11" spans="1:13" ht="16">
      <c r="A11" s="34" t="s">
        <v>178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13" t="s">
        <v>46</v>
      </c>
      <c r="B12" s="12" t="s">
        <v>181</v>
      </c>
      <c r="C12" s="12" t="s">
        <v>182</v>
      </c>
      <c r="D12" s="12" t="s">
        <v>183</v>
      </c>
      <c r="E12" s="12" t="s">
        <v>600</v>
      </c>
      <c r="F12" s="12" t="s">
        <v>109</v>
      </c>
      <c r="G12" s="22" t="s">
        <v>58</v>
      </c>
      <c r="H12" s="23" t="s">
        <v>250</v>
      </c>
      <c r="I12" s="23" t="s">
        <v>250</v>
      </c>
      <c r="J12" s="13"/>
      <c r="K12" s="13" t="str">
        <f>"125,0"</f>
        <v>125,0</v>
      </c>
      <c r="L12" s="13" t="str">
        <f>"140,0875"</f>
        <v>140,0875</v>
      </c>
      <c r="M12" s="12" t="s">
        <v>184</v>
      </c>
    </row>
    <row r="13" spans="1:13">
      <c r="B13" s="5" t="s">
        <v>8</v>
      </c>
    </row>
    <row r="14" spans="1:13" ht="16">
      <c r="A14" s="34" t="s">
        <v>185</v>
      </c>
      <c r="B14" s="34"/>
      <c r="C14" s="35"/>
      <c r="D14" s="35"/>
      <c r="E14" s="35"/>
      <c r="F14" s="35"/>
      <c r="G14" s="35"/>
      <c r="H14" s="35"/>
      <c r="I14" s="35"/>
      <c r="J14" s="35"/>
    </row>
    <row r="15" spans="1:13">
      <c r="A15" s="9" t="s">
        <v>46</v>
      </c>
      <c r="B15" s="8" t="s">
        <v>186</v>
      </c>
      <c r="C15" s="8" t="s">
        <v>187</v>
      </c>
      <c r="D15" s="8" t="s">
        <v>188</v>
      </c>
      <c r="E15" s="8" t="s">
        <v>601</v>
      </c>
      <c r="F15" s="8" t="s">
        <v>563</v>
      </c>
      <c r="G15" s="18" t="s">
        <v>67</v>
      </c>
      <c r="H15" s="18" t="s">
        <v>65</v>
      </c>
      <c r="I15" s="19" t="s">
        <v>174</v>
      </c>
      <c r="J15" s="9"/>
      <c r="K15" s="9" t="str">
        <f>"100,0"</f>
        <v>100,0</v>
      </c>
      <c r="L15" s="9" t="str">
        <f>"104,7900"</f>
        <v>104,7900</v>
      </c>
      <c r="M15" s="8" t="s">
        <v>564</v>
      </c>
    </row>
    <row r="16" spans="1:13">
      <c r="A16" s="25" t="s">
        <v>46</v>
      </c>
      <c r="B16" s="24" t="s">
        <v>190</v>
      </c>
      <c r="C16" s="24" t="s">
        <v>191</v>
      </c>
      <c r="D16" s="24" t="s">
        <v>192</v>
      </c>
      <c r="E16" s="24" t="s">
        <v>600</v>
      </c>
      <c r="F16" s="24" t="s">
        <v>563</v>
      </c>
      <c r="G16" s="26" t="s">
        <v>77</v>
      </c>
      <c r="H16" s="26" t="s">
        <v>117</v>
      </c>
      <c r="I16" s="26" t="s">
        <v>86</v>
      </c>
      <c r="J16" s="25"/>
      <c r="K16" s="25" t="str">
        <f>"172,5"</f>
        <v>172,5</v>
      </c>
      <c r="L16" s="25" t="str">
        <f>"182,0047"</f>
        <v>182,0047</v>
      </c>
      <c r="M16" s="24" t="s">
        <v>564</v>
      </c>
    </row>
    <row r="17" spans="1:13">
      <c r="A17" s="11" t="s">
        <v>46</v>
      </c>
      <c r="B17" s="10" t="s">
        <v>473</v>
      </c>
      <c r="C17" s="10" t="s">
        <v>560</v>
      </c>
      <c r="D17" s="10" t="s">
        <v>474</v>
      </c>
      <c r="E17" s="10" t="s">
        <v>603</v>
      </c>
      <c r="F17" s="10" t="s">
        <v>563</v>
      </c>
      <c r="G17" s="20" t="s">
        <v>387</v>
      </c>
      <c r="H17" s="20" t="s">
        <v>197</v>
      </c>
      <c r="I17" s="20" t="s">
        <v>218</v>
      </c>
      <c r="J17" s="11"/>
      <c r="K17" s="11" t="str">
        <f>"127,5"</f>
        <v>127,5</v>
      </c>
      <c r="L17" s="11" t="str">
        <f>"131,5418"</f>
        <v>131,5418</v>
      </c>
      <c r="M17" s="10" t="s">
        <v>564</v>
      </c>
    </row>
    <row r="18" spans="1:13">
      <c r="B18" s="5" t="s">
        <v>8</v>
      </c>
    </row>
    <row r="19" spans="1:13" ht="16">
      <c r="A19" s="34" t="s">
        <v>47</v>
      </c>
      <c r="B19" s="34"/>
      <c r="C19" s="35"/>
      <c r="D19" s="35"/>
      <c r="E19" s="35"/>
      <c r="F19" s="35"/>
      <c r="G19" s="35"/>
      <c r="H19" s="35"/>
      <c r="I19" s="35"/>
      <c r="J19" s="35"/>
    </row>
    <row r="20" spans="1:13">
      <c r="A20" s="9" t="s">
        <v>46</v>
      </c>
      <c r="B20" s="8" t="s">
        <v>48</v>
      </c>
      <c r="C20" s="8" t="s">
        <v>49</v>
      </c>
      <c r="D20" s="8" t="s">
        <v>50</v>
      </c>
      <c r="E20" s="8" t="s">
        <v>601</v>
      </c>
      <c r="F20" s="8" t="s">
        <v>563</v>
      </c>
      <c r="G20" s="18" t="s">
        <v>57</v>
      </c>
      <c r="H20" s="18" t="s">
        <v>58</v>
      </c>
      <c r="I20" s="18" t="s">
        <v>59</v>
      </c>
      <c r="J20" s="9"/>
      <c r="K20" s="9" t="str">
        <f>"135,0"</f>
        <v>135,0</v>
      </c>
      <c r="L20" s="9" t="str">
        <f>"124,6455"</f>
        <v>124,6455</v>
      </c>
      <c r="M20" s="8" t="s">
        <v>564</v>
      </c>
    </row>
    <row r="21" spans="1:13">
      <c r="A21" s="25" t="s">
        <v>134</v>
      </c>
      <c r="B21" s="24" t="s">
        <v>198</v>
      </c>
      <c r="C21" s="24" t="s">
        <v>199</v>
      </c>
      <c r="D21" s="24" t="s">
        <v>200</v>
      </c>
      <c r="E21" s="24" t="s">
        <v>601</v>
      </c>
      <c r="F21" s="24" t="s">
        <v>84</v>
      </c>
      <c r="G21" s="26" t="s">
        <v>67</v>
      </c>
      <c r="H21" s="26" t="s">
        <v>65</v>
      </c>
      <c r="I21" s="27" t="s">
        <v>70</v>
      </c>
      <c r="J21" s="25"/>
      <c r="K21" s="25" t="str">
        <f>"100,0"</f>
        <v>100,0</v>
      </c>
      <c r="L21" s="25" t="str">
        <f>"92,8300"</f>
        <v>92,8300</v>
      </c>
      <c r="M21" s="24" t="s">
        <v>569</v>
      </c>
    </row>
    <row r="22" spans="1:13">
      <c r="A22" s="11" t="s">
        <v>46</v>
      </c>
      <c r="B22" s="10" t="s">
        <v>201</v>
      </c>
      <c r="C22" s="10" t="s">
        <v>561</v>
      </c>
      <c r="D22" s="10" t="s">
        <v>167</v>
      </c>
      <c r="E22" s="10" t="s">
        <v>599</v>
      </c>
      <c r="F22" s="10" t="s">
        <v>94</v>
      </c>
      <c r="G22" s="20" t="s">
        <v>75</v>
      </c>
      <c r="H22" s="20" t="s">
        <v>203</v>
      </c>
      <c r="I22" s="20" t="s">
        <v>204</v>
      </c>
      <c r="J22" s="11"/>
      <c r="K22" s="11" t="str">
        <f>"147,5"</f>
        <v>147,5</v>
      </c>
      <c r="L22" s="11" t="str">
        <f>"135,9508"</f>
        <v>135,9508</v>
      </c>
      <c r="M22" s="10" t="s">
        <v>568</v>
      </c>
    </row>
    <row r="23" spans="1:13">
      <c r="B23" s="5" t="s">
        <v>8</v>
      </c>
    </row>
    <row r="24" spans="1:13" ht="16">
      <c r="A24" s="34" t="s">
        <v>61</v>
      </c>
      <c r="B24" s="34"/>
      <c r="C24" s="35"/>
      <c r="D24" s="35"/>
      <c r="E24" s="35"/>
      <c r="F24" s="35"/>
      <c r="G24" s="35"/>
      <c r="H24" s="35"/>
      <c r="I24" s="35"/>
      <c r="J24" s="35"/>
    </row>
    <row r="25" spans="1:13">
      <c r="A25" s="9" t="s">
        <v>46</v>
      </c>
      <c r="B25" s="8" t="s">
        <v>212</v>
      </c>
      <c r="C25" s="8" t="s">
        <v>213</v>
      </c>
      <c r="D25" s="8" t="s">
        <v>214</v>
      </c>
      <c r="E25" s="8" t="s">
        <v>601</v>
      </c>
      <c r="F25" s="8" t="s">
        <v>84</v>
      </c>
      <c r="G25" s="18" t="s">
        <v>67</v>
      </c>
      <c r="H25" s="18" t="s">
        <v>174</v>
      </c>
      <c r="I25" s="18" t="s">
        <v>197</v>
      </c>
      <c r="J25" s="9"/>
      <c r="K25" s="9" t="str">
        <f>"122,5"</f>
        <v>122,5</v>
      </c>
      <c r="L25" s="9" t="str">
        <f>"92,7203"</f>
        <v>92,7203</v>
      </c>
      <c r="M25" s="8" t="s">
        <v>569</v>
      </c>
    </row>
    <row r="26" spans="1:13">
      <c r="A26" s="25" t="s">
        <v>46</v>
      </c>
      <c r="B26" s="24" t="s">
        <v>475</v>
      </c>
      <c r="C26" s="24" t="s">
        <v>476</v>
      </c>
      <c r="D26" s="24" t="s">
        <v>284</v>
      </c>
      <c r="E26" s="24" t="s">
        <v>600</v>
      </c>
      <c r="F26" s="24" t="s">
        <v>94</v>
      </c>
      <c r="G26" s="26" t="s">
        <v>103</v>
      </c>
      <c r="H26" s="26" t="s">
        <v>96</v>
      </c>
      <c r="I26" s="27" t="s">
        <v>22</v>
      </c>
      <c r="J26" s="25"/>
      <c r="K26" s="25" t="str">
        <f>"240,0"</f>
        <v>240,0</v>
      </c>
      <c r="L26" s="25" t="str">
        <f>"171,8160"</f>
        <v>171,8160</v>
      </c>
      <c r="M26" s="24"/>
    </row>
    <row r="27" spans="1:13">
      <c r="A27" s="11" t="s">
        <v>134</v>
      </c>
      <c r="B27" s="10" t="s">
        <v>225</v>
      </c>
      <c r="C27" s="10" t="s">
        <v>226</v>
      </c>
      <c r="D27" s="10" t="s">
        <v>477</v>
      </c>
      <c r="E27" s="10" t="s">
        <v>600</v>
      </c>
      <c r="F27" s="10" t="s">
        <v>563</v>
      </c>
      <c r="G27" s="20" t="s">
        <v>31</v>
      </c>
      <c r="H27" s="21" t="s">
        <v>345</v>
      </c>
      <c r="I27" s="21" t="s">
        <v>345</v>
      </c>
      <c r="J27" s="11"/>
      <c r="K27" s="11" t="str">
        <f>"190,0"</f>
        <v>190,0</v>
      </c>
      <c r="L27" s="11" t="str">
        <f>"136,9330"</f>
        <v>136,9330</v>
      </c>
      <c r="M27" s="10" t="s">
        <v>564</v>
      </c>
    </row>
    <row r="28" spans="1:13">
      <c r="B28" s="5" t="s">
        <v>8</v>
      </c>
    </row>
    <row r="29" spans="1:13" ht="16">
      <c r="A29" s="34" t="s">
        <v>71</v>
      </c>
      <c r="B29" s="34"/>
      <c r="C29" s="35"/>
      <c r="D29" s="35"/>
      <c r="E29" s="35"/>
      <c r="F29" s="35"/>
      <c r="G29" s="35"/>
      <c r="H29" s="35"/>
      <c r="I29" s="35"/>
      <c r="J29" s="35"/>
    </row>
    <row r="30" spans="1:13">
      <c r="A30" s="9" t="s">
        <v>46</v>
      </c>
      <c r="B30" s="8" t="s">
        <v>72</v>
      </c>
      <c r="C30" s="8" t="s">
        <v>73</v>
      </c>
      <c r="D30" s="8" t="s">
        <v>74</v>
      </c>
      <c r="E30" s="8" t="s">
        <v>601</v>
      </c>
      <c r="F30" s="8" t="s">
        <v>563</v>
      </c>
      <c r="G30" s="18" t="s">
        <v>77</v>
      </c>
      <c r="H30" s="18" t="s">
        <v>78</v>
      </c>
      <c r="I30" s="18" t="s">
        <v>79</v>
      </c>
      <c r="J30" s="9"/>
      <c r="K30" s="9" t="str">
        <f>"170,0"</f>
        <v>170,0</v>
      </c>
      <c r="L30" s="9" t="str">
        <f>"116,5180"</f>
        <v>116,5180</v>
      </c>
      <c r="M30" s="8" t="s">
        <v>564</v>
      </c>
    </row>
    <row r="31" spans="1:13">
      <c r="A31" s="25" t="s">
        <v>46</v>
      </c>
      <c r="B31" s="24" t="s">
        <v>456</v>
      </c>
      <c r="C31" s="24" t="s">
        <v>457</v>
      </c>
      <c r="D31" s="24" t="s">
        <v>458</v>
      </c>
      <c r="E31" s="24" t="s">
        <v>600</v>
      </c>
      <c r="F31" s="24" t="s">
        <v>563</v>
      </c>
      <c r="G31" s="26" t="s">
        <v>32</v>
      </c>
      <c r="H31" s="26" t="s">
        <v>102</v>
      </c>
      <c r="I31" s="26" t="s">
        <v>21</v>
      </c>
      <c r="J31" s="25"/>
      <c r="K31" s="25" t="str">
        <f>"225,0"</f>
        <v>225,0</v>
      </c>
      <c r="L31" s="25" t="str">
        <f>"152,7750"</f>
        <v>152,7750</v>
      </c>
      <c r="M31" s="24" t="s">
        <v>564</v>
      </c>
    </row>
    <row r="32" spans="1:13">
      <c r="A32" s="25" t="s">
        <v>134</v>
      </c>
      <c r="B32" s="24" t="s">
        <v>459</v>
      </c>
      <c r="C32" s="24" t="s">
        <v>460</v>
      </c>
      <c r="D32" s="24" t="s">
        <v>291</v>
      </c>
      <c r="E32" s="24" t="s">
        <v>600</v>
      </c>
      <c r="F32" s="24" t="s">
        <v>563</v>
      </c>
      <c r="G32" s="26" t="s">
        <v>95</v>
      </c>
      <c r="H32" s="26" t="s">
        <v>324</v>
      </c>
      <c r="I32" s="27" t="s">
        <v>103</v>
      </c>
      <c r="J32" s="25"/>
      <c r="K32" s="25" t="str">
        <f>"222,5"</f>
        <v>222,5</v>
      </c>
      <c r="L32" s="25" t="str">
        <f>"149,7203"</f>
        <v>149,7203</v>
      </c>
      <c r="M32" s="24" t="s">
        <v>572</v>
      </c>
    </row>
    <row r="33" spans="1:13">
      <c r="A33" s="11" t="s">
        <v>135</v>
      </c>
      <c r="B33" s="10" t="s">
        <v>478</v>
      </c>
      <c r="C33" s="10" t="s">
        <v>479</v>
      </c>
      <c r="D33" s="10" t="s">
        <v>480</v>
      </c>
      <c r="E33" s="10" t="s">
        <v>600</v>
      </c>
      <c r="F33" s="10" t="s">
        <v>109</v>
      </c>
      <c r="G33" s="20" t="s">
        <v>101</v>
      </c>
      <c r="H33" s="21" t="s">
        <v>102</v>
      </c>
      <c r="I33" s="21" t="s">
        <v>102</v>
      </c>
      <c r="J33" s="11"/>
      <c r="K33" s="11" t="str">
        <f>"205,0"</f>
        <v>205,0</v>
      </c>
      <c r="L33" s="11" t="str">
        <f>"137,8420"</f>
        <v>137,8420</v>
      </c>
      <c r="M33" s="10" t="s">
        <v>594</v>
      </c>
    </row>
    <row r="34" spans="1:13">
      <c r="B34" s="5" t="s">
        <v>8</v>
      </c>
    </row>
    <row r="35" spans="1:13" ht="16">
      <c r="A35" s="34" t="s">
        <v>80</v>
      </c>
      <c r="B35" s="34"/>
      <c r="C35" s="35"/>
      <c r="D35" s="35"/>
      <c r="E35" s="35"/>
      <c r="F35" s="35"/>
      <c r="G35" s="35"/>
      <c r="H35" s="35"/>
      <c r="I35" s="35"/>
      <c r="J35" s="35"/>
    </row>
    <row r="36" spans="1:13">
      <c r="A36" s="9" t="s">
        <v>46</v>
      </c>
      <c r="B36" s="8" t="s">
        <v>406</v>
      </c>
      <c r="C36" s="8" t="s">
        <v>407</v>
      </c>
      <c r="D36" s="8" t="s">
        <v>408</v>
      </c>
      <c r="E36" s="8" t="s">
        <v>601</v>
      </c>
      <c r="F36" s="8" t="s">
        <v>94</v>
      </c>
      <c r="G36" s="18" t="s">
        <v>87</v>
      </c>
      <c r="H36" s="18" t="s">
        <v>31</v>
      </c>
      <c r="I36" s="19" t="s">
        <v>32</v>
      </c>
      <c r="J36" s="9"/>
      <c r="K36" s="9" t="str">
        <f>"190,0"</f>
        <v>190,0</v>
      </c>
      <c r="L36" s="9" t="str">
        <f>"123,7850"</f>
        <v>123,7850</v>
      </c>
      <c r="M36" s="8"/>
    </row>
    <row r="37" spans="1:13">
      <c r="A37" s="25" t="s">
        <v>46</v>
      </c>
      <c r="B37" s="24" t="s">
        <v>244</v>
      </c>
      <c r="C37" s="24" t="s">
        <v>245</v>
      </c>
      <c r="D37" s="24" t="s">
        <v>246</v>
      </c>
      <c r="E37" s="24" t="s">
        <v>600</v>
      </c>
      <c r="F37" s="24" t="s">
        <v>94</v>
      </c>
      <c r="G37" s="26" t="s">
        <v>102</v>
      </c>
      <c r="H37" s="26" t="s">
        <v>103</v>
      </c>
      <c r="I37" s="27" t="s">
        <v>16</v>
      </c>
      <c r="J37" s="25"/>
      <c r="K37" s="25" t="str">
        <f>"230,0"</f>
        <v>230,0</v>
      </c>
      <c r="L37" s="25" t="str">
        <f>"146,9240"</f>
        <v>146,9240</v>
      </c>
      <c r="M37" s="24" t="s">
        <v>567</v>
      </c>
    </row>
    <row r="38" spans="1:13">
      <c r="A38" s="11" t="s">
        <v>134</v>
      </c>
      <c r="B38" s="10" t="s">
        <v>461</v>
      </c>
      <c r="C38" s="10" t="s">
        <v>462</v>
      </c>
      <c r="D38" s="10" t="s">
        <v>463</v>
      </c>
      <c r="E38" s="10" t="s">
        <v>600</v>
      </c>
      <c r="F38" s="10" t="s">
        <v>563</v>
      </c>
      <c r="G38" s="21" t="s">
        <v>59</v>
      </c>
      <c r="H38" s="20" t="s">
        <v>97</v>
      </c>
      <c r="I38" s="20" t="s">
        <v>112</v>
      </c>
      <c r="J38" s="11"/>
      <c r="K38" s="11" t="str">
        <f>"155,0"</f>
        <v>155,0</v>
      </c>
      <c r="L38" s="11" t="str">
        <f>"102,3155"</f>
        <v>102,3155</v>
      </c>
      <c r="M38" s="10" t="s">
        <v>564</v>
      </c>
    </row>
    <row r="39" spans="1:13">
      <c r="B39" s="5" t="s">
        <v>8</v>
      </c>
    </row>
    <row r="40" spans="1:13" ht="16">
      <c r="A40" s="34" t="s">
        <v>12</v>
      </c>
      <c r="B40" s="34"/>
      <c r="C40" s="35"/>
      <c r="D40" s="35"/>
      <c r="E40" s="35"/>
      <c r="F40" s="35"/>
      <c r="G40" s="35"/>
      <c r="H40" s="35"/>
      <c r="I40" s="35"/>
      <c r="J40" s="35"/>
    </row>
    <row r="41" spans="1:13">
      <c r="A41" s="13" t="s">
        <v>46</v>
      </c>
      <c r="B41" s="12" t="s">
        <v>253</v>
      </c>
      <c r="C41" s="12" t="s">
        <v>254</v>
      </c>
      <c r="D41" s="12" t="s">
        <v>255</v>
      </c>
      <c r="E41" s="12" t="s">
        <v>600</v>
      </c>
      <c r="F41" s="12" t="s">
        <v>94</v>
      </c>
      <c r="G41" s="22" t="s">
        <v>22</v>
      </c>
      <c r="H41" s="22" t="s">
        <v>105</v>
      </c>
      <c r="I41" s="23" t="s">
        <v>29</v>
      </c>
      <c r="J41" s="13"/>
      <c r="K41" s="13" t="str">
        <f>"260,0"</f>
        <v>260,0</v>
      </c>
      <c r="L41" s="13" t="str">
        <f>"160,0300"</f>
        <v>160,0300</v>
      </c>
      <c r="M41" s="12" t="s">
        <v>570</v>
      </c>
    </row>
    <row r="42" spans="1:13">
      <c r="B42" s="5" t="s">
        <v>8</v>
      </c>
    </row>
    <row r="43" spans="1:13" ht="16">
      <c r="A43" s="34" t="s">
        <v>24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3">
      <c r="A44" s="9" t="s">
        <v>46</v>
      </c>
      <c r="B44" s="8" t="s">
        <v>259</v>
      </c>
      <c r="C44" s="8" t="s">
        <v>260</v>
      </c>
      <c r="D44" s="8" t="s">
        <v>261</v>
      </c>
      <c r="E44" s="8" t="s">
        <v>600</v>
      </c>
      <c r="F44" s="8" t="s">
        <v>94</v>
      </c>
      <c r="G44" s="18" t="s">
        <v>96</v>
      </c>
      <c r="H44" s="18" t="s">
        <v>22</v>
      </c>
      <c r="I44" s="19" t="s">
        <v>105</v>
      </c>
      <c r="J44" s="9"/>
      <c r="K44" s="9" t="str">
        <f>"250,0"</f>
        <v>250,0</v>
      </c>
      <c r="L44" s="9" t="str">
        <f>"148,6500"</f>
        <v>148,6500</v>
      </c>
      <c r="M44" s="8"/>
    </row>
    <row r="45" spans="1:13">
      <c r="A45" s="25" t="s">
        <v>134</v>
      </c>
      <c r="B45" s="24" t="s">
        <v>464</v>
      </c>
      <c r="C45" s="24" t="s">
        <v>465</v>
      </c>
      <c r="D45" s="24" t="s">
        <v>466</v>
      </c>
      <c r="E45" s="24" t="s">
        <v>600</v>
      </c>
      <c r="F45" s="24" t="s">
        <v>563</v>
      </c>
      <c r="G45" s="27" t="s">
        <v>32</v>
      </c>
      <c r="H45" s="26" t="s">
        <v>102</v>
      </c>
      <c r="I45" s="26" t="s">
        <v>118</v>
      </c>
      <c r="J45" s="25"/>
      <c r="K45" s="25" t="str">
        <f>"247,5"</f>
        <v>247,5</v>
      </c>
      <c r="L45" s="25" t="str">
        <f>"148,5000"</f>
        <v>148,5000</v>
      </c>
      <c r="M45" s="24" t="s">
        <v>564</v>
      </c>
    </row>
    <row r="46" spans="1:13">
      <c r="A46" s="11" t="s">
        <v>135</v>
      </c>
      <c r="B46" s="10" t="s">
        <v>481</v>
      </c>
      <c r="C46" s="10" t="s">
        <v>482</v>
      </c>
      <c r="D46" s="10" t="s">
        <v>483</v>
      </c>
      <c r="E46" s="10" t="s">
        <v>600</v>
      </c>
      <c r="F46" s="10" t="s">
        <v>94</v>
      </c>
      <c r="G46" s="20" t="s">
        <v>102</v>
      </c>
      <c r="H46" s="21" t="s">
        <v>118</v>
      </c>
      <c r="I46" s="21" t="s">
        <v>118</v>
      </c>
      <c r="J46" s="11"/>
      <c r="K46" s="11" t="str">
        <f>"220,0"</f>
        <v>220,0</v>
      </c>
      <c r="L46" s="11" t="str">
        <f>"132,5720"</f>
        <v>132,5720</v>
      </c>
      <c r="M46" s="10"/>
    </row>
    <row r="47" spans="1:13">
      <c r="B47" s="5" t="s">
        <v>8</v>
      </c>
    </row>
    <row r="48" spans="1:13" ht="16">
      <c r="A48" s="34" t="s">
        <v>337</v>
      </c>
      <c r="B48" s="34"/>
      <c r="C48" s="35"/>
      <c r="D48" s="35"/>
      <c r="E48" s="35"/>
      <c r="F48" s="35"/>
      <c r="G48" s="35"/>
      <c r="H48" s="35"/>
      <c r="I48" s="35"/>
      <c r="J48" s="35"/>
    </row>
    <row r="49" spans="1:13">
      <c r="A49" s="13" t="s">
        <v>46</v>
      </c>
      <c r="B49" s="12" t="s">
        <v>484</v>
      </c>
      <c r="C49" s="12" t="s">
        <v>485</v>
      </c>
      <c r="D49" s="12" t="s">
        <v>486</v>
      </c>
      <c r="E49" s="12" t="s">
        <v>600</v>
      </c>
      <c r="F49" s="12" t="s">
        <v>94</v>
      </c>
      <c r="G49" s="22" t="s">
        <v>30</v>
      </c>
      <c r="H49" s="23" t="s">
        <v>35</v>
      </c>
      <c r="I49" s="13"/>
      <c r="J49" s="13"/>
      <c r="K49" s="13" t="str">
        <f>"275,0"</f>
        <v>275,0</v>
      </c>
      <c r="L49" s="13" t="str">
        <f>"157,6575"</f>
        <v>157,6575</v>
      </c>
      <c r="M49" s="12"/>
    </row>
    <row r="50" spans="1:13">
      <c r="B50" s="5" t="s">
        <v>8</v>
      </c>
    </row>
    <row r="51" spans="1:13">
      <c r="B51" s="5" t="s">
        <v>8</v>
      </c>
    </row>
    <row r="52" spans="1:13">
      <c r="B52" s="5" t="s">
        <v>8</v>
      </c>
    </row>
    <row r="53" spans="1:13" ht="18">
      <c r="B53" s="7" t="s">
        <v>7</v>
      </c>
      <c r="C53" s="7"/>
    </row>
    <row r="54" spans="1:13" ht="16">
      <c r="B54" s="14" t="s">
        <v>36</v>
      </c>
      <c r="C54" s="14"/>
    </row>
    <row r="55" spans="1:13" ht="14">
      <c r="B55" s="15"/>
      <c r="C55" s="16" t="s">
        <v>37</v>
      </c>
    </row>
    <row r="56" spans="1:13" ht="14">
      <c r="B56" s="17" t="s">
        <v>38</v>
      </c>
      <c r="C56" s="17" t="s">
        <v>39</v>
      </c>
      <c r="D56" s="17" t="s">
        <v>523</v>
      </c>
      <c r="E56" s="17" t="s">
        <v>346</v>
      </c>
      <c r="F56" s="17" t="s">
        <v>42</v>
      </c>
    </row>
    <row r="57" spans="1:13">
      <c r="B57" s="5" t="s">
        <v>475</v>
      </c>
      <c r="C57" s="5" t="s">
        <v>37</v>
      </c>
      <c r="D57" s="6" t="s">
        <v>127</v>
      </c>
      <c r="E57" s="6" t="s">
        <v>96</v>
      </c>
      <c r="F57" s="6" t="s">
        <v>487</v>
      </c>
    </row>
    <row r="58" spans="1:13">
      <c r="B58" s="5" t="s">
        <v>253</v>
      </c>
      <c r="C58" s="5" t="s">
        <v>37</v>
      </c>
      <c r="D58" s="6" t="s">
        <v>44</v>
      </c>
      <c r="E58" s="6" t="s">
        <v>105</v>
      </c>
      <c r="F58" s="6" t="s">
        <v>488</v>
      </c>
    </row>
    <row r="59" spans="1:13">
      <c r="B59" s="5" t="s">
        <v>484</v>
      </c>
      <c r="C59" s="5" t="s">
        <v>37</v>
      </c>
      <c r="D59" s="6" t="s">
        <v>350</v>
      </c>
      <c r="E59" s="6" t="s">
        <v>30</v>
      </c>
      <c r="F59" s="6" t="s">
        <v>489</v>
      </c>
    </row>
    <row r="60" spans="1:13">
      <c r="B60" s="5" t="s">
        <v>8</v>
      </c>
      <c r="C60" s="3"/>
      <c r="D60" s="3"/>
      <c r="E60" s="3"/>
      <c r="F60" s="3"/>
    </row>
    <row r="61" spans="1:13">
      <c r="B61" s="5" t="s">
        <v>8</v>
      </c>
      <c r="C61" s="3"/>
      <c r="D61" s="3"/>
      <c r="E61" s="3"/>
      <c r="F61" s="3"/>
    </row>
    <row r="62" spans="1:13">
      <c r="B62" s="5" t="s">
        <v>8</v>
      </c>
      <c r="C62" s="3"/>
      <c r="D62" s="3"/>
      <c r="E62" s="3"/>
      <c r="F62" s="3"/>
    </row>
    <row r="63" spans="1:13">
      <c r="B63" s="5" t="s">
        <v>8</v>
      </c>
      <c r="C63" s="3"/>
      <c r="D63" s="3"/>
      <c r="E63" s="3"/>
      <c r="F63" s="3"/>
    </row>
    <row r="64" spans="1:13">
      <c r="B64" s="5" t="s">
        <v>8</v>
      </c>
      <c r="C64" s="3"/>
      <c r="D64" s="3"/>
      <c r="E64" s="3"/>
      <c r="F64" s="3"/>
    </row>
    <row r="65" spans="2:6">
      <c r="B65" s="5" t="s">
        <v>8</v>
      </c>
      <c r="C65" s="3"/>
      <c r="D65" s="3"/>
      <c r="E65" s="3"/>
      <c r="F65" s="3"/>
    </row>
    <row r="66" spans="2:6">
      <c r="B66" s="5" t="s">
        <v>8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A40:J40"/>
    <mergeCell ref="A43:J43"/>
    <mergeCell ref="A48:J48"/>
    <mergeCell ref="B3:B4"/>
    <mergeCell ref="A8:J8"/>
    <mergeCell ref="A11:J11"/>
    <mergeCell ref="A14:J14"/>
    <mergeCell ref="A19:J19"/>
    <mergeCell ref="A24:J24"/>
    <mergeCell ref="A29:J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41"/>
  <sheetViews>
    <sheetView workbookViewId="0">
      <selection activeCell="E27" sqref="E27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6" t="s">
        <v>525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11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61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62</v>
      </c>
      <c r="C6" s="12" t="s">
        <v>63</v>
      </c>
      <c r="D6" s="12" t="s">
        <v>64</v>
      </c>
      <c r="E6" s="12" t="s">
        <v>601</v>
      </c>
      <c r="F6" s="12" t="s">
        <v>563</v>
      </c>
      <c r="G6" s="23" t="s">
        <v>65</v>
      </c>
      <c r="H6" s="22" t="s">
        <v>65</v>
      </c>
      <c r="I6" s="22" t="s">
        <v>70</v>
      </c>
      <c r="J6" s="13"/>
      <c r="K6" s="13" t="str">
        <f>"105,0"</f>
        <v>105,0</v>
      </c>
      <c r="L6" s="13" t="str">
        <f>"80,3880"</f>
        <v>80,3880</v>
      </c>
      <c r="M6" s="12"/>
    </row>
    <row r="7" spans="1:13">
      <c r="B7" s="5" t="s">
        <v>8</v>
      </c>
    </row>
    <row r="8" spans="1:13" ht="16">
      <c r="A8" s="34" t="s">
        <v>71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9" t="s">
        <v>46</v>
      </c>
      <c r="B9" s="8" t="s">
        <v>456</v>
      </c>
      <c r="C9" s="8" t="s">
        <v>457</v>
      </c>
      <c r="D9" s="8" t="s">
        <v>458</v>
      </c>
      <c r="E9" s="8" t="s">
        <v>600</v>
      </c>
      <c r="F9" s="8" t="s">
        <v>563</v>
      </c>
      <c r="G9" s="18" t="s">
        <v>32</v>
      </c>
      <c r="H9" s="18" t="s">
        <v>102</v>
      </c>
      <c r="I9" s="18" t="s">
        <v>21</v>
      </c>
      <c r="J9" s="9"/>
      <c r="K9" s="9" t="str">
        <f>"225,0"</f>
        <v>225,0</v>
      </c>
      <c r="L9" s="9" t="str">
        <f>"152,7750"</f>
        <v>152,7750</v>
      </c>
      <c r="M9" s="8" t="s">
        <v>564</v>
      </c>
    </row>
    <row r="10" spans="1:13">
      <c r="A10" s="11" t="s">
        <v>134</v>
      </c>
      <c r="B10" s="10" t="s">
        <v>459</v>
      </c>
      <c r="C10" s="10" t="s">
        <v>460</v>
      </c>
      <c r="D10" s="10" t="s">
        <v>291</v>
      </c>
      <c r="E10" s="10" t="s">
        <v>600</v>
      </c>
      <c r="F10" s="10" t="s">
        <v>563</v>
      </c>
      <c r="G10" s="20" t="s">
        <v>95</v>
      </c>
      <c r="H10" s="20" t="s">
        <v>324</v>
      </c>
      <c r="I10" s="21" t="s">
        <v>103</v>
      </c>
      <c r="J10" s="11"/>
      <c r="K10" s="11" t="str">
        <f>"222,5"</f>
        <v>222,5</v>
      </c>
      <c r="L10" s="11" t="str">
        <f>"149,7203"</f>
        <v>149,7203</v>
      </c>
      <c r="M10" s="10" t="s">
        <v>572</v>
      </c>
    </row>
    <row r="11" spans="1:13">
      <c r="B11" s="5" t="s">
        <v>8</v>
      </c>
    </row>
    <row r="12" spans="1:13" ht="16">
      <c r="A12" s="34" t="s">
        <v>80</v>
      </c>
      <c r="B12" s="34"/>
      <c r="C12" s="35"/>
      <c r="D12" s="35"/>
      <c r="E12" s="35"/>
      <c r="F12" s="35"/>
      <c r="G12" s="35"/>
      <c r="H12" s="35"/>
      <c r="I12" s="35"/>
      <c r="J12" s="35"/>
    </row>
    <row r="13" spans="1:13">
      <c r="A13" s="13" t="s">
        <v>46</v>
      </c>
      <c r="B13" s="12" t="s">
        <v>461</v>
      </c>
      <c r="C13" s="12" t="s">
        <v>462</v>
      </c>
      <c r="D13" s="12" t="s">
        <v>463</v>
      </c>
      <c r="E13" s="12" t="s">
        <v>600</v>
      </c>
      <c r="F13" s="12" t="s">
        <v>563</v>
      </c>
      <c r="G13" s="23" t="s">
        <v>59</v>
      </c>
      <c r="H13" s="22" t="s">
        <v>97</v>
      </c>
      <c r="I13" s="22" t="s">
        <v>112</v>
      </c>
      <c r="J13" s="13"/>
      <c r="K13" s="13" t="str">
        <f>"155,0"</f>
        <v>155,0</v>
      </c>
      <c r="L13" s="13" t="str">
        <f>"102,3155"</f>
        <v>102,3155</v>
      </c>
      <c r="M13" s="12" t="s">
        <v>564</v>
      </c>
    </row>
    <row r="14" spans="1:13">
      <c r="B14" s="5" t="s">
        <v>8</v>
      </c>
    </row>
    <row r="15" spans="1:13" ht="16">
      <c r="A15" s="34" t="s">
        <v>12</v>
      </c>
      <c r="B15" s="34"/>
      <c r="C15" s="35"/>
      <c r="D15" s="35"/>
      <c r="E15" s="35"/>
      <c r="F15" s="35"/>
      <c r="G15" s="35"/>
      <c r="H15" s="35"/>
      <c r="I15" s="35"/>
      <c r="J15" s="35"/>
    </row>
    <row r="16" spans="1:13">
      <c r="A16" s="9" t="s">
        <v>46</v>
      </c>
      <c r="B16" s="8" t="s">
        <v>106</v>
      </c>
      <c r="C16" s="8" t="s">
        <v>107</v>
      </c>
      <c r="D16" s="8" t="s">
        <v>108</v>
      </c>
      <c r="E16" s="8" t="s">
        <v>600</v>
      </c>
      <c r="F16" s="8" t="s">
        <v>109</v>
      </c>
      <c r="G16" s="18" t="s">
        <v>22</v>
      </c>
      <c r="H16" s="18" t="s">
        <v>23</v>
      </c>
      <c r="I16" s="18" t="s">
        <v>88</v>
      </c>
      <c r="J16" s="9"/>
      <c r="K16" s="9" t="str">
        <f>"270,0"</f>
        <v>270,0</v>
      </c>
      <c r="L16" s="9" t="str">
        <f>"164,7810"</f>
        <v>164,7810</v>
      </c>
      <c r="M16" s="8"/>
    </row>
    <row r="17" spans="1:13">
      <c r="A17" s="25" t="s">
        <v>134</v>
      </c>
      <c r="B17" s="24" t="s">
        <v>113</v>
      </c>
      <c r="C17" s="24" t="s">
        <v>114</v>
      </c>
      <c r="D17" s="24" t="s">
        <v>115</v>
      </c>
      <c r="E17" s="24" t="s">
        <v>600</v>
      </c>
      <c r="F17" s="24" t="s">
        <v>94</v>
      </c>
      <c r="G17" s="26" t="s">
        <v>21</v>
      </c>
      <c r="H17" s="26" t="s">
        <v>16</v>
      </c>
      <c r="I17" s="27" t="s">
        <v>118</v>
      </c>
      <c r="J17" s="25"/>
      <c r="K17" s="25" t="str">
        <f>"235,0"</f>
        <v>235,0</v>
      </c>
      <c r="L17" s="25" t="str">
        <f>"143,3030"</f>
        <v>143,3030</v>
      </c>
      <c r="M17" s="24"/>
    </row>
    <row r="18" spans="1:13">
      <c r="A18" s="25" t="s">
        <v>135</v>
      </c>
      <c r="B18" s="24" t="s">
        <v>13</v>
      </c>
      <c r="C18" s="24" t="s">
        <v>14</v>
      </c>
      <c r="D18" s="24" t="s">
        <v>15</v>
      </c>
      <c r="E18" s="24" t="s">
        <v>600</v>
      </c>
      <c r="F18" s="24" t="s">
        <v>563</v>
      </c>
      <c r="G18" s="26" t="s">
        <v>101</v>
      </c>
      <c r="H18" s="26" t="s">
        <v>21</v>
      </c>
      <c r="I18" s="27" t="s">
        <v>96</v>
      </c>
      <c r="J18" s="25"/>
      <c r="K18" s="25" t="str">
        <f>"225,0"</f>
        <v>225,0</v>
      </c>
      <c r="L18" s="25" t="str">
        <f>"140,8500"</f>
        <v>140,8500</v>
      </c>
      <c r="M18" s="24" t="s">
        <v>572</v>
      </c>
    </row>
    <row r="19" spans="1:13">
      <c r="A19" s="11" t="s">
        <v>46</v>
      </c>
      <c r="B19" s="10" t="s">
        <v>13</v>
      </c>
      <c r="C19" s="10" t="s">
        <v>540</v>
      </c>
      <c r="D19" s="10" t="s">
        <v>15</v>
      </c>
      <c r="E19" s="10" t="s">
        <v>602</v>
      </c>
      <c r="F19" s="10" t="s">
        <v>563</v>
      </c>
      <c r="G19" s="20" t="s">
        <v>101</v>
      </c>
      <c r="H19" s="20" t="s">
        <v>21</v>
      </c>
      <c r="I19" s="21" t="s">
        <v>96</v>
      </c>
      <c r="J19" s="11"/>
      <c r="K19" s="11" t="str">
        <f>"225,0"</f>
        <v>225,0</v>
      </c>
      <c r="L19" s="11" t="str">
        <f>"159,4422"</f>
        <v>159,4422</v>
      </c>
      <c r="M19" s="10" t="s">
        <v>572</v>
      </c>
    </row>
    <row r="20" spans="1:13">
      <c r="B20" s="5" t="s">
        <v>8</v>
      </c>
    </row>
    <row r="21" spans="1:13" ht="16">
      <c r="A21" s="34" t="s">
        <v>24</v>
      </c>
      <c r="B21" s="34"/>
      <c r="C21" s="35"/>
      <c r="D21" s="35"/>
      <c r="E21" s="35"/>
      <c r="F21" s="35"/>
      <c r="G21" s="35"/>
      <c r="H21" s="35"/>
      <c r="I21" s="35"/>
      <c r="J21" s="35"/>
    </row>
    <row r="22" spans="1:13">
      <c r="A22" s="9" t="s">
        <v>46</v>
      </c>
      <c r="B22" s="8" t="s">
        <v>332</v>
      </c>
      <c r="C22" s="8" t="s">
        <v>333</v>
      </c>
      <c r="D22" s="8" t="s">
        <v>334</v>
      </c>
      <c r="E22" s="8" t="s">
        <v>600</v>
      </c>
      <c r="F22" s="8" t="s">
        <v>308</v>
      </c>
      <c r="G22" s="18" t="s">
        <v>22</v>
      </c>
      <c r="H22" s="18" t="s">
        <v>29</v>
      </c>
      <c r="I22" s="19" t="s">
        <v>88</v>
      </c>
      <c r="J22" s="9"/>
      <c r="K22" s="9" t="str">
        <f>"265,0"</f>
        <v>265,0</v>
      </c>
      <c r="L22" s="9" t="str">
        <f>"156,5355"</f>
        <v>156,5355</v>
      </c>
      <c r="M22" s="8" t="s">
        <v>591</v>
      </c>
    </row>
    <row r="23" spans="1:13">
      <c r="A23" s="11" t="s">
        <v>134</v>
      </c>
      <c r="B23" s="10" t="s">
        <v>464</v>
      </c>
      <c r="C23" s="10" t="s">
        <v>465</v>
      </c>
      <c r="D23" s="10" t="s">
        <v>466</v>
      </c>
      <c r="E23" s="10" t="s">
        <v>600</v>
      </c>
      <c r="F23" s="10" t="s">
        <v>563</v>
      </c>
      <c r="G23" s="21" t="s">
        <v>32</v>
      </c>
      <c r="H23" s="20" t="s">
        <v>102</v>
      </c>
      <c r="I23" s="20" t="s">
        <v>118</v>
      </c>
      <c r="J23" s="11"/>
      <c r="K23" s="11" t="str">
        <f>"247,5"</f>
        <v>247,5</v>
      </c>
      <c r="L23" s="11" t="str">
        <f>"148,5000"</f>
        <v>148,5000</v>
      </c>
      <c r="M23" s="10" t="s">
        <v>564</v>
      </c>
    </row>
    <row r="24" spans="1:13">
      <c r="B24" s="5" t="s">
        <v>8</v>
      </c>
    </row>
    <row r="25" spans="1:13" ht="16">
      <c r="A25" s="34" t="s">
        <v>337</v>
      </c>
      <c r="B25" s="34"/>
      <c r="C25" s="35"/>
      <c r="D25" s="35"/>
      <c r="E25" s="35"/>
      <c r="F25" s="35"/>
      <c r="G25" s="35"/>
      <c r="H25" s="35"/>
      <c r="I25" s="35"/>
      <c r="J25" s="35"/>
    </row>
    <row r="26" spans="1:13">
      <c r="A26" s="13" t="s">
        <v>46</v>
      </c>
      <c r="B26" s="12" t="s">
        <v>467</v>
      </c>
      <c r="C26" s="12" t="s">
        <v>468</v>
      </c>
      <c r="D26" s="12" t="s">
        <v>469</v>
      </c>
      <c r="E26" s="12" t="s">
        <v>600</v>
      </c>
      <c r="F26" s="12" t="s">
        <v>94</v>
      </c>
      <c r="G26" s="22" t="s">
        <v>88</v>
      </c>
      <c r="H26" s="23" t="s">
        <v>34</v>
      </c>
      <c r="I26" s="23" t="s">
        <v>34</v>
      </c>
      <c r="J26" s="13"/>
      <c r="K26" s="13" t="str">
        <f>"270,0"</f>
        <v>270,0</v>
      </c>
      <c r="L26" s="13" t="str">
        <f>"154,9530"</f>
        <v>154,9530</v>
      </c>
      <c r="M26" s="12"/>
    </row>
    <row r="27" spans="1:13">
      <c r="B27" s="5" t="s">
        <v>8</v>
      </c>
    </row>
    <row r="28" spans="1:13">
      <c r="B28" s="5" t="s">
        <v>8</v>
      </c>
    </row>
    <row r="29" spans="1:13">
      <c r="B29" s="5" t="s">
        <v>8</v>
      </c>
    </row>
    <row r="30" spans="1:13" ht="18">
      <c r="B30" s="7" t="s">
        <v>7</v>
      </c>
      <c r="C30" s="7"/>
    </row>
    <row r="31" spans="1:13" ht="16">
      <c r="B31" s="14" t="s">
        <v>36</v>
      </c>
      <c r="C31" s="14"/>
    </row>
    <row r="32" spans="1:13" ht="14">
      <c r="B32" s="15"/>
      <c r="C32" s="16" t="s">
        <v>37</v>
      </c>
    </row>
    <row r="33" spans="2:6" ht="14">
      <c r="B33" s="17" t="s">
        <v>38</v>
      </c>
      <c r="C33" s="17" t="s">
        <v>39</v>
      </c>
      <c r="D33" s="17" t="s">
        <v>40</v>
      </c>
      <c r="E33" s="17" t="s">
        <v>346</v>
      </c>
      <c r="F33" s="17" t="s">
        <v>42</v>
      </c>
    </row>
    <row r="34" spans="2:6">
      <c r="B34" s="5" t="s">
        <v>106</v>
      </c>
      <c r="C34" s="5" t="s">
        <v>37</v>
      </c>
      <c r="D34" s="6" t="s">
        <v>44</v>
      </c>
      <c r="E34" s="6" t="s">
        <v>88</v>
      </c>
      <c r="F34" s="6" t="s">
        <v>470</v>
      </c>
    </row>
    <row r="35" spans="2:6">
      <c r="B35" s="5" t="s">
        <v>332</v>
      </c>
      <c r="C35" s="5" t="s">
        <v>37</v>
      </c>
      <c r="D35" s="6" t="s">
        <v>43</v>
      </c>
      <c r="E35" s="6" t="s">
        <v>29</v>
      </c>
      <c r="F35" s="6" t="s">
        <v>471</v>
      </c>
    </row>
    <row r="36" spans="2:6">
      <c r="B36" s="5" t="s">
        <v>467</v>
      </c>
      <c r="C36" s="5" t="s">
        <v>37</v>
      </c>
      <c r="D36" s="6" t="s">
        <v>350</v>
      </c>
      <c r="E36" s="6" t="s">
        <v>88</v>
      </c>
      <c r="F36" s="6" t="s">
        <v>472</v>
      </c>
    </row>
    <row r="37" spans="2:6">
      <c r="B37" s="5" t="s">
        <v>8</v>
      </c>
    </row>
    <row r="38" spans="2:6">
      <c r="B38" s="5" t="s">
        <v>8</v>
      </c>
    </row>
    <row r="39" spans="2:6">
      <c r="B39" s="5" t="s">
        <v>8</v>
      </c>
    </row>
    <row r="40" spans="2:6">
      <c r="B40" s="5" t="s">
        <v>8</v>
      </c>
    </row>
    <row r="41" spans="2:6">
      <c r="B41" s="5" t="s">
        <v>8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8:J8"/>
    <mergeCell ref="A12:J12"/>
    <mergeCell ref="A15:J15"/>
    <mergeCell ref="A21:J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1"/>
  <sheetViews>
    <sheetView tabSelected="1"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6" t="s">
        <v>522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11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80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490</v>
      </c>
      <c r="C6" s="12" t="s">
        <v>562</v>
      </c>
      <c r="D6" s="12" t="s">
        <v>491</v>
      </c>
      <c r="E6" s="12" t="s">
        <v>603</v>
      </c>
      <c r="F6" s="12" t="s">
        <v>94</v>
      </c>
      <c r="G6" s="22" t="s">
        <v>270</v>
      </c>
      <c r="H6" s="22" t="s">
        <v>492</v>
      </c>
      <c r="I6" s="22" t="s">
        <v>35</v>
      </c>
      <c r="J6" s="13"/>
      <c r="K6" s="13" t="str">
        <f>"295,0"</f>
        <v>295,0</v>
      </c>
      <c r="L6" s="13" t="str">
        <f>"188,3280"</f>
        <v>188,3280</v>
      </c>
      <c r="M6" s="12" t="s">
        <v>595</v>
      </c>
    </row>
    <row r="7" spans="1:13">
      <c r="B7" s="5" t="s">
        <v>8</v>
      </c>
    </row>
    <row r="8" spans="1:13" ht="16">
      <c r="A8" s="34" t="s">
        <v>12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9" t="s">
        <v>46</v>
      </c>
      <c r="B9" s="8" t="s">
        <v>13</v>
      </c>
      <c r="C9" s="8" t="s">
        <v>14</v>
      </c>
      <c r="D9" s="8" t="s">
        <v>15</v>
      </c>
      <c r="E9" s="8" t="s">
        <v>600</v>
      </c>
      <c r="F9" s="8" t="s">
        <v>563</v>
      </c>
      <c r="G9" s="18" t="s">
        <v>21</v>
      </c>
      <c r="H9" s="18" t="s">
        <v>22</v>
      </c>
      <c r="I9" s="19" t="s">
        <v>23</v>
      </c>
      <c r="J9" s="9"/>
      <c r="K9" s="9" t="str">
        <f>"250,0"</f>
        <v>250,0</v>
      </c>
      <c r="L9" s="9" t="str">
        <f>"156,5000"</f>
        <v>156,5000</v>
      </c>
      <c r="M9" s="8" t="s">
        <v>572</v>
      </c>
    </row>
    <row r="10" spans="1:13">
      <c r="A10" s="11" t="s">
        <v>46</v>
      </c>
      <c r="B10" s="10" t="s">
        <v>13</v>
      </c>
      <c r="C10" s="10" t="s">
        <v>540</v>
      </c>
      <c r="D10" s="10" t="s">
        <v>15</v>
      </c>
      <c r="E10" s="10" t="s">
        <v>602</v>
      </c>
      <c r="F10" s="10" t="s">
        <v>563</v>
      </c>
      <c r="G10" s="20" t="s">
        <v>21</v>
      </c>
      <c r="H10" s="20" t="s">
        <v>22</v>
      </c>
      <c r="I10" s="21" t="s">
        <v>23</v>
      </c>
      <c r="J10" s="11"/>
      <c r="K10" s="11" t="str">
        <f>"250,0"</f>
        <v>250,0</v>
      </c>
      <c r="L10" s="11" t="str">
        <f>"177,1580"</f>
        <v>177,1580</v>
      </c>
      <c r="M10" s="10" t="s">
        <v>572</v>
      </c>
    </row>
    <row r="11" spans="1:13">
      <c r="B11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42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20.6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0.832031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.33203125" style="5" bestFit="1" customWidth="1"/>
    <col min="22" max="16384" width="9.1640625" style="3"/>
  </cols>
  <sheetData>
    <row r="1" spans="1:21" s="2" customFormat="1" ht="29" customHeight="1">
      <c r="A1" s="46" t="s">
        <v>531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11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47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9" t="s">
        <v>46</v>
      </c>
      <c r="B6" s="8" t="s">
        <v>48</v>
      </c>
      <c r="C6" s="8" t="s">
        <v>49</v>
      </c>
      <c r="D6" s="8" t="s">
        <v>50</v>
      </c>
      <c r="E6" s="8" t="s">
        <v>601</v>
      </c>
      <c r="F6" s="8" t="s">
        <v>563</v>
      </c>
      <c r="G6" s="18" t="s">
        <v>51</v>
      </c>
      <c r="H6" s="18" t="s">
        <v>52</v>
      </c>
      <c r="I6" s="18" t="s">
        <v>53</v>
      </c>
      <c r="J6" s="9"/>
      <c r="K6" s="18" t="s">
        <v>54</v>
      </c>
      <c r="L6" s="18" t="s">
        <v>55</v>
      </c>
      <c r="M6" s="18" t="s">
        <v>56</v>
      </c>
      <c r="N6" s="9"/>
      <c r="O6" s="18" t="s">
        <v>57</v>
      </c>
      <c r="P6" s="18" t="s">
        <v>58</v>
      </c>
      <c r="Q6" s="18" t="s">
        <v>59</v>
      </c>
      <c r="R6" s="9"/>
      <c r="S6" s="9" t="str">
        <f>"285,0"</f>
        <v>285,0</v>
      </c>
      <c r="T6" s="9" t="str">
        <f>"263,1405"</f>
        <v>263,1405</v>
      </c>
      <c r="U6" s="8" t="s">
        <v>564</v>
      </c>
    </row>
    <row r="7" spans="1:21">
      <c r="A7" s="11" t="s">
        <v>46</v>
      </c>
      <c r="B7" s="10" t="s">
        <v>48</v>
      </c>
      <c r="C7" s="10" t="s">
        <v>60</v>
      </c>
      <c r="D7" s="10" t="s">
        <v>50</v>
      </c>
      <c r="E7" s="10" t="s">
        <v>600</v>
      </c>
      <c r="F7" s="10" t="s">
        <v>563</v>
      </c>
      <c r="G7" s="20" t="s">
        <v>51</v>
      </c>
      <c r="H7" s="20" t="s">
        <v>52</v>
      </c>
      <c r="I7" s="20" t="s">
        <v>53</v>
      </c>
      <c r="J7" s="11"/>
      <c r="K7" s="20" t="s">
        <v>54</v>
      </c>
      <c r="L7" s="20" t="s">
        <v>55</v>
      </c>
      <c r="M7" s="20" t="s">
        <v>56</v>
      </c>
      <c r="N7" s="11"/>
      <c r="O7" s="20" t="s">
        <v>57</v>
      </c>
      <c r="P7" s="20" t="s">
        <v>58</v>
      </c>
      <c r="Q7" s="20" t="s">
        <v>59</v>
      </c>
      <c r="R7" s="11"/>
      <c r="S7" s="11" t="str">
        <f>"285,0"</f>
        <v>285,0</v>
      </c>
      <c r="T7" s="11" t="str">
        <f>"263,1405"</f>
        <v>263,1405</v>
      </c>
      <c r="U7" s="10" t="s">
        <v>564</v>
      </c>
    </row>
    <row r="8" spans="1:21">
      <c r="B8" s="5" t="s">
        <v>8</v>
      </c>
    </row>
    <row r="9" spans="1:21" ht="16">
      <c r="A9" s="34" t="s">
        <v>61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1">
      <c r="A10" s="13" t="s">
        <v>46</v>
      </c>
      <c r="B10" s="12" t="s">
        <v>62</v>
      </c>
      <c r="C10" s="12" t="s">
        <v>63</v>
      </c>
      <c r="D10" s="12" t="s">
        <v>64</v>
      </c>
      <c r="E10" s="12" t="s">
        <v>601</v>
      </c>
      <c r="F10" s="12" t="s">
        <v>563</v>
      </c>
      <c r="G10" s="22" t="s">
        <v>65</v>
      </c>
      <c r="H10" s="22" t="s">
        <v>57</v>
      </c>
      <c r="I10" s="22" t="s">
        <v>66</v>
      </c>
      <c r="J10" s="13"/>
      <c r="K10" s="22" t="s">
        <v>67</v>
      </c>
      <c r="L10" s="22" t="s">
        <v>68</v>
      </c>
      <c r="M10" s="22" t="s">
        <v>69</v>
      </c>
      <c r="N10" s="13"/>
      <c r="O10" s="23" t="s">
        <v>65</v>
      </c>
      <c r="P10" s="22" t="s">
        <v>65</v>
      </c>
      <c r="Q10" s="22" t="s">
        <v>70</v>
      </c>
      <c r="R10" s="13"/>
      <c r="S10" s="13" t="str">
        <f>"322,5"</f>
        <v>322,5</v>
      </c>
      <c r="T10" s="13" t="str">
        <f>"246,9060"</f>
        <v>246,9060</v>
      </c>
      <c r="U10" s="12"/>
    </row>
    <row r="11" spans="1:21">
      <c r="B11" s="5" t="s">
        <v>8</v>
      </c>
    </row>
    <row r="12" spans="1:21" ht="16">
      <c r="A12" s="34" t="s">
        <v>71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21">
      <c r="A13" s="13" t="s">
        <v>46</v>
      </c>
      <c r="B13" s="12" t="s">
        <v>72</v>
      </c>
      <c r="C13" s="12" t="s">
        <v>73</v>
      </c>
      <c r="D13" s="12" t="s">
        <v>74</v>
      </c>
      <c r="E13" s="12" t="s">
        <v>601</v>
      </c>
      <c r="F13" s="12" t="s">
        <v>563</v>
      </c>
      <c r="G13" s="22" t="s">
        <v>66</v>
      </c>
      <c r="H13" s="22" t="s">
        <v>75</v>
      </c>
      <c r="I13" s="22" t="s">
        <v>76</v>
      </c>
      <c r="J13" s="13"/>
      <c r="K13" s="22" t="s">
        <v>52</v>
      </c>
      <c r="L13" s="22" t="s">
        <v>67</v>
      </c>
      <c r="M13" s="23" t="s">
        <v>68</v>
      </c>
      <c r="N13" s="13"/>
      <c r="O13" s="22" t="s">
        <v>77</v>
      </c>
      <c r="P13" s="22" t="s">
        <v>78</v>
      </c>
      <c r="Q13" s="22" t="s">
        <v>79</v>
      </c>
      <c r="R13" s="13"/>
      <c r="S13" s="13" t="str">
        <f>"397,5"</f>
        <v>397,5</v>
      </c>
      <c r="T13" s="13" t="str">
        <f>"272,4465"</f>
        <v>272,4465</v>
      </c>
      <c r="U13" s="12" t="s">
        <v>564</v>
      </c>
    </row>
    <row r="14" spans="1:21">
      <c r="B14" s="5" t="s">
        <v>8</v>
      </c>
    </row>
    <row r="15" spans="1:21" ht="16">
      <c r="A15" s="34" t="s">
        <v>80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21">
      <c r="A16" s="13" t="s">
        <v>46</v>
      </c>
      <c r="B16" s="12" t="s">
        <v>81</v>
      </c>
      <c r="C16" s="12" t="s">
        <v>82</v>
      </c>
      <c r="D16" s="12" t="s">
        <v>83</v>
      </c>
      <c r="E16" s="12" t="s">
        <v>600</v>
      </c>
      <c r="F16" s="12" t="s">
        <v>84</v>
      </c>
      <c r="G16" s="22" t="s">
        <v>85</v>
      </c>
      <c r="H16" s="23" t="s">
        <v>33</v>
      </c>
      <c r="I16" s="22" t="s">
        <v>33</v>
      </c>
      <c r="J16" s="13"/>
      <c r="K16" s="22" t="s">
        <v>19</v>
      </c>
      <c r="L16" s="22" t="s">
        <v>86</v>
      </c>
      <c r="M16" s="22" t="s">
        <v>87</v>
      </c>
      <c r="N16" s="13"/>
      <c r="O16" s="22" t="s">
        <v>88</v>
      </c>
      <c r="P16" s="22" t="s">
        <v>89</v>
      </c>
      <c r="Q16" s="23" t="s">
        <v>90</v>
      </c>
      <c r="R16" s="13"/>
      <c r="S16" s="13" t="str">
        <f>"670,0"</f>
        <v>670,0</v>
      </c>
      <c r="T16" s="13" t="str">
        <f>"431,4800"</f>
        <v>431,4800</v>
      </c>
      <c r="U16" s="12"/>
    </row>
    <row r="17" spans="1:21">
      <c r="B17" s="5" t="s">
        <v>8</v>
      </c>
    </row>
    <row r="18" spans="1:21" ht="16">
      <c r="A18" s="34" t="s">
        <v>12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21">
      <c r="A19" s="9" t="s">
        <v>46</v>
      </c>
      <c r="B19" s="8" t="s">
        <v>91</v>
      </c>
      <c r="C19" s="8" t="s">
        <v>92</v>
      </c>
      <c r="D19" s="8" t="s">
        <v>93</v>
      </c>
      <c r="E19" s="8" t="s">
        <v>600</v>
      </c>
      <c r="F19" s="8" t="s">
        <v>94</v>
      </c>
      <c r="G19" s="18" t="s">
        <v>95</v>
      </c>
      <c r="H19" s="18" t="s">
        <v>21</v>
      </c>
      <c r="I19" s="18" t="s">
        <v>96</v>
      </c>
      <c r="J19" s="9"/>
      <c r="K19" s="18" t="s">
        <v>97</v>
      </c>
      <c r="L19" s="18" t="s">
        <v>77</v>
      </c>
      <c r="M19" s="18" t="s">
        <v>78</v>
      </c>
      <c r="N19" s="9"/>
      <c r="O19" s="18" t="s">
        <v>96</v>
      </c>
      <c r="P19" s="18" t="s">
        <v>17</v>
      </c>
      <c r="Q19" s="18" t="s">
        <v>88</v>
      </c>
      <c r="R19" s="9"/>
      <c r="S19" s="9" t="str">
        <f>"670,0"</f>
        <v>670,0</v>
      </c>
      <c r="T19" s="9" t="str">
        <f>"414,4620"</f>
        <v>414,4620</v>
      </c>
      <c r="U19" s="8"/>
    </row>
    <row r="20" spans="1:21">
      <c r="A20" s="25" t="s">
        <v>134</v>
      </c>
      <c r="B20" s="24" t="s">
        <v>98</v>
      </c>
      <c r="C20" s="24" t="s">
        <v>99</v>
      </c>
      <c r="D20" s="24" t="s">
        <v>100</v>
      </c>
      <c r="E20" s="24" t="s">
        <v>600</v>
      </c>
      <c r="F20" s="24" t="s">
        <v>84</v>
      </c>
      <c r="G20" s="26" t="s">
        <v>101</v>
      </c>
      <c r="H20" s="26" t="s">
        <v>102</v>
      </c>
      <c r="I20" s="27" t="s">
        <v>103</v>
      </c>
      <c r="J20" s="25"/>
      <c r="K20" s="26" t="s">
        <v>87</v>
      </c>
      <c r="L20" s="27" t="s">
        <v>31</v>
      </c>
      <c r="M20" s="25"/>
      <c r="N20" s="25"/>
      <c r="O20" s="26" t="s">
        <v>104</v>
      </c>
      <c r="P20" s="26" t="s">
        <v>105</v>
      </c>
      <c r="Q20" s="27" t="s">
        <v>88</v>
      </c>
      <c r="R20" s="25"/>
      <c r="S20" s="25" t="str">
        <f>"660,0"</f>
        <v>660,0</v>
      </c>
      <c r="T20" s="25" t="str">
        <f>"411,5100"</f>
        <v>411,5100</v>
      </c>
      <c r="U20" s="24" t="s">
        <v>571</v>
      </c>
    </row>
    <row r="21" spans="1:21">
      <c r="A21" s="25" t="s">
        <v>135</v>
      </c>
      <c r="B21" s="24" t="s">
        <v>106</v>
      </c>
      <c r="C21" s="24" t="s">
        <v>107</v>
      </c>
      <c r="D21" s="24" t="s">
        <v>108</v>
      </c>
      <c r="E21" s="24" t="s">
        <v>600</v>
      </c>
      <c r="F21" s="24" t="s">
        <v>109</v>
      </c>
      <c r="G21" s="26" t="s">
        <v>33</v>
      </c>
      <c r="H21" s="26" t="s">
        <v>110</v>
      </c>
      <c r="I21" s="27" t="s">
        <v>111</v>
      </c>
      <c r="J21" s="25"/>
      <c r="K21" s="26" t="s">
        <v>77</v>
      </c>
      <c r="L21" s="26" t="s">
        <v>112</v>
      </c>
      <c r="M21" s="27" t="s">
        <v>78</v>
      </c>
      <c r="N21" s="25"/>
      <c r="O21" s="26" t="s">
        <v>22</v>
      </c>
      <c r="P21" s="26" t="s">
        <v>23</v>
      </c>
      <c r="Q21" s="26" t="s">
        <v>88</v>
      </c>
      <c r="R21" s="25"/>
      <c r="S21" s="25" t="str">
        <f>"642,5"</f>
        <v>642,5</v>
      </c>
      <c r="T21" s="25" t="str">
        <f>"392,1178"</f>
        <v>392,1178</v>
      </c>
      <c r="U21" s="24"/>
    </row>
    <row r="22" spans="1:21">
      <c r="A22" s="25" t="s">
        <v>136</v>
      </c>
      <c r="B22" s="24" t="s">
        <v>113</v>
      </c>
      <c r="C22" s="24" t="s">
        <v>114</v>
      </c>
      <c r="D22" s="24" t="s">
        <v>115</v>
      </c>
      <c r="E22" s="24" t="s">
        <v>600</v>
      </c>
      <c r="F22" s="24" t="s">
        <v>94</v>
      </c>
      <c r="G22" s="26" t="s">
        <v>102</v>
      </c>
      <c r="H22" s="27" t="s">
        <v>103</v>
      </c>
      <c r="I22" s="27" t="s">
        <v>103</v>
      </c>
      <c r="J22" s="25"/>
      <c r="K22" s="26" t="s">
        <v>77</v>
      </c>
      <c r="L22" s="26" t="s">
        <v>116</v>
      </c>
      <c r="M22" s="27" t="s">
        <v>117</v>
      </c>
      <c r="N22" s="25"/>
      <c r="O22" s="26" t="s">
        <v>21</v>
      </c>
      <c r="P22" s="26" t="s">
        <v>16</v>
      </c>
      <c r="Q22" s="27" t="s">
        <v>118</v>
      </c>
      <c r="R22" s="25"/>
      <c r="S22" s="25" t="str">
        <f>"612,5"</f>
        <v>612,5</v>
      </c>
      <c r="T22" s="25" t="str">
        <f>"373,5025"</f>
        <v>373,5025</v>
      </c>
      <c r="U22" s="24"/>
    </row>
    <row r="23" spans="1:21">
      <c r="A23" s="25" t="s">
        <v>137</v>
      </c>
      <c r="B23" s="24" t="s">
        <v>13</v>
      </c>
      <c r="C23" s="24" t="s">
        <v>14</v>
      </c>
      <c r="D23" s="24" t="s">
        <v>15</v>
      </c>
      <c r="E23" s="24" t="s">
        <v>600</v>
      </c>
      <c r="F23" s="24" t="s">
        <v>563</v>
      </c>
      <c r="G23" s="26" t="s">
        <v>119</v>
      </c>
      <c r="H23" s="26" t="s">
        <v>101</v>
      </c>
      <c r="I23" s="26" t="s">
        <v>120</v>
      </c>
      <c r="J23" s="25"/>
      <c r="K23" s="26" t="s">
        <v>75</v>
      </c>
      <c r="L23" s="26" t="s">
        <v>121</v>
      </c>
      <c r="M23" s="25"/>
      <c r="N23" s="25"/>
      <c r="O23" s="26" t="s">
        <v>101</v>
      </c>
      <c r="P23" s="26" t="s">
        <v>21</v>
      </c>
      <c r="Q23" s="27" t="s">
        <v>96</v>
      </c>
      <c r="R23" s="25"/>
      <c r="S23" s="25" t="str">
        <f>"582,5"</f>
        <v>582,5</v>
      </c>
      <c r="T23" s="25" t="str">
        <f>"364,6450"</f>
        <v>364,6450</v>
      </c>
      <c r="U23" s="24" t="s">
        <v>572</v>
      </c>
    </row>
    <row r="24" spans="1:21">
      <c r="A24" s="25" t="s">
        <v>46</v>
      </c>
      <c r="B24" s="24" t="s">
        <v>98</v>
      </c>
      <c r="C24" s="24" t="s">
        <v>539</v>
      </c>
      <c r="D24" s="24" t="s">
        <v>100</v>
      </c>
      <c r="E24" s="24" t="s">
        <v>602</v>
      </c>
      <c r="F24" s="24" t="s">
        <v>84</v>
      </c>
      <c r="G24" s="26" t="s">
        <v>101</v>
      </c>
      <c r="H24" s="26" t="s">
        <v>102</v>
      </c>
      <c r="I24" s="27" t="s">
        <v>103</v>
      </c>
      <c r="J24" s="25"/>
      <c r="K24" s="26" t="s">
        <v>87</v>
      </c>
      <c r="L24" s="27" t="s">
        <v>31</v>
      </c>
      <c r="M24" s="25"/>
      <c r="N24" s="25"/>
      <c r="O24" s="26" t="s">
        <v>104</v>
      </c>
      <c r="P24" s="26" t="s">
        <v>105</v>
      </c>
      <c r="Q24" s="27" t="s">
        <v>88</v>
      </c>
      <c r="R24" s="25"/>
      <c r="S24" s="25" t="str">
        <f>"660,0"</f>
        <v>660,0</v>
      </c>
      <c r="T24" s="25" t="str">
        <f>"436,2006"</f>
        <v>436,2006</v>
      </c>
      <c r="U24" s="24" t="s">
        <v>571</v>
      </c>
    </row>
    <row r="25" spans="1:21">
      <c r="A25" s="11" t="s">
        <v>134</v>
      </c>
      <c r="B25" s="10" t="s">
        <v>13</v>
      </c>
      <c r="C25" s="10" t="s">
        <v>540</v>
      </c>
      <c r="D25" s="10" t="s">
        <v>15</v>
      </c>
      <c r="E25" s="10" t="s">
        <v>602</v>
      </c>
      <c r="F25" s="10" t="s">
        <v>563</v>
      </c>
      <c r="G25" s="20" t="s">
        <v>119</v>
      </c>
      <c r="H25" s="20" t="s">
        <v>101</v>
      </c>
      <c r="I25" s="20" t="s">
        <v>120</v>
      </c>
      <c r="J25" s="11"/>
      <c r="K25" s="20" t="s">
        <v>75</v>
      </c>
      <c r="L25" s="20" t="s">
        <v>121</v>
      </c>
      <c r="M25" s="11"/>
      <c r="N25" s="11"/>
      <c r="O25" s="20" t="s">
        <v>101</v>
      </c>
      <c r="P25" s="20" t="s">
        <v>21</v>
      </c>
      <c r="Q25" s="21" t="s">
        <v>96</v>
      </c>
      <c r="R25" s="11"/>
      <c r="S25" s="11" t="str">
        <f>"582,5"</f>
        <v>582,5</v>
      </c>
      <c r="T25" s="11" t="str">
        <f>"412,7781"</f>
        <v>412,7781</v>
      </c>
      <c r="U25" s="10" t="s">
        <v>572</v>
      </c>
    </row>
    <row r="26" spans="1:21">
      <c r="B26" s="5" t="s">
        <v>8</v>
      </c>
    </row>
    <row r="27" spans="1:21" ht="16">
      <c r="A27" s="34" t="s">
        <v>24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21">
      <c r="A28" s="13" t="s">
        <v>46</v>
      </c>
      <c r="B28" s="12" t="s">
        <v>122</v>
      </c>
      <c r="C28" s="12" t="s">
        <v>123</v>
      </c>
      <c r="D28" s="12" t="s">
        <v>124</v>
      </c>
      <c r="E28" s="12" t="s">
        <v>600</v>
      </c>
      <c r="F28" s="12" t="s">
        <v>94</v>
      </c>
      <c r="G28" s="22" t="s">
        <v>102</v>
      </c>
      <c r="H28" s="22" t="s">
        <v>16</v>
      </c>
      <c r="I28" s="23" t="s">
        <v>96</v>
      </c>
      <c r="J28" s="13"/>
      <c r="K28" s="22" t="s">
        <v>121</v>
      </c>
      <c r="L28" s="23" t="s">
        <v>116</v>
      </c>
      <c r="M28" s="23" t="s">
        <v>116</v>
      </c>
      <c r="N28" s="13"/>
      <c r="O28" s="23" t="s">
        <v>103</v>
      </c>
      <c r="P28" s="22" t="s">
        <v>103</v>
      </c>
      <c r="Q28" s="23" t="s">
        <v>104</v>
      </c>
      <c r="R28" s="13"/>
      <c r="S28" s="13" t="str">
        <f>"610,0"</f>
        <v>610,0</v>
      </c>
      <c r="T28" s="13" t="str">
        <f>"365,6340"</f>
        <v>365,6340</v>
      </c>
      <c r="U28" s="12" t="s">
        <v>573</v>
      </c>
    </row>
    <row r="29" spans="1:21">
      <c r="B29" s="5" t="s">
        <v>8</v>
      </c>
    </row>
    <row r="30" spans="1:21">
      <c r="B30" s="5" t="s">
        <v>8</v>
      </c>
    </row>
    <row r="31" spans="1:21">
      <c r="B31" s="5" t="s">
        <v>8</v>
      </c>
    </row>
    <row r="32" spans="1:21" ht="18">
      <c r="B32" s="7" t="s">
        <v>7</v>
      </c>
      <c r="C32" s="7"/>
    </row>
    <row r="33" spans="2:6" ht="16">
      <c r="B33" s="14" t="s">
        <v>36</v>
      </c>
      <c r="C33" s="14"/>
    </row>
    <row r="34" spans="2:6" ht="14">
      <c r="B34" s="15"/>
      <c r="C34" s="16" t="s">
        <v>37</v>
      </c>
    </row>
    <row r="35" spans="2:6" ht="14">
      <c r="B35" s="17" t="s">
        <v>38</v>
      </c>
      <c r="C35" s="17" t="s">
        <v>39</v>
      </c>
      <c r="D35" s="17" t="s">
        <v>523</v>
      </c>
      <c r="E35" s="17" t="s">
        <v>41</v>
      </c>
      <c r="F35" s="17" t="s">
        <v>42</v>
      </c>
    </row>
    <row r="36" spans="2:6">
      <c r="B36" s="5" t="s">
        <v>81</v>
      </c>
      <c r="C36" s="5" t="s">
        <v>37</v>
      </c>
      <c r="D36" s="6" t="s">
        <v>128</v>
      </c>
      <c r="E36" s="6" t="s">
        <v>129</v>
      </c>
      <c r="F36" s="6" t="s">
        <v>130</v>
      </c>
    </row>
    <row r="37" spans="2:6">
      <c r="B37" s="5" t="s">
        <v>91</v>
      </c>
      <c r="C37" s="5" t="s">
        <v>37</v>
      </c>
      <c r="D37" s="6" t="s">
        <v>44</v>
      </c>
      <c r="E37" s="6" t="s">
        <v>129</v>
      </c>
      <c r="F37" s="6" t="s">
        <v>131</v>
      </c>
    </row>
    <row r="38" spans="2:6">
      <c r="B38" s="5" t="s">
        <v>98</v>
      </c>
      <c r="C38" s="5" t="s">
        <v>37</v>
      </c>
      <c r="D38" s="6" t="s">
        <v>44</v>
      </c>
      <c r="E38" s="6" t="s">
        <v>132</v>
      </c>
      <c r="F38" s="6" t="s">
        <v>133</v>
      </c>
    </row>
    <row r="39" spans="2:6">
      <c r="B39" s="5" t="s">
        <v>8</v>
      </c>
    </row>
    <row r="40" spans="2:6">
      <c r="B40" s="5" t="s">
        <v>8</v>
      </c>
    </row>
    <row r="41" spans="2:6">
      <c r="B41" s="5" t="s">
        <v>8</v>
      </c>
    </row>
    <row r="42" spans="2:6">
      <c r="B42" s="5" t="s">
        <v>8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7:R27"/>
    <mergeCell ref="A5:R5"/>
    <mergeCell ref="A9:R9"/>
    <mergeCell ref="A12:R12"/>
    <mergeCell ref="A15:R15"/>
    <mergeCell ref="A18:R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1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2" style="5" bestFit="1" customWidth="1"/>
    <col min="3" max="3" width="25.1640625" style="5" bestFit="1" customWidth="1"/>
    <col min="4" max="4" width="14.83203125" style="5" bestFit="1" customWidth="1"/>
    <col min="5" max="5" width="13.83203125" style="5" customWidth="1"/>
    <col min="6" max="6" width="25.6640625" style="5" bestFit="1" customWidth="1"/>
    <col min="7" max="9" width="5.5" style="6" customWidth="1"/>
    <col min="10" max="10" width="4.5" style="6" customWidth="1"/>
    <col min="11" max="18" width="5.5" style="6" customWidth="1"/>
    <col min="19" max="19" width="7.6640625" style="6" bestFit="1" customWidth="1"/>
    <col min="20" max="20" width="6.5" style="6" bestFit="1" customWidth="1"/>
    <col min="21" max="21" width="21.6640625" style="5" bestFit="1" customWidth="1"/>
    <col min="22" max="16384" width="9.1640625" style="3"/>
  </cols>
  <sheetData>
    <row r="1" spans="1:21" s="2" customFormat="1" ht="29" customHeight="1">
      <c r="A1" s="46" t="s">
        <v>529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11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61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13" t="s">
        <v>276</v>
      </c>
      <c r="B6" s="12" t="s">
        <v>277</v>
      </c>
      <c r="C6" s="12" t="s">
        <v>278</v>
      </c>
      <c r="D6" s="12" t="s">
        <v>279</v>
      </c>
      <c r="E6" s="12" t="s">
        <v>600</v>
      </c>
      <c r="F6" s="12" t="s">
        <v>94</v>
      </c>
      <c r="G6" s="23" t="s">
        <v>78</v>
      </c>
      <c r="H6" s="23" t="s">
        <v>78</v>
      </c>
      <c r="I6" s="23" t="s">
        <v>78</v>
      </c>
      <c r="J6" s="13"/>
      <c r="K6" s="13"/>
      <c r="L6" s="13"/>
      <c r="M6" s="13"/>
      <c r="N6" s="13"/>
      <c r="O6" s="23"/>
      <c r="P6" s="13"/>
      <c r="Q6" s="13"/>
      <c r="R6" s="13"/>
      <c r="S6" s="32">
        <v>0</v>
      </c>
      <c r="T6" s="13" t="str">
        <f>"0,0000"</f>
        <v>0,0000</v>
      </c>
      <c r="U6" s="12" t="s">
        <v>574</v>
      </c>
    </row>
    <row r="7" spans="1:21">
      <c r="B7" s="5" t="s">
        <v>8</v>
      </c>
    </row>
    <row r="8" spans="1:21">
      <c r="B8" s="5" t="s">
        <v>8</v>
      </c>
    </row>
    <row r="9" spans="1:21">
      <c r="B9" s="5" t="s">
        <v>8</v>
      </c>
    </row>
    <row r="10" spans="1:21">
      <c r="B10" s="5" t="s">
        <v>8</v>
      </c>
    </row>
    <row r="11" spans="1:21">
      <c r="B11" s="5" t="s">
        <v>8</v>
      </c>
    </row>
    <row r="12" spans="1:21">
      <c r="B12" s="5" t="s">
        <v>8</v>
      </c>
    </row>
    <row r="13" spans="1:21">
      <c r="B13" s="5" t="s">
        <v>8</v>
      </c>
    </row>
    <row r="14" spans="1:21">
      <c r="B14" s="5" t="s">
        <v>8</v>
      </c>
    </row>
    <row r="15" spans="1:21">
      <c r="B15" s="5" t="s">
        <v>8</v>
      </c>
    </row>
    <row r="17" spans="3:4" ht="18">
      <c r="C17" s="7"/>
      <c r="D17" s="7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6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3.5" style="5" customWidth="1"/>
    <col min="22" max="16384" width="9.1640625" style="3"/>
  </cols>
  <sheetData>
    <row r="1" spans="1:21" s="2" customFormat="1" ht="29" customHeight="1">
      <c r="A1" s="46" t="s">
        <v>532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11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1"/>
      <c r="T4" s="41"/>
      <c r="U4" s="43"/>
    </row>
    <row r="5" spans="1:21" ht="16">
      <c r="A5" s="44" t="s">
        <v>12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9" t="s">
        <v>46</v>
      </c>
      <c r="B6" s="8" t="s">
        <v>13</v>
      </c>
      <c r="C6" s="8" t="s">
        <v>14</v>
      </c>
      <c r="D6" s="8" t="s">
        <v>15</v>
      </c>
      <c r="E6" s="8" t="s">
        <v>600</v>
      </c>
      <c r="F6" s="8" t="s">
        <v>563</v>
      </c>
      <c r="G6" s="18" t="s">
        <v>16</v>
      </c>
      <c r="H6" s="18" t="s">
        <v>17</v>
      </c>
      <c r="I6" s="18" t="s">
        <v>18</v>
      </c>
      <c r="J6" s="9"/>
      <c r="K6" s="18" t="s">
        <v>19</v>
      </c>
      <c r="L6" s="18" t="s">
        <v>20</v>
      </c>
      <c r="M6" s="9"/>
      <c r="N6" s="9"/>
      <c r="O6" s="18" t="s">
        <v>21</v>
      </c>
      <c r="P6" s="18" t="s">
        <v>22</v>
      </c>
      <c r="Q6" s="19" t="s">
        <v>23</v>
      </c>
      <c r="R6" s="9"/>
      <c r="S6" s="9" t="str">
        <f>"697,5"</f>
        <v>697,5</v>
      </c>
      <c r="T6" s="9" t="str">
        <f>"436,6350"</f>
        <v>436,6350</v>
      </c>
      <c r="U6" s="8" t="s">
        <v>572</v>
      </c>
    </row>
    <row r="7" spans="1:21">
      <c r="A7" s="11" t="s">
        <v>46</v>
      </c>
      <c r="B7" s="10" t="s">
        <v>13</v>
      </c>
      <c r="C7" s="10" t="s">
        <v>540</v>
      </c>
      <c r="D7" s="10" t="s">
        <v>15</v>
      </c>
      <c r="E7" s="10" t="s">
        <v>602</v>
      </c>
      <c r="F7" s="10" t="s">
        <v>563</v>
      </c>
      <c r="G7" s="20" t="s">
        <v>16</v>
      </c>
      <c r="H7" s="20" t="s">
        <v>17</v>
      </c>
      <c r="I7" s="20" t="s">
        <v>18</v>
      </c>
      <c r="J7" s="11"/>
      <c r="K7" s="20" t="s">
        <v>19</v>
      </c>
      <c r="L7" s="20" t="s">
        <v>20</v>
      </c>
      <c r="M7" s="11"/>
      <c r="N7" s="11"/>
      <c r="O7" s="20" t="s">
        <v>21</v>
      </c>
      <c r="P7" s="20" t="s">
        <v>22</v>
      </c>
      <c r="Q7" s="21" t="s">
        <v>23</v>
      </c>
      <c r="R7" s="11"/>
      <c r="S7" s="11" t="str">
        <f>"697,5"</f>
        <v>697,5</v>
      </c>
      <c r="T7" s="11" t="str">
        <f>"494,2708"</f>
        <v>494,2708</v>
      </c>
      <c r="U7" s="10" t="s">
        <v>572</v>
      </c>
    </row>
    <row r="8" spans="1:21">
      <c r="B8" s="5" t="s">
        <v>8</v>
      </c>
    </row>
    <row r="9" spans="1:21" ht="16">
      <c r="A9" s="34" t="s">
        <v>24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1">
      <c r="A10" s="13" t="s">
        <v>46</v>
      </c>
      <c r="B10" s="12" t="s">
        <v>25</v>
      </c>
      <c r="C10" s="12" t="s">
        <v>26</v>
      </c>
      <c r="D10" s="12" t="s">
        <v>27</v>
      </c>
      <c r="E10" s="12" t="s">
        <v>600</v>
      </c>
      <c r="F10" s="12" t="s">
        <v>28</v>
      </c>
      <c r="G10" s="22" t="s">
        <v>22</v>
      </c>
      <c r="H10" s="22" t="s">
        <v>29</v>
      </c>
      <c r="I10" s="22" t="s">
        <v>30</v>
      </c>
      <c r="J10" s="13"/>
      <c r="K10" s="22" t="s">
        <v>31</v>
      </c>
      <c r="L10" s="22" t="s">
        <v>32</v>
      </c>
      <c r="M10" s="23" t="s">
        <v>33</v>
      </c>
      <c r="N10" s="13"/>
      <c r="O10" s="22" t="s">
        <v>30</v>
      </c>
      <c r="P10" s="23" t="s">
        <v>34</v>
      </c>
      <c r="Q10" s="23" t="s">
        <v>35</v>
      </c>
      <c r="R10" s="13"/>
      <c r="S10" s="13" t="str">
        <f>"750,0"</f>
        <v>750,0</v>
      </c>
      <c r="T10" s="13" t="str">
        <f>"444,3000"</f>
        <v>444,3000</v>
      </c>
      <c r="U10" s="12" t="s">
        <v>575</v>
      </c>
    </row>
    <row r="11" spans="1:21">
      <c r="B11" s="5" t="s">
        <v>8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3.1640625" style="5" customWidth="1"/>
    <col min="18" max="16384" width="9.1640625" style="3"/>
  </cols>
  <sheetData>
    <row r="1" spans="1:17" s="2" customFormat="1" ht="29" customHeight="1">
      <c r="A1" s="46" t="s">
        <v>518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40" t="s">
        <v>11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1"/>
      <c r="P4" s="41"/>
      <c r="Q4" s="43"/>
    </row>
    <row r="5" spans="1:17" ht="16">
      <c r="A5" s="44" t="s">
        <v>178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13" t="s">
        <v>46</v>
      </c>
      <c r="B6" s="12" t="s">
        <v>181</v>
      </c>
      <c r="C6" s="12" t="s">
        <v>182</v>
      </c>
      <c r="D6" s="12" t="s">
        <v>183</v>
      </c>
      <c r="E6" s="12" t="s">
        <v>600</v>
      </c>
      <c r="F6" s="12" t="s">
        <v>109</v>
      </c>
      <c r="G6" s="22" t="s">
        <v>141</v>
      </c>
      <c r="H6" s="22" t="s">
        <v>54</v>
      </c>
      <c r="I6" s="23" t="s">
        <v>55</v>
      </c>
      <c r="J6" s="13"/>
      <c r="K6" s="22" t="s">
        <v>58</v>
      </c>
      <c r="L6" s="23" t="s">
        <v>250</v>
      </c>
      <c r="M6" s="23" t="s">
        <v>250</v>
      </c>
      <c r="N6" s="13"/>
      <c r="O6" s="13" t="str">
        <f>"180,0"</f>
        <v>180,0</v>
      </c>
      <c r="P6" s="13" t="str">
        <f>"201,7260"</f>
        <v>201,7260</v>
      </c>
      <c r="Q6" s="12" t="s">
        <v>184</v>
      </c>
    </row>
    <row r="7" spans="1:17">
      <c r="B7" s="5" t="s">
        <v>8</v>
      </c>
    </row>
    <row r="8" spans="1:17" ht="16">
      <c r="A8" s="34" t="s">
        <v>185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7">
      <c r="A9" s="13" t="s">
        <v>46</v>
      </c>
      <c r="B9" s="12" t="s">
        <v>493</v>
      </c>
      <c r="C9" s="12" t="s">
        <v>494</v>
      </c>
      <c r="D9" s="12" t="s">
        <v>495</v>
      </c>
      <c r="E9" s="12" t="s">
        <v>600</v>
      </c>
      <c r="F9" s="12" t="s">
        <v>94</v>
      </c>
      <c r="G9" s="22" t="s">
        <v>70</v>
      </c>
      <c r="H9" s="22" t="s">
        <v>174</v>
      </c>
      <c r="I9" s="22" t="s">
        <v>57</v>
      </c>
      <c r="J9" s="13"/>
      <c r="K9" s="22" t="s">
        <v>240</v>
      </c>
      <c r="L9" s="23" t="s">
        <v>331</v>
      </c>
      <c r="M9" s="22" t="s">
        <v>331</v>
      </c>
      <c r="N9" s="13"/>
      <c r="O9" s="13" t="str">
        <f>"307,5"</f>
        <v>307,5</v>
      </c>
      <c r="P9" s="13" t="str">
        <f>"237,3592"</f>
        <v>237,3592</v>
      </c>
      <c r="Q9" s="12"/>
    </row>
    <row r="10" spans="1:17">
      <c r="B10" s="5" t="s">
        <v>8</v>
      </c>
    </row>
    <row r="11" spans="1:17" ht="16">
      <c r="A11" s="34" t="s">
        <v>12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7">
      <c r="A12" s="13" t="s">
        <v>46</v>
      </c>
      <c r="B12" s="12" t="s">
        <v>253</v>
      </c>
      <c r="C12" s="12" t="s">
        <v>254</v>
      </c>
      <c r="D12" s="12" t="s">
        <v>255</v>
      </c>
      <c r="E12" s="12" t="s">
        <v>600</v>
      </c>
      <c r="F12" s="12" t="s">
        <v>94</v>
      </c>
      <c r="G12" s="22" t="s">
        <v>97</v>
      </c>
      <c r="H12" s="22" t="s">
        <v>77</v>
      </c>
      <c r="I12" s="23" t="s">
        <v>112</v>
      </c>
      <c r="J12" s="13"/>
      <c r="K12" s="22" t="s">
        <v>22</v>
      </c>
      <c r="L12" s="22" t="s">
        <v>105</v>
      </c>
      <c r="M12" s="23" t="s">
        <v>29</v>
      </c>
      <c r="N12" s="13"/>
      <c r="O12" s="13" t="str">
        <f>"410,0"</f>
        <v>410,0</v>
      </c>
      <c r="P12" s="13" t="str">
        <f>"252,3550"</f>
        <v>252,3550</v>
      </c>
      <c r="Q12" s="12" t="s">
        <v>570</v>
      </c>
    </row>
    <row r="13" spans="1:17">
      <c r="B13" s="5" t="s">
        <v>8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7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5.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31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6" t="s">
        <v>519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185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186</v>
      </c>
      <c r="C6" s="12" t="s">
        <v>187</v>
      </c>
      <c r="D6" s="12" t="s">
        <v>188</v>
      </c>
      <c r="E6" s="12" t="s">
        <v>601</v>
      </c>
      <c r="F6" s="12" t="s">
        <v>563</v>
      </c>
      <c r="G6" s="22" t="s">
        <v>51</v>
      </c>
      <c r="H6" s="22" t="s">
        <v>52</v>
      </c>
      <c r="I6" s="23" t="s">
        <v>165</v>
      </c>
      <c r="J6" s="13"/>
      <c r="K6" s="13" t="str">
        <f>"80,0"</f>
        <v>80,0</v>
      </c>
      <c r="L6" s="13" t="str">
        <f>"83,8320"</f>
        <v>83,8320</v>
      </c>
      <c r="M6" s="12" t="s">
        <v>564</v>
      </c>
    </row>
    <row r="7" spans="1:13">
      <c r="B7" s="5" t="s">
        <v>8</v>
      </c>
    </row>
    <row r="8" spans="1:13" ht="16">
      <c r="A8" s="34" t="s">
        <v>47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3" t="s">
        <v>46</v>
      </c>
      <c r="B9" s="12" t="s">
        <v>48</v>
      </c>
      <c r="C9" s="12" t="s">
        <v>49</v>
      </c>
      <c r="D9" s="12" t="s">
        <v>50</v>
      </c>
      <c r="E9" s="12" t="s">
        <v>601</v>
      </c>
      <c r="F9" s="12" t="s">
        <v>563</v>
      </c>
      <c r="G9" s="22" t="s">
        <v>51</v>
      </c>
      <c r="H9" s="22" t="s">
        <v>52</v>
      </c>
      <c r="I9" s="22" t="s">
        <v>53</v>
      </c>
      <c r="J9" s="13"/>
      <c r="K9" s="13" t="str">
        <f>"87,5"</f>
        <v>87,5</v>
      </c>
      <c r="L9" s="13" t="str">
        <f>"80,7888"</f>
        <v>80,7888</v>
      </c>
      <c r="M9" s="12" t="s">
        <v>564</v>
      </c>
    </row>
    <row r="10" spans="1:13">
      <c r="B10" s="5" t="s">
        <v>8</v>
      </c>
    </row>
    <row r="11" spans="1:13" ht="16">
      <c r="A11" s="34" t="s">
        <v>71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13" t="s">
        <v>46</v>
      </c>
      <c r="B12" s="12" t="s">
        <v>72</v>
      </c>
      <c r="C12" s="12" t="s">
        <v>73</v>
      </c>
      <c r="D12" s="12" t="s">
        <v>74</v>
      </c>
      <c r="E12" s="12" t="s">
        <v>601</v>
      </c>
      <c r="F12" s="12" t="s">
        <v>563</v>
      </c>
      <c r="G12" s="22" t="s">
        <v>66</v>
      </c>
      <c r="H12" s="22" t="s">
        <v>75</v>
      </c>
      <c r="I12" s="22" t="s">
        <v>76</v>
      </c>
      <c r="J12" s="13"/>
      <c r="K12" s="13" t="str">
        <f>"137,5"</f>
        <v>137,5</v>
      </c>
      <c r="L12" s="13" t="str">
        <f>"94,2425"</f>
        <v>94,2425</v>
      </c>
      <c r="M12" s="12" t="s">
        <v>564</v>
      </c>
    </row>
    <row r="13" spans="1:13">
      <c r="B13" s="5" t="s">
        <v>8</v>
      </c>
    </row>
    <row r="14" spans="1:13" ht="16">
      <c r="A14" s="34" t="s">
        <v>24</v>
      </c>
      <c r="B14" s="34"/>
      <c r="C14" s="35"/>
      <c r="D14" s="35"/>
      <c r="E14" s="35"/>
      <c r="F14" s="35"/>
      <c r="G14" s="35"/>
      <c r="H14" s="35"/>
      <c r="I14" s="35"/>
      <c r="J14" s="35"/>
    </row>
    <row r="15" spans="1:13">
      <c r="A15" s="13" t="s">
        <v>46</v>
      </c>
      <c r="B15" s="12" t="s">
        <v>259</v>
      </c>
      <c r="C15" s="12" t="s">
        <v>260</v>
      </c>
      <c r="D15" s="12" t="s">
        <v>261</v>
      </c>
      <c r="E15" s="12" t="s">
        <v>600</v>
      </c>
      <c r="F15" s="12" t="s">
        <v>94</v>
      </c>
      <c r="G15" s="23" t="s">
        <v>79</v>
      </c>
      <c r="H15" s="22" t="s">
        <v>87</v>
      </c>
      <c r="I15" s="23" t="s">
        <v>32</v>
      </c>
      <c r="J15" s="13"/>
      <c r="K15" s="13" t="str">
        <f>"180,0"</f>
        <v>180,0</v>
      </c>
      <c r="L15" s="13" t="str">
        <f>"107,0280"</f>
        <v>107,0280</v>
      </c>
      <c r="M15" s="12"/>
    </row>
    <row r="16" spans="1:13">
      <c r="B16" s="5" t="s">
        <v>8</v>
      </c>
    </row>
    <row r="17" spans="2:2">
      <c r="B17" s="5" t="s">
        <v>8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6" t="s">
        <v>520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61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62</v>
      </c>
      <c r="C6" s="12" t="s">
        <v>63</v>
      </c>
      <c r="D6" s="12" t="s">
        <v>64</v>
      </c>
      <c r="E6" s="12" t="s">
        <v>601</v>
      </c>
      <c r="F6" s="12" t="s">
        <v>563</v>
      </c>
      <c r="G6" s="22" t="s">
        <v>65</v>
      </c>
      <c r="H6" s="22" t="s">
        <v>57</v>
      </c>
      <c r="I6" s="22" t="s">
        <v>66</v>
      </c>
      <c r="J6" s="13"/>
      <c r="K6" s="13" t="str">
        <f>"120,0"</f>
        <v>120,0</v>
      </c>
      <c r="L6" s="13" t="str">
        <f>"91,8720"</f>
        <v>91,8720</v>
      </c>
      <c r="M6" s="12"/>
    </row>
    <row r="7" spans="1:13">
      <c r="B7" s="5" t="s">
        <v>8</v>
      </c>
    </row>
    <row r="8" spans="1:13" ht="16">
      <c r="A8" s="34" t="s">
        <v>12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9" t="s">
        <v>46</v>
      </c>
      <c r="B9" s="8" t="s">
        <v>13</v>
      </c>
      <c r="C9" s="8" t="s">
        <v>14</v>
      </c>
      <c r="D9" s="8" t="s">
        <v>15</v>
      </c>
      <c r="E9" s="8" t="s">
        <v>600</v>
      </c>
      <c r="F9" s="8" t="s">
        <v>563</v>
      </c>
      <c r="G9" s="18" t="s">
        <v>119</v>
      </c>
      <c r="H9" s="18" t="s">
        <v>101</v>
      </c>
      <c r="I9" s="18" t="s">
        <v>120</v>
      </c>
      <c r="J9" s="9"/>
      <c r="K9" s="9" t="str">
        <f>"212,5"</f>
        <v>212,5</v>
      </c>
      <c r="L9" s="9" t="str">
        <f>"133,0250"</f>
        <v>133,0250</v>
      </c>
      <c r="M9" s="8" t="s">
        <v>572</v>
      </c>
    </row>
    <row r="10" spans="1:13">
      <c r="A10" s="11" t="s">
        <v>46</v>
      </c>
      <c r="B10" s="10" t="s">
        <v>13</v>
      </c>
      <c r="C10" s="10" t="s">
        <v>540</v>
      </c>
      <c r="D10" s="10" t="s">
        <v>15</v>
      </c>
      <c r="E10" s="10" t="s">
        <v>602</v>
      </c>
      <c r="F10" s="10" t="s">
        <v>563</v>
      </c>
      <c r="G10" s="20" t="s">
        <v>119</v>
      </c>
      <c r="H10" s="20" t="s">
        <v>101</v>
      </c>
      <c r="I10" s="20" t="s">
        <v>120</v>
      </c>
      <c r="J10" s="11"/>
      <c r="K10" s="11" t="str">
        <f>"212,5"</f>
        <v>212,5</v>
      </c>
      <c r="L10" s="11" t="str">
        <f>"150,5843"</f>
        <v>150,5843</v>
      </c>
      <c r="M10" s="10" t="s">
        <v>572</v>
      </c>
    </row>
    <row r="11" spans="1:13">
      <c r="B11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46" t="s">
        <v>521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9</v>
      </c>
      <c r="H3" s="40"/>
      <c r="I3" s="40"/>
      <c r="J3" s="40"/>
      <c r="K3" s="40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41"/>
      <c r="L4" s="41"/>
      <c r="M4" s="43"/>
    </row>
    <row r="5" spans="1:13" ht="16">
      <c r="A5" s="44" t="s">
        <v>12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9" t="s">
        <v>46</v>
      </c>
      <c r="B6" s="8" t="s">
        <v>13</v>
      </c>
      <c r="C6" s="8" t="s">
        <v>14</v>
      </c>
      <c r="D6" s="8" t="s">
        <v>15</v>
      </c>
      <c r="E6" s="8" t="s">
        <v>600</v>
      </c>
      <c r="F6" s="8" t="s">
        <v>563</v>
      </c>
      <c r="G6" s="18" t="s">
        <v>16</v>
      </c>
      <c r="H6" s="18" t="s">
        <v>17</v>
      </c>
      <c r="I6" s="18" t="s">
        <v>18</v>
      </c>
      <c r="J6" s="9"/>
      <c r="K6" s="9" t="str">
        <f>"272,5"</f>
        <v>272,5</v>
      </c>
      <c r="L6" s="9" t="str">
        <f>"170,5850"</f>
        <v>170,5850</v>
      </c>
      <c r="M6" s="8" t="s">
        <v>572</v>
      </c>
    </row>
    <row r="7" spans="1:13">
      <c r="A7" s="11" t="s">
        <v>46</v>
      </c>
      <c r="B7" s="10" t="s">
        <v>13</v>
      </c>
      <c r="C7" s="10" t="s">
        <v>540</v>
      </c>
      <c r="D7" s="10" t="s">
        <v>15</v>
      </c>
      <c r="E7" s="10" t="s">
        <v>602</v>
      </c>
      <c r="F7" s="10" t="s">
        <v>563</v>
      </c>
      <c r="G7" s="20" t="s">
        <v>16</v>
      </c>
      <c r="H7" s="20" t="s">
        <v>17</v>
      </c>
      <c r="I7" s="20" t="s">
        <v>18</v>
      </c>
      <c r="J7" s="11"/>
      <c r="K7" s="11" t="str">
        <f>"272,5"</f>
        <v>272,5</v>
      </c>
      <c r="L7" s="11" t="str">
        <f>"193,1022"</f>
        <v>193,1022</v>
      </c>
      <c r="M7" s="10" t="s">
        <v>572</v>
      </c>
    </row>
    <row r="8" spans="1:13">
      <c r="B8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95"/>
  <sheetViews>
    <sheetView workbookViewId="0">
      <selection activeCell="E73" sqref="E73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3320312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46" t="s">
        <v>527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596</v>
      </c>
      <c r="B3" s="36" t="s">
        <v>0</v>
      </c>
      <c r="C3" s="56" t="s">
        <v>597</v>
      </c>
      <c r="D3" s="56" t="s">
        <v>6</v>
      </c>
      <c r="E3" s="40" t="s">
        <v>598</v>
      </c>
      <c r="F3" s="40" t="s">
        <v>5</v>
      </c>
      <c r="G3" s="40" t="s">
        <v>10</v>
      </c>
      <c r="H3" s="40"/>
      <c r="I3" s="40"/>
      <c r="J3" s="40"/>
      <c r="K3" s="38" t="s">
        <v>351</v>
      </c>
      <c r="L3" s="40" t="s">
        <v>3</v>
      </c>
      <c r="M3" s="42" t="s">
        <v>2</v>
      </c>
    </row>
    <row r="4" spans="1:13" s="1" customFormat="1" ht="21" customHeight="1" thickBot="1">
      <c r="A4" s="55"/>
      <c r="B4" s="37"/>
      <c r="C4" s="41"/>
      <c r="D4" s="41"/>
      <c r="E4" s="41"/>
      <c r="F4" s="41"/>
      <c r="G4" s="4">
        <v>1</v>
      </c>
      <c r="H4" s="4">
        <v>2</v>
      </c>
      <c r="I4" s="4">
        <v>3</v>
      </c>
      <c r="J4" s="4" t="s">
        <v>4</v>
      </c>
      <c r="K4" s="39"/>
      <c r="L4" s="41"/>
      <c r="M4" s="43"/>
    </row>
    <row r="5" spans="1:13" ht="16">
      <c r="A5" s="44" t="s">
        <v>157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13" t="s">
        <v>46</v>
      </c>
      <c r="B6" s="12" t="s">
        <v>352</v>
      </c>
      <c r="C6" s="12" t="s">
        <v>353</v>
      </c>
      <c r="D6" s="12" t="s">
        <v>354</v>
      </c>
      <c r="E6" s="12" t="s">
        <v>600</v>
      </c>
      <c r="F6" s="12" t="s">
        <v>341</v>
      </c>
      <c r="G6" s="22" t="s">
        <v>168</v>
      </c>
      <c r="H6" s="22" t="s">
        <v>173</v>
      </c>
      <c r="I6" s="13"/>
      <c r="J6" s="13"/>
      <c r="K6" s="32" t="str">
        <f>"57,5"</f>
        <v>57,5</v>
      </c>
      <c r="L6" s="13" t="str">
        <f>"73,1975"</f>
        <v>73,1975</v>
      </c>
      <c r="M6" s="12" t="s">
        <v>577</v>
      </c>
    </row>
    <row r="7" spans="1:13">
      <c r="B7" s="5" t="s">
        <v>8</v>
      </c>
    </row>
    <row r="8" spans="1:13" ht="16">
      <c r="A8" s="34" t="s">
        <v>178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3" t="s">
        <v>46</v>
      </c>
      <c r="B9" s="12" t="s">
        <v>355</v>
      </c>
      <c r="C9" s="12" t="s">
        <v>356</v>
      </c>
      <c r="D9" s="12" t="s">
        <v>357</v>
      </c>
      <c r="E9" s="12" t="s">
        <v>600</v>
      </c>
      <c r="F9" s="12" t="s">
        <v>358</v>
      </c>
      <c r="G9" s="22" t="s">
        <v>68</v>
      </c>
      <c r="H9" s="23" t="s">
        <v>359</v>
      </c>
      <c r="I9" s="23" t="s">
        <v>359</v>
      </c>
      <c r="J9" s="13"/>
      <c r="K9" s="32" t="str">
        <f>"95,0"</f>
        <v>95,0</v>
      </c>
      <c r="L9" s="13" t="str">
        <f>"108,1670"</f>
        <v>108,1670</v>
      </c>
      <c r="M9" s="12" t="s">
        <v>578</v>
      </c>
    </row>
    <row r="10" spans="1:13">
      <c r="B10" s="5" t="s">
        <v>8</v>
      </c>
    </row>
    <row r="11" spans="1:13" ht="16">
      <c r="A11" s="34" t="s">
        <v>185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13" t="s">
        <v>46</v>
      </c>
      <c r="B12" s="12" t="s">
        <v>186</v>
      </c>
      <c r="C12" s="12" t="s">
        <v>187</v>
      </c>
      <c r="D12" s="12" t="s">
        <v>188</v>
      </c>
      <c r="E12" s="12" t="s">
        <v>601</v>
      </c>
      <c r="F12" s="12" t="s">
        <v>563</v>
      </c>
      <c r="G12" s="22" t="s">
        <v>189</v>
      </c>
      <c r="H12" s="22" t="s">
        <v>168</v>
      </c>
      <c r="I12" s="23" t="s">
        <v>54</v>
      </c>
      <c r="J12" s="13"/>
      <c r="K12" s="32" t="str">
        <f>"52,5"</f>
        <v>52,5</v>
      </c>
      <c r="L12" s="13" t="str">
        <f>"55,0147"</f>
        <v>55,0147</v>
      </c>
      <c r="M12" s="12" t="s">
        <v>564</v>
      </c>
    </row>
    <row r="13" spans="1:13">
      <c r="B13" s="5" t="s">
        <v>8</v>
      </c>
    </row>
    <row r="14" spans="1:13" ht="16">
      <c r="A14" s="34" t="s">
        <v>47</v>
      </c>
      <c r="B14" s="34"/>
      <c r="C14" s="35"/>
      <c r="D14" s="35"/>
      <c r="E14" s="35"/>
      <c r="F14" s="35"/>
      <c r="G14" s="35"/>
      <c r="H14" s="35"/>
      <c r="I14" s="35"/>
      <c r="J14" s="35"/>
    </row>
    <row r="15" spans="1:13">
      <c r="A15" s="13" t="s">
        <v>46</v>
      </c>
      <c r="B15" s="12" t="s">
        <v>48</v>
      </c>
      <c r="C15" s="12" t="s">
        <v>49</v>
      </c>
      <c r="D15" s="12" t="s">
        <v>50</v>
      </c>
      <c r="E15" s="12" t="s">
        <v>601</v>
      </c>
      <c r="F15" s="12" t="s">
        <v>563</v>
      </c>
      <c r="G15" s="22" t="s">
        <v>54</v>
      </c>
      <c r="H15" s="22" t="s">
        <v>55</v>
      </c>
      <c r="I15" s="22" t="s">
        <v>56</v>
      </c>
      <c r="J15" s="13"/>
      <c r="K15" s="32" t="str">
        <f>"62,5"</f>
        <v>62,5</v>
      </c>
      <c r="L15" s="13" t="str">
        <f>"57,7063"</f>
        <v>57,7063</v>
      </c>
      <c r="M15" s="12" t="s">
        <v>564</v>
      </c>
    </row>
    <row r="16" spans="1:13">
      <c r="B16" s="5" t="s">
        <v>8</v>
      </c>
    </row>
    <row r="17" spans="1:13" ht="16">
      <c r="A17" s="34" t="s">
        <v>178</v>
      </c>
      <c r="B17" s="34"/>
      <c r="C17" s="35"/>
      <c r="D17" s="35"/>
      <c r="E17" s="35"/>
      <c r="F17" s="35"/>
      <c r="G17" s="35"/>
      <c r="H17" s="35"/>
      <c r="I17" s="35"/>
      <c r="J17" s="35"/>
    </row>
    <row r="18" spans="1:13">
      <c r="A18" s="9" t="s">
        <v>46</v>
      </c>
      <c r="B18" s="8" t="s">
        <v>360</v>
      </c>
      <c r="C18" s="8" t="s">
        <v>361</v>
      </c>
      <c r="D18" s="8" t="s">
        <v>183</v>
      </c>
      <c r="E18" s="8" t="s">
        <v>601</v>
      </c>
      <c r="F18" s="8" t="s">
        <v>94</v>
      </c>
      <c r="G18" s="18" t="s">
        <v>362</v>
      </c>
      <c r="H18" s="18" t="s">
        <v>146</v>
      </c>
      <c r="I18" s="19" t="s">
        <v>217</v>
      </c>
      <c r="J18" s="9"/>
      <c r="K18" s="30" t="str">
        <f>"75,0"</f>
        <v>75,0</v>
      </c>
      <c r="L18" s="9" t="str">
        <f>"64,3575"</f>
        <v>64,3575</v>
      </c>
      <c r="M18" s="8" t="s">
        <v>566</v>
      </c>
    </row>
    <row r="19" spans="1:13">
      <c r="A19" s="11" t="s">
        <v>46</v>
      </c>
      <c r="B19" s="10" t="s">
        <v>363</v>
      </c>
      <c r="C19" s="10" t="s">
        <v>364</v>
      </c>
      <c r="D19" s="10" t="s">
        <v>365</v>
      </c>
      <c r="E19" s="10" t="s">
        <v>600</v>
      </c>
      <c r="F19" s="10" t="s">
        <v>94</v>
      </c>
      <c r="G19" s="20" t="s">
        <v>217</v>
      </c>
      <c r="H19" s="20" t="s">
        <v>52</v>
      </c>
      <c r="I19" s="20" t="s">
        <v>147</v>
      </c>
      <c r="J19" s="11"/>
      <c r="K19" s="31" t="str">
        <f>"82,5"</f>
        <v>82,5</v>
      </c>
      <c r="L19" s="11" t="str">
        <f>"72,6165"</f>
        <v>72,6165</v>
      </c>
      <c r="M19" s="10"/>
    </row>
    <row r="20" spans="1:13">
      <c r="B20" s="5" t="s">
        <v>8</v>
      </c>
    </row>
    <row r="21" spans="1:13" ht="16">
      <c r="A21" s="34" t="s">
        <v>185</v>
      </c>
      <c r="B21" s="34"/>
      <c r="C21" s="35"/>
      <c r="D21" s="35"/>
      <c r="E21" s="35"/>
      <c r="F21" s="35"/>
      <c r="G21" s="35"/>
      <c r="H21" s="35"/>
      <c r="I21" s="35"/>
      <c r="J21" s="35"/>
    </row>
    <row r="22" spans="1:13">
      <c r="A22" s="9" t="s">
        <v>46</v>
      </c>
      <c r="B22" s="8" t="s">
        <v>208</v>
      </c>
      <c r="C22" s="8" t="s">
        <v>209</v>
      </c>
      <c r="D22" s="8" t="s">
        <v>210</v>
      </c>
      <c r="E22" s="8" t="s">
        <v>600</v>
      </c>
      <c r="F22" s="8" t="s">
        <v>84</v>
      </c>
      <c r="G22" s="18" t="s">
        <v>76</v>
      </c>
      <c r="H22" s="18" t="s">
        <v>121</v>
      </c>
      <c r="I22" s="9"/>
      <c r="J22" s="9"/>
      <c r="K22" s="30" t="str">
        <f>"145,0"</f>
        <v>145,0</v>
      </c>
      <c r="L22" s="9" t="str">
        <f>"111,7950"</f>
        <v>111,7950</v>
      </c>
      <c r="M22" s="8" t="s">
        <v>569</v>
      </c>
    </row>
    <row r="23" spans="1:13">
      <c r="A23" s="25" t="s">
        <v>276</v>
      </c>
      <c r="B23" s="24" t="s">
        <v>366</v>
      </c>
      <c r="C23" s="24" t="s">
        <v>367</v>
      </c>
      <c r="D23" s="24" t="s">
        <v>368</v>
      </c>
      <c r="E23" s="24" t="s">
        <v>600</v>
      </c>
      <c r="F23" s="24" t="s">
        <v>94</v>
      </c>
      <c r="G23" s="27" t="s">
        <v>58</v>
      </c>
      <c r="H23" s="27" t="s">
        <v>58</v>
      </c>
      <c r="I23" s="27" t="s">
        <v>58</v>
      </c>
      <c r="J23" s="25"/>
      <c r="K23" s="33">
        <v>0</v>
      </c>
      <c r="L23" s="25" t="str">
        <f>"0,0000"</f>
        <v>0,0000</v>
      </c>
      <c r="M23" s="24"/>
    </row>
    <row r="24" spans="1:13">
      <c r="A24" s="11" t="s">
        <v>46</v>
      </c>
      <c r="B24" s="10" t="s">
        <v>208</v>
      </c>
      <c r="C24" s="10" t="s">
        <v>536</v>
      </c>
      <c r="D24" s="10" t="s">
        <v>210</v>
      </c>
      <c r="E24" s="10" t="s">
        <v>602</v>
      </c>
      <c r="F24" s="10" t="s">
        <v>84</v>
      </c>
      <c r="G24" s="20" t="s">
        <v>76</v>
      </c>
      <c r="H24" s="20" t="s">
        <v>121</v>
      </c>
      <c r="I24" s="11"/>
      <c r="J24" s="11"/>
      <c r="K24" s="31" t="str">
        <f>"145,0"</f>
        <v>145,0</v>
      </c>
      <c r="L24" s="11" t="str">
        <f>"126,5519"</f>
        <v>126,5519</v>
      </c>
      <c r="M24" s="10" t="s">
        <v>569</v>
      </c>
    </row>
    <row r="25" spans="1:13">
      <c r="B25" s="5" t="s">
        <v>8</v>
      </c>
    </row>
    <row r="26" spans="1:13" ht="16">
      <c r="A26" s="34" t="s">
        <v>61</v>
      </c>
      <c r="B26" s="34"/>
      <c r="C26" s="35"/>
      <c r="D26" s="35"/>
      <c r="E26" s="35"/>
      <c r="F26" s="35"/>
      <c r="G26" s="35"/>
      <c r="H26" s="35"/>
      <c r="I26" s="35"/>
      <c r="J26" s="35"/>
    </row>
    <row r="27" spans="1:13">
      <c r="A27" s="9" t="s">
        <v>46</v>
      </c>
      <c r="B27" s="8" t="s">
        <v>369</v>
      </c>
      <c r="C27" s="8" t="s">
        <v>370</v>
      </c>
      <c r="D27" s="8" t="s">
        <v>371</v>
      </c>
      <c r="E27" s="8" t="s">
        <v>600</v>
      </c>
      <c r="F27" s="8" t="s">
        <v>109</v>
      </c>
      <c r="G27" s="18" t="s">
        <v>97</v>
      </c>
      <c r="H27" s="18" t="s">
        <v>204</v>
      </c>
      <c r="I27" s="19" t="s">
        <v>112</v>
      </c>
      <c r="J27" s="9"/>
      <c r="K27" s="30" t="str">
        <f>"147,5"</f>
        <v>147,5</v>
      </c>
      <c r="L27" s="9" t="str">
        <f>"106,2000"</f>
        <v>106,2000</v>
      </c>
      <c r="M27" s="8"/>
    </row>
    <row r="28" spans="1:13">
      <c r="A28" s="25" t="s">
        <v>134</v>
      </c>
      <c r="B28" s="24" t="s">
        <v>372</v>
      </c>
      <c r="C28" s="24" t="s">
        <v>373</v>
      </c>
      <c r="D28" s="24" t="s">
        <v>374</v>
      </c>
      <c r="E28" s="24" t="s">
        <v>600</v>
      </c>
      <c r="F28" s="24" t="s">
        <v>94</v>
      </c>
      <c r="G28" s="26" t="s">
        <v>97</v>
      </c>
      <c r="H28" s="26" t="s">
        <v>121</v>
      </c>
      <c r="I28" s="27" t="s">
        <v>112</v>
      </c>
      <c r="J28" s="25"/>
      <c r="K28" s="33" t="str">
        <f>"145,0"</f>
        <v>145,0</v>
      </c>
      <c r="L28" s="25" t="str">
        <f>"104,2985"</f>
        <v>104,2985</v>
      </c>
      <c r="M28" s="24"/>
    </row>
    <row r="29" spans="1:13">
      <c r="A29" s="25" t="s">
        <v>135</v>
      </c>
      <c r="B29" s="24" t="s">
        <v>235</v>
      </c>
      <c r="C29" s="24" t="s">
        <v>236</v>
      </c>
      <c r="D29" s="24" t="s">
        <v>234</v>
      </c>
      <c r="E29" s="24" t="s">
        <v>600</v>
      </c>
      <c r="F29" s="24" t="s">
        <v>94</v>
      </c>
      <c r="G29" s="26" t="s">
        <v>59</v>
      </c>
      <c r="H29" s="27" t="s">
        <v>97</v>
      </c>
      <c r="I29" s="27" t="s">
        <v>97</v>
      </c>
      <c r="J29" s="25"/>
      <c r="K29" s="33" t="str">
        <f>"135,0"</f>
        <v>135,0</v>
      </c>
      <c r="L29" s="25" t="str">
        <f>"96,2010"</f>
        <v>96,2010</v>
      </c>
      <c r="M29" s="24"/>
    </row>
    <row r="30" spans="1:13">
      <c r="A30" s="25" t="s">
        <v>136</v>
      </c>
      <c r="B30" s="24" t="s">
        <v>375</v>
      </c>
      <c r="C30" s="24" t="s">
        <v>376</v>
      </c>
      <c r="D30" s="24" t="s">
        <v>377</v>
      </c>
      <c r="E30" s="24" t="s">
        <v>600</v>
      </c>
      <c r="F30" s="24" t="s">
        <v>378</v>
      </c>
      <c r="G30" s="26" t="s">
        <v>66</v>
      </c>
      <c r="H30" s="26" t="s">
        <v>58</v>
      </c>
      <c r="I30" s="27" t="s">
        <v>75</v>
      </c>
      <c r="J30" s="25"/>
      <c r="K30" s="33" t="str">
        <f>"125,0"</f>
        <v>125,0</v>
      </c>
      <c r="L30" s="25" t="str">
        <f>"89,1500"</f>
        <v>89,1500</v>
      </c>
      <c r="M30" s="24"/>
    </row>
    <row r="31" spans="1:13">
      <c r="A31" s="25" t="s">
        <v>137</v>
      </c>
      <c r="B31" s="24" t="s">
        <v>379</v>
      </c>
      <c r="C31" s="24" t="s">
        <v>380</v>
      </c>
      <c r="D31" s="24" t="s">
        <v>284</v>
      </c>
      <c r="E31" s="24" t="s">
        <v>600</v>
      </c>
      <c r="F31" s="24" t="s">
        <v>378</v>
      </c>
      <c r="G31" s="27" t="s">
        <v>66</v>
      </c>
      <c r="H31" s="26" t="s">
        <v>66</v>
      </c>
      <c r="I31" s="27" t="s">
        <v>58</v>
      </c>
      <c r="J31" s="25"/>
      <c r="K31" s="33" t="str">
        <f>"120,0"</f>
        <v>120,0</v>
      </c>
      <c r="L31" s="25" t="str">
        <f>"85,9080"</f>
        <v>85,9080</v>
      </c>
      <c r="M31" s="24"/>
    </row>
    <row r="32" spans="1:13">
      <c r="A32" s="25" t="s">
        <v>46</v>
      </c>
      <c r="B32" s="24" t="s">
        <v>372</v>
      </c>
      <c r="C32" s="24" t="s">
        <v>542</v>
      </c>
      <c r="D32" s="24" t="s">
        <v>374</v>
      </c>
      <c r="E32" s="24" t="s">
        <v>603</v>
      </c>
      <c r="F32" s="24" t="s">
        <v>94</v>
      </c>
      <c r="G32" s="26" t="s">
        <v>97</v>
      </c>
      <c r="H32" s="26" t="s">
        <v>121</v>
      </c>
      <c r="I32" s="27" t="s">
        <v>112</v>
      </c>
      <c r="J32" s="25"/>
      <c r="K32" s="33" t="str">
        <f>"145,0"</f>
        <v>145,0</v>
      </c>
      <c r="L32" s="25" t="str">
        <f>"104,8200"</f>
        <v>104,8200</v>
      </c>
      <c r="M32" s="24"/>
    </row>
    <row r="33" spans="1:13">
      <c r="A33" s="11" t="s">
        <v>134</v>
      </c>
      <c r="B33" s="10" t="s">
        <v>381</v>
      </c>
      <c r="C33" s="10" t="s">
        <v>543</v>
      </c>
      <c r="D33" s="10" t="s">
        <v>382</v>
      </c>
      <c r="E33" s="10" t="s">
        <v>603</v>
      </c>
      <c r="F33" s="10" t="s">
        <v>341</v>
      </c>
      <c r="G33" s="20" t="s">
        <v>70</v>
      </c>
      <c r="H33" s="20" t="s">
        <v>383</v>
      </c>
      <c r="I33" s="20" t="s">
        <v>174</v>
      </c>
      <c r="J33" s="11"/>
      <c r="K33" s="31" t="str">
        <f>"110,0"</f>
        <v>110,0</v>
      </c>
      <c r="L33" s="11" t="str">
        <f>"82,9260"</f>
        <v>82,9260</v>
      </c>
      <c r="M33" s="10" t="s">
        <v>577</v>
      </c>
    </row>
    <row r="34" spans="1:13">
      <c r="B34" s="5" t="s">
        <v>8</v>
      </c>
    </row>
    <row r="35" spans="1:13" ht="16">
      <c r="A35" s="34" t="s">
        <v>71</v>
      </c>
      <c r="B35" s="34"/>
      <c r="C35" s="35"/>
      <c r="D35" s="35"/>
      <c r="E35" s="35"/>
      <c r="F35" s="35"/>
      <c r="G35" s="35"/>
      <c r="H35" s="35"/>
      <c r="I35" s="35"/>
      <c r="J35" s="35"/>
    </row>
    <row r="36" spans="1:13">
      <c r="A36" s="9" t="s">
        <v>46</v>
      </c>
      <c r="B36" s="8" t="s">
        <v>384</v>
      </c>
      <c r="C36" s="8" t="s">
        <v>385</v>
      </c>
      <c r="D36" s="8" t="s">
        <v>386</v>
      </c>
      <c r="E36" s="8" t="s">
        <v>601</v>
      </c>
      <c r="F36" s="8" t="s">
        <v>94</v>
      </c>
      <c r="G36" s="19" t="s">
        <v>359</v>
      </c>
      <c r="H36" s="18" t="s">
        <v>383</v>
      </c>
      <c r="I36" s="19" t="s">
        <v>387</v>
      </c>
      <c r="J36" s="9"/>
      <c r="K36" s="30" t="str">
        <f>"107,5"</f>
        <v>107,5</v>
      </c>
      <c r="L36" s="9" t="str">
        <f>"74,0998"</f>
        <v>74,0998</v>
      </c>
      <c r="M36" s="8" t="s">
        <v>579</v>
      </c>
    </row>
    <row r="37" spans="1:13">
      <c r="A37" s="25" t="s">
        <v>134</v>
      </c>
      <c r="B37" s="24" t="s">
        <v>72</v>
      </c>
      <c r="C37" s="24" t="s">
        <v>73</v>
      </c>
      <c r="D37" s="24" t="s">
        <v>74</v>
      </c>
      <c r="E37" s="24" t="s">
        <v>601</v>
      </c>
      <c r="F37" s="24" t="s">
        <v>563</v>
      </c>
      <c r="G37" s="26" t="s">
        <v>52</v>
      </c>
      <c r="H37" s="26" t="s">
        <v>67</v>
      </c>
      <c r="I37" s="27" t="s">
        <v>68</v>
      </c>
      <c r="J37" s="25"/>
      <c r="K37" s="33" t="str">
        <f>"90,0"</f>
        <v>90,0</v>
      </c>
      <c r="L37" s="25" t="str">
        <f>"61,6860"</f>
        <v>61,6860</v>
      </c>
      <c r="M37" s="24" t="s">
        <v>564</v>
      </c>
    </row>
    <row r="38" spans="1:13">
      <c r="A38" s="25" t="s">
        <v>46</v>
      </c>
      <c r="B38" s="24" t="s">
        <v>388</v>
      </c>
      <c r="C38" s="24" t="s">
        <v>389</v>
      </c>
      <c r="D38" s="24" t="s">
        <v>291</v>
      </c>
      <c r="E38" s="24" t="s">
        <v>600</v>
      </c>
      <c r="F38" s="24" t="s">
        <v>94</v>
      </c>
      <c r="G38" s="26" t="s">
        <v>19</v>
      </c>
      <c r="H38" s="26" t="s">
        <v>79</v>
      </c>
      <c r="I38" s="26" t="s">
        <v>86</v>
      </c>
      <c r="J38" s="25"/>
      <c r="K38" s="33" t="str">
        <f>"172,5"</f>
        <v>172,5</v>
      </c>
      <c r="L38" s="25" t="str">
        <f>"116,0753"</f>
        <v>116,0753</v>
      </c>
      <c r="M38" s="24"/>
    </row>
    <row r="39" spans="1:13">
      <c r="A39" s="25" t="s">
        <v>134</v>
      </c>
      <c r="B39" s="24" t="s">
        <v>390</v>
      </c>
      <c r="C39" s="24" t="s">
        <v>391</v>
      </c>
      <c r="D39" s="24" t="s">
        <v>392</v>
      </c>
      <c r="E39" s="24" t="s">
        <v>600</v>
      </c>
      <c r="F39" s="24" t="s">
        <v>94</v>
      </c>
      <c r="G39" s="26" t="s">
        <v>59</v>
      </c>
      <c r="H39" s="27" t="s">
        <v>121</v>
      </c>
      <c r="I39" s="26" t="s">
        <v>204</v>
      </c>
      <c r="J39" s="25"/>
      <c r="K39" s="33" t="str">
        <f>"147,5"</f>
        <v>147,5</v>
      </c>
      <c r="L39" s="25" t="str">
        <f>"104,1497"</f>
        <v>104,1497</v>
      </c>
      <c r="M39" s="24"/>
    </row>
    <row r="40" spans="1:13">
      <c r="A40" s="25" t="s">
        <v>135</v>
      </c>
      <c r="B40" s="24" t="s">
        <v>393</v>
      </c>
      <c r="C40" s="24" t="s">
        <v>394</v>
      </c>
      <c r="D40" s="24" t="s">
        <v>74</v>
      </c>
      <c r="E40" s="24" t="s">
        <v>600</v>
      </c>
      <c r="F40" s="24" t="s">
        <v>94</v>
      </c>
      <c r="G40" s="26" t="s">
        <v>59</v>
      </c>
      <c r="H40" s="26" t="s">
        <v>97</v>
      </c>
      <c r="I40" s="26" t="s">
        <v>121</v>
      </c>
      <c r="J40" s="25"/>
      <c r="K40" s="33" t="str">
        <f>"145,0"</f>
        <v>145,0</v>
      </c>
      <c r="L40" s="25" t="str">
        <f>"99,3830"</f>
        <v>99,3830</v>
      </c>
      <c r="M40" s="24"/>
    </row>
    <row r="41" spans="1:13">
      <c r="A41" s="25" t="s">
        <v>136</v>
      </c>
      <c r="B41" s="24" t="s">
        <v>289</v>
      </c>
      <c r="C41" s="24" t="s">
        <v>290</v>
      </c>
      <c r="D41" s="24" t="s">
        <v>291</v>
      </c>
      <c r="E41" s="24" t="s">
        <v>600</v>
      </c>
      <c r="F41" s="24" t="s">
        <v>94</v>
      </c>
      <c r="G41" s="26" t="s">
        <v>97</v>
      </c>
      <c r="H41" s="26" t="s">
        <v>121</v>
      </c>
      <c r="I41" s="27" t="s">
        <v>77</v>
      </c>
      <c r="J41" s="25"/>
      <c r="K41" s="33" t="str">
        <f>"145,0"</f>
        <v>145,0</v>
      </c>
      <c r="L41" s="25" t="str">
        <f>"97,5705"</f>
        <v>97,5705</v>
      </c>
      <c r="M41" s="24"/>
    </row>
    <row r="42" spans="1:13">
      <c r="A42" s="25" t="s">
        <v>137</v>
      </c>
      <c r="B42" s="24" t="s">
        <v>395</v>
      </c>
      <c r="C42" s="24" t="s">
        <v>396</v>
      </c>
      <c r="D42" s="24" t="s">
        <v>397</v>
      </c>
      <c r="E42" s="24" t="s">
        <v>600</v>
      </c>
      <c r="F42" s="24" t="s">
        <v>94</v>
      </c>
      <c r="G42" s="26" t="s">
        <v>121</v>
      </c>
      <c r="H42" s="27" t="s">
        <v>78</v>
      </c>
      <c r="I42" s="27" t="s">
        <v>78</v>
      </c>
      <c r="J42" s="25"/>
      <c r="K42" s="33" t="str">
        <f>"145,0"</f>
        <v>145,0</v>
      </c>
      <c r="L42" s="25" t="str">
        <f>"97,2080"</f>
        <v>97,2080</v>
      </c>
      <c r="M42" s="24"/>
    </row>
    <row r="43" spans="1:13">
      <c r="A43" s="25" t="s">
        <v>453</v>
      </c>
      <c r="B43" s="24" t="s">
        <v>398</v>
      </c>
      <c r="C43" s="24" t="s">
        <v>399</v>
      </c>
      <c r="D43" s="24" t="s">
        <v>400</v>
      </c>
      <c r="E43" s="24" t="s">
        <v>600</v>
      </c>
      <c r="F43" s="24" t="s">
        <v>222</v>
      </c>
      <c r="G43" s="26" t="s">
        <v>197</v>
      </c>
      <c r="H43" s="26" t="s">
        <v>218</v>
      </c>
      <c r="I43" s="27" t="s">
        <v>75</v>
      </c>
      <c r="J43" s="25"/>
      <c r="K43" s="33" t="str">
        <f>"127,5"</f>
        <v>127,5</v>
      </c>
      <c r="L43" s="25" t="str">
        <f>"85,9223"</f>
        <v>85,9223</v>
      </c>
      <c r="M43" s="24" t="s">
        <v>224</v>
      </c>
    </row>
    <row r="44" spans="1:13">
      <c r="A44" s="25" t="s">
        <v>454</v>
      </c>
      <c r="B44" s="24" t="s">
        <v>237</v>
      </c>
      <c r="C44" s="24" t="s">
        <v>238</v>
      </c>
      <c r="D44" s="24" t="s">
        <v>239</v>
      </c>
      <c r="E44" s="24" t="s">
        <v>600</v>
      </c>
      <c r="F44" s="24" t="s">
        <v>94</v>
      </c>
      <c r="G44" s="26" t="s">
        <v>223</v>
      </c>
      <c r="H44" s="26" t="s">
        <v>58</v>
      </c>
      <c r="I44" s="27" t="s">
        <v>75</v>
      </c>
      <c r="J44" s="25"/>
      <c r="K44" s="33" t="str">
        <f>"125,0"</f>
        <v>125,0</v>
      </c>
      <c r="L44" s="25" t="str">
        <f>"84,4250"</f>
        <v>84,4250</v>
      </c>
      <c r="M44" s="24"/>
    </row>
    <row r="45" spans="1:13">
      <c r="A45" s="25" t="s">
        <v>455</v>
      </c>
      <c r="B45" s="24" t="s">
        <v>401</v>
      </c>
      <c r="C45" s="24" t="s">
        <v>402</v>
      </c>
      <c r="D45" s="24" t="s">
        <v>403</v>
      </c>
      <c r="E45" s="24" t="s">
        <v>600</v>
      </c>
      <c r="F45" s="24" t="s">
        <v>94</v>
      </c>
      <c r="G45" s="26" t="s">
        <v>70</v>
      </c>
      <c r="H45" s="26" t="s">
        <v>174</v>
      </c>
      <c r="I45" s="27" t="s">
        <v>57</v>
      </c>
      <c r="J45" s="25"/>
      <c r="K45" s="33" t="str">
        <f>"110,0"</f>
        <v>110,0</v>
      </c>
      <c r="L45" s="25" t="str">
        <f>"73,6890"</f>
        <v>73,6890</v>
      </c>
      <c r="M45" s="24" t="s">
        <v>580</v>
      </c>
    </row>
    <row r="46" spans="1:13">
      <c r="A46" s="11" t="s">
        <v>46</v>
      </c>
      <c r="B46" s="10" t="s">
        <v>404</v>
      </c>
      <c r="C46" s="10" t="s">
        <v>544</v>
      </c>
      <c r="D46" s="10" t="s">
        <v>405</v>
      </c>
      <c r="E46" s="10" t="s">
        <v>603</v>
      </c>
      <c r="F46" s="10" t="s">
        <v>94</v>
      </c>
      <c r="G46" s="20" t="s">
        <v>68</v>
      </c>
      <c r="H46" s="21" t="s">
        <v>65</v>
      </c>
      <c r="I46" s="20" t="s">
        <v>65</v>
      </c>
      <c r="J46" s="11"/>
      <c r="K46" s="31" t="str">
        <f>"100,0"</f>
        <v>100,0</v>
      </c>
      <c r="L46" s="11" t="str">
        <f>"70,5640"</f>
        <v>70,5640</v>
      </c>
      <c r="M46" s="10"/>
    </row>
    <row r="47" spans="1:13">
      <c r="B47" s="5" t="s">
        <v>8</v>
      </c>
    </row>
    <row r="48" spans="1:13" ht="16">
      <c r="A48" s="34" t="s">
        <v>80</v>
      </c>
      <c r="B48" s="34"/>
      <c r="C48" s="35"/>
      <c r="D48" s="35"/>
      <c r="E48" s="35"/>
      <c r="F48" s="35"/>
      <c r="G48" s="35"/>
      <c r="H48" s="35"/>
      <c r="I48" s="35"/>
      <c r="J48" s="35"/>
    </row>
    <row r="49" spans="1:13">
      <c r="A49" s="9" t="s">
        <v>46</v>
      </c>
      <c r="B49" s="8" t="s">
        <v>406</v>
      </c>
      <c r="C49" s="8" t="s">
        <v>407</v>
      </c>
      <c r="D49" s="8" t="s">
        <v>408</v>
      </c>
      <c r="E49" s="8" t="s">
        <v>601</v>
      </c>
      <c r="F49" s="8" t="s">
        <v>94</v>
      </c>
      <c r="G49" s="18" t="s">
        <v>174</v>
      </c>
      <c r="H49" s="18" t="s">
        <v>66</v>
      </c>
      <c r="I49" s="19" t="s">
        <v>58</v>
      </c>
      <c r="J49" s="9"/>
      <c r="K49" s="30" t="str">
        <f>"120,0"</f>
        <v>120,0</v>
      </c>
      <c r="L49" s="9" t="str">
        <f>"78,1800"</f>
        <v>78,1800</v>
      </c>
      <c r="M49" s="8"/>
    </row>
    <row r="50" spans="1:13">
      <c r="A50" s="25" t="s">
        <v>46</v>
      </c>
      <c r="B50" s="24" t="s">
        <v>409</v>
      </c>
      <c r="C50" s="24" t="s">
        <v>410</v>
      </c>
      <c r="D50" s="24" t="s">
        <v>302</v>
      </c>
      <c r="E50" s="24" t="s">
        <v>600</v>
      </c>
      <c r="F50" s="24" t="s">
        <v>576</v>
      </c>
      <c r="G50" s="26" t="s">
        <v>32</v>
      </c>
      <c r="H50" s="26" t="s">
        <v>411</v>
      </c>
      <c r="I50" s="27" t="s">
        <v>345</v>
      </c>
      <c r="J50" s="25"/>
      <c r="K50" s="33" t="str">
        <f>"206,0"</f>
        <v>206,0</v>
      </c>
      <c r="L50" s="25" t="str">
        <f>"132,1078"</f>
        <v>132,1078</v>
      </c>
      <c r="M50" s="24" t="s">
        <v>412</v>
      </c>
    </row>
    <row r="51" spans="1:13">
      <c r="A51" s="25" t="s">
        <v>134</v>
      </c>
      <c r="B51" s="24" t="s">
        <v>413</v>
      </c>
      <c r="C51" s="24" t="s">
        <v>414</v>
      </c>
      <c r="D51" s="24" t="s">
        <v>408</v>
      </c>
      <c r="E51" s="24" t="s">
        <v>600</v>
      </c>
      <c r="F51" s="24" t="s">
        <v>94</v>
      </c>
      <c r="G51" s="26" t="s">
        <v>59</v>
      </c>
      <c r="H51" s="27" t="s">
        <v>97</v>
      </c>
      <c r="I51" s="27" t="s">
        <v>97</v>
      </c>
      <c r="J51" s="25"/>
      <c r="K51" s="33" t="str">
        <f>"135,0"</f>
        <v>135,0</v>
      </c>
      <c r="L51" s="25" t="str">
        <f>"87,9525"</f>
        <v>87,9525</v>
      </c>
      <c r="M51" s="24"/>
    </row>
    <row r="52" spans="1:13">
      <c r="A52" s="25" t="s">
        <v>135</v>
      </c>
      <c r="B52" s="24" t="s">
        <v>415</v>
      </c>
      <c r="C52" s="24" t="s">
        <v>416</v>
      </c>
      <c r="D52" s="24" t="s">
        <v>417</v>
      </c>
      <c r="E52" s="24" t="s">
        <v>600</v>
      </c>
      <c r="F52" s="24" t="s">
        <v>94</v>
      </c>
      <c r="G52" s="26" t="s">
        <v>174</v>
      </c>
      <c r="H52" s="26" t="s">
        <v>66</v>
      </c>
      <c r="I52" s="26" t="s">
        <v>75</v>
      </c>
      <c r="J52" s="25"/>
      <c r="K52" s="33" t="str">
        <f>"130,0"</f>
        <v>130,0</v>
      </c>
      <c r="L52" s="25" t="str">
        <f>"85,8780"</f>
        <v>85,8780</v>
      </c>
      <c r="M52" s="24"/>
    </row>
    <row r="53" spans="1:13">
      <c r="A53" s="25" t="s">
        <v>136</v>
      </c>
      <c r="B53" s="24" t="s">
        <v>418</v>
      </c>
      <c r="C53" s="24" t="s">
        <v>419</v>
      </c>
      <c r="D53" s="24" t="s">
        <v>296</v>
      </c>
      <c r="E53" s="24" t="s">
        <v>600</v>
      </c>
      <c r="F53" s="24" t="s">
        <v>94</v>
      </c>
      <c r="G53" s="27" t="s">
        <v>383</v>
      </c>
      <c r="H53" s="26" t="s">
        <v>57</v>
      </c>
      <c r="I53" s="27" t="s">
        <v>66</v>
      </c>
      <c r="J53" s="25"/>
      <c r="K53" s="33" t="str">
        <f>"115,0"</f>
        <v>115,0</v>
      </c>
      <c r="L53" s="25" t="str">
        <f>"73,8415"</f>
        <v>73,8415</v>
      </c>
      <c r="M53" s="24" t="s">
        <v>581</v>
      </c>
    </row>
    <row r="54" spans="1:13">
      <c r="A54" s="25" t="s">
        <v>46</v>
      </c>
      <c r="B54" s="24" t="s">
        <v>420</v>
      </c>
      <c r="C54" s="24" t="s">
        <v>545</v>
      </c>
      <c r="D54" s="24" t="s">
        <v>296</v>
      </c>
      <c r="E54" s="24" t="s">
        <v>603</v>
      </c>
      <c r="F54" s="24" t="s">
        <v>94</v>
      </c>
      <c r="G54" s="26" t="s">
        <v>75</v>
      </c>
      <c r="H54" s="27" t="s">
        <v>76</v>
      </c>
      <c r="I54" s="26" t="s">
        <v>76</v>
      </c>
      <c r="J54" s="25"/>
      <c r="K54" s="33" t="str">
        <f>"137,5"</f>
        <v>137,5</v>
      </c>
      <c r="L54" s="25" t="str">
        <f>"88,7302"</f>
        <v>88,7302</v>
      </c>
      <c r="M54" s="24" t="s">
        <v>582</v>
      </c>
    </row>
    <row r="55" spans="1:13">
      <c r="A55" s="25" t="s">
        <v>46</v>
      </c>
      <c r="B55" s="24" t="s">
        <v>421</v>
      </c>
      <c r="C55" s="24" t="s">
        <v>546</v>
      </c>
      <c r="D55" s="24" t="s">
        <v>422</v>
      </c>
      <c r="E55" s="24" t="s">
        <v>602</v>
      </c>
      <c r="F55" s="24" t="s">
        <v>94</v>
      </c>
      <c r="G55" s="26" t="s">
        <v>121</v>
      </c>
      <c r="H55" s="27" t="s">
        <v>211</v>
      </c>
      <c r="I55" s="27" t="s">
        <v>211</v>
      </c>
      <c r="J55" s="25"/>
      <c r="K55" s="33" t="str">
        <f>"145,0"</f>
        <v>145,0</v>
      </c>
      <c r="L55" s="25" t="str">
        <f>"99,2748"</f>
        <v>99,2748</v>
      </c>
      <c r="M55" s="24" t="s">
        <v>583</v>
      </c>
    </row>
    <row r="56" spans="1:13">
      <c r="A56" s="25" t="s">
        <v>276</v>
      </c>
      <c r="B56" s="24" t="s">
        <v>423</v>
      </c>
      <c r="C56" s="24" t="s">
        <v>547</v>
      </c>
      <c r="D56" s="24" t="s">
        <v>249</v>
      </c>
      <c r="E56" s="24" t="s">
        <v>602</v>
      </c>
      <c r="F56" s="24" t="s">
        <v>563</v>
      </c>
      <c r="G56" s="27" t="s">
        <v>204</v>
      </c>
      <c r="H56" s="27" t="s">
        <v>211</v>
      </c>
      <c r="I56" s="27" t="s">
        <v>211</v>
      </c>
      <c r="J56" s="25"/>
      <c r="K56" s="33">
        <v>0</v>
      </c>
      <c r="L56" s="25" t="str">
        <f>"0,0000"</f>
        <v>0,0000</v>
      </c>
      <c r="M56" s="24"/>
    </row>
    <row r="57" spans="1:13">
      <c r="A57" s="11" t="s">
        <v>46</v>
      </c>
      <c r="B57" s="10" t="s">
        <v>424</v>
      </c>
      <c r="C57" s="10" t="s">
        <v>548</v>
      </c>
      <c r="D57" s="10" t="s">
        <v>425</v>
      </c>
      <c r="E57" s="10" t="s">
        <v>604</v>
      </c>
      <c r="F57" s="10" t="s">
        <v>297</v>
      </c>
      <c r="G57" s="20" t="s">
        <v>97</v>
      </c>
      <c r="H57" s="20" t="s">
        <v>121</v>
      </c>
      <c r="I57" s="21" t="s">
        <v>426</v>
      </c>
      <c r="J57" s="11"/>
      <c r="K57" s="31" t="str">
        <f>"145,0"</f>
        <v>145,0</v>
      </c>
      <c r="L57" s="11" t="str">
        <f>"147,6601"</f>
        <v>147,6601</v>
      </c>
      <c r="M57" s="10"/>
    </row>
    <row r="58" spans="1:13">
      <c r="B58" s="5" t="s">
        <v>8</v>
      </c>
    </row>
    <row r="59" spans="1:13" ht="16">
      <c r="A59" s="34" t="s">
        <v>12</v>
      </c>
      <c r="B59" s="34"/>
      <c r="C59" s="35"/>
      <c r="D59" s="35"/>
      <c r="E59" s="35"/>
      <c r="F59" s="35"/>
      <c r="G59" s="35"/>
      <c r="H59" s="35"/>
      <c r="I59" s="35"/>
      <c r="J59" s="35"/>
    </row>
    <row r="60" spans="1:13">
      <c r="A60" s="13" t="s">
        <v>46</v>
      </c>
      <c r="B60" s="12" t="s">
        <v>427</v>
      </c>
      <c r="C60" s="12" t="s">
        <v>428</v>
      </c>
      <c r="D60" s="12" t="s">
        <v>108</v>
      </c>
      <c r="E60" s="12" t="s">
        <v>600</v>
      </c>
      <c r="F60" s="12" t="s">
        <v>378</v>
      </c>
      <c r="G60" s="22" t="s">
        <v>19</v>
      </c>
      <c r="H60" s="23" t="s">
        <v>79</v>
      </c>
      <c r="I60" s="23" t="s">
        <v>79</v>
      </c>
      <c r="J60" s="13"/>
      <c r="K60" s="32" t="str">
        <f>"165,0"</f>
        <v>165,0</v>
      </c>
      <c r="L60" s="13" t="str">
        <f>"100,6995"</f>
        <v>100,6995</v>
      </c>
      <c r="M60" s="12"/>
    </row>
    <row r="61" spans="1:13">
      <c r="B61" s="5" t="s">
        <v>8</v>
      </c>
    </row>
    <row r="62" spans="1:13" ht="16">
      <c r="A62" s="34" t="s">
        <v>24</v>
      </c>
      <c r="B62" s="34"/>
      <c r="C62" s="35"/>
      <c r="D62" s="35"/>
      <c r="E62" s="35"/>
      <c r="F62" s="35"/>
      <c r="G62" s="35"/>
      <c r="H62" s="35"/>
      <c r="I62" s="35"/>
      <c r="J62" s="35"/>
    </row>
    <row r="63" spans="1:13">
      <c r="A63" s="9" t="s">
        <v>46</v>
      </c>
      <c r="B63" s="8" t="s">
        <v>429</v>
      </c>
      <c r="C63" s="8" t="s">
        <v>430</v>
      </c>
      <c r="D63" s="8" t="s">
        <v>431</v>
      </c>
      <c r="E63" s="8" t="s">
        <v>600</v>
      </c>
      <c r="F63" s="8" t="s">
        <v>94</v>
      </c>
      <c r="G63" s="18" t="s">
        <v>20</v>
      </c>
      <c r="H63" s="18" t="s">
        <v>240</v>
      </c>
      <c r="I63" s="19" t="s">
        <v>432</v>
      </c>
      <c r="J63" s="9"/>
      <c r="K63" s="30" t="str">
        <f>"182,5"</f>
        <v>182,5</v>
      </c>
      <c r="L63" s="9" t="str">
        <f>"107,8393"</f>
        <v>107,8393</v>
      </c>
      <c r="M63" s="8"/>
    </row>
    <row r="64" spans="1:13">
      <c r="A64" s="11" t="s">
        <v>134</v>
      </c>
      <c r="B64" s="10" t="s">
        <v>433</v>
      </c>
      <c r="C64" s="10" t="s">
        <v>434</v>
      </c>
      <c r="D64" s="10" t="s">
        <v>435</v>
      </c>
      <c r="E64" s="10" t="s">
        <v>600</v>
      </c>
      <c r="F64" s="10" t="s">
        <v>94</v>
      </c>
      <c r="G64" s="20" t="s">
        <v>77</v>
      </c>
      <c r="H64" s="20" t="s">
        <v>78</v>
      </c>
      <c r="I64" s="21" t="s">
        <v>117</v>
      </c>
      <c r="J64" s="11"/>
      <c r="K64" s="31" t="str">
        <f>"160,0"</f>
        <v>160,0</v>
      </c>
      <c r="L64" s="11" t="str">
        <f>"94,4800"</f>
        <v>94,4800</v>
      </c>
      <c r="M64" s="10" t="s">
        <v>584</v>
      </c>
    </row>
    <row r="65" spans="1:13">
      <c r="B65" s="5" t="s">
        <v>8</v>
      </c>
    </row>
    <row r="66" spans="1:13" ht="16">
      <c r="A66" s="34" t="s">
        <v>337</v>
      </c>
      <c r="B66" s="34"/>
      <c r="C66" s="35"/>
      <c r="D66" s="35"/>
      <c r="E66" s="35"/>
      <c r="F66" s="35"/>
      <c r="G66" s="35"/>
      <c r="H66" s="35"/>
      <c r="I66" s="35"/>
      <c r="J66" s="35"/>
    </row>
    <row r="67" spans="1:13">
      <c r="A67" s="9" t="s">
        <v>46</v>
      </c>
      <c r="B67" s="8" t="s">
        <v>436</v>
      </c>
      <c r="C67" s="8" t="s">
        <v>437</v>
      </c>
      <c r="D67" s="8" t="s">
        <v>438</v>
      </c>
      <c r="E67" s="8" t="s">
        <v>600</v>
      </c>
      <c r="F67" s="8" t="s">
        <v>94</v>
      </c>
      <c r="G67" s="18" t="s">
        <v>85</v>
      </c>
      <c r="H67" s="18" t="s">
        <v>32</v>
      </c>
      <c r="I67" s="19" t="s">
        <v>101</v>
      </c>
      <c r="J67" s="9"/>
      <c r="K67" s="30" t="str">
        <f>"200,0"</f>
        <v>200,0</v>
      </c>
      <c r="L67" s="9" t="str">
        <f>"114,9800"</f>
        <v>114,9800</v>
      </c>
      <c r="M67" s="8" t="s">
        <v>585</v>
      </c>
    </row>
    <row r="68" spans="1:13">
      <c r="A68" s="25" t="s">
        <v>134</v>
      </c>
      <c r="B68" s="24" t="s">
        <v>439</v>
      </c>
      <c r="C68" s="24" t="s">
        <v>440</v>
      </c>
      <c r="D68" s="24" t="s">
        <v>441</v>
      </c>
      <c r="E68" s="24" t="s">
        <v>600</v>
      </c>
      <c r="F68" s="24" t="s">
        <v>94</v>
      </c>
      <c r="G68" s="26" t="s">
        <v>211</v>
      </c>
      <c r="H68" s="27" t="s">
        <v>78</v>
      </c>
      <c r="I68" s="27" t="s">
        <v>78</v>
      </c>
      <c r="J68" s="25"/>
      <c r="K68" s="33" t="str">
        <f>"152,5"</f>
        <v>152,5</v>
      </c>
      <c r="L68" s="25" t="str">
        <f>"87,4435"</f>
        <v>87,4435</v>
      </c>
      <c r="M68" s="24" t="s">
        <v>586</v>
      </c>
    </row>
    <row r="69" spans="1:13">
      <c r="A69" s="11" t="s">
        <v>46</v>
      </c>
      <c r="B69" s="10" t="s">
        <v>439</v>
      </c>
      <c r="C69" s="10" t="s">
        <v>549</v>
      </c>
      <c r="D69" s="10" t="s">
        <v>441</v>
      </c>
      <c r="E69" s="10" t="s">
        <v>605</v>
      </c>
      <c r="F69" s="10" t="s">
        <v>94</v>
      </c>
      <c r="G69" s="20" t="s">
        <v>211</v>
      </c>
      <c r="H69" s="21" t="s">
        <v>78</v>
      </c>
      <c r="I69" s="21" t="s">
        <v>78</v>
      </c>
      <c r="J69" s="11"/>
      <c r="K69" s="31" t="str">
        <f>"152,5"</f>
        <v>152,5</v>
      </c>
      <c r="L69" s="11" t="str">
        <f>"102,1340"</f>
        <v>102,1340</v>
      </c>
      <c r="M69" s="10" t="s">
        <v>586</v>
      </c>
    </row>
    <row r="70" spans="1:13">
      <c r="B70" s="5" t="s">
        <v>8</v>
      </c>
    </row>
    <row r="71" spans="1:13" ht="16">
      <c r="A71" s="34" t="s">
        <v>442</v>
      </c>
      <c r="B71" s="34"/>
      <c r="C71" s="35"/>
      <c r="D71" s="35"/>
      <c r="E71" s="35"/>
      <c r="F71" s="35"/>
      <c r="G71" s="35"/>
      <c r="H71" s="35"/>
      <c r="I71" s="35"/>
      <c r="J71" s="35"/>
    </row>
    <row r="72" spans="1:13">
      <c r="A72" s="13" t="s">
        <v>46</v>
      </c>
      <c r="B72" s="12" t="s">
        <v>443</v>
      </c>
      <c r="C72" s="12" t="s">
        <v>444</v>
      </c>
      <c r="D72" s="12" t="s">
        <v>445</v>
      </c>
      <c r="E72" s="12" t="s">
        <v>600</v>
      </c>
      <c r="F72" s="12" t="s">
        <v>109</v>
      </c>
      <c r="G72" s="22" t="s">
        <v>101</v>
      </c>
      <c r="H72" s="22" t="s">
        <v>95</v>
      </c>
      <c r="I72" s="13"/>
      <c r="J72" s="13"/>
      <c r="K72" s="32" t="str">
        <f>"215,0"</f>
        <v>215,0</v>
      </c>
      <c r="L72" s="13" t="str">
        <f>"115,8205"</f>
        <v>115,8205</v>
      </c>
      <c r="M72" s="12"/>
    </row>
    <row r="73" spans="1:13">
      <c r="B73" s="5" t="s">
        <v>8</v>
      </c>
    </row>
    <row r="74" spans="1:13">
      <c r="B74" s="5" t="s">
        <v>8</v>
      </c>
    </row>
    <row r="75" spans="1:13">
      <c r="B75" s="5" t="s">
        <v>8</v>
      </c>
    </row>
    <row r="76" spans="1:13" ht="18">
      <c r="B76" s="7" t="s">
        <v>7</v>
      </c>
      <c r="C76" s="7"/>
    </row>
    <row r="77" spans="1:13" ht="16">
      <c r="B77" s="14" t="s">
        <v>36</v>
      </c>
      <c r="C77" s="14"/>
    </row>
    <row r="78" spans="1:13" ht="14">
      <c r="B78" s="15"/>
      <c r="C78" s="16" t="s">
        <v>37</v>
      </c>
    </row>
    <row r="79" spans="1:13" ht="14">
      <c r="B79" s="17" t="s">
        <v>38</v>
      </c>
      <c r="C79" s="17" t="s">
        <v>39</v>
      </c>
      <c r="D79" s="17" t="s">
        <v>523</v>
      </c>
      <c r="E79" s="17" t="s">
        <v>346</v>
      </c>
      <c r="F79" s="17" t="s">
        <v>42</v>
      </c>
    </row>
    <row r="80" spans="1:13">
      <c r="B80" s="5" t="s">
        <v>409</v>
      </c>
      <c r="C80" s="5" t="s">
        <v>37</v>
      </c>
      <c r="D80" s="6" t="s">
        <v>128</v>
      </c>
      <c r="E80" s="6" t="s">
        <v>411</v>
      </c>
      <c r="F80" s="6" t="s">
        <v>446</v>
      </c>
    </row>
    <row r="81" spans="2:6">
      <c r="B81" s="5" t="s">
        <v>388</v>
      </c>
      <c r="C81" s="5" t="s">
        <v>37</v>
      </c>
      <c r="D81" s="6" t="s">
        <v>125</v>
      </c>
      <c r="E81" s="6" t="s">
        <v>86</v>
      </c>
      <c r="F81" s="6" t="s">
        <v>447</v>
      </c>
    </row>
    <row r="82" spans="2:6">
      <c r="B82" s="5" t="s">
        <v>443</v>
      </c>
      <c r="C82" s="5" t="s">
        <v>37</v>
      </c>
      <c r="D82" s="6" t="s">
        <v>448</v>
      </c>
      <c r="E82" s="6" t="s">
        <v>95</v>
      </c>
      <c r="F82" s="6" t="s">
        <v>449</v>
      </c>
    </row>
    <row r="84" spans="2:6" ht="14">
      <c r="B84" s="15"/>
      <c r="C84" s="16" t="s">
        <v>45</v>
      </c>
    </row>
    <row r="85" spans="2:6" ht="14">
      <c r="B85" s="17" t="s">
        <v>38</v>
      </c>
      <c r="C85" s="17" t="s">
        <v>39</v>
      </c>
      <c r="D85" s="17" t="s">
        <v>523</v>
      </c>
      <c r="E85" s="17" t="s">
        <v>346</v>
      </c>
      <c r="F85" s="17" t="s">
        <v>42</v>
      </c>
    </row>
    <row r="86" spans="2:6">
      <c r="B86" s="5" t="s">
        <v>424</v>
      </c>
      <c r="C86" s="5" t="s">
        <v>550</v>
      </c>
      <c r="D86" s="6" t="s">
        <v>128</v>
      </c>
      <c r="E86" s="6" t="s">
        <v>121</v>
      </c>
      <c r="F86" s="6" t="s">
        <v>450</v>
      </c>
    </row>
    <row r="87" spans="2:6">
      <c r="B87" s="5" t="s">
        <v>208</v>
      </c>
      <c r="C87" s="5" t="s">
        <v>541</v>
      </c>
      <c r="D87" s="6" t="s">
        <v>263</v>
      </c>
      <c r="E87" s="6" t="s">
        <v>121</v>
      </c>
      <c r="F87" s="6" t="s">
        <v>451</v>
      </c>
    </row>
    <row r="88" spans="2:6">
      <c r="B88" s="5" t="s">
        <v>372</v>
      </c>
      <c r="C88" s="5" t="s">
        <v>551</v>
      </c>
      <c r="D88" s="6" t="s">
        <v>127</v>
      </c>
      <c r="E88" s="6" t="s">
        <v>121</v>
      </c>
      <c r="F88" s="6" t="s">
        <v>452</v>
      </c>
    </row>
    <row r="89" spans="2:6">
      <c r="B89" s="5" t="s">
        <v>8</v>
      </c>
      <c r="C89" s="3"/>
      <c r="D89" s="3"/>
      <c r="E89" s="3"/>
      <c r="F89" s="3"/>
    </row>
    <row r="90" spans="2:6">
      <c r="B90" s="5" t="s">
        <v>8</v>
      </c>
      <c r="C90" s="3"/>
      <c r="D90" s="3"/>
      <c r="E90" s="3"/>
      <c r="F90" s="3"/>
    </row>
    <row r="91" spans="2:6">
      <c r="B91" s="5" t="s">
        <v>8</v>
      </c>
      <c r="C91" s="3"/>
      <c r="D91" s="3"/>
      <c r="E91" s="3"/>
      <c r="F91" s="3"/>
    </row>
    <row r="92" spans="2:6">
      <c r="B92" s="5" t="s">
        <v>8</v>
      </c>
      <c r="C92" s="3"/>
      <c r="D92" s="3"/>
      <c r="E92" s="3"/>
      <c r="F92" s="3"/>
    </row>
    <row r="93" spans="2:6">
      <c r="B93" s="5" t="s">
        <v>8</v>
      </c>
      <c r="C93" s="3"/>
      <c r="D93" s="3"/>
      <c r="E93" s="3"/>
      <c r="F93" s="3"/>
    </row>
    <row r="94" spans="2:6">
      <c r="B94" s="5" t="s">
        <v>8</v>
      </c>
      <c r="C94" s="3"/>
      <c r="D94" s="3"/>
      <c r="E94" s="3"/>
      <c r="F94" s="3"/>
    </row>
    <row r="95" spans="2:6">
      <c r="B95" s="5" t="s">
        <v>8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71:J71"/>
    <mergeCell ref="A8:J8"/>
    <mergeCell ref="A11:J11"/>
    <mergeCell ref="A14:J14"/>
    <mergeCell ref="A17:J17"/>
    <mergeCell ref="A21:J21"/>
    <mergeCell ref="A26:J26"/>
    <mergeCell ref="A35:J35"/>
    <mergeCell ref="A48:J48"/>
    <mergeCell ref="A59:J59"/>
    <mergeCell ref="A62:J62"/>
    <mergeCell ref="A66:J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IPL ПЛ без экипировки ДК</vt:lpstr>
      <vt:lpstr>IPL ПЛ без экипировки</vt:lpstr>
      <vt:lpstr>IPL ПЛ в бинтах ДК</vt:lpstr>
      <vt:lpstr>IPL ПЛ однослой</vt:lpstr>
      <vt:lpstr>IPL Двоеборье без экип ДК</vt:lpstr>
      <vt:lpstr>IPL Присед без экипировки ДК</vt:lpstr>
      <vt:lpstr>IPL Присед без экипировки</vt:lpstr>
      <vt:lpstr>IPL Присед однослой</vt:lpstr>
      <vt:lpstr>IPL Жим без экипировки ДК</vt:lpstr>
      <vt:lpstr>IPL Жим без экипировки</vt:lpstr>
      <vt:lpstr>IPL Жим однослой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IPL Тяга однослой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2021-12-07T21:48:04Z</dcterms:modified>
</cp:coreProperties>
</file>