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14" documentId="8_{3653CB34-8158-4745-A3F6-FECC00DF3BF9}" xr6:coauthVersionLast="47" xr6:coauthVersionMax="47" xr10:uidLastSave="{133C33FB-DA03-4CA9-AE55-AD9506952022}"/>
  <bookViews>
    <workbookView xWindow="1410" yWindow="2865" windowWidth="26955" windowHeight="8985" tabRatio="1000" activeTab="13" xr2:uid="{00000000-000D-0000-FFFF-FFFF00000000}"/>
  </bookViews>
  <sheets>
    <sheet name="AWPA PL Raw" sheetId="26" r:id="rId1"/>
    <sheet name="AWPA raw BP" sheetId="23" r:id="rId2"/>
    <sheet name="AWPA raw DL" sheetId="20" r:id="rId3"/>
    <sheet name="AWPA OB" sheetId="29" r:id="rId4"/>
    <sheet name="AWPA SC" sheetId="31" r:id="rId5"/>
    <sheet name="WPA raw PL" sheetId="17" r:id="rId6"/>
    <sheet name="WPA raw BP" sheetId="14" r:id="rId7"/>
    <sheet name="WPA m.ply BP" sheetId="16" r:id="rId8"/>
    <sheet name="WPA st.ply BP" sheetId="15" r:id="rId9"/>
    <sheet name="WPA raw DL" sheetId="11" r:id="rId10"/>
    <sheet name="WPA SC" sheetId="32" r:id="rId11"/>
    <sheet name="AWPC MP soft BP" sheetId="58" r:id="rId12"/>
    <sheet name="AWPC MP soft std BP" sheetId="57" r:id="rId13"/>
    <sheet name="WPC soft std BP" sheetId="52" r:id="rId1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1" l="1"/>
  <c r="I21" i="11"/>
  <c r="J20" i="11"/>
  <c r="I20" i="11"/>
  <c r="J19" i="11"/>
  <c r="I19" i="11"/>
  <c r="J16" i="11"/>
  <c r="I16" i="11"/>
  <c r="J13" i="11"/>
  <c r="I13" i="11"/>
  <c r="J12" i="11"/>
  <c r="I12" i="11"/>
  <c r="J11" i="11"/>
  <c r="I11" i="11"/>
  <c r="J10" i="11"/>
  <c r="I10" i="11"/>
  <c r="J7" i="11"/>
  <c r="I7" i="11"/>
  <c r="J6" i="11"/>
  <c r="I6" i="11"/>
  <c r="J16" i="14"/>
  <c r="I16" i="14"/>
  <c r="J13" i="14"/>
  <c r="I13" i="14"/>
  <c r="J10" i="14"/>
  <c r="I10" i="14"/>
  <c r="J7" i="14"/>
  <c r="I7" i="14"/>
  <c r="J6" i="14"/>
  <c r="I6" i="14"/>
  <c r="J6" i="15"/>
  <c r="I6" i="15"/>
  <c r="J6" i="16"/>
  <c r="I6" i="16"/>
  <c r="R10" i="17"/>
  <c r="Q10" i="17"/>
  <c r="R7" i="17"/>
  <c r="Q7" i="17"/>
  <c r="R6" i="17"/>
  <c r="Q6" i="17"/>
  <c r="J35" i="20"/>
  <c r="I35" i="20"/>
  <c r="J32" i="20"/>
  <c r="I32" i="20"/>
  <c r="J29" i="20"/>
  <c r="I29" i="20"/>
  <c r="J28" i="20"/>
  <c r="I28" i="20"/>
  <c r="J25" i="20"/>
  <c r="I25" i="20"/>
  <c r="J22" i="20"/>
  <c r="I22" i="20"/>
  <c r="J19" i="20"/>
  <c r="I19" i="20"/>
  <c r="J16" i="20"/>
  <c r="I16" i="20"/>
  <c r="J13" i="20"/>
  <c r="I13" i="20"/>
  <c r="J10" i="20"/>
  <c r="I10" i="20"/>
  <c r="J9" i="20"/>
  <c r="I9" i="20"/>
  <c r="J6" i="20"/>
  <c r="I6" i="20"/>
  <c r="J63" i="23"/>
  <c r="I63" i="23"/>
  <c r="J60" i="23"/>
  <c r="I60" i="23"/>
  <c r="J59" i="23"/>
  <c r="I59" i="23"/>
  <c r="J58" i="23"/>
  <c r="I58" i="23"/>
  <c r="J57" i="23"/>
  <c r="I57" i="23"/>
  <c r="J56" i="23"/>
  <c r="I56" i="23"/>
  <c r="J55" i="23"/>
  <c r="I55" i="23"/>
  <c r="J54" i="23"/>
  <c r="I54" i="23"/>
  <c r="J51" i="23"/>
  <c r="I51" i="23"/>
  <c r="J50" i="23"/>
  <c r="I50" i="23"/>
  <c r="J49" i="23"/>
  <c r="I49" i="23"/>
  <c r="J48" i="23"/>
  <c r="I48" i="23"/>
  <c r="J45" i="23"/>
  <c r="I45" i="23"/>
  <c r="J44" i="23"/>
  <c r="I44" i="23"/>
  <c r="J43" i="23"/>
  <c r="I43" i="23"/>
  <c r="J42" i="23"/>
  <c r="I42" i="23"/>
  <c r="J41" i="23"/>
  <c r="I41" i="23"/>
  <c r="J38" i="23"/>
  <c r="I38" i="23"/>
  <c r="J37" i="23"/>
  <c r="I37" i="23"/>
  <c r="J36" i="23"/>
  <c r="I36" i="23"/>
  <c r="J35" i="23"/>
  <c r="I35" i="23"/>
  <c r="J34" i="23"/>
  <c r="I34" i="23"/>
  <c r="J31" i="23"/>
  <c r="I31" i="23"/>
  <c r="J30" i="23"/>
  <c r="I30" i="23"/>
  <c r="J29" i="23"/>
  <c r="I29" i="23"/>
  <c r="J28" i="23"/>
  <c r="I28" i="23"/>
  <c r="J27" i="23"/>
  <c r="I27" i="23"/>
  <c r="J24" i="23"/>
  <c r="I24" i="23"/>
  <c r="J23" i="23"/>
  <c r="I23" i="23"/>
  <c r="J22" i="23"/>
  <c r="I22" i="23"/>
  <c r="J19" i="23"/>
  <c r="I19" i="23"/>
  <c r="J18" i="23"/>
  <c r="I18" i="23"/>
  <c r="J17" i="23"/>
  <c r="I17" i="23"/>
  <c r="J16" i="23"/>
  <c r="I16" i="23"/>
  <c r="J13" i="23"/>
  <c r="I13" i="23"/>
  <c r="J10" i="23"/>
  <c r="I10" i="23"/>
  <c r="J9" i="23"/>
  <c r="I9" i="23"/>
  <c r="J6" i="23"/>
  <c r="I6" i="23"/>
  <c r="R32" i="26"/>
  <c r="Q32" i="26"/>
  <c r="R29" i="26"/>
  <c r="Q29" i="26"/>
  <c r="R28" i="26"/>
  <c r="Q28" i="26"/>
  <c r="R25" i="26"/>
  <c r="Q25" i="26"/>
  <c r="R22" i="26"/>
  <c r="Q22" i="26"/>
  <c r="R21" i="26"/>
  <c r="Q21" i="26"/>
  <c r="R18" i="26"/>
  <c r="Q18" i="26"/>
  <c r="R15" i="26"/>
  <c r="Q15" i="26"/>
  <c r="R12" i="26"/>
  <c r="Q12" i="26"/>
  <c r="R9" i="26"/>
  <c r="Q9" i="26"/>
  <c r="R6" i="26"/>
  <c r="Q6" i="26"/>
  <c r="J12" i="29"/>
  <c r="I12" i="29"/>
  <c r="J9" i="29"/>
  <c r="I9" i="29"/>
  <c r="J6" i="29"/>
  <c r="I6" i="29"/>
  <c r="J16" i="31"/>
  <c r="I16" i="31"/>
  <c r="J15" i="31"/>
  <c r="I15" i="31"/>
  <c r="J14" i="31"/>
  <c r="I14" i="31"/>
  <c r="J11" i="31"/>
  <c r="I11" i="31"/>
  <c r="J10" i="31"/>
  <c r="I10" i="31"/>
  <c r="J9" i="31"/>
  <c r="I9" i="31"/>
  <c r="J6" i="31"/>
  <c r="I6" i="31"/>
  <c r="J10" i="32"/>
  <c r="I10" i="32"/>
  <c r="J9" i="32"/>
  <c r="I9" i="32"/>
  <c r="J6" i="32"/>
  <c r="I6" i="32"/>
  <c r="J15" i="52"/>
  <c r="I15" i="52"/>
  <c r="J14" i="52"/>
  <c r="I14" i="52"/>
  <c r="J11" i="52"/>
  <c r="I11" i="52"/>
  <c r="J10" i="52"/>
  <c r="I10" i="52"/>
  <c r="J9" i="52"/>
  <c r="I9" i="52"/>
  <c r="J6" i="52"/>
  <c r="I6" i="52"/>
  <c r="J19" i="57"/>
  <c r="I19" i="57"/>
  <c r="J16" i="57"/>
  <c r="I16" i="57"/>
  <c r="J13" i="57"/>
  <c r="I13" i="57"/>
  <c r="J10" i="57"/>
  <c r="I10" i="57"/>
  <c r="J7" i="57"/>
  <c r="I7" i="57"/>
  <c r="J6" i="57"/>
  <c r="I6" i="57"/>
  <c r="J6" i="58"/>
  <c r="I6" i="58"/>
</calcChain>
</file>

<file path=xl/sharedStrings.xml><?xml version="1.0" encoding="utf-8"?>
<sst xmlns="http://schemas.openxmlformats.org/spreadsheetml/2006/main" count="1544" uniqueCount="559">
  <si>
    <t>WORLD POWERLIFTING CUP WPA/AWPA
AWPC MP soft eq. benchpress
Russian Federation/Moscow 20-21 november 2021</t>
  </si>
  <si>
    <t>Name</t>
  </si>
  <si>
    <t>Age Class
Bith date/Age</t>
  </si>
  <si>
    <t>Body
weight</t>
  </si>
  <si>
    <t>Town/Country</t>
  </si>
  <si>
    <t>Benchpress</t>
  </si>
  <si>
    <t>Result</t>
  </si>
  <si>
    <t>Pts</t>
  </si>
  <si>
    <t>Coach</t>
  </si>
  <si>
    <t>Rec</t>
  </si>
  <si>
    <t>Body Weight Category  110</t>
  </si>
  <si>
    <t>1. Sukharev Andrey</t>
  </si>
  <si>
    <t>Open (22.07.1974)/47</t>
  </si>
  <si>
    <t>108,60</t>
  </si>
  <si>
    <t>RUS/Lyubertsy</t>
  </si>
  <si>
    <t>340,0</t>
  </si>
  <si>
    <t>407,5</t>
  </si>
  <si>
    <t>List absolute winners</t>
  </si>
  <si>
    <t>Man</t>
  </si>
  <si>
    <t>Open</t>
  </si>
  <si>
    <t>Age class</t>
  </si>
  <si>
    <t>WC</t>
  </si>
  <si>
    <t>Sukharev Andrey</t>
  </si>
  <si>
    <t>110</t>
  </si>
  <si>
    <t>WORLD POWERLIFTING CUP WPA/AWPA
AWPC st. soft eq. benchpress
Russian Federation/Moscow 20-21 november 2021</t>
  </si>
  <si>
    <t>Body Weight Category  67.5</t>
  </si>
  <si>
    <t>1. Kharina Valentina</t>
  </si>
  <si>
    <t>Open (24.12.1977)/43</t>
  </si>
  <si>
    <t>64,50</t>
  </si>
  <si>
    <t>RUS/Moskva</t>
  </si>
  <si>
    <t>125,0</t>
  </si>
  <si>
    <t>135,0</t>
  </si>
  <si>
    <t>142,5</t>
  </si>
  <si>
    <t>1. Prokopova Elena</t>
  </si>
  <si>
    <t>Masters 55-59 (07.03.1966)/55</t>
  </si>
  <si>
    <t>66,60</t>
  </si>
  <si>
    <t>120,0</t>
  </si>
  <si>
    <t>130,0</t>
  </si>
  <si>
    <t>140,0</t>
  </si>
  <si>
    <t>Body Weight Category  82.5</t>
  </si>
  <si>
    <t>1. Zhigulin Konstantin</t>
  </si>
  <si>
    <t>Open (03.10.1987)/34</t>
  </si>
  <si>
    <t>81,10</t>
  </si>
  <si>
    <t>240,0</t>
  </si>
  <si>
    <t>260,0</t>
  </si>
  <si>
    <t>283,0</t>
  </si>
  <si>
    <t>Varava Igor</t>
  </si>
  <si>
    <t>Body Weight Category  90</t>
  </si>
  <si>
    <t>-. Dashkevich Roman</t>
  </si>
  <si>
    <t>Open (12.02.1983)/38</t>
  </si>
  <si>
    <t>88,90</t>
  </si>
  <si>
    <t>RUS/Safonovo</t>
  </si>
  <si>
    <t>215,0</t>
  </si>
  <si>
    <t>220,0</t>
  </si>
  <si>
    <t>1. Altukhov Aleksey</t>
  </si>
  <si>
    <t>Open (11.12.1984)/36</t>
  </si>
  <si>
    <t>109,20</t>
  </si>
  <si>
    <t>190,0</t>
  </si>
  <si>
    <t>212,5</t>
  </si>
  <si>
    <t>225,0</t>
  </si>
  <si>
    <t>Body Weight Category  125</t>
  </si>
  <si>
    <t>1. Ilyin Andrey</t>
  </si>
  <si>
    <t>Masters 45-49 (28.06.1976)/45</t>
  </si>
  <si>
    <t>119,10</t>
  </si>
  <si>
    <t>RUS/Vidnoye</t>
  </si>
  <si>
    <t>280,0</t>
  </si>
  <si>
    <t>300,0</t>
  </si>
  <si>
    <t>Deyev Aleksandr</t>
  </si>
  <si>
    <t>Women</t>
  </si>
  <si>
    <t>Kharina Valentina</t>
  </si>
  <si>
    <t>67.5</t>
  </si>
  <si>
    <t>Masters</t>
  </si>
  <si>
    <t>Prokopova Elena</t>
  </si>
  <si>
    <t>Masters 55-59</t>
  </si>
  <si>
    <t>Zhigulin Konstantin</t>
  </si>
  <si>
    <t>82.5</t>
  </si>
  <si>
    <t>Altukhov Aleksey</t>
  </si>
  <si>
    <t>Ilyin Andrey</t>
  </si>
  <si>
    <t>Masters 45-49</t>
  </si>
  <si>
    <t>125</t>
  </si>
  <si>
    <t>WORLD POWERLIFTING CUP WPA/AWPA
WPC st. soft eq. benchpress
Russian Federation/Moscow 20-21 november 2021</t>
  </si>
  <si>
    <t>1. Bartenev Aleksey</t>
  </si>
  <si>
    <t>Masters 45-49 (01.03.1975)/46</t>
  </si>
  <si>
    <t>81,30</t>
  </si>
  <si>
    <t>255,0</t>
  </si>
  <si>
    <t>265,0</t>
  </si>
  <si>
    <t>270,0</t>
  </si>
  <si>
    <t>Body Weight Category  100</t>
  </si>
  <si>
    <t>1. Semenov Roman</t>
  </si>
  <si>
    <t>Open (12.11.1979)/42</t>
  </si>
  <si>
    <t>98,20</t>
  </si>
  <si>
    <t>RUS/Korolev</t>
  </si>
  <si>
    <t>320,0</t>
  </si>
  <si>
    <t>352,5</t>
  </si>
  <si>
    <t>1. Filatov Leonid</t>
  </si>
  <si>
    <t>Masters 40-44 (14.09.1978)/43</t>
  </si>
  <si>
    <t>96,70</t>
  </si>
  <si>
    <t>250,0</t>
  </si>
  <si>
    <t>1. Tsvetkov Aleksandr</t>
  </si>
  <si>
    <t>Masters 60-64 (10.04.1957)/64</t>
  </si>
  <si>
    <t>100,00</t>
  </si>
  <si>
    <t>RUS/Dubna</t>
  </si>
  <si>
    <t>150,0</t>
  </si>
  <si>
    <t>155,0</t>
  </si>
  <si>
    <t>1. Leonov Pavel</t>
  </si>
  <si>
    <t>Open (08.11.1983)/38</t>
  </si>
  <si>
    <t>104,70</t>
  </si>
  <si>
    <t>RUS/Losino-Petrovskiy</t>
  </si>
  <si>
    <t>380,0</t>
  </si>
  <si>
    <t>400,0</t>
  </si>
  <si>
    <t>1. Emelyanov Nikolay</t>
  </si>
  <si>
    <t>Masters 40-44 (30.08.1979)/42</t>
  </si>
  <si>
    <t>106,00</t>
  </si>
  <si>
    <t>287,5</t>
  </si>
  <si>
    <t>310,0</t>
  </si>
  <si>
    <t>332,5</t>
  </si>
  <si>
    <t>Leonov Pavel</t>
  </si>
  <si>
    <t>Semenov Roman</t>
  </si>
  <si>
    <t>100</t>
  </si>
  <si>
    <t>Bartenev Aleksey</t>
  </si>
  <si>
    <t>Emelyanov Nikolay</t>
  </si>
  <si>
    <t>Masters 40-44</t>
  </si>
  <si>
    <t>Filatov Leonid</t>
  </si>
  <si>
    <t>Tsvetkov Aleksandr</t>
  </si>
  <si>
    <t>Masters 60-64</t>
  </si>
  <si>
    <t>Teen</t>
  </si>
  <si>
    <t>67,5</t>
  </si>
  <si>
    <t>Body Weight Category  75</t>
  </si>
  <si>
    <t>70,0</t>
  </si>
  <si>
    <t>87,5</t>
  </si>
  <si>
    <t>98,00</t>
  </si>
  <si>
    <t>RUS/Nakhabino</t>
  </si>
  <si>
    <t>100,0</t>
  </si>
  <si>
    <t>75</t>
  </si>
  <si>
    <t>90</t>
  </si>
  <si>
    <t>WORLD POWERLIFTING CUP WPA/AWPA
WPA Strict Curl
Russian Federation/Moscow 20-21 november 2021</t>
  </si>
  <si>
    <t>Biceps curl</t>
  </si>
  <si>
    <t>1. Gorgul Olga</t>
  </si>
  <si>
    <t>Open (10.08.1981)/40</t>
  </si>
  <si>
    <t>62,70</t>
  </si>
  <si>
    <t>RUS/Krasnogorsk</t>
  </si>
  <si>
    <t>30,0</t>
  </si>
  <si>
    <t>35,0</t>
  </si>
  <si>
    <t>37,5</t>
  </si>
  <si>
    <t>1. Yumshanov Dmitriy</t>
  </si>
  <si>
    <t>Open (27.02.1980)/41</t>
  </si>
  <si>
    <t>75,00</t>
  </si>
  <si>
    <t>RUS/Kirov</t>
  </si>
  <si>
    <t>65,0</t>
  </si>
  <si>
    <t>Masters 40-44 (27.02.1980)/41</t>
  </si>
  <si>
    <t>Gorgul Olga</t>
  </si>
  <si>
    <t>Yumshanov Dmitriy</t>
  </si>
  <si>
    <t>WORLD POWERLIFTING CUP WPA/AWPA
AWPA Strict Curl
Russian Federation/Moscow 20-21 november 2021</t>
  </si>
  <si>
    <t>1. Gerasimov Artur</t>
  </si>
  <si>
    <t>Open (28.10.1988)/33</t>
  </si>
  <si>
    <t>74,50</t>
  </si>
  <si>
    <t>42,5</t>
  </si>
  <si>
    <t>50,0</t>
  </si>
  <si>
    <t>57,5</t>
  </si>
  <si>
    <t>1. Bodrenkov Pavel</t>
  </si>
  <si>
    <t>Open (21.10.1991)/30</t>
  </si>
  <si>
    <t>80,40</t>
  </si>
  <si>
    <t>RUS/Moskovskiy</t>
  </si>
  <si>
    <t>52,5</t>
  </si>
  <si>
    <t>55,0</t>
  </si>
  <si>
    <t>2. Khakyashev Stepan</t>
  </si>
  <si>
    <t>Open (23.06.1982)/39</t>
  </si>
  <si>
    <t>80,80</t>
  </si>
  <si>
    <t>60,0</t>
  </si>
  <si>
    <t>-. Igoshin Vitaliy</t>
  </si>
  <si>
    <t>Open (08.02.1991)/30</t>
  </si>
  <si>
    <t>80,20</t>
  </si>
  <si>
    <t>RUS/Zhukovskiy</t>
  </si>
  <si>
    <t>1. Rabekhov Temur</t>
  </si>
  <si>
    <t>Open (06.04.1992)/29</t>
  </si>
  <si>
    <t>97,00</t>
  </si>
  <si>
    <t>RUS/Podolsk</t>
  </si>
  <si>
    <t>62,5</t>
  </si>
  <si>
    <t>2. Bodrenkov Victor</t>
  </si>
  <si>
    <t>Open (10.06.1990)/31</t>
  </si>
  <si>
    <t>90,40</t>
  </si>
  <si>
    <t>1. Lomakin Andrey</t>
  </si>
  <si>
    <t>Masters 45-49 (21.09.1976)/45</t>
  </si>
  <si>
    <t>95,70</t>
  </si>
  <si>
    <t>Rabekhov Temur</t>
  </si>
  <si>
    <t>Bodrenkov Pavel</t>
  </si>
  <si>
    <t>Bodrenkov Victor</t>
  </si>
  <si>
    <t>Khakyashev Stepan</t>
  </si>
  <si>
    <t>Gerasimov Artur</t>
  </si>
  <si>
    <t>Lomakin Andrey</t>
  </si>
  <si>
    <t>WORLD POWERLIFTING CUP WPA/AWPA
AWPA OVERHEAD BENCH
Russian Federation/Moscow 20-21 november 2021</t>
  </si>
  <si>
    <t>Overhead press</t>
  </si>
  <si>
    <t>Body Weight Category  56</t>
  </si>
  <si>
    <t>1. Davidova Kseniya</t>
  </si>
  <si>
    <t>Open (17.03.1991)/30</t>
  </si>
  <si>
    <t>53,90</t>
  </si>
  <si>
    <t>25,0</t>
  </si>
  <si>
    <t>1. Solomakhin Aleksandr</t>
  </si>
  <si>
    <t>Open (27.06.1984)/37</t>
  </si>
  <si>
    <t>79,70</t>
  </si>
  <si>
    <t>RUS/Novocherkassk</t>
  </si>
  <si>
    <t>70,5</t>
  </si>
  <si>
    <t>Davidova Kseniya</t>
  </si>
  <si>
    <t>56</t>
  </si>
  <si>
    <t>Solomakhin Aleksandr</t>
  </si>
  <si>
    <t>Sub</t>
  </si>
  <si>
    <t>Sub Masters 33-39</t>
  </si>
  <si>
    <t>WORLD POWERLIFTING CUP WPA/AWPA
AWPA raw powerlifting
Russian Federation/Moscow 20-21 november 2021</t>
  </si>
  <si>
    <t>Squat</t>
  </si>
  <si>
    <t>Deadlift</t>
  </si>
  <si>
    <t>Total</t>
  </si>
  <si>
    <t>Body Weight Category  52</t>
  </si>
  <si>
    <t>1. Mushchinkina Elena</t>
  </si>
  <si>
    <t>Open (10.09.1983)/38</t>
  </si>
  <si>
    <t>50,80</t>
  </si>
  <si>
    <t>RUS/Egoryevsk</t>
  </si>
  <si>
    <t>105,0</t>
  </si>
  <si>
    <t>110,0</t>
  </si>
  <si>
    <t>107,5</t>
  </si>
  <si>
    <t>1. Gryazeva Darya</t>
  </si>
  <si>
    <t>Juniors 20-23 (03.12.1997)/23</t>
  </si>
  <si>
    <t>61,40</t>
  </si>
  <si>
    <t>75,0</t>
  </si>
  <si>
    <t>82,5</t>
  </si>
  <si>
    <t>47,5</t>
  </si>
  <si>
    <t>1. Vyshinskiy Nikita</t>
  </si>
  <si>
    <t>Teen 13-15 (30.11.2007)/13</t>
  </si>
  <si>
    <t>55,80</t>
  </si>
  <si>
    <t>117,5</t>
  </si>
  <si>
    <t>102,5</t>
  </si>
  <si>
    <t>112,5</t>
  </si>
  <si>
    <t>Myakishev S.V.</t>
  </si>
  <si>
    <t>1. Ali Al-Lami</t>
  </si>
  <si>
    <t>Open (16.08.1996)/25</t>
  </si>
  <si>
    <t>IRQ/Iraq</t>
  </si>
  <si>
    <t>115,0</t>
  </si>
  <si>
    <t>1. Choinkhor Altangerel</t>
  </si>
  <si>
    <t>Open (11.02.1996)/25</t>
  </si>
  <si>
    <t>81,20</t>
  </si>
  <si>
    <t>MNG/Mongoliya</t>
  </si>
  <si>
    <t>180,0</t>
  </si>
  <si>
    <t>200,0</t>
  </si>
  <si>
    <t>210,0</t>
  </si>
  <si>
    <t>160,0</t>
  </si>
  <si>
    <t>170,0</t>
  </si>
  <si>
    <t>1. Hasah Almhanee</t>
  </si>
  <si>
    <t>Teen 18-19 (17.11.2003)/18</t>
  </si>
  <si>
    <t>89,50</t>
  </si>
  <si>
    <t>172,5</t>
  </si>
  <si>
    <t>1. Toporov Kirill</t>
  </si>
  <si>
    <t>Open (27.07.1999)/22</t>
  </si>
  <si>
    <t>89,80</t>
  </si>
  <si>
    <t>202,5</t>
  </si>
  <si>
    <t>232,5</t>
  </si>
  <si>
    <t>237,5</t>
  </si>
  <si>
    <t>-. Abdulkareem Al-Isawi</t>
  </si>
  <si>
    <t>Open (01.05.1988)/33</t>
  </si>
  <si>
    <t>1. Hamzan Al-Jaryan</t>
  </si>
  <si>
    <t>Open (26.09.1990)/31</t>
  </si>
  <si>
    <t>105,10</t>
  </si>
  <si>
    <t>235,0</t>
  </si>
  <si>
    <t>165,0</t>
  </si>
  <si>
    <t>175,0</t>
  </si>
  <si>
    <t>230,0</t>
  </si>
  <si>
    <t>2. Khasanov Stepan</t>
  </si>
  <si>
    <t>Open (19.11.1987)/34</t>
  </si>
  <si>
    <t>107,80</t>
  </si>
  <si>
    <t>RUS/Nizhniy Novgorod</t>
  </si>
  <si>
    <t>195,0</t>
  </si>
  <si>
    <t>Body Weight Category  140</t>
  </si>
  <si>
    <t>1. Hasan Almashkoor</t>
  </si>
  <si>
    <t>Open (19.04.1994)/27</t>
  </si>
  <si>
    <t>130,90</t>
  </si>
  <si>
    <t>Juniors</t>
  </si>
  <si>
    <t>Gryazeva Darya</t>
  </si>
  <si>
    <t>Juniors 20-23</t>
  </si>
  <si>
    <t>207,5</t>
  </si>
  <si>
    <t>Mushchinkina Elena</t>
  </si>
  <si>
    <t>52</t>
  </si>
  <si>
    <t>Hasah Almhanee</t>
  </si>
  <si>
    <t>Teen 18-19</t>
  </si>
  <si>
    <t>Vyshinskiy Nikita</t>
  </si>
  <si>
    <t>Teen 13-15</t>
  </si>
  <si>
    <t>Toporov Kirill</t>
  </si>
  <si>
    <t>Hamzan Al-Jaryan</t>
  </si>
  <si>
    <t>Khasanov Stepan</t>
  </si>
  <si>
    <t>Choinkhor Altangerel</t>
  </si>
  <si>
    <t>Hasan Almashkoor</t>
  </si>
  <si>
    <t>140</t>
  </si>
  <si>
    <t>Ali Al-Lami</t>
  </si>
  <si>
    <t>WORLD POWERLIFTING CUP WPA/AWPA
AWPA raw benchpress
Russian Federation/Moscow 20-21 november 2021</t>
  </si>
  <si>
    <t>1. Kandaurova Vasilisa</t>
  </si>
  <si>
    <t>Teen 18-19 (26.11.2001)/19</t>
  </si>
  <si>
    <t>53,20</t>
  </si>
  <si>
    <t>1. Medvedeva Marina</t>
  </si>
  <si>
    <t>Masters 45-49 (19.05.1974)/47</t>
  </si>
  <si>
    <t>RUS/Dedovsk</t>
  </si>
  <si>
    <t>1. Kardakova Nalatya</t>
  </si>
  <si>
    <t>Masters 40-44 (15.06.1981)/40</t>
  </si>
  <si>
    <t>73,90</t>
  </si>
  <si>
    <t>RUS/Tver</t>
  </si>
  <si>
    <t>80,0</t>
  </si>
  <si>
    <t>1. Finkelbaum Mark</t>
  </si>
  <si>
    <t>Teen 13-15 (25.04.2008)/13</t>
  </si>
  <si>
    <t>62,90</t>
  </si>
  <si>
    <t>40,0</t>
  </si>
  <si>
    <t>2. Morozov Aleksey</t>
  </si>
  <si>
    <t>Open (15.01.1982)/39</t>
  </si>
  <si>
    <t>67,40</t>
  </si>
  <si>
    <t>122,5</t>
  </si>
  <si>
    <t>3. Sulakadze Vladimir</t>
  </si>
  <si>
    <t>Open (16.06.1990)/31</t>
  </si>
  <si>
    <t>66,90</t>
  </si>
  <si>
    <t>1. Svirskiy Aleksandr</t>
  </si>
  <si>
    <t>Open (28.11.1992)/28</t>
  </si>
  <si>
    <t>2. Samara Stanislav</t>
  </si>
  <si>
    <t>Open (14.03.1989)/32</t>
  </si>
  <si>
    <t>68,60</t>
  </si>
  <si>
    <t>3. Khlyustov Victor</t>
  </si>
  <si>
    <t>Open (20.03.1983)/38</t>
  </si>
  <si>
    <t>73,10</t>
  </si>
  <si>
    <t>RUS/Lobnya</t>
  </si>
  <si>
    <t>95,0</t>
  </si>
  <si>
    <t>1. Borisov Dmitriy</t>
  </si>
  <si>
    <t>Juniors 20-23 (27.01.1999)/22</t>
  </si>
  <si>
    <t>82,30</t>
  </si>
  <si>
    <t>RUS/Istra</t>
  </si>
  <si>
    <t>1. Savin Artem</t>
  </si>
  <si>
    <t>Open (29.07.1986)/35</t>
  </si>
  <si>
    <t>RUS/Chelyabinsk</t>
  </si>
  <si>
    <t>137,5</t>
  </si>
  <si>
    <t>145,0</t>
  </si>
  <si>
    <t>147,5</t>
  </si>
  <si>
    <t>Berlin Pavel</t>
  </si>
  <si>
    <t>2. Grabenko Artem</t>
  </si>
  <si>
    <t>Open (22.05.1989)/32</t>
  </si>
  <si>
    <t>81,80</t>
  </si>
  <si>
    <t>3. Travilin Ruslan</t>
  </si>
  <si>
    <t>Open (27.10.1989)/32</t>
  </si>
  <si>
    <t>81,90</t>
  </si>
  <si>
    <t>90,0</t>
  </si>
  <si>
    <t>-. Kretov Sergey</t>
  </si>
  <si>
    <t>Masters 45-49 (23.05.1973)/48</t>
  </si>
  <si>
    <t>80,50</t>
  </si>
  <si>
    <t>1. Mischenko Artem</t>
  </si>
  <si>
    <t>Open (26.06.1984)/37</t>
  </si>
  <si>
    <t>89,90</t>
  </si>
  <si>
    <t>192,5</t>
  </si>
  <si>
    <t>Chokayev Umar</t>
  </si>
  <si>
    <t>2. Nikonov Denis</t>
  </si>
  <si>
    <t>Open (21.03.1982)/39</t>
  </si>
  <si>
    <t>89,00</t>
  </si>
  <si>
    <t>152,5</t>
  </si>
  <si>
    <t>157,5</t>
  </si>
  <si>
    <t>3. Samorokov Anton</t>
  </si>
  <si>
    <t>Open (03.01.1982)/39</t>
  </si>
  <si>
    <t>88,40</t>
  </si>
  <si>
    <t>4. Glushkov Mikhail</t>
  </si>
  <si>
    <t>Open (14.11.1996)/25</t>
  </si>
  <si>
    <t>88,70</t>
  </si>
  <si>
    <t>132,5</t>
  </si>
  <si>
    <t>1. Dodonov Sergey</t>
  </si>
  <si>
    <t>Sub Masters 33-39 (10.02.1988)/33</t>
  </si>
  <si>
    <t>127,5</t>
  </si>
  <si>
    <t>Kudinov Andrey</t>
  </si>
  <si>
    <t>1. Chekrenev Valentin</t>
  </si>
  <si>
    <t>Open (02.01.1984)/37</t>
  </si>
  <si>
    <t>99,60</t>
  </si>
  <si>
    <t>2. Abdulkareem Al-Isawi</t>
  </si>
  <si>
    <t>1. Kolchev Sergey</t>
  </si>
  <si>
    <t>Masters 40-44 (20.05.1979)/42</t>
  </si>
  <si>
    <t>98,80</t>
  </si>
  <si>
    <t>RUS/Reutov</t>
  </si>
  <si>
    <t>162,5</t>
  </si>
  <si>
    <t>-. Medvedev Vladimir</t>
  </si>
  <si>
    <t>Masters 45-49 (15.02.1975)/46</t>
  </si>
  <si>
    <t>1. Zinkevich Pavel</t>
  </si>
  <si>
    <t>Masters 55-59 (26.03.1964)/57</t>
  </si>
  <si>
    <t>RUS/Kazan</t>
  </si>
  <si>
    <t>1. Bulgak Viorel</t>
  </si>
  <si>
    <t>Open (10.10.1985)/36</t>
  </si>
  <si>
    <t>108,10</t>
  </si>
  <si>
    <t>197,5</t>
  </si>
  <si>
    <t>1. Dudchik Mikhail</t>
  </si>
  <si>
    <t>Masters 45-49 (29.04.1973)/48</t>
  </si>
  <si>
    <t>108,80</t>
  </si>
  <si>
    <t>1. Litovtsev Vasiliy</t>
  </si>
  <si>
    <t>Masters 50-54 (27.06.1968)/53</t>
  </si>
  <si>
    <t>102,00</t>
  </si>
  <si>
    <t>167,5</t>
  </si>
  <si>
    <t>2. Bichkov Igor</t>
  </si>
  <si>
    <t>Masters 50-54 (18.06.1970)/51</t>
  </si>
  <si>
    <t>107,20</t>
  </si>
  <si>
    <t>Open (28.06.1976)/45</t>
  </si>
  <si>
    <t>205,0</t>
  </si>
  <si>
    <t>2. Khodakovskiy Vyacheslav</t>
  </si>
  <si>
    <t>Open (08.09.1986)/35</t>
  </si>
  <si>
    <t>123,30</t>
  </si>
  <si>
    <t>-. Usoltsev Evgeniy</t>
  </si>
  <si>
    <t>Open (01.02.1970)/51</t>
  </si>
  <si>
    <t>122,60</t>
  </si>
  <si>
    <t>1. Seleznev Vladimir</t>
  </si>
  <si>
    <t>Masters 40-44 (09.05.1977)/44</t>
  </si>
  <si>
    <t>121,50</t>
  </si>
  <si>
    <t>RUS/Odintsovo</t>
  </si>
  <si>
    <t>2. Gorodnichev Pavel</t>
  </si>
  <si>
    <t>Masters 45-49 (19.07.1972)/49</t>
  </si>
  <si>
    <t>125,00</t>
  </si>
  <si>
    <t>Masters 50-54 (01.02.1970)/51</t>
  </si>
  <si>
    <t>1. Chubarov Vladimir</t>
  </si>
  <si>
    <t>Masters 55-59 (03.04.1964)/57</t>
  </si>
  <si>
    <t>132,90</t>
  </si>
  <si>
    <t>177,5</t>
  </si>
  <si>
    <t>Kandaurova Vasilisa</t>
  </si>
  <si>
    <t>Medvedeva Marina</t>
  </si>
  <si>
    <t>Kardakova Nalatya</t>
  </si>
  <si>
    <t>Finkelbaum Mark</t>
  </si>
  <si>
    <t>Borisov Dmitriy</t>
  </si>
  <si>
    <t>Mischenko Artem</t>
  </si>
  <si>
    <t>Bulgak Viorel</t>
  </si>
  <si>
    <t>Nikonov Denis</t>
  </si>
  <si>
    <t>Samorokov Anton</t>
  </si>
  <si>
    <t>Savin Artem</t>
  </si>
  <si>
    <t>Morozov Aleksey</t>
  </si>
  <si>
    <t>Svirskiy Aleksandr</t>
  </si>
  <si>
    <t>Samara Stanislav</t>
  </si>
  <si>
    <t>Chekrenev Valentin</t>
  </si>
  <si>
    <t>Grabenko Artem</t>
  </si>
  <si>
    <t>Khodakovskiy Vyacheslav</t>
  </si>
  <si>
    <t>Sulakadze Vladimir</t>
  </si>
  <si>
    <t>Glushkov Mikhail</t>
  </si>
  <si>
    <t>Abdulkareem Al-Isawi</t>
  </si>
  <si>
    <t>Khlyustov Victor</t>
  </si>
  <si>
    <t>Travilin Ruslan</t>
  </si>
  <si>
    <t>Dodonov Sergey</t>
  </si>
  <si>
    <t>Chubarov Vladimir</t>
  </si>
  <si>
    <t>Zinkevich Pavel</t>
  </si>
  <si>
    <t>Litovtsev Vasiliy</t>
  </si>
  <si>
    <t>Masters 50-54</t>
  </si>
  <si>
    <t>Bichkov Igor</t>
  </si>
  <si>
    <t>Seleznev Vladimir</t>
  </si>
  <si>
    <t>Kolchev Sergey</t>
  </si>
  <si>
    <t>Gorodnichev Pavel</t>
  </si>
  <si>
    <t>Dudchik Mikhail</t>
  </si>
  <si>
    <t>WORLD POWERLIFTING CUP WPA/AWPA
AWPA raw deadlift
Russian Federation/Moscow 20-21 november 2021</t>
  </si>
  <si>
    <t>1. Yakunova Vasilisa</t>
  </si>
  <si>
    <t>Teen 13-15 (21.03.2007)/14</t>
  </si>
  <si>
    <t>51,70</t>
  </si>
  <si>
    <t>1. Vyshinskaya Elena</t>
  </si>
  <si>
    <t>Open (23.06.1983)/38</t>
  </si>
  <si>
    <t>66,40</t>
  </si>
  <si>
    <t>1. Andreev Aleksandr</t>
  </si>
  <si>
    <t>Teen 16-17 (24.12.2003)/17</t>
  </si>
  <si>
    <t>56,00</t>
  </si>
  <si>
    <t>187,5</t>
  </si>
  <si>
    <t>Seferov R.A.</t>
  </si>
  <si>
    <t>1. Lazukov Dmitriy</t>
  </si>
  <si>
    <t>Open (22.10.1983)/38</t>
  </si>
  <si>
    <t>1. Kulkov Andrey</t>
  </si>
  <si>
    <t>Open (30.04.1983)/38</t>
  </si>
  <si>
    <t>73,30</t>
  </si>
  <si>
    <t>RUS/Bryansk</t>
  </si>
  <si>
    <t>Napriyenko A.N.</t>
  </si>
  <si>
    <t>1. Markov Aleksandr</t>
  </si>
  <si>
    <t>Open (04.03.1990)/31</t>
  </si>
  <si>
    <t>81,40</t>
  </si>
  <si>
    <t>Malyutin Semen</t>
  </si>
  <si>
    <t>1. Bondarev Dmitriy</t>
  </si>
  <si>
    <t>Juniors 20-23 (10.02.2000)/21</t>
  </si>
  <si>
    <t>RUS/Balashikha</t>
  </si>
  <si>
    <t>185,0</t>
  </si>
  <si>
    <t>1. Yakubov Erik</t>
  </si>
  <si>
    <t>Open (17.08.1992)/29</t>
  </si>
  <si>
    <t>88,80</t>
  </si>
  <si>
    <t>245,0</t>
  </si>
  <si>
    <t>1. Abdulkareem Al-Isawi</t>
  </si>
  <si>
    <t>242,5</t>
  </si>
  <si>
    <t>Yakunova Vasilisa</t>
  </si>
  <si>
    <t>Vyshinskaya Elena</t>
  </si>
  <si>
    <t>Andreev Aleksandr</t>
  </si>
  <si>
    <t>Teen 16-17</t>
  </si>
  <si>
    <t>Bondarev Dmitriy</t>
  </si>
  <si>
    <t>Yakubov Erik</t>
  </si>
  <si>
    <t>Kulkov Andrey</t>
  </si>
  <si>
    <t>Lazukov Dmitriy</t>
  </si>
  <si>
    <t>Markov Aleksandr</t>
  </si>
  <si>
    <t>WORLD POWERLIFTING CUP WPA/AWPA
WPA raw powerlifting
Russian Federation/Moscow 20-21 november 2021</t>
  </si>
  <si>
    <t>1. Konkov Andrey</t>
  </si>
  <si>
    <t>Masters 40-44 (26.07.1980)/41</t>
  </si>
  <si>
    <t>99,20</t>
  </si>
  <si>
    <t>RUS/Ramenskoye</t>
  </si>
  <si>
    <t>182,5</t>
  </si>
  <si>
    <t>1. Maliev Dmitriy</t>
  </si>
  <si>
    <t>Open (07.04.1997)/24</t>
  </si>
  <si>
    <t>107,90</t>
  </si>
  <si>
    <t>Maliev Dmitriy</t>
  </si>
  <si>
    <t>Konkov Andrey</t>
  </si>
  <si>
    <t>WORLD POWERLIFTING CUP WPA/AWPA
WPA multi ply benchpress
Russian Federation/Moscow 20-21 november 2021</t>
  </si>
  <si>
    <t>1. Mirzayev Ilham</t>
  </si>
  <si>
    <t>Masters 50-54 (24.09.1970)/51</t>
  </si>
  <si>
    <t>AZE/Azerbaydzhan</t>
  </si>
  <si>
    <t>Mirzayev Ilham</t>
  </si>
  <si>
    <t>WORLD POWERLIFTING CUP WPA/AWPA
WPA standart ply benchpress
Russian Federation/Moscow 20-21 november 2021</t>
  </si>
  <si>
    <t>1. Nazgaidze Victor</t>
  </si>
  <si>
    <t>Open (19.09.1981)/40</t>
  </si>
  <si>
    <t>Nazgaidze Victor</t>
  </si>
  <si>
    <t>WORLD POWERLIFTING CUP WPA/AWPA
WPA raw benchpress
Russian Federation/Moscow 20-21 november 2021</t>
  </si>
  <si>
    <t>1. Kazarina Anna</t>
  </si>
  <si>
    <t>Open (27.01.1985)/36</t>
  </si>
  <si>
    <t>2. Dombrovskaya Inna</t>
  </si>
  <si>
    <t>Open (10.03.1983)/38</t>
  </si>
  <si>
    <t>63,70</t>
  </si>
  <si>
    <t>RUS/Saratov</t>
  </si>
  <si>
    <t>1. Vasilev Roman</t>
  </si>
  <si>
    <t>Open (10.02.1973)/48</t>
  </si>
  <si>
    <t>RUS/Petrozavodsk</t>
  </si>
  <si>
    <t>1. Artyakov Mikhail</t>
  </si>
  <si>
    <t>Open (30.03.1989)/32</t>
  </si>
  <si>
    <t>95,60</t>
  </si>
  <si>
    <t>Kazarina Anna</t>
  </si>
  <si>
    <t>Dombrovskaya Inna</t>
  </si>
  <si>
    <t>Vasilev Roman</t>
  </si>
  <si>
    <t>Artyakov Mikhail</t>
  </si>
  <si>
    <t>WORLD POWERLIFTING CUP WPA/AWPA
WPA raw deadlift
Russian Federation/Moscow 20-21 november 2021</t>
  </si>
  <si>
    <t>1. Misiyuk Vyacheslav</t>
  </si>
  <si>
    <t>Open (11.11.1984)/37</t>
  </si>
  <si>
    <t>RUS/Dorogobuzh</t>
  </si>
  <si>
    <t>252,5</t>
  </si>
  <si>
    <t>1. Karpov Evgeniy</t>
  </si>
  <si>
    <t>Masters 65-69 (18.07.1956)/65</t>
  </si>
  <si>
    <t>RUS/Dzerzhinsk</t>
  </si>
  <si>
    <t>1. Zhdanov Evgeniy</t>
  </si>
  <si>
    <t>Open (11.10.1991)/30</t>
  </si>
  <si>
    <t>RUS/Shchelkovo</t>
  </si>
  <si>
    <t>2. Esaulov Vladimir</t>
  </si>
  <si>
    <t>Masters 60-64 (22.07.1960)/61</t>
  </si>
  <si>
    <t>91,00</t>
  </si>
  <si>
    <t>1. Battakhov Petr</t>
  </si>
  <si>
    <t>Masters 65-69 (21.04.1952)/69</t>
  </si>
  <si>
    <t>RUS/Yakutsk</t>
  </si>
  <si>
    <t>1. Nefedov Sergey</t>
  </si>
  <si>
    <t>Masters 40-44 (14.06.1980)/41</t>
  </si>
  <si>
    <t>100,90</t>
  </si>
  <si>
    <t>1. Vitkevich Nikolay</t>
  </si>
  <si>
    <t>Open (27.09.1965)/56</t>
  </si>
  <si>
    <t>120,80</t>
  </si>
  <si>
    <t>Masters 55-59 (27.09.1965)/56</t>
  </si>
  <si>
    <t>1. Lukyanov Sergey</t>
  </si>
  <si>
    <t>Masters 65-69 (25.10.1955)/66</t>
  </si>
  <si>
    <t>122,20</t>
  </si>
  <si>
    <t>Misiyuk Vyacheslav</t>
  </si>
  <si>
    <t>Zhdanov Evgeniy</t>
  </si>
  <si>
    <t>Vitkevich Nikolay</t>
  </si>
  <si>
    <t>Battakhov Petr</t>
  </si>
  <si>
    <t>Masters 65-69</t>
  </si>
  <si>
    <t>Lukyanov Sergey</t>
  </si>
  <si>
    <t>Esaulov Vladimir</t>
  </si>
  <si>
    <t>Karpov Evgeniy</t>
  </si>
  <si>
    <t>Nefedov Sergey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</si>
</sst>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trike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7" fillId="0" borderId="8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6"/>
  <sheetViews>
    <sheetView workbookViewId="0">
      <selection activeCell="D3" sqref="D3:D4"/>
    </sheetView>
  </sheetViews>
  <sheetFormatPr defaultColWidth="9.140625" defaultRowHeight="12.75" x14ac:dyDescent="0.2"/>
  <cols>
    <col min="1" max="1" width="24.85546875" style="4" customWidth="1"/>
    <col min="2" max="2" width="26.28515625" style="3" customWidth="1"/>
    <col min="3" max="3" width="7.5703125" style="3" customWidth="1"/>
    <col min="4" max="4" width="19.7109375" style="4" customWidth="1"/>
    <col min="5" max="7" width="5.5703125" style="3" customWidth="1"/>
    <col min="8" max="8" width="4.7109375" style="3" customWidth="1"/>
    <col min="9" max="11" width="5.5703125" style="3" customWidth="1"/>
    <col min="12" max="12" width="4.7109375" style="3" customWidth="1"/>
    <col min="13" max="15" width="5.5703125" style="3" customWidth="1"/>
    <col min="16" max="16" width="4.7109375" style="3" customWidth="1"/>
    <col min="17" max="17" width="5.7109375" style="5" customWidth="1"/>
    <col min="18" max="18" width="8.5703125" style="6" customWidth="1"/>
    <col min="19" max="19" width="13.7109375" style="4" customWidth="1"/>
    <col min="20" max="16384" width="9.140625" style="7"/>
  </cols>
  <sheetData>
    <row r="1" spans="1:19" s="1" customFormat="1" ht="28.9" customHeight="1" x14ac:dyDescent="0.2">
      <c r="A1" s="46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208</v>
      </c>
      <c r="F3" s="37"/>
      <c r="G3" s="37"/>
      <c r="H3" s="37"/>
      <c r="I3" s="37" t="s">
        <v>5</v>
      </c>
      <c r="J3" s="37"/>
      <c r="K3" s="37"/>
      <c r="L3" s="37"/>
      <c r="M3" s="37" t="s">
        <v>209</v>
      </c>
      <c r="N3" s="37"/>
      <c r="O3" s="37"/>
      <c r="P3" s="37"/>
      <c r="Q3" s="37" t="s">
        <v>210</v>
      </c>
      <c r="R3" s="37" t="s">
        <v>7</v>
      </c>
      <c r="S3" s="44" t="s">
        <v>8</v>
      </c>
    </row>
    <row r="4" spans="1:19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8">
        <v>1</v>
      </c>
      <c r="J4" s="8">
        <v>2</v>
      </c>
      <c r="K4" s="8">
        <v>3</v>
      </c>
      <c r="L4" s="8" t="s">
        <v>9</v>
      </c>
      <c r="M4" s="8">
        <v>1</v>
      </c>
      <c r="N4" s="8">
        <v>2</v>
      </c>
      <c r="O4" s="8">
        <v>3</v>
      </c>
      <c r="P4" s="8" t="s">
        <v>9</v>
      </c>
      <c r="Q4" s="43"/>
      <c r="R4" s="43"/>
      <c r="S4" s="45"/>
    </row>
    <row r="5" spans="1:19" s="3" customFormat="1" ht="15" x14ac:dyDescent="0.2">
      <c r="A5" s="38" t="s">
        <v>211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"/>
      <c r="R5" s="6"/>
      <c r="S5" s="4"/>
    </row>
    <row r="6" spans="1:19" s="3" customFormat="1" x14ac:dyDescent="0.2">
      <c r="A6" s="9" t="s">
        <v>212</v>
      </c>
      <c r="B6" s="10" t="s">
        <v>213</v>
      </c>
      <c r="C6" s="10" t="s">
        <v>214</v>
      </c>
      <c r="D6" s="9" t="s">
        <v>215</v>
      </c>
      <c r="E6" s="10" t="s">
        <v>132</v>
      </c>
      <c r="F6" s="10" t="s">
        <v>216</v>
      </c>
      <c r="G6" s="10" t="s">
        <v>217</v>
      </c>
      <c r="H6" s="25"/>
      <c r="I6" s="10" t="s">
        <v>163</v>
      </c>
      <c r="J6" s="10" t="s">
        <v>158</v>
      </c>
      <c r="K6" s="25" t="s">
        <v>168</v>
      </c>
      <c r="L6" s="25"/>
      <c r="M6" s="10" t="s">
        <v>132</v>
      </c>
      <c r="N6" s="10" t="s">
        <v>216</v>
      </c>
      <c r="O6" s="10" t="s">
        <v>218</v>
      </c>
      <c r="P6" s="25"/>
      <c r="Q6" s="26" t="str">
        <f>"275,0"</f>
        <v>275,0</v>
      </c>
      <c r="R6" s="27" t="str">
        <f>"271,4800"</f>
        <v>271,4800</v>
      </c>
      <c r="S6" s="9"/>
    </row>
    <row r="7" spans="1:19" s="3" customFormat="1" x14ac:dyDescent="0.2">
      <c r="A7" s="4"/>
      <c r="D7" s="4"/>
      <c r="Q7" s="5"/>
      <c r="R7" s="6"/>
      <c r="S7" s="4"/>
    </row>
    <row r="8" spans="1:19" ht="15" x14ac:dyDescent="0.2">
      <c r="A8" s="52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9" x14ac:dyDescent="0.2">
      <c r="A9" s="9" t="s">
        <v>219</v>
      </c>
      <c r="B9" s="10" t="s">
        <v>220</v>
      </c>
      <c r="C9" s="10" t="s">
        <v>221</v>
      </c>
      <c r="D9" s="9" t="s">
        <v>29</v>
      </c>
      <c r="E9" s="25" t="s">
        <v>222</v>
      </c>
      <c r="F9" s="10" t="s">
        <v>222</v>
      </c>
      <c r="G9" s="10" t="s">
        <v>223</v>
      </c>
      <c r="H9" s="25"/>
      <c r="I9" s="25" t="s">
        <v>143</v>
      </c>
      <c r="J9" s="10" t="s">
        <v>156</v>
      </c>
      <c r="K9" s="25" t="s">
        <v>224</v>
      </c>
      <c r="L9" s="25"/>
      <c r="M9" s="25" t="s">
        <v>222</v>
      </c>
      <c r="N9" s="10" t="s">
        <v>222</v>
      </c>
      <c r="O9" s="10" t="s">
        <v>223</v>
      </c>
      <c r="P9" s="25"/>
      <c r="Q9" s="26" t="str">
        <f>"207,5"</f>
        <v>207,5</v>
      </c>
      <c r="R9" s="27" t="str">
        <f>"175,0885"</f>
        <v>175,0885</v>
      </c>
      <c r="S9" s="9"/>
    </row>
    <row r="11" spans="1:19" ht="15" x14ac:dyDescent="0.2">
      <c r="A11" s="52" t="s">
        <v>192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9" x14ac:dyDescent="0.2">
      <c r="A12" s="9" t="s">
        <v>225</v>
      </c>
      <c r="B12" s="10" t="s">
        <v>226</v>
      </c>
      <c r="C12" s="10" t="s">
        <v>227</v>
      </c>
      <c r="D12" s="9" t="s">
        <v>29</v>
      </c>
      <c r="E12" s="25" t="s">
        <v>216</v>
      </c>
      <c r="F12" s="10" t="s">
        <v>217</v>
      </c>
      <c r="G12" s="10" t="s">
        <v>228</v>
      </c>
      <c r="H12" s="25"/>
      <c r="I12" s="25" t="s">
        <v>224</v>
      </c>
      <c r="J12" s="10" t="s">
        <v>224</v>
      </c>
      <c r="K12" s="25" t="s">
        <v>163</v>
      </c>
      <c r="L12" s="25"/>
      <c r="M12" s="10" t="s">
        <v>229</v>
      </c>
      <c r="N12" s="10" t="s">
        <v>217</v>
      </c>
      <c r="O12" s="10" t="s">
        <v>230</v>
      </c>
      <c r="P12" s="25"/>
      <c r="Q12" s="26" t="str">
        <f>"277,5"</f>
        <v>277,5</v>
      </c>
      <c r="R12" s="27" t="str">
        <f>"243,7005"</f>
        <v>243,7005</v>
      </c>
      <c r="S12" s="9" t="s">
        <v>231</v>
      </c>
    </row>
    <row r="14" spans="1:19" ht="15" x14ac:dyDescent="0.2">
      <c r="A14" s="52" t="s">
        <v>25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9" x14ac:dyDescent="0.2">
      <c r="A15" s="9" t="s">
        <v>232</v>
      </c>
      <c r="B15" s="10" t="s">
        <v>233</v>
      </c>
      <c r="C15" s="10" t="s">
        <v>35</v>
      </c>
      <c r="D15" s="9" t="s">
        <v>234</v>
      </c>
      <c r="E15" s="10" t="s">
        <v>132</v>
      </c>
      <c r="F15" s="10" t="s">
        <v>235</v>
      </c>
      <c r="G15" s="10" t="s">
        <v>30</v>
      </c>
      <c r="H15" s="25"/>
      <c r="I15" s="10" t="s">
        <v>217</v>
      </c>
      <c r="J15" s="10" t="s">
        <v>30</v>
      </c>
      <c r="K15" s="10" t="s">
        <v>31</v>
      </c>
      <c r="L15" s="25"/>
      <c r="M15" s="25" t="s">
        <v>132</v>
      </c>
      <c r="N15" s="10" t="s">
        <v>132</v>
      </c>
      <c r="O15" s="10" t="s">
        <v>30</v>
      </c>
      <c r="P15" s="25"/>
      <c r="Q15" s="26" t="str">
        <f>"385,0"</f>
        <v>385,0</v>
      </c>
      <c r="R15" s="27" t="str">
        <f>"282,8595"</f>
        <v>282,8595</v>
      </c>
      <c r="S15" s="9"/>
    </row>
    <row r="17" spans="1:19" ht="15" x14ac:dyDescent="0.2">
      <c r="A17" s="52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9" x14ac:dyDescent="0.2">
      <c r="A18" s="9" t="s">
        <v>236</v>
      </c>
      <c r="B18" s="10" t="s">
        <v>237</v>
      </c>
      <c r="C18" s="10" t="s">
        <v>238</v>
      </c>
      <c r="D18" s="9" t="s">
        <v>239</v>
      </c>
      <c r="E18" s="10" t="s">
        <v>240</v>
      </c>
      <c r="F18" s="10" t="s">
        <v>241</v>
      </c>
      <c r="G18" s="10" t="s">
        <v>242</v>
      </c>
      <c r="H18" s="25"/>
      <c r="I18" s="25" t="s">
        <v>132</v>
      </c>
      <c r="J18" s="10" t="s">
        <v>132</v>
      </c>
      <c r="K18" s="25"/>
      <c r="L18" s="25"/>
      <c r="M18" s="10" t="s">
        <v>243</v>
      </c>
      <c r="N18" s="10" t="s">
        <v>244</v>
      </c>
      <c r="O18" s="10" t="s">
        <v>240</v>
      </c>
      <c r="P18" s="25"/>
      <c r="Q18" s="26" t="str">
        <f>"490,0"</f>
        <v>490,0</v>
      </c>
      <c r="R18" s="27" t="str">
        <f>"306,8380"</f>
        <v>306,8380</v>
      </c>
      <c r="S18" s="9"/>
    </row>
    <row r="20" spans="1:19" ht="15" x14ac:dyDescent="0.2">
      <c r="A20" s="52" t="s">
        <v>47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</row>
    <row r="21" spans="1:19" x14ac:dyDescent="0.2">
      <c r="A21" s="12" t="s">
        <v>245</v>
      </c>
      <c r="B21" s="13" t="s">
        <v>246</v>
      </c>
      <c r="C21" s="13" t="s">
        <v>247</v>
      </c>
      <c r="D21" s="12" t="s">
        <v>234</v>
      </c>
      <c r="E21" s="13" t="s">
        <v>102</v>
      </c>
      <c r="F21" s="13" t="s">
        <v>243</v>
      </c>
      <c r="G21" s="13" t="s">
        <v>240</v>
      </c>
      <c r="H21" s="33"/>
      <c r="I21" s="13" t="s">
        <v>132</v>
      </c>
      <c r="J21" s="33" t="s">
        <v>230</v>
      </c>
      <c r="K21" s="13" t="s">
        <v>228</v>
      </c>
      <c r="L21" s="33"/>
      <c r="M21" s="13" t="s">
        <v>102</v>
      </c>
      <c r="N21" s="13" t="s">
        <v>248</v>
      </c>
      <c r="O21" s="13" t="s">
        <v>57</v>
      </c>
      <c r="P21" s="33"/>
      <c r="Q21" s="28" t="str">
        <f>"487,5"</f>
        <v>487,5</v>
      </c>
      <c r="R21" s="29" t="str">
        <f>"286,3088"</f>
        <v>286,3088</v>
      </c>
      <c r="S21" s="12"/>
    </row>
    <row r="22" spans="1:19" x14ac:dyDescent="0.2">
      <c r="A22" s="14" t="s">
        <v>249</v>
      </c>
      <c r="B22" s="15" t="s">
        <v>250</v>
      </c>
      <c r="C22" s="15" t="s">
        <v>251</v>
      </c>
      <c r="D22" s="14" t="s">
        <v>29</v>
      </c>
      <c r="E22" s="15" t="s">
        <v>57</v>
      </c>
      <c r="F22" s="15" t="s">
        <v>252</v>
      </c>
      <c r="G22" s="15" t="s">
        <v>52</v>
      </c>
      <c r="H22" s="30"/>
      <c r="I22" s="15" t="s">
        <v>102</v>
      </c>
      <c r="J22" s="30" t="s">
        <v>103</v>
      </c>
      <c r="K22" s="30" t="s">
        <v>103</v>
      </c>
      <c r="L22" s="30"/>
      <c r="M22" s="15" t="s">
        <v>53</v>
      </c>
      <c r="N22" s="15" t="s">
        <v>253</v>
      </c>
      <c r="O22" s="15" t="s">
        <v>254</v>
      </c>
      <c r="P22" s="30"/>
      <c r="Q22" s="31" t="str">
        <f>"602,5"</f>
        <v>602,5</v>
      </c>
      <c r="R22" s="32" t="str">
        <f>"353,1252"</f>
        <v>353,1252</v>
      </c>
      <c r="S22" s="14"/>
    </row>
    <row r="24" spans="1:19" ht="15" x14ac:dyDescent="0.2">
      <c r="A24" s="52" t="s">
        <v>87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9" x14ac:dyDescent="0.2">
      <c r="A25" s="9" t="s">
        <v>255</v>
      </c>
      <c r="B25" s="10" t="s">
        <v>256</v>
      </c>
      <c r="C25" s="10" t="s">
        <v>130</v>
      </c>
      <c r="D25" s="9" t="s">
        <v>234</v>
      </c>
      <c r="E25" s="25" t="s">
        <v>97</v>
      </c>
      <c r="F25" s="25" t="s">
        <v>97</v>
      </c>
      <c r="G25" s="25" t="s">
        <v>97</v>
      </c>
      <c r="H25" s="25"/>
      <c r="I25" s="25" t="s">
        <v>36</v>
      </c>
      <c r="J25" s="25"/>
      <c r="K25" s="25"/>
      <c r="L25" s="25"/>
      <c r="M25" s="25" t="s">
        <v>241</v>
      </c>
      <c r="N25" s="25"/>
      <c r="O25" s="25"/>
      <c r="P25" s="25"/>
      <c r="Q25" s="26" t="str">
        <f>"0.00"</f>
        <v>0.00</v>
      </c>
      <c r="R25" s="27" t="str">
        <f>"0,0000"</f>
        <v>0,0000</v>
      </c>
      <c r="S25" s="9"/>
    </row>
    <row r="27" spans="1:19" ht="15" x14ac:dyDescent="0.2">
      <c r="A27" s="52" t="s">
        <v>10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9" x14ac:dyDescent="0.2">
      <c r="A28" s="12" t="s">
        <v>257</v>
      </c>
      <c r="B28" s="13" t="s">
        <v>258</v>
      </c>
      <c r="C28" s="13" t="s">
        <v>259</v>
      </c>
      <c r="D28" s="12" t="s">
        <v>234</v>
      </c>
      <c r="E28" s="13" t="s">
        <v>241</v>
      </c>
      <c r="F28" s="13" t="s">
        <v>53</v>
      </c>
      <c r="G28" s="13" t="s">
        <v>260</v>
      </c>
      <c r="H28" s="33"/>
      <c r="I28" s="13" t="s">
        <v>102</v>
      </c>
      <c r="J28" s="13" t="s">
        <v>261</v>
      </c>
      <c r="K28" s="13" t="s">
        <v>262</v>
      </c>
      <c r="L28" s="33"/>
      <c r="M28" s="33" t="s">
        <v>53</v>
      </c>
      <c r="N28" s="13" t="s">
        <v>53</v>
      </c>
      <c r="O28" s="13" t="s">
        <v>263</v>
      </c>
      <c r="P28" s="33"/>
      <c r="Q28" s="28" t="str">
        <f>"640,0"</f>
        <v>640,0</v>
      </c>
      <c r="R28" s="29" t="str">
        <f>"347,9040"</f>
        <v>347,9040</v>
      </c>
      <c r="S28" s="12"/>
    </row>
    <row r="29" spans="1:19" x14ac:dyDescent="0.2">
      <c r="A29" s="14" t="s">
        <v>264</v>
      </c>
      <c r="B29" s="15" t="s">
        <v>265</v>
      </c>
      <c r="C29" s="15" t="s">
        <v>266</v>
      </c>
      <c r="D29" s="14" t="s">
        <v>267</v>
      </c>
      <c r="E29" s="15" t="s">
        <v>57</v>
      </c>
      <c r="F29" s="15" t="s">
        <v>268</v>
      </c>
      <c r="G29" s="15" t="s">
        <v>241</v>
      </c>
      <c r="H29" s="30"/>
      <c r="I29" s="15" t="s">
        <v>31</v>
      </c>
      <c r="J29" s="15" t="s">
        <v>32</v>
      </c>
      <c r="K29" s="15" t="s">
        <v>102</v>
      </c>
      <c r="L29" s="30"/>
      <c r="M29" s="15" t="s">
        <v>241</v>
      </c>
      <c r="N29" s="15" t="s">
        <v>52</v>
      </c>
      <c r="O29" s="15" t="s">
        <v>59</v>
      </c>
      <c r="P29" s="30"/>
      <c r="Q29" s="31" t="str">
        <f>"575,0"</f>
        <v>575,0</v>
      </c>
      <c r="R29" s="32" t="str">
        <f>"310,0975"</f>
        <v>310,0975</v>
      </c>
      <c r="S29" s="14"/>
    </row>
    <row r="31" spans="1:19" ht="15" x14ac:dyDescent="0.2">
      <c r="A31" s="52" t="s">
        <v>269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9" x14ac:dyDescent="0.2">
      <c r="A32" s="9" t="s">
        <v>270</v>
      </c>
      <c r="B32" s="10" t="s">
        <v>271</v>
      </c>
      <c r="C32" s="10" t="s">
        <v>272</v>
      </c>
      <c r="D32" s="9" t="s">
        <v>234</v>
      </c>
      <c r="E32" s="10" t="s">
        <v>241</v>
      </c>
      <c r="F32" s="10" t="s">
        <v>242</v>
      </c>
      <c r="G32" s="25" t="s">
        <v>59</v>
      </c>
      <c r="H32" s="25"/>
      <c r="I32" s="10" t="s">
        <v>102</v>
      </c>
      <c r="J32" s="10" t="s">
        <v>261</v>
      </c>
      <c r="K32" s="25" t="s">
        <v>262</v>
      </c>
      <c r="L32" s="25"/>
      <c r="M32" s="10" t="s">
        <v>241</v>
      </c>
      <c r="N32" s="10" t="s">
        <v>53</v>
      </c>
      <c r="O32" s="25" t="s">
        <v>43</v>
      </c>
      <c r="P32" s="25"/>
      <c r="Q32" s="26" t="str">
        <f>"595,0"</f>
        <v>595,0</v>
      </c>
      <c r="R32" s="27" t="str">
        <f>"305,7705"</f>
        <v>305,7705</v>
      </c>
      <c r="S32" s="9"/>
    </row>
    <row r="42" spans="1:3" ht="18" x14ac:dyDescent="0.25">
      <c r="A42" s="18" t="s">
        <v>17</v>
      </c>
      <c r="B42" s="19"/>
    </row>
    <row r="43" spans="1:3" ht="15" x14ac:dyDescent="0.2">
      <c r="A43" s="20" t="s">
        <v>68</v>
      </c>
      <c r="B43" s="11"/>
    </row>
    <row r="44" spans="1:3" ht="14.25" x14ac:dyDescent="0.2">
      <c r="A44" s="21"/>
      <c r="B44" s="22" t="s">
        <v>273</v>
      </c>
    </row>
    <row r="45" spans="1:3" ht="15" x14ac:dyDescent="0.2">
      <c r="A45" s="23" t="s">
        <v>1</v>
      </c>
      <c r="B45" s="23" t="s">
        <v>20</v>
      </c>
      <c r="C45" s="23" t="s">
        <v>21</v>
      </c>
    </row>
    <row r="46" spans="1:3" x14ac:dyDescent="0.2">
      <c r="A46" s="24" t="s">
        <v>274</v>
      </c>
      <c r="B46" s="3" t="s">
        <v>275</v>
      </c>
      <c r="C46" s="3" t="s">
        <v>70</v>
      </c>
    </row>
    <row r="48" spans="1:3" ht="14.25" x14ac:dyDescent="0.2">
      <c r="A48" s="21"/>
      <c r="B48" s="22" t="s">
        <v>19</v>
      </c>
    </row>
    <row r="49" spans="1:3" ht="15" x14ac:dyDescent="0.2">
      <c r="A49" s="23" t="s">
        <v>1</v>
      </c>
      <c r="B49" s="23" t="s">
        <v>20</v>
      </c>
      <c r="C49" s="23" t="s">
        <v>21</v>
      </c>
    </row>
    <row r="50" spans="1:3" x14ac:dyDescent="0.2">
      <c r="A50" s="24" t="s">
        <v>277</v>
      </c>
      <c r="B50" s="3" t="s">
        <v>19</v>
      </c>
      <c r="C50" s="3" t="s">
        <v>278</v>
      </c>
    </row>
    <row r="53" spans="1:3" ht="15" x14ac:dyDescent="0.2">
      <c r="A53" s="20" t="s">
        <v>18</v>
      </c>
      <c r="B53" s="11"/>
    </row>
    <row r="54" spans="1:3" ht="14.25" x14ac:dyDescent="0.2">
      <c r="A54" s="21"/>
      <c r="B54" s="22" t="s">
        <v>125</v>
      </c>
    </row>
    <row r="55" spans="1:3" ht="15" x14ac:dyDescent="0.2">
      <c r="A55" s="23" t="s">
        <v>1</v>
      </c>
      <c r="B55" s="23" t="s">
        <v>20</v>
      </c>
      <c r="C55" s="23" t="s">
        <v>21</v>
      </c>
    </row>
    <row r="56" spans="1:3" x14ac:dyDescent="0.2">
      <c r="A56" s="24" t="s">
        <v>279</v>
      </c>
      <c r="B56" s="3" t="s">
        <v>280</v>
      </c>
      <c r="C56" s="3" t="s">
        <v>134</v>
      </c>
    </row>
    <row r="57" spans="1:3" x14ac:dyDescent="0.2">
      <c r="A57" s="24" t="s">
        <v>281</v>
      </c>
      <c r="B57" s="3" t="s">
        <v>282</v>
      </c>
      <c r="C57" s="3" t="s">
        <v>203</v>
      </c>
    </row>
    <row r="59" spans="1:3" ht="14.25" x14ac:dyDescent="0.2">
      <c r="A59" s="21"/>
      <c r="B59" s="22" t="s">
        <v>19</v>
      </c>
    </row>
    <row r="60" spans="1:3" ht="15" x14ac:dyDescent="0.2">
      <c r="A60" s="23" t="s">
        <v>1</v>
      </c>
      <c r="B60" s="23" t="s">
        <v>20</v>
      </c>
      <c r="C60" s="23" t="s">
        <v>21</v>
      </c>
    </row>
    <row r="61" spans="1:3" x14ac:dyDescent="0.2">
      <c r="A61" s="24" t="s">
        <v>283</v>
      </c>
      <c r="B61" s="3" t="s">
        <v>19</v>
      </c>
      <c r="C61" s="3" t="s">
        <v>134</v>
      </c>
    </row>
    <row r="62" spans="1:3" x14ac:dyDescent="0.2">
      <c r="A62" s="24" t="s">
        <v>284</v>
      </c>
      <c r="B62" s="3" t="s">
        <v>19</v>
      </c>
      <c r="C62" s="3" t="s">
        <v>23</v>
      </c>
    </row>
    <row r="63" spans="1:3" x14ac:dyDescent="0.2">
      <c r="A63" s="24" t="s">
        <v>285</v>
      </c>
      <c r="B63" s="3" t="s">
        <v>19</v>
      </c>
      <c r="C63" s="3" t="s">
        <v>23</v>
      </c>
    </row>
    <row r="64" spans="1:3" x14ac:dyDescent="0.2">
      <c r="A64" s="24" t="s">
        <v>286</v>
      </c>
      <c r="B64" s="3" t="s">
        <v>19</v>
      </c>
      <c r="C64" s="3" t="s">
        <v>75</v>
      </c>
    </row>
    <row r="65" spans="1:3" x14ac:dyDescent="0.2">
      <c r="A65" s="24" t="s">
        <v>287</v>
      </c>
      <c r="B65" s="3" t="s">
        <v>19</v>
      </c>
      <c r="C65" s="3" t="s">
        <v>288</v>
      </c>
    </row>
    <row r="66" spans="1:3" x14ac:dyDescent="0.2">
      <c r="A66" s="24" t="s">
        <v>289</v>
      </c>
      <c r="B66" s="3" t="s">
        <v>19</v>
      </c>
      <c r="C66" s="3" t="s">
        <v>70</v>
      </c>
    </row>
  </sheetData>
  <mergeCells count="20">
    <mergeCell ref="Q3:Q4"/>
    <mergeCell ref="R3:R4"/>
    <mergeCell ref="S3:S4"/>
    <mergeCell ref="A1:S2"/>
    <mergeCell ref="A27:P27"/>
    <mergeCell ref="A31:P31"/>
    <mergeCell ref="A3:A4"/>
    <mergeCell ref="B3:B4"/>
    <mergeCell ref="C3:C4"/>
    <mergeCell ref="D3:D4"/>
    <mergeCell ref="A11:P11"/>
    <mergeCell ref="A14:P14"/>
    <mergeCell ref="A17:P17"/>
    <mergeCell ref="A20:P20"/>
    <mergeCell ref="A24:P24"/>
    <mergeCell ref="E3:H3"/>
    <mergeCell ref="I3:L3"/>
    <mergeCell ref="M3:P3"/>
    <mergeCell ref="A5:P5"/>
    <mergeCell ref="A8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7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5.28515625" style="4" customWidth="1"/>
    <col min="5" max="7" width="5.5703125" style="3" customWidth="1"/>
    <col min="8" max="8" width="4.7109375" style="3" customWidth="1"/>
    <col min="9" max="9" width="5.7109375" style="5" customWidth="1"/>
    <col min="10" max="10" width="8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523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209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47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12" t="s">
        <v>524</v>
      </c>
      <c r="B6" s="13" t="s">
        <v>525</v>
      </c>
      <c r="C6" s="13" t="s">
        <v>356</v>
      </c>
      <c r="D6" s="12" t="s">
        <v>526</v>
      </c>
      <c r="E6" s="33" t="s">
        <v>97</v>
      </c>
      <c r="F6" s="13" t="s">
        <v>527</v>
      </c>
      <c r="G6" s="13" t="s">
        <v>44</v>
      </c>
      <c r="H6" s="33"/>
      <c r="I6" s="28" t="str">
        <f>"260,0"</f>
        <v>260,0</v>
      </c>
      <c r="J6" s="29" t="str">
        <f>"153,8680"</f>
        <v>153,8680</v>
      </c>
      <c r="K6" s="12"/>
    </row>
    <row r="7" spans="1:11" s="3" customFormat="1" x14ac:dyDescent="0.2">
      <c r="A7" s="14" t="s">
        <v>528</v>
      </c>
      <c r="B7" s="15" t="s">
        <v>529</v>
      </c>
      <c r="C7" s="15" t="s">
        <v>359</v>
      </c>
      <c r="D7" s="14" t="s">
        <v>530</v>
      </c>
      <c r="E7" s="30" t="s">
        <v>31</v>
      </c>
      <c r="F7" s="15" t="s">
        <v>38</v>
      </c>
      <c r="G7" s="15" t="s">
        <v>103</v>
      </c>
      <c r="H7" s="30"/>
      <c r="I7" s="31" t="str">
        <f>"155,0"</f>
        <v>155,0</v>
      </c>
      <c r="J7" s="32" t="str">
        <f>"175,7328"</f>
        <v>175,7328</v>
      </c>
      <c r="K7" s="14"/>
    </row>
    <row r="9" spans="1:11" ht="15" x14ac:dyDescent="0.2">
      <c r="A9" s="52" t="s">
        <v>87</v>
      </c>
      <c r="B9" s="53"/>
      <c r="C9" s="53"/>
      <c r="D9" s="53"/>
      <c r="E9" s="53"/>
      <c r="F9" s="53"/>
      <c r="G9" s="53"/>
      <c r="H9" s="53"/>
    </row>
    <row r="10" spans="1:11" x14ac:dyDescent="0.2">
      <c r="A10" s="12" t="s">
        <v>531</v>
      </c>
      <c r="B10" s="13" t="s">
        <v>532</v>
      </c>
      <c r="C10" s="13" t="s">
        <v>518</v>
      </c>
      <c r="D10" s="12" t="s">
        <v>533</v>
      </c>
      <c r="E10" s="13" t="s">
        <v>263</v>
      </c>
      <c r="F10" s="13" t="s">
        <v>43</v>
      </c>
      <c r="G10" s="33" t="s">
        <v>84</v>
      </c>
      <c r="H10" s="33"/>
      <c r="I10" s="28" t="str">
        <f>"240,0"</f>
        <v>240,0</v>
      </c>
      <c r="J10" s="29" t="str">
        <f>"135,8400"</f>
        <v>135,8400</v>
      </c>
      <c r="K10" s="12"/>
    </row>
    <row r="11" spans="1:11" x14ac:dyDescent="0.2">
      <c r="A11" s="16" t="s">
        <v>98</v>
      </c>
      <c r="B11" s="17" t="s">
        <v>99</v>
      </c>
      <c r="C11" s="17" t="s">
        <v>100</v>
      </c>
      <c r="D11" s="16" t="s">
        <v>101</v>
      </c>
      <c r="E11" s="17" t="s">
        <v>268</v>
      </c>
      <c r="F11" s="17" t="s">
        <v>52</v>
      </c>
      <c r="G11" s="17" t="s">
        <v>59</v>
      </c>
      <c r="H11" s="34"/>
      <c r="I11" s="35" t="str">
        <f>"225,0"</f>
        <v>225,0</v>
      </c>
      <c r="J11" s="36" t="str">
        <f>"232,4723"</f>
        <v>232,4723</v>
      </c>
      <c r="K11" s="16"/>
    </row>
    <row r="12" spans="1:11" x14ac:dyDescent="0.2">
      <c r="A12" s="16" t="s">
        <v>534</v>
      </c>
      <c r="B12" s="17" t="s">
        <v>535</v>
      </c>
      <c r="C12" s="17" t="s">
        <v>536</v>
      </c>
      <c r="D12" s="16" t="s">
        <v>530</v>
      </c>
      <c r="E12" s="17" t="s">
        <v>244</v>
      </c>
      <c r="F12" s="17" t="s">
        <v>241</v>
      </c>
      <c r="G12" s="34" t="s">
        <v>263</v>
      </c>
      <c r="H12" s="34"/>
      <c r="I12" s="35" t="str">
        <f>"200,0"</f>
        <v>200,0</v>
      </c>
      <c r="J12" s="36" t="str">
        <f>"197,7100"</f>
        <v>197,7100</v>
      </c>
      <c r="K12" s="16"/>
    </row>
    <row r="13" spans="1:11" x14ac:dyDescent="0.2">
      <c r="A13" s="14" t="s">
        <v>537</v>
      </c>
      <c r="B13" s="15" t="s">
        <v>538</v>
      </c>
      <c r="C13" s="15" t="s">
        <v>371</v>
      </c>
      <c r="D13" s="14" t="s">
        <v>539</v>
      </c>
      <c r="E13" s="15" t="s">
        <v>244</v>
      </c>
      <c r="F13" s="15" t="s">
        <v>57</v>
      </c>
      <c r="G13" s="30" t="s">
        <v>241</v>
      </c>
      <c r="H13" s="30"/>
      <c r="I13" s="31" t="str">
        <f>"190,0"</f>
        <v>190,0</v>
      </c>
      <c r="J13" s="32" t="str">
        <f>"216,7398"</f>
        <v>216,7398</v>
      </c>
      <c r="K13" s="14"/>
    </row>
    <row r="15" spans="1:11" ht="15" x14ac:dyDescent="0.2">
      <c r="A15" s="52" t="s">
        <v>10</v>
      </c>
      <c r="B15" s="53"/>
      <c r="C15" s="53"/>
      <c r="D15" s="53"/>
      <c r="E15" s="53"/>
      <c r="F15" s="53"/>
      <c r="G15" s="53"/>
      <c r="H15" s="53"/>
    </row>
    <row r="16" spans="1:11" x14ac:dyDescent="0.2">
      <c r="A16" s="9" t="s">
        <v>540</v>
      </c>
      <c r="B16" s="10" t="s">
        <v>541</v>
      </c>
      <c r="C16" s="10" t="s">
        <v>542</v>
      </c>
      <c r="D16" s="9" t="s">
        <v>469</v>
      </c>
      <c r="E16" s="10" t="s">
        <v>240</v>
      </c>
      <c r="F16" s="10" t="s">
        <v>242</v>
      </c>
      <c r="G16" s="10" t="s">
        <v>263</v>
      </c>
      <c r="H16" s="25"/>
      <c r="I16" s="26" t="str">
        <f>"230,0"</f>
        <v>230,0</v>
      </c>
      <c r="J16" s="27" t="str">
        <f>"127,3178"</f>
        <v>127,3178</v>
      </c>
      <c r="K16" s="9"/>
    </row>
    <row r="18" spans="1:11" ht="15" x14ac:dyDescent="0.2">
      <c r="A18" s="52" t="s">
        <v>60</v>
      </c>
      <c r="B18" s="53"/>
      <c r="C18" s="53"/>
      <c r="D18" s="53"/>
      <c r="E18" s="53"/>
      <c r="F18" s="53"/>
      <c r="G18" s="53"/>
      <c r="H18" s="53"/>
    </row>
    <row r="19" spans="1:11" x14ac:dyDescent="0.2">
      <c r="A19" s="12" t="s">
        <v>543</v>
      </c>
      <c r="B19" s="13" t="s">
        <v>544</v>
      </c>
      <c r="C19" s="13" t="s">
        <v>545</v>
      </c>
      <c r="D19" s="12" t="s">
        <v>461</v>
      </c>
      <c r="E19" s="13" t="s">
        <v>53</v>
      </c>
      <c r="F19" s="13" t="s">
        <v>43</v>
      </c>
      <c r="G19" s="13" t="s">
        <v>97</v>
      </c>
      <c r="H19" s="33"/>
      <c r="I19" s="28" t="str">
        <f>"250,0"</f>
        <v>250,0</v>
      </c>
      <c r="J19" s="29" t="str">
        <f>"131,5500"</f>
        <v>131,5500</v>
      </c>
      <c r="K19" s="12"/>
    </row>
    <row r="20" spans="1:11" x14ac:dyDescent="0.2">
      <c r="A20" s="16" t="s">
        <v>543</v>
      </c>
      <c r="B20" s="17" t="s">
        <v>546</v>
      </c>
      <c r="C20" s="17" t="s">
        <v>545</v>
      </c>
      <c r="D20" s="16" t="s">
        <v>461</v>
      </c>
      <c r="E20" s="17" t="s">
        <v>53</v>
      </c>
      <c r="F20" s="17" t="s">
        <v>43</v>
      </c>
      <c r="G20" s="17" t="s">
        <v>97</v>
      </c>
      <c r="H20" s="34"/>
      <c r="I20" s="35" t="str">
        <f>"250,0"</f>
        <v>250,0</v>
      </c>
      <c r="J20" s="36" t="str">
        <f>"188,1165"</f>
        <v>188,1165</v>
      </c>
      <c r="K20" s="16"/>
    </row>
    <row r="21" spans="1:11" x14ac:dyDescent="0.2">
      <c r="A21" s="14" t="s">
        <v>547</v>
      </c>
      <c r="B21" s="15" t="s">
        <v>548</v>
      </c>
      <c r="C21" s="15" t="s">
        <v>549</v>
      </c>
      <c r="D21" s="14" t="s">
        <v>29</v>
      </c>
      <c r="E21" s="15" t="s">
        <v>470</v>
      </c>
      <c r="F21" s="15" t="s">
        <v>241</v>
      </c>
      <c r="G21" s="30" t="s">
        <v>394</v>
      </c>
      <c r="H21" s="30"/>
      <c r="I21" s="31" t="str">
        <f>"200,0"</f>
        <v>200,0</v>
      </c>
      <c r="J21" s="32" t="str">
        <f>"206,7318"</f>
        <v>206,7318</v>
      </c>
      <c r="K21" s="14"/>
    </row>
    <row r="31" spans="1:11" ht="18" x14ac:dyDescent="0.25">
      <c r="A31" s="18" t="s">
        <v>17</v>
      </c>
      <c r="B31" s="19"/>
    </row>
    <row r="32" spans="1:11" ht="15" x14ac:dyDescent="0.2">
      <c r="A32" s="20" t="s">
        <v>18</v>
      </c>
      <c r="B32" s="11"/>
    </row>
    <row r="33" spans="1:3" ht="14.25" x14ac:dyDescent="0.2">
      <c r="A33" s="21"/>
      <c r="B33" s="22" t="s">
        <v>19</v>
      </c>
    </row>
    <row r="34" spans="1:3" ht="15" x14ac:dyDescent="0.2">
      <c r="A34" s="23" t="s">
        <v>1</v>
      </c>
      <c r="B34" s="23" t="s">
        <v>20</v>
      </c>
      <c r="C34" s="23" t="s">
        <v>21</v>
      </c>
    </row>
    <row r="35" spans="1:3" x14ac:dyDescent="0.2">
      <c r="A35" s="24" t="s">
        <v>550</v>
      </c>
      <c r="B35" s="3" t="s">
        <v>19</v>
      </c>
      <c r="C35" s="3" t="s">
        <v>134</v>
      </c>
    </row>
    <row r="36" spans="1:3" x14ac:dyDescent="0.2">
      <c r="A36" s="24" t="s">
        <v>551</v>
      </c>
      <c r="B36" s="3" t="s">
        <v>19</v>
      </c>
      <c r="C36" s="3" t="s">
        <v>118</v>
      </c>
    </row>
    <row r="37" spans="1:3" x14ac:dyDescent="0.2">
      <c r="A37" s="24" t="s">
        <v>552</v>
      </c>
      <c r="B37" s="3" t="s">
        <v>19</v>
      </c>
      <c r="C37" s="3" t="s">
        <v>79</v>
      </c>
    </row>
    <row r="39" spans="1:3" ht="14.25" x14ac:dyDescent="0.2">
      <c r="A39" s="21"/>
      <c r="B39" s="22" t="s">
        <v>71</v>
      </c>
    </row>
    <row r="40" spans="1:3" ht="15" x14ac:dyDescent="0.2">
      <c r="A40" s="23" t="s">
        <v>1</v>
      </c>
      <c r="B40" s="23" t="s">
        <v>20</v>
      </c>
      <c r="C40" s="23" t="s">
        <v>21</v>
      </c>
    </row>
    <row r="41" spans="1:3" x14ac:dyDescent="0.2">
      <c r="A41" s="24" t="s">
        <v>123</v>
      </c>
      <c r="B41" s="3" t="s">
        <v>124</v>
      </c>
      <c r="C41" s="3" t="s">
        <v>118</v>
      </c>
    </row>
    <row r="42" spans="1:3" x14ac:dyDescent="0.2">
      <c r="A42" s="24" t="s">
        <v>553</v>
      </c>
      <c r="B42" s="3" t="s">
        <v>554</v>
      </c>
      <c r="C42" s="3" t="s">
        <v>118</v>
      </c>
    </row>
    <row r="43" spans="1:3" x14ac:dyDescent="0.2">
      <c r="A43" s="24" t="s">
        <v>555</v>
      </c>
      <c r="B43" s="3" t="s">
        <v>554</v>
      </c>
      <c r="C43" s="3" t="s">
        <v>79</v>
      </c>
    </row>
    <row r="44" spans="1:3" x14ac:dyDescent="0.2">
      <c r="A44" s="24" t="s">
        <v>556</v>
      </c>
      <c r="B44" s="3" t="s">
        <v>124</v>
      </c>
      <c r="C44" s="3" t="s">
        <v>118</v>
      </c>
    </row>
    <row r="45" spans="1:3" x14ac:dyDescent="0.2">
      <c r="A45" s="24" t="s">
        <v>552</v>
      </c>
      <c r="B45" s="3" t="s">
        <v>73</v>
      </c>
      <c r="C45" s="3" t="s">
        <v>79</v>
      </c>
    </row>
    <row r="46" spans="1:3" x14ac:dyDescent="0.2">
      <c r="A46" s="24" t="s">
        <v>557</v>
      </c>
      <c r="B46" s="3" t="s">
        <v>554</v>
      </c>
      <c r="C46" s="3" t="s">
        <v>134</v>
      </c>
    </row>
    <row r="47" spans="1:3" x14ac:dyDescent="0.2">
      <c r="A47" s="24" t="s">
        <v>558</v>
      </c>
      <c r="B47" s="3" t="s">
        <v>121</v>
      </c>
      <c r="C47" s="3" t="s">
        <v>23</v>
      </c>
    </row>
  </sheetData>
  <mergeCells count="13">
    <mergeCell ref="I3:I4"/>
    <mergeCell ref="J3:J4"/>
    <mergeCell ref="K3:K4"/>
    <mergeCell ref="A1:K2"/>
    <mergeCell ref="E3:H3"/>
    <mergeCell ref="A5:H5"/>
    <mergeCell ref="A9:H9"/>
    <mergeCell ref="A15:H15"/>
    <mergeCell ref="A18:H18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5.5703125" style="4" customWidth="1"/>
    <col min="5" max="7" width="4.5703125" style="3" customWidth="1"/>
    <col min="8" max="8" width="4.7109375" style="3" customWidth="1"/>
    <col min="9" max="9" width="5.7109375" style="5" customWidth="1"/>
    <col min="10" max="10" width="7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135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136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25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137</v>
      </c>
      <c r="B6" s="10" t="s">
        <v>138</v>
      </c>
      <c r="C6" s="10" t="s">
        <v>139</v>
      </c>
      <c r="D6" s="9" t="s">
        <v>140</v>
      </c>
      <c r="E6" s="10" t="s">
        <v>141</v>
      </c>
      <c r="F6" s="10" t="s">
        <v>142</v>
      </c>
      <c r="G6" s="25" t="s">
        <v>143</v>
      </c>
      <c r="H6" s="25"/>
      <c r="I6" s="26" t="str">
        <f>"35,0"</f>
        <v>35,0</v>
      </c>
      <c r="J6" s="27" t="str">
        <f>"29,0185"</f>
        <v>29,0185</v>
      </c>
      <c r="K6" s="9"/>
    </row>
    <row r="7" spans="1:11" s="3" customFormat="1" x14ac:dyDescent="0.2">
      <c r="A7" s="4"/>
      <c r="D7" s="4"/>
      <c r="I7" s="5"/>
      <c r="J7" s="6"/>
      <c r="K7" s="4"/>
    </row>
    <row r="8" spans="1:11" ht="15" x14ac:dyDescent="0.2">
      <c r="A8" s="52" t="s">
        <v>127</v>
      </c>
      <c r="B8" s="53"/>
      <c r="C8" s="53"/>
      <c r="D8" s="53"/>
      <c r="E8" s="53"/>
      <c r="F8" s="53"/>
      <c r="G8" s="53"/>
      <c r="H8" s="53"/>
    </row>
    <row r="9" spans="1:11" x14ac:dyDescent="0.2">
      <c r="A9" s="12" t="s">
        <v>144</v>
      </c>
      <c r="B9" s="13" t="s">
        <v>145</v>
      </c>
      <c r="C9" s="13" t="s">
        <v>146</v>
      </c>
      <c r="D9" s="12" t="s">
        <v>147</v>
      </c>
      <c r="E9" s="13" t="s">
        <v>148</v>
      </c>
      <c r="F9" s="33" t="s">
        <v>126</v>
      </c>
      <c r="G9" s="33" t="s">
        <v>126</v>
      </c>
      <c r="H9" s="33"/>
      <c r="I9" s="28" t="str">
        <f>"65,0"</f>
        <v>65,0</v>
      </c>
      <c r="J9" s="29" t="str">
        <f>"43,1925"</f>
        <v>43,1925</v>
      </c>
      <c r="K9" s="12"/>
    </row>
    <row r="10" spans="1:11" x14ac:dyDescent="0.2">
      <c r="A10" s="14" t="s">
        <v>144</v>
      </c>
      <c r="B10" s="15" t="s">
        <v>149</v>
      </c>
      <c r="C10" s="15" t="s">
        <v>146</v>
      </c>
      <c r="D10" s="14" t="s">
        <v>147</v>
      </c>
      <c r="E10" s="15" t="s">
        <v>148</v>
      </c>
      <c r="F10" s="30" t="s">
        <v>126</v>
      </c>
      <c r="G10" s="30" t="s">
        <v>126</v>
      </c>
      <c r="H10" s="30"/>
      <c r="I10" s="31" t="str">
        <f>"65,0"</f>
        <v>65,0</v>
      </c>
      <c r="J10" s="32" t="str">
        <f>"43,3221"</f>
        <v>43,3221</v>
      </c>
      <c r="K10" s="14"/>
    </row>
    <row r="20" spans="1:3" ht="18" x14ac:dyDescent="0.25">
      <c r="A20" s="18" t="s">
        <v>17</v>
      </c>
      <c r="B20" s="19"/>
    </row>
    <row r="21" spans="1:3" ht="15" x14ac:dyDescent="0.2">
      <c r="A21" s="20" t="s">
        <v>68</v>
      </c>
      <c r="B21" s="11"/>
    </row>
    <row r="22" spans="1:3" ht="14.25" x14ac:dyDescent="0.2">
      <c r="A22" s="21"/>
      <c r="B22" s="22" t="s">
        <v>19</v>
      </c>
    </row>
    <row r="23" spans="1:3" ht="15" x14ac:dyDescent="0.2">
      <c r="A23" s="23" t="s">
        <v>1</v>
      </c>
      <c r="B23" s="23" t="s">
        <v>20</v>
      </c>
      <c r="C23" s="23" t="s">
        <v>21</v>
      </c>
    </row>
    <row r="24" spans="1:3" x14ac:dyDescent="0.2">
      <c r="A24" s="24" t="s">
        <v>150</v>
      </c>
      <c r="B24" s="3" t="s">
        <v>19</v>
      </c>
      <c r="C24" s="3" t="s">
        <v>70</v>
      </c>
    </row>
    <row r="27" spans="1:3" ht="15" x14ac:dyDescent="0.2">
      <c r="A27" s="20" t="s">
        <v>18</v>
      </c>
      <c r="B27" s="11"/>
    </row>
    <row r="28" spans="1:3" ht="14.25" x14ac:dyDescent="0.2">
      <c r="A28" s="21"/>
      <c r="B28" s="22" t="s">
        <v>19</v>
      </c>
    </row>
    <row r="29" spans="1:3" ht="15" x14ac:dyDescent="0.2">
      <c r="A29" s="23" t="s">
        <v>1</v>
      </c>
      <c r="B29" s="23" t="s">
        <v>20</v>
      </c>
      <c r="C29" s="23" t="s">
        <v>21</v>
      </c>
    </row>
    <row r="30" spans="1:3" x14ac:dyDescent="0.2">
      <c r="A30" s="24" t="s">
        <v>151</v>
      </c>
      <c r="B30" s="3" t="s">
        <v>19</v>
      </c>
      <c r="C30" s="3" t="s">
        <v>133</v>
      </c>
    </row>
    <row r="32" spans="1:3" ht="14.25" x14ac:dyDescent="0.2">
      <c r="A32" s="21"/>
      <c r="B32" s="22" t="s">
        <v>71</v>
      </c>
    </row>
    <row r="33" spans="1:3" ht="15" x14ac:dyDescent="0.2">
      <c r="A33" s="23" t="s">
        <v>1</v>
      </c>
      <c r="B33" s="23" t="s">
        <v>20</v>
      </c>
      <c r="C33" s="23" t="s">
        <v>21</v>
      </c>
    </row>
    <row r="34" spans="1:3" x14ac:dyDescent="0.2">
      <c r="A34" s="24" t="s">
        <v>151</v>
      </c>
      <c r="B34" s="3" t="s">
        <v>121</v>
      </c>
      <c r="C34" s="3" t="s">
        <v>133</v>
      </c>
    </row>
  </sheetData>
  <mergeCells count="11">
    <mergeCell ref="I3:I4"/>
    <mergeCell ref="J3:J4"/>
    <mergeCell ref="K3:K4"/>
    <mergeCell ref="A1:K2"/>
    <mergeCell ref="E3:H3"/>
    <mergeCell ref="A5:H5"/>
    <mergeCell ref="A8:H8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A6" sqref="A6"/>
    </sheetView>
  </sheetViews>
  <sheetFormatPr defaultColWidth="9.140625" defaultRowHeight="12.75" x14ac:dyDescent="0.2"/>
  <cols>
    <col min="1" max="1" width="24.85546875" style="4" customWidth="1"/>
    <col min="2" max="2" width="19.140625" style="3" customWidth="1"/>
    <col min="3" max="3" width="7.5703125" style="3" customWidth="1"/>
    <col min="4" max="4" width="14.7109375" style="4" customWidth="1"/>
    <col min="5" max="6" width="5.5703125" style="3" customWidth="1"/>
    <col min="7" max="7" width="2.140625" style="3" customWidth="1"/>
    <col min="8" max="8" width="4.7109375" style="3" customWidth="1"/>
    <col min="9" max="9" width="5.7109375" style="5" customWidth="1"/>
    <col min="10" max="10" width="8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5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10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11</v>
      </c>
      <c r="B6" s="10" t="s">
        <v>12</v>
      </c>
      <c r="C6" s="10" t="s">
        <v>13</v>
      </c>
      <c r="D6" s="9" t="s">
        <v>14</v>
      </c>
      <c r="E6" s="10" t="s">
        <v>15</v>
      </c>
      <c r="F6" s="10" t="s">
        <v>16</v>
      </c>
      <c r="G6" s="25"/>
      <c r="H6" s="25"/>
      <c r="I6" s="26" t="str">
        <f>"407,5"</f>
        <v>407,5</v>
      </c>
      <c r="J6" s="27" t="str">
        <f>"230,0541"</f>
        <v>230,0541</v>
      </c>
      <c r="K6" s="9"/>
    </row>
    <row r="7" spans="1:11" s="3" customFormat="1" x14ac:dyDescent="0.2">
      <c r="A7" s="4"/>
      <c r="D7" s="4"/>
      <c r="I7" s="5"/>
      <c r="J7" s="6"/>
      <c r="K7" s="4"/>
    </row>
    <row r="16" spans="1:11" ht="18" x14ac:dyDescent="0.25">
      <c r="A16" s="18" t="s">
        <v>17</v>
      </c>
      <c r="B16" s="19"/>
    </row>
    <row r="17" spans="1:3" ht="15" x14ac:dyDescent="0.2">
      <c r="A17" s="20" t="s">
        <v>18</v>
      </c>
      <c r="B17" s="11"/>
    </row>
    <row r="18" spans="1:3" ht="14.25" x14ac:dyDescent="0.2">
      <c r="A18" s="21"/>
      <c r="B18" s="22" t="s">
        <v>19</v>
      </c>
    </row>
    <row r="19" spans="1:3" ht="15" x14ac:dyDescent="0.2">
      <c r="A19" s="23" t="s">
        <v>1</v>
      </c>
      <c r="B19" s="23" t="s">
        <v>20</v>
      </c>
      <c r="C19" s="23" t="s">
        <v>21</v>
      </c>
    </row>
    <row r="20" spans="1:3" x14ac:dyDescent="0.2">
      <c r="A20" s="24" t="s">
        <v>22</v>
      </c>
      <c r="B20" s="3" t="s">
        <v>19</v>
      </c>
      <c r="C20" s="3" t="s">
        <v>23</v>
      </c>
    </row>
  </sheetData>
  <mergeCells count="10">
    <mergeCell ref="I3:I4"/>
    <mergeCell ref="J3:J4"/>
    <mergeCell ref="K3:K4"/>
    <mergeCell ref="A1:K2"/>
    <mergeCell ref="E3:H3"/>
    <mergeCell ref="A5:H5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4.7109375" style="4" customWidth="1"/>
    <col min="5" max="7" width="5.5703125" style="3" customWidth="1"/>
    <col min="8" max="8" width="4.7109375" style="3" customWidth="1"/>
    <col min="9" max="9" width="5.7109375" style="5" customWidth="1"/>
    <col min="10" max="10" width="8.5703125" style="6" customWidth="1"/>
    <col min="11" max="11" width="14.7109375" style="4" customWidth="1"/>
    <col min="12" max="16384" width="9.140625" style="7"/>
  </cols>
  <sheetData>
    <row r="1" spans="1:11" s="1" customFormat="1" ht="28.9" customHeight="1" x14ac:dyDescent="0.2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5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25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12" t="s">
        <v>26</v>
      </c>
      <c r="B6" s="13" t="s">
        <v>27</v>
      </c>
      <c r="C6" s="13" t="s">
        <v>28</v>
      </c>
      <c r="D6" s="12" t="s">
        <v>29</v>
      </c>
      <c r="E6" s="13" t="s">
        <v>30</v>
      </c>
      <c r="F6" s="13" t="s">
        <v>31</v>
      </c>
      <c r="G6" s="33" t="s">
        <v>32</v>
      </c>
      <c r="H6" s="33"/>
      <c r="I6" s="28" t="str">
        <f>"135,0"</f>
        <v>135,0</v>
      </c>
      <c r="J6" s="29" t="str">
        <f>"125,8605"</f>
        <v>125,8605</v>
      </c>
      <c r="K6" s="12"/>
    </row>
    <row r="7" spans="1:11" s="3" customFormat="1" x14ac:dyDescent="0.2">
      <c r="A7" s="14" t="s">
        <v>33</v>
      </c>
      <c r="B7" s="15" t="s">
        <v>34</v>
      </c>
      <c r="C7" s="15" t="s">
        <v>35</v>
      </c>
      <c r="D7" s="14" t="s">
        <v>29</v>
      </c>
      <c r="E7" s="15" t="s">
        <v>36</v>
      </c>
      <c r="F7" s="15" t="s">
        <v>37</v>
      </c>
      <c r="G7" s="15" t="s">
        <v>38</v>
      </c>
      <c r="H7" s="30"/>
      <c r="I7" s="31" t="str">
        <f>"140,0"</f>
        <v>140,0</v>
      </c>
      <c r="J7" s="32" t="str">
        <f>"155,9192"</f>
        <v>155,9192</v>
      </c>
      <c r="K7" s="14"/>
    </row>
    <row r="9" spans="1:11" ht="15" x14ac:dyDescent="0.2">
      <c r="A9" s="52" t="s">
        <v>39</v>
      </c>
      <c r="B9" s="53"/>
      <c r="C9" s="53"/>
      <c r="D9" s="53"/>
      <c r="E9" s="53"/>
      <c r="F9" s="53"/>
      <c r="G9" s="53"/>
      <c r="H9" s="53"/>
    </row>
    <row r="10" spans="1:11" x14ac:dyDescent="0.2">
      <c r="A10" s="9" t="s">
        <v>40</v>
      </c>
      <c r="B10" s="10" t="s">
        <v>41</v>
      </c>
      <c r="C10" s="10" t="s">
        <v>42</v>
      </c>
      <c r="D10" s="9" t="s">
        <v>29</v>
      </c>
      <c r="E10" s="10" t="s">
        <v>43</v>
      </c>
      <c r="F10" s="25" t="s">
        <v>44</v>
      </c>
      <c r="G10" s="25" t="s">
        <v>45</v>
      </c>
      <c r="H10" s="25"/>
      <c r="I10" s="26" t="str">
        <f>"240,0"</f>
        <v>240,0</v>
      </c>
      <c r="J10" s="27" t="str">
        <f>"156,4440"</f>
        <v>156,4440</v>
      </c>
      <c r="K10" s="9" t="s">
        <v>46</v>
      </c>
    </row>
    <row r="12" spans="1:11" ht="15" x14ac:dyDescent="0.2">
      <c r="A12" s="52" t="s">
        <v>47</v>
      </c>
      <c r="B12" s="53"/>
      <c r="C12" s="53"/>
      <c r="D12" s="53"/>
      <c r="E12" s="53"/>
      <c r="F12" s="53"/>
      <c r="G12" s="53"/>
      <c r="H12" s="53"/>
    </row>
    <row r="13" spans="1:11" x14ac:dyDescent="0.2">
      <c r="A13" s="9" t="s">
        <v>48</v>
      </c>
      <c r="B13" s="10" t="s">
        <v>49</v>
      </c>
      <c r="C13" s="10" t="s">
        <v>50</v>
      </c>
      <c r="D13" s="9" t="s">
        <v>51</v>
      </c>
      <c r="E13" s="25" t="s">
        <v>52</v>
      </c>
      <c r="F13" s="25" t="s">
        <v>53</v>
      </c>
      <c r="G13" s="25" t="s">
        <v>53</v>
      </c>
      <c r="H13" s="25"/>
      <c r="I13" s="26" t="str">
        <f>"0.00"</f>
        <v>0.00</v>
      </c>
      <c r="J13" s="27" t="str">
        <f>"0,0000"</f>
        <v>0,0000</v>
      </c>
      <c r="K13" s="9"/>
    </row>
    <row r="15" spans="1:11" ht="15" x14ac:dyDescent="0.2">
      <c r="A15" s="52" t="s">
        <v>10</v>
      </c>
      <c r="B15" s="53"/>
      <c r="C15" s="53"/>
      <c r="D15" s="53"/>
      <c r="E15" s="53"/>
      <c r="F15" s="53"/>
      <c r="G15" s="53"/>
      <c r="H15" s="53"/>
    </row>
    <row r="16" spans="1:11" x14ac:dyDescent="0.2">
      <c r="A16" s="9" t="s">
        <v>54</v>
      </c>
      <c r="B16" s="10" t="s">
        <v>55</v>
      </c>
      <c r="C16" s="10" t="s">
        <v>56</v>
      </c>
      <c r="D16" s="9" t="s">
        <v>29</v>
      </c>
      <c r="E16" s="25" t="s">
        <v>57</v>
      </c>
      <c r="F16" s="10" t="s">
        <v>58</v>
      </c>
      <c r="G16" s="25" t="s">
        <v>59</v>
      </c>
      <c r="H16" s="25"/>
      <c r="I16" s="26" t="str">
        <f>"212,5"</f>
        <v>212,5</v>
      </c>
      <c r="J16" s="27" t="str">
        <f>"119,7756"</f>
        <v>119,7756</v>
      </c>
      <c r="K16" s="9"/>
    </row>
    <row r="18" spans="1:11" ht="15" x14ac:dyDescent="0.2">
      <c r="A18" s="52" t="s">
        <v>60</v>
      </c>
      <c r="B18" s="53"/>
      <c r="C18" s="53"/>
      <c r="D18" s="53"/>
      <c r="E18" s="53"/>
      <c r="F18" s="53"/>
      <c r="G18" s="53"/>
      <c r="H18" s="53"/>
    </row>
    <row r="19" spans="1:11" x14ac:dyDescent="0.2">
      <c r="A19" s="9" t="s">
        <v>61</v>
      </c>
      <c r="B19" s="10" t="s">
        <v>62</v>
      </c>
      <c r="C19" s="10" t="s">
        <v>63</v>
      </c>
      <c r="D19" s="9" t="s">
        <v>64</v>
      </c>
      <c r="E19" s="10" t="s">
        <v>44</v>
      </c>
      <c r="F19" s="10" t="s">
        <v>65</v>
      </c>
      <c r="G19" s="25" t="s">
        <v>66</v>
      </c>
      <c r="H19" s="25"/>
      <c r="I19" s="26" t="str">
        <f>"280,0"</f>
        <v>280,0</v>
      </c>
      <c r="J19" s="27" t="str">
        <f>"163,0165"</f>
        <v>163,0165</v>
      </c>
      <c r="K19" s="9" t="s">
        <v>67</v>
      </c>
    </row>
    <row r="29" spans="1:11" ht="18" x14ac:dyDescent="0.25">
      <c r="A29" s="18" t="s">
        <v>17</v>
      </c>
      <c r="B29" s="19"/>
    </row>
    <row r="30" spans="1:11" ht="15" x14ac:dyDescent="0.2">
      <c r="A30" s="20" t="s">
        <v>68</v>
      </c>
      <c r="B30" s="11"/>
    </row>
    <row r="31" spans="1:11" ht="14.25" x14ac:dyDescent="0.2">
      <c r="A31" s="21"/>
      <c r="B31" s="22" t="s">
        <v>19</v>
      </c>
    </row>
    <row r="32" spans="1:11" ht="15" x14ac:dyDescent="0.2">
      <c r="A32" s="23" t="s">
        <v>1</v>
      </c>
      <c r="B32" s="23" t="s">
        <v>20</v>
      </c>
      <c r="C32" s="23" t="s">
        <v>21</v>
      </c>
    </row>
    <row r="33" spans="1:3" x14ac:dyDescent="0.2">
      <c r="A33" s="24" t="s">
        <v>69</v>
      </c>
      <c r="B33" s="3" t="s">
        <v>19</v>
      </c>
      <c r="C33" s="3" t="s">
        <v>70</v>
      </c>
    </row>
    <row r="35" spans="1:3" ht="14.25" x14ac:dyDescent="0.2">
      <c r="A35" s="21"/>
      <c r="B35" s="22" t="s">
        <v>71</v>
      </c>
    </row>
    <row r="36" spans="1:3" ht="15" x14ac:dyDescent="0.2">
      <c r="A36" s="23" t="s">
        <v>1</v>
      </c>
      <c r="B36" s="23" t="s">
        <v>20</v>
      </c>
      <c r="C36" s="23" t="s">
        <v>21</v>
      </c>
    </row>
    <row r="37" spans="1:3" x14ac:dyDescent="0.2">
      <c r="A37" s="24" t="s">
        <v>72</v>
      </c>
      <c r="B37" s="3" t="s">
        <v>73</v>
      </c>
      <c r="C37" s="3" t="s">
        <v>70</v>
      </c>
    </row>
    <row r="40" spans="1:3" ht="15" x14ac:dyDescent="0.2">
      <c r="A40" s="20" t="s">
        <v>18</v>
      </c>
      <c r="B40" s="11"/>
    </row>
    <row r="41" spans="1:3" ht="14.25" x14ac:dyDescent="0.2">
      <c r="A41" s="21"/>
      <c r="B41" s="22" t="s">
        <v>19</v>
      </c>
    </row>
    <row r="42" spans="1:3" ht="15" x14ac:dyDescent="0.2">
      <c r="A42" s="23" t="s">
        <v>1</v>
      </c>
      <c r="B42" s="23" t="s">
        <v>20</v>
      </c>
      <c r="C42" s="23" t="s">
        <v>21</v>
      </c>
    </row>
    <row r="43" spans="1:3" x14ac:dyDescent="0.2">
      <c r="A43" s="24" t="s">
        <v>74</v>
      </c>
      <c r="B43" s="3" t="s">
        <v>19</v>
      </c>
      <c r="C43" s="3" t="s">
        <v>75</v>
      </c>
    </row>
    <row r="44" spans="1:3" x14ac:dyDescent="0.2">
      <c r="A44" s="24" t="s">
        <v>76</v>
      </c>
      <c r="B44" s="3" t="s">
        <v>19</v>
      </c>
      <c r="C44" s="3" t="s">
        <v>23</v>
      </c>
    </row>
    <row r="46" spans="1:3" ht="14.25" x14ac:dyDescent="0.2">
      <c r="A46" s="21"/>
      <c r="B46" s="22" t="s">
        <v>71</v>
      </c>
    </row>
    <row r="47" spans="1:3" ht="15" x14ac:dyDescent="0.2">
      <c r="A47" s="23" t="s">
        <v>1</v>
      </c>
      <c r="B47" s="23" t="s">
        <v>20</v>
      </c>
      <c r="C47" s="23" t="s">
        <v>21</v>
      </c>
    </row>
    <row r="48" spans="1:3" x14ac:dyDescent="0.2">
      <c r="A48" s="24" t="s">
        <v>77</v>
      </c>
      <c r="B48" s="3" t="s">
        <v>78</v>
      </c>
      <c r="C48" s="3" t="s">
        <v>79</v>
      </c>
    </row>
  </sheetData>
  <mergeCells count="14">
    <mergeCell ref="I3:I4"/>
    <mergeCell ref="J3:J4"/>
    <mergeCell ref="K3:K4"/>
    <mergeCell ref="A1:K2"/>
    <mergeCell ref="A18:H18"/>
    <mergeCell ref="A3:A4"/>
    <mergeCell ref="B3:B4"/>
    <mergeCell ref="C3:C4"/>
    <mergeCell ref="D3:D4"/>
    <mergeCell ref="E3:H3"/>
    <mergeCell ref="A5:H5"/>
    <mergeCell ref="A9:H9"/>
    <mergeCell ref="A12:H12"/>
    <mergeCell ref="A15:H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tabSelected="1" workbookViewId="0">
      <selection activeCell="A3" sqref="A3:A4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9.7109375" style="4" customWidth="1"/>
    <col min="5" max="7" width="5.5703125" style="3" customWidth="1"/>
    <col min="8" max="8" width="4.7109375" style="3" customWidth="1"/>
    <col min="9" max="9" width="5.7109375" style="5" customWidth="1"/>
    <col min="10" max="10" width="8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5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39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81</v>
      </c>
      <c r="B6" s="10" t="s">
        <v>82</v>
      </c>
      <c r="C6" s="10" t="s">
        <v>83</v>
      </c>
      <c r="D6" s="9" t="s">
        <v>51</v>
      </c>
      <c r="E6" s="10" t="s">
        <v>84</v>
      </c>
      <c r="F6" s="25" t="s">
        <v>85</v>
      </c>
      <c r="G6" s="25" t="s">
        <v>86</v>
      </c>
      <c r="H6" s="25"/>
      <c r="I6" s="26" t="str">
        <f>"255,0"</f>
        <v>255,0</v>
      </c>
      <c r="J6" s="27" t="str">
        <f>"177,2389"</f>
        <v>177,2389</v>
      </c>
      <c r="K6" s="9"/>
    </row>
    <row r="7" spans="1:11" s="3" customFormat="1" x14ac:dyDescent="0.2">
      <c r="A7" s="4"/>
      <c r="D7" s="4"/>
      <c r="I7" s="5"/>
      <c r="J7" s="6"/>
      <c r="K7" s="4"/>
    </row>
    <row r="8" spans="1:11" ht="15" x14ac:dyDescent="0.2">
      <c r="A8" s="52" t="s">
        <v>87</v>
      </c>
      <c r="B8" s="53"/>
      <c r="C8" s="53"/>
      <c r="D8" s="53"/>
      <c r="E8" s="53"/>
      <c r="F8" s="53"/>
      <c r="G8" s="53"/>
      <c r="H8" s="53"/>
    </row>
    <row r="9" spans="1:11" x14ac:dyDescent="0.2">
      <c r="A9" s="12" t="s">
        <v>88</v>
      </c>
      <c r="B9" s="13" t="s">
        <v>89</v>
      </c>
      <c r="C9" s="13" t="s">
        <v>90</v>
      </c>
      <c r="D9" s="12" t="s">
        <v>91</v>
      </c>
      <c r="E9" s="13" t="s">
        <v>92</v>
      </c>
      <c r="F9" s="33" t="s">
        <v>93</v>
      </c>
      <c r="G9" s="33"/>
      <c r="H9" s="33"/>
      <c r="I9" s="28" t="str">
        <f>"320,0"</f>
        <v>320,0</v>
      </c>
      <c r="J9" s="29" t="str">
        <f>"187,4720"</f>
        <v>187,4720</v>
      </c>
      <c r="K9" s="12"/>
    </row>
    <row r="10" spans="1:11" x14ac:dyDescent="0.2">
      <c r="A10" s="16" t="s">
        <v>94</v>
      </c>
      <c r="B10" s="17" t="s">
        <v>95</v>
      </c>
      <c r="C10" s="17" t="s">
        <v>96</v>
      </c>
      <c r="D10" s="16" t="s">
        <v>51</v>
      </c>
      <c r="E10" s="17" t="s">
        <v>97</v>
      </c>
      <c r="F10" s="17" t="s">
        <v>44</v>
      </c>
      <c r="G10" s="34" t="s">
        <v>86</v>
      </c>
      <c r="H10" s="34"/>
      <c r="I10" s="35" t="str">
        <f>"260,0"</f>
        <v>260,0</v>
      </c>
      <c r="J10" s="36" t="str">
        <f>"158,1420"</f>
        <v>158,1420</v>
      </c>
      <c r="K10" s="16"/>
    </row>
    <row r="11" spans="1:11" x14ac:dyDescent="0.2">
      <c r="A11" s="14" t="s">
        <v>98</v>
      </c>
      <c r="B11" s="15" t="s">
        <v>99</v>
      </c>
      <c r="C11" s="15" t="s">
        <v>100</v>
      </c>
      <c r="D11" s="14" t="s">
        <v>101</v>
      </c>
      <c r="E11" s="15" t="s">
        <v>38</v>
      </c>
      <c r="F11" s="15" t="s">
        <v>102</v>
      </c>
      <c r="G11" s="30" t="s">
        <v>103</v>
      </c>
      <c r="H11" s="30"/>
      <c r="I11" s="31" t="str">
        <f>"150,0"</f>
        <v>150,0</v>
      </c>
      <c r="J11" s="32" t="str">
        <f>"126,4328"</f>
        <v>126,4328</v>
      </c>
      <c r="K11" s="14"/>
    </row>
    <row r="13" spans="1:11" ht="15" x14ac:dyDescent="0.2">
      <c r="A13" s="52" t="s">
        <v>10</v>
      </c>
      <c r="B13" s="53"/>
      <c r="C13" s="53"/>
      <c r="D13" s="53"/>
      <c r="E13" s="53"/>
      <c r="F13" s="53"/>
      <c r="G13" s="53"/>
      <c r="H13" s="53"/>
    </row>
    <row r="14" spans="1:11" x14ac:dyDescent="0.2">
      <c r="A14" s="12" t="s">
        <v>104</v>
      </c>
      <c r="B14" s="13" t="s">
        <v>105</v>
      </c>
      <c r="C14" s="13" t="s">
        <v>106</v>
      </c>
      <c r="D14" s="12" t="s">
        <v>107</v>
      </c>
      <c r="E14" s="13" t="s">
        <v>108</v>
      </c>
      <c r="F14" s="33" t="s">
        <v>109</v>
      </c>
      <c r="G14" s="33" t="s">
        <v>109</v>
      </c>
      <c r="H14" s="33"/>
      <c r="I14" s="28" t="str">
        <f>"380,0"</f>
        <v>380,0</v>
      </c>
      <c r="J14" s="29" t="str">
        <f>"217,0750"</f>
        <v>217,0750</v>
      </c>
      <c r="K14" s="12"/>
    </row>
    <row r="15" spans="1:11" x14ac:dyDescent="0.2">
      <c r="A15" s="14" t="s">
        <v>110</v>
      </c>
      <c r="B15" s="15" t="s">
        <v>111</v>
      </c>
      <c r="C15" s="15" t="s">
        <v>112</v>
      </c>
      <c r="D15" s="14" t="s">
        <v>107</v>
      </c>
      <c r="E15" s="15" t="s">
        <v>113</v>
      </c>
      <c r="F15" s="30" t="s">
        <v>114</v>
      </c>
      <c r="G15" s="30" t="s">
        <v>115</v>
      </c>
      <c r="H15" s="30"/>
      <c r="I15" s="31" t="str">
        <f>"287,5"</f>
        <v>287,5</v>
      </c>
      <c r="J15" s="32" t="str">
        <f>"166,8153"</f>
        <v>166,8153</v>
      </c>
      <c r="K15" s="14"/>
    </row>
    <row r="25" spans="1:3" ht="18" x14ac:dyDescent="0.25">
      <c r="A25" s="18" t="s">
        <v>17</v>
      </c>
      <c r="B25" s="19"/>
    </row>
    <row r="26" spans="1:3" ht="15" x14ac:dyDescent="0.2">
      <c r="A26" s="20" t="s">
        <v>18</v>
      </c>
      <c r="B26" s="11"/>
    </row>
    <row r="27" spans="1:3" ht="14.25" x14ac:dyDescent="0.2">
      <c r="A27" s="21"/>
      <c r="B27" s="22" t="s">
        <v>19</v>
      </c>
    </row>
    <row r="28" spans="1:3" ht="15" x14ac:dyDescent="0.2">
      <c r="A28" s="23" t="s">
        <v>1</v>
      </c>
      <c r="B28" s="23" t="s">
        <v>20</v>
      </c>
      <c r="C28" s="23" t="s">
        <v>21</v>
      </c>
    </row>
    <row r="29" spans="1:3" x14ac:dyDescent="0.2">
      <c r="A29" s="24" t="s">
        <v>116</v>
      </c>
      <c r="B29" s="3" t="s">
        <v>19</v>
      </c>
      <c r="C29" s="3" t="s">
        <v>23</v>
      </c>
    </row>
    <row r="30" spans="1:3" x14ac:dyDescent="0.2">
      <c r="A30" s="24" t="s">
        <v>117</v>
      </c>
      <c r="B30" s="3" t="s">
        <v>19</v>
      </c>
      <c r="C30" s="3" t="s">
        <v>118</v>
      </c>
    </row>
    <row r="32" spans="1:3" ht="14.25" x14ac:dyDescent="0.2">
      <c r="A32" s="21"/>
      <c r="B32" s="22" t="s">
        <v>71</v>
      </c>
    </row>
    <row r="33" spans="1:3" ht="15" x14ac:dyDescent="0.2">
      <c r="A33" s="23" t="s">
        <v>1</v>
      </c>
      <c r="B33" s="23" t="s">
        <v>20</v>
      </c>
      <c r="C33" s="23" t="s">
        <v>21</v>
      </c>
    </row>
    <row r="34" spans="1:3" x14ac:dyDescent="0.2">
      <c r="A34" s="24" t="s">
        <v>119</v>
      </c>
      <c r="B34" s="3" t="s">
        <v>78</v>
      </c>
      <c r="C34" s="3" t="s">
        <v>75</v>
      </c>
    </row>
    <row r="35" spans="1:3" x14ac:dyDescent="0.2">
      <c r="A35" s="24" t="s">
        <v>120</v>
      </c>
      <c r="B35" s="3" t="s">
        <v>121</v>
      </c>
      <c r="C35" s="3" t="s">
        <v>23</v>
      </c>
    </row>
    <row r="36" spans="1:3" x14ac:dyDescent="0.2">
      <c r="A36" s="24" t="s">
        <v>122</v>
      </c>
      <c r="B36" s="3" t="s">
        <v>121</v>
      </c>
      <c r="C36" s="3" t="s">
        <v>118</v>
      </c>
    </row>
    <row r="37" spans="1:3" x14ac:dyDescent="0.2">
      <c r="A37" s="24" t="s">
        <v>123</v>
      </c>
      <c r="B37" s="3" t="s">
        <v>124</v>
      </c>
      <c r="C37" s="3" t="s">
        <v>118</v>
      </c>
    </row>
  </sheetData>
  <mergeCells count="12">
    <mergeCell ref="I3:I4"/>
    <mergeCell ref="J3:J4"/>
    <mergeCell ref="K3:K4"/>
    <mergeCell ref="A1:K2"/>
    <mergeCell ref="E3:H3"/>
    <mergeCell ref="A5:H5"/>
    <mergeCell ref="A8:H8"/>
    <mergeCell ref="A13:H13"/>
    <mergeCell ref="A3:A4"/>
    <mergeCell ref="B3:B4"/>
    <mergeCell ref="C3:C4"/>
    <mergeCell ref="D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3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30.42578125" style="3" customWidth="1"/>
    <col min="3" max="3" width="7.5703125" style="3" customWidth="1"/>
    <col min="4" max="4" width="15.5703125" style="4" customWidth="1"/>
    <col min="5" max="7" width="5.5703125" style="3" customWidth="1"/>
    <col min="8" max="8" width="4.7109375" style="3" customWidth="1"/>
    <col min="9" max="9" width="5.7109375" style="5" customWidth="1"/>
    <col min="10" max="10" width="8.5703125" style="6" customWidth="1"/>
    <col min="11" max="11" width="14.7109375" style="4" customWidth="1"/>
    <col min="12" max="16384" width="9.140625" style="7"/>
  </cols>
  <sheetData>
    <row r="1" spans="1:11" s="1" customFormat="1" ht="28.9" customHeight="1" x14ac:dyDescent="0.2">
      <c r="A1" s="46" t="s">
        <v>290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5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192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291</v>
      </c>
      <c r="B6" s="10" t="s">
        <v>292</v>
      </c>
      <c r="C6" s="10" t="s">
        <v>293</v>
      </c>
      <c r="D6" s="9" t="s">
        <v>29</v>
      </c>
      <c r="E6" s="10" t="s">
        <v>157</v>
      </c>
      <c r="F6" s="25" t="s">
        <v>164</v>
      </c>
      <c r="G6" s="25" t="s">
        <v>164</v>
      </c>
      <c r="H6" s="25"/>
      <c r="I6" s="26" t="str">
        <f>"50,0"</f>
        <v>50,0</v>
      </c>
      <c r="J6" s="27" t="str">
        <f>"47,5300"</f>
        <v>47,5300</v>
      </c>
      <c r="K6" s="9"/>
    </row>
    <row r="7" spans="1:11" s="3" customFormat="1" x14ac:dyDescent="0.2">
      <c r="A7" s="4"/>
      <c r="D7" s="4"/>
      <c r="I7" s="5"/>
      <c r="J7" s="6"/>
      <c r="K7" s="4"/>
    </row>
    <row r="8" spans="1:11" ht="15" x14ac:dyDescent="0.2">
      <c r="A8" s="52" t="s">
        <v>25</v>
      </c>
      <c r="B8" s="53"/>
      <c r="C8" s="53"/>
      <c r="D8" s="53"/>
      <c r="E8" s="53"/>
      <c r="F8" s="53"/>
      <c r="G8" s="53"/>
      <c r="H8" s="53"/>
    </row>
    <row r="9" spans="1:11" x14ac:dyDescent="0.2">
      <c r="A9" s="12" t="s">
        <v>26</v>
      </c>
      <c r="B9" s="13" t="s">
        <v>27</v>
      </c>
      <c r="C9" s="13" t="s">
        <v>28</v>
      </c>
      <c r="D9" s="12" t="s">
        <v>29</v>
      </c>
      <c r="E9" s="13" t="s">
        <v>216</v>
      </c>
      <c r="F9" s="13" t="s">
        <v>230</v>
      </c>
      <c r="G9" s="33" t="s">
        <v>228</v>
      </c>
      <c r="H9" s="33"/>
      <c r="I9" s="28" t="str">
        <f>"112,5"</f>
        <v>112,5</v>
      </c>
      <c r="J9" s="29" t="str">
        <f>"91,0687"</f>
        <v>91,0687</v>
      </c>
      <c r="K9" s="12"/>
    </row>
    <row r="10" spans="1:11" x14ac:dyDescent="0.2">
      <c r="A10" s="14" t="s">
        <v>294</v>
      </c>
      <c r="B10" s="15" t="s">
        <v>295</v>
      </c>
      <c r="C10" s="15" t="s">
        <v>139</v>
      </c>
      <c r="D10" s="14" t="s">
        <v>296</v>
      </c>
      <c r="E10" s="15" t="s">
        <v>177</v>
      </c>
      <c r="F10" s="15" t="s">
        <v>128</v>
      </c>
      <c r="G10" s="30" t="s">
        <v>222</v>
      </c>
      <c r="H10" s="30"/>
      <c r="I10" s="31" t="str">
        <f>"70,0"</f>
        <v>70,0</v>
      </c>
      <c r="J10" s="32" t="str">
        <f>"63,3764"</f>
        <v>63,3764</v>
      </c>
      <c r="K10" s="14"/>
    </row>
    <row r="12" spans="1:11" ht="15" x14ac:dyDescent="0.2">
      <c r="A12" s="52" t="s">
        <v>127</v>
      </c>
      <c r="B12" s="53"/>
      <c r="C12" s="53"/>
      <c r="D12" s="53"/>
      <c r="E12" s="53"/>
      <c r="F12" s="53"/>
      <c r="G12" s="53"/>
      <c r="H12" s="53"/>
    </row>
    <row r="13" spans="1:11" x14ac:dyDescent="0.2">
      <c r="A13" s="9" t="s">
        <v>297</v>
      </c>
      <c r="B13" s="10" t="s">
        <v>298</v>
      </c>
      <c r="C13" s="10" t="s">
        <v>299</v>
      </c>
      <c r="D13" s="9" t="s">
        <v>300</v>
      </c>
      <c r="E13" s="10" t="s">
        <v>128</v>
      </c>
      <c r="F13" s="10" t="s">
        <v>222</v>
      </c>
      <c r="G13" s="10" t="s">
        <v>301</v>
      </c>
      <c r="H13" s="25"/>
      <c r="I13" s="26" t="str">
        <f>"80,0"</f>
        <v>80,0</v>
      </c>
      <c r="J13" s="27" t="str">
        <f>"58,3440"</f>
        <v>58,3440</v>
      </c>
      <c r="K13" s="9"/>
    </row>
    <row r="15" spans="1:11" ht="15" x14ac:dyDescent="0.2">
      <c r="A15" s="52" t="s">
        <v>25</v>
      </c>
      <c r="B15" s="53"/>
      <c r="C15" s="53"/>
      <c r="D15" s="53"/>
      <c r="E15" s="53"/>
      <c r="F15" s="53"/>
      <c r="G15" s="53"/>
      <c r="H15" s="53"/>
    </row>
    <row r="16" spans="1:11" x14ac:dyDescent="0.2">
      <c r="A16" s="12" t="s">
        <v>302</v>
      </c>
      <c r="B16" s="13" t="s">
        <v>303</v>
      </c>
      <c r="C16" s="13" t="s">
        <v>304</v>
      </c>
      <c r="D16" s="12" t="s">
        <v>29</v>
      </c>
      <c r="E16" s="13" t="s">
        <v>305</v>
      </c>
      <c r="F16" s="13" t="s">
        <v>156</v>
      </c>
      <c r="G16" s="13" t="s">
        <v>224</v>
      </c>
      <c r="H16" s="33"/>
      <c r="I16" s="28" t="str">
        <f>"47,5"</f>
        <v>47,5</v>
      </c>
      <c r="J16" s="29" t="str">
        <f>"36,8268"</f>
        <v>36,8268</v>
      </c>
      <c r="K16" s="12"/>
    </row>
    <row r="17" spans="1:11" x14ac:dyDescent="0.2">
      <c r="A17" s="16" t="s">
        <v>232</v>
      </c>
      <c r="B17" s="17" t="s">
        <v>233</v>
      </c>
      <c r="C17" s="17" t="s">
        <v>35</v>
      </c>
      <c r="D17" s="16" t="s">
        <v>234</v>
      </c>
      <c r="E17" s="17" t="s">
        <v>217</v>
      </c>
      <c r="F17" s="17" t="s">
        <v>30</v>
      </c>
      <c r="G17" s="17" t="s">
        <v>31</v>
      </c>
      <c r="H17" s="34"/>
      <c r="I17" s="35" t="str">
        <f>"135,0"</f>
        <v>135,0</v>
      </c>
      <c r="J17" s="36" t="str">
        <f>"99,1845"</f>
        <v>99,1845</v>
      </c>
      <c r="K17" s="16"/>
    </row>
    <row r="18" spans="1:11" x14ac:dyDescent="0.2">
      <c r="A18" s="16" t="s">
        <v>306</v>
      </c>
      <c r="B18" s="17" t="s">
        <v>307</v>
      </c>
      <c r="C18" s="17" t="s">
        <v>308</v>
      </c>
      <c r="D18" s="16" t="s">
        <v>29</v>
      </c>
      <c r="E18" s="17" t="s">
        <v>228</v>
      </c>
      <c r="F18" s="17" t="s">
        <v>309</v>
      </c>
      <c r="G18" s="17" t="s">
        <v>30</v>
      </c>
      <c r="H18" s="34"/>
      <c r="I18" s="35" t="str">
        <f>"125,0"</f>
        <v>125,0</v>
      </c>
      <c r="J18" s="36" t="str">
        <f>"90,8500"</f>
        <v>90,8500</v>
      </c>
      <c r="K18" s="16"/>
    </row>
    <row r="19" spans="1:11" x14ac:dyDescent="0.2">
      <c r="A19" s="14" t="s">
        <v>310</v>
      </c>
      <c r="B19" s="15" t="s">
        <v>311</v>
      </c>
      <c r="C19" s="15" t="s">
        <v>312</v>
      </c>
      <c r="D19" s="14" t="s">
        <v>29</v>
      </c>
      <c r="E19" s="15" t="s">
        <v>218</v>
      </c>
      <c r="F19" s="30" t="s">
        <v>230</v>
      </c>
      <c r="G19" s="30" t="s">
        <v>230</v>
      </c>
      <c r="H19" s="30"/>
      <c r="I19" s="31" t="str">
        <f>"107,5"</f>
        <v>107,5</v>
      </c>
      <c r="J19" s="32" t="str">
        <f>"78,6578"</f>
        <v>78,6578</v>
      </c>
      <c r="K19" s="14"/>
    </row>
    <row r="21" spans="1:11" ht="15" x14ac:dyDescent="0.2">
      <c r="A21" s="52" t="s">
        <v>127</v>
      </c>
      <c r="B21" s="53"/>
      <c r="C21" s="53"/>
      <c r="D21" s="53"/>
      <c r="E21" s="53"/>
      <c r="F21" s="53"/>
      <c r="G21" s="53"/>
      <c r="H21" s="53"/>
    </row>
    <row r="22" spans="1:11" x14ac:dyDescent="0.2">
      <c r="A22" s="12" t="s">
        <v>313</v>
      </c>
      <c r="B22" s="13" t="s">
        <v>314</v>
      </c>
      <c r="C22" s="13" t="s">
        <v>146</v>
      </c>
      <c r="D22" s="12" t="s">
        <v>29</v>
      </c>
      <c r="E22" s="33" t="s">
        <v>36</v>
      </c>
      <c r="F22" s="13" t="s">
        <v>36</v>
      </c>
      <c r="G22" s="13" t="s">
        <v>37</v>
      </c>
      <c r="H22" s="33"/>
      <c r="I22" s="28" t="str">
        <f>"130,0"</f>
        <v>130,0</v>
      </c>
      <c r="J22" s="29" t="str">
        <f>"86,3850"</f>
        <v>86,3850</v>
      </c>
      <c r="K22" s="12"/>
    </row>
    <row r="23" spans="1:11" x14ac:dyDescent="0.2">
      <c r="A23" s="16" t="s">
        <v>315</v>
      </c>
      <c r="B23" s="17" t="s">
        <v>316</v>
      </c>
      <c r="C23" s="17" t="s">
        <v>317</v>
      </c>
      <c r="D23" s="16" t="s">
        <v>29</v>
      </c>
      <c r="E23" s="17" t="s">
        <v>235</v>
      </c>
      <c r="F23" s="17" t="s">
        <v>36</v>
      </c>
      <c r="G23" s="34" t="s">
        <v>30</v>
      </c>
      <c r="H23" s="34"/>
      <c r="I23" s="35" t="str">
        <f>"120,0"</f>
        <v>120,0</v>
      </c>
      <c r="J23" s="36" t="str">
        <f>"85,8600"</f>
        <v>85,8600</v>
      </c>
      <c r="K23" s="16"/>
    </row>
    <row r="24" spans="1:11" x14ac:dyDescent="0.2">
      <c r="A24" s="14" t="s">
        <v>318</v>
      </c>
      <c r="B24" s="15" t="s">
        <v>319</v>
      </c>
      <c r="C24" s="15" t="s">
        <v>320</v>
      </c>
      <c r="D24" s="14" t="s">
        <v>321</v>
      </c>
      <c r="E24" s="15" t="s">
        <v>322</v>
      </c>
      <c r="F24" s="30" t="s">
        <v>216</v>
      </c>
      <c r="G24" s="30" t="s">
        <v>228</v>
      </c>
      <c r="H24" s="30"/>
      <c r="I24" s="31" t="str">
        <f>"95,0"</f>
        <v>95,0</v>
      </c>
      <c r="J24" s="32" t="str">
        <f>"64,4290"</f>
        <v>64,4290</v>
      </c>
      <c r="K24" s="14"/>
    </row>
    <row r="26" spans="1:11" ht="15" x14ac:dyDescent="0.2">
      <c r="A26" s="52" t="s">
        <v>39</v>
      </c>
      <c r="B26" s="53"/>
      <c r="C26" s="53"/>
      <c r="D26" s="53"/>
      <c r="E26" s="53"/>
      <c r="F26" s="53"/>
      <c r="G26" s="53"/>
      <c r="H26" s="53"/>
    </row>
    <row r="27" spans="1:11" x14ac:dyDescent="0.2">
      <c r="A27" s="12" t="s">
        <v>323</v>
      </c>
      <c r="B27" s="13" t="s">
        <v>324</v>
      </c>
      <c r="C27" s="13" t="s">
        <v>325</v>
      </c>
      <c r="D27" s="12" t="s">
        <v>326</v>
      </c>
      <c r="E27" s="13" t="s">
        <v>57</v>
      </c>
      <c r="F27" s="33" t="s">
        <v>241</v>
      </c>
      <c r="G27" s="33"/>
      <c r="H27" s="33"/>
      <c r="I27" s="28" t="str">
        <f>"190,0"</f>
        <v>190,0</v>
      </c>
      <c r="J27" s="29" t="str">
        <f>"117,8570"</f>
        <v>117,8570</v>
      </c>
      <c r="K27" s="12"/>
    </row>
    <row r="28" spans="1:11" x14ac:dyDescent="0.2">
      <c r="A28" s="16" t="s">
        <v>327</v>
      </c>
      <c r="B28" s="17" t="s">
        <v>328</v>
      </c>
      <c r="C28" s="17" t="s">
        <v>42</v>
      </c>
      <c r="D28" s="16" t="s">
        <v>329</v>
      </c>
      <c r="E28" s="17" t="s">
        <v>330</v>
      </c>
      <c r="F28" s="17" t="s">
        <v>331</v>
      </c>
      <c r="G28" s="34" t="s">
        <v>332</v>
      </c>
      <c r="H28" s="34"/>
      <c r="I28" s="35" t="str">
        <f>"145,0"</f>
        <v>145,0</v>
      </c>
      <c r="J28" s="36" t="str">
        <f>"90,8860"</f>
        <v>90,8860</v>
      </c>
      <c r="K28" s="16" t="s">
        <v>333</v>
      </c>
    </row>
    <row r="29" spans="1:11" x14ac:dyDescent="0.2">
      <c r="A29" s="16" t="s">
        <v>334</v>
      </c>
      <c r="B29" s="17" t="s">
        <v>335</v>
      </c>
      <c r="C29" s="17" t="s">
        <v>336</v>
      </c>
      <c r="D29" s="16" t="s">
        <v>29</v>
      </c>
      <c r="E29" s="17" t="s">
        <v>37</v>
      </c>
      <c r="F29" s="34" t="s">
        <v>38</v>
      </c>
      <c r="G29" s="34" t="s">
        <v>38</v>
      </c>
      <c r="H29" s="34"/>
      <c r="I29" s="35" t="str">
        <f>"130,0"</f>
        <v>130,0</v>
      </c>
      <c r="J29" s="36" t="str">
        <f>"80,9900"</f>
        <v>80,9900</v>
      </c>
      <c r="K29" s="16"/>
    </row>
    <row r="30" spans="1:11" x14ac:dyDescent="0.2">
      <c r="A30" s="16" t="s">
        <v>337</v>
      </c>
      <c r="B30" s="17" t="s">
        <v>338</v>
      </c>
      <c r="C30" s="17" t="s">
        <v>339</v>
      </c>
      <c r="D30" s="16" t="s">
        <v>29</v>
      </c>
      <c r="E30" s="17" t="s">
        <v>129</v>
      </c>
      <c r="F30" s="17" t="s">
        <v>340</v>
      </c>
      <c r="G30" s="17" t="s">
        <v>322</v>
      </c>
      <c r="H30" s="34"/>
      <c r="I30" s="35" t="str">
        <f>"95,0"</f>
        <v>95,0</v>
      </c>
      <c r="J30" s="36" t="str">
        <f>"59,1280"</f>
        <v>59,1280</v>
      </c>
      <c r="K30" s="16"/>
    </row>
    <row r="31" spans="1:11" x14ac:dyDescent="0.2">
      <c r="A31" s="14" t="s">
        <v>341</v>
      </c>
      <c r="B31" s="15" t="s">
        <v>342</v>
      </c>
      <c r="C31" s="15" t="s">
        <v>343</v>
      </c>
      <c r="D31" s="14" t="s">
        <v>29</v>
      </c>
      <c r="E31" s="30" t="s">
        <v>235</v>
      </c>
      <c r="F31" s="30" t="s">
        <v>36</v>
      </c>
      <c r="G31" s="30" t="s">
        <v>36</v>
      </c>
      <c r="H31" s="30"/>
      <c r="I31" s="31" t="str">
        <f>"0.00"</f>
        <v>0.00</v>
      </c>
      <c r="J31" s="32" t="str">
        <f>"0,0000"</f>
        <v>0,0000</v>
      </c>
      <c r="K31" s="14"/>
    </row>
    <row r="33" spans="1:11" ht="15" x14ac:dyDescent="0.2">
      <c r="A33" s="52" t="s">
        <v>47</v>
      </c>
      <c r="B33" s="53"/>
      <c r="C33" s="53"/>
      <c r="D33" s="53"/>
      <c r="E33" s="53"/>
      <c r="F33" s="53"/>
      <c r="G33" s="53"/>
      <c r="H33" s="53"/>
    </row>
    <row r="34" spans="1:11" x14ac:dyDescent="0.2">
      <c r="A34" s="12" t="s">
        <v>344</v>
      </c>
      <c r="B34" s="13" t="s">
        <v>345</v>
      </c>
      <c r="C34" s="13" t="s">
        <v>346</v>
      </c>
      <c r="D34" s="12" t="s">
        <v>29</v>
      </c>
      <c r="E34" s="13" t="s">
        <v>347</v>
      </c>
      <c r="F34" s="13" t="s">
        <v>252</v>
      </c>
      <c r="G34" s="33" t="s">
        <v>276</v>
      </c>
      <c r="H34" s="33"/>
      <c r="I34" s="28" t="str">
        <f>"202,5"</f>
        <v>202,5</v>
      </c>
      <c r="J34" s="29" t="str">
        <f>"118,6042"</f>
        <v>118,6042</v>
      </c>
      <c r="K34" s="12" t="s">
        <v>348</v>
      </c>
    </row>
    <row r="35" spans="1:11" x14ac:dyDescent="0.2">
      <c r="A35" s="16" t="s">
        <v>349</v>
      </c>
      <c r="B35" s="17" t="s">
        <v>350</v>
      </c>
      <c r="C35" s="17" t="s">
        <v>351</v>
      </c>
      <c r="D35" s="16" t="s">
        <v>140</v>
      </c>
      <c r="E35" s="17" t="s">
        <v>331</v>
      </c>
      <c r="F35" s="17" t="s">
        <v>352</v>
      </c>
      <c r="G35" s="17" t="s">
        <v>353</v>
      </c>
      <c r="H35" s="34"/>
      <c r="I35" s="35" t="str">
        <f>"157,5"</f>
        <v>157,5</v>
      </c>
      <c r="J35" s="36" t="str">
        <f>"94,2322"</f>
        <v>94,2322</v>
      </c>
      <c r="K35" s="16"/>
    </row>
    <row r="36" spans="1:11" x14ac:dyDescent="0.2">
      <c r="A36" s="16" t="s">
        <v>354</v>
      </c>
      <c r="B36" s="17" t="s">
        <v>355</v>
      </c>
      <c r="C36" s="17" t="s">
        <v>356</v>
      </c>
      <c r="D36" s="16" t="s">
        <v>29</v>
      </c>
      <c r="E36" s="17" t="s">
        <v>331</v>
      </c>
      <c r="F36" s="17" t="s">
        <v>352</v>
      </c>
      <c r="G36" s="17" t="s">
        <v>103</v>
      </c>
      <c r="H36" s="34"/>
      <c r="I36" s="35" t="str">
        <f>"155,0"</f>
        <v>155,0</v>
      </c>
      <c r="J36" s="36" t="str">
        <f>"91,7290"</f>
        <v>91,7290</v>
      </c>
      <c r="K36" s="16"/>
    </row>
    <row r="37" spans="1:11" x14ac:dyDescent="0.2">
      <c r="A37" s="16" t="s">
        <v>357</v>
      </c>
      <c r="B37" s="17" t="s">
        <v>358</v>
      </c>
      <c r="C37" s="17" t="s">
        <v>359</v>
      </c>
      <c r="D37" s="16" t="s">
        <v>29</v>
      </c>
      <c r="E37" s="17" t="s">
        <v>30</v>
      </c>
      <c r="F37" s="17" t="s">
        <v>360</v>
      </c>
      <c r="G37" s="34" t="s">
        <v>330</v>
      </c>
      <c r="H37" s="34"/>
      <c r="I37" s="35" t="str">
        <f>"132,5"</f>
        <v>132,5</v>
      </c>
      <c r="J37" s="36" t="str">
        <f>"78,2412"</f>
        <v>78,2412</v>
      </c>
      <c r="K37" s="16"/>
    </row>
    <row r="38" spans="1:11" x14ac:dyDescent="0.2">
      <c r="A38" s="14" t="s">
        <v>361</v>
      </c>
      <c r="B38" s="15" t="s">
        <v>362</v>
      </c>
      <c r="C38" s="15" t="s">
        <v>356</v>
      </c>
      <c r="D38" s="14" t="s">
        <v>29</v>
      </c>
      <c r="E38" s="15" t="s">
        <v>363</v>
      </c>
      <c r="F38" s="30"/>
      <c r="G38" s="15" t="s">
        <v>360</v>
      </c>
      <c r="H38" s="30"/>
      <c r="I38" s="31" t="str">
        <f>"132,5"</f>
        <v>132,5</v>
      </c>
      <c r="J38" s="32" t="str">
        <f>"78,4135"</f>
        <v>78,4135</v>
      </c>
      <c r="K38" s="14" t="s">
        <v>364</v>
      </c>
    </row>
    <row r="40" spans="1:11" ht="15" x14ac:dyDescent="0.2">
      <c r="A40" s="52" t="s">
        <v>87</v>
      </c>
      <c r="B40" s="53"/>
      <c r="C40" s="53"/>
      <c r="D40" s="53"/>
      <c r="E40" s="53"/>
      <c r="F40" s="53"/>
      <c r="G40" s="53"/>
      <c r="H40" s="53"/>
    </row>
    <row r="41" spans="1:11" x14ac:dyDescent="0.2">
      <c r="A41" s="12" t="s">
        <v>365</v>
      </c>
      <c r="B41" s="13" t="s">
        <v>366</v>
      </c>
      <c r="C41" s="13" t="s">
        <v>367</v>
      </c>
      <c r="D41" s="12" t="s">
        <v>296</v>
      </c>
      <c r="E41" s="13" t="s">
        <v>38</v>
      </c>
      <c r="F41" s="13" t="s">
        <v>332</v>
      </c>
      <c r="G41" s="13" t="s">
        <v>352</v>
      </c>
      <c r="H41" s="33"/>
      <c r="I41" s="28" t="str">
        <f>"152,5"</f>
        <v>152,5</v>
      </c>
      <c r="J41" s="29" t="str">
        <f>"84,6375"</f>
        <v>84,6375</v>
      </c>
      <c r="K41" s="12"/>
    </row>
    <row r="42" spans="1:11" x14ac:dyDescent="0.2">
      <c r="A42" s="16" t="s">
        <v>368</v>
      </c>
      <c r="B42" s="17" t="s">
        <v>256</v>
      </c>
      <c r="C42" s="17" t="s">
        <v>130</v>
      </c>
      <c r="D42" s="16" t="s">
        <v>234</v>
      </c>
      <c r="E42" s="17" t="s">
        <v>132</v>
      </c>
      <c r="F42" s="17" t="s">
        <v>30</v>
      </c>
      <c r="G42" s="34" t="s">
        <v>38</v>
      </c>
      <c r="H42" s="34"/>
      <c r="I42" s="35" t="str">
        <f>"125,0"</f>
        <v>125,0</v>
      </c>
      <c r="J42" s="36" t="str">
        <f>"69,8875"</f>
        <v>69,8875</v>
      </c>
      <c r="K42" s="16"/>
    </row>
    <row r="43" spans="1:11" x14ac:dyDescent="0.2">
      <c r="A43" s="16" t="s">
        <v>369</v>
      </c>
      <c r="B43" s="17" t="s">
        <v>370</v>
      </c>
      <c r="C43" s="17" t="s">
        <v>371</v>
      </c>
      <c r="D43" s="16" t="s">
        <v>372</v>
      </c>
      <c r="E43" s="17" t="s">
        <v>102</v>
      </c>
      <c r="F43" s="34" t="s">
        <v>373</v>
      </c>
      <c r="G43" s="17" t="s">
        <v>373</v>
      </c>
      <c r="H43" s="34"/>
      <c r="I43" s="35" t="str">
        <f>"162,5"</f>
        <v>162,5</v>
      </c>
      <c r="J43" s="36" t="str">
        <f>"91,3271"</f>
        <v>91,3271</v>
      </c>
      <c r="K43" s="16"/>
    </row>
    <row r="44" spans="1:11" x14ac:dyDescent="0.2">
      <c r="A44" s="16" t="s">
        <v>374</v>
      </c>
      <c r="B44" s="17" t="s">
        <v>375</v>
      </c>
      <c r="C44" s="17" t="s">
        <v>130</v>
      </c>
      <c r="D44" s="16" t="s">
        <v>131</v>
      </c>
      <c r="E44" s="34" t="s">
        <v>32</v>
      </c>
      <c r="F44" s="34" t="s">
        <v>32</v>
      </c>
      <c r="G44" s="34" t="s">
        <v>32</v>
      </c>
      <c r="H44" s="34"/>
      <c r="I44" s="35" t="str">
        <f>"0.00"</f>
        <v>0.00</v>
      </c>
      <c r="J44" s="36" t="str">
        <f>"0,0000"</f>
        <v>0,0000</v>
      </c>
      <c r="K44" s="16"/>
    </row>
    <row r="45" spans="1:11" x14ac:dyDescent="0.2">
      <c r="A45" s="14" t="s">
        <v>376</v>
      </c>
      <c r="B45" s="15" t="s">
        <v>377</v>
      </c>
      <c r="C45" s="15" t="s">
        <v>100</v>
      </c>
      <c r="D45" s="14" t="s">
        <v>378</v>
      </c>
      <c r="E45" s="15" t="s">
        <v>38</v>
      </c>
      <c r="F45" s="15" t="s">
        <v>331</v>
      </c>
      <c r="G45" s="15" t="s">
        <v>102</v>
      </c>
      <c r="H45" s="30"/>
      <c r="I45" s="31" t="str">
        <f>"150,0"</f>
        <v>150,0</v>
      </c>
      <c r="J45" s="32" t="str">
        <f>"122,9880"</f>
        <v>122,9880</v>
      </c>
      <c r="K45" s="14"/>
    </row>
    <row r="47" spans="1:11" ht="15" x14ac:dyDescent="0.2">
      <c r="A47" s="52" t="s">
        <v>10</v>
      </c>
      <c r="B47" s="53"/>
      <c r="C47" s="53"/>
      <c r="D47" s="53"/>
      <c r="E47" s="53"/>
      <c r="F47" s="53"/>
      <c r="G47" s="53"/>
      <c r="H47" s="53"/>
    </row>
    <row r="48" spans="1:11" x14ac:dyDescent="0.2">
      <c r="A48" s="12" t="s">
        <v>379</v>
      </c>
      <c r="B48" s="13" t="s">
        <v>380</v>
      </c>
      <c r="C48" s="13" t="s">
        <v>381</v>
      </c>
      <c r="D48" s="12" t="s">
        <v>172</v>
      </c>
      <c r="E48" s="13" t="s">
        <v>240</v>
      </c>
      <c r="F48" s="13" t="s">
        <v>57</v>
      </c>
      <c r="G48" s="13" t="s">
        <v>382</v>
      </c>
      <c r="H48" s="33"/>
      <c r="I48" s="28" t="str">
        <f>"197,5"</f>
        <v>197,5</v>
      </c>
      <c r="J48" s="29" t="str">
        <f>"106,4328"</f>
        <v>106,4328</v>
      </c>
      <c r="K48" s="12"/>
    </row>
    <row r="49" spans="1:11" x14ac:dyDescent="0.2">
      <c r="A49" s="16" t="s">
        <v>383</v>
      </c>
      <c r="B49" s="17" t="s">
        <v>384</v>
      </c>
      <c r="C49" s="17" t="s">
        <v>385</v>
      </c>
      <c r="D49" s="16" t="s">
        <v>140</v>
      </c>
      <c r="E49" s="34" t="s">
        <v>132</v>
      </c>
      <c r="F49" s="17" t="s">
        <v>132</v>
      </c>
      <c r="G49" s="34" t="s">
        <v>229</v>
      </c>
      <c r="H49" s="34"/>
      <c r="I49" s="35" t="str">
        <f>"100,0"</f>
        <v>100,0</v>
      </c>
      <c r="J49" s="36" t="str">
        <f>"60,0946"</f>
        <v>60,0946</v>
      </c>
      <c r="K49" s="16"/>
    </row>
    <row r="50" spans="1:11" x14ac:dyDescent="0.2">
      <c r="A50" s="16" t="s">
        <v>386</v>
      </c>
      <c r="B50" s="17" t="s">
        <v>387</v>
      </c>
      <c r="C50" s="17" t="s">
        <v>388</v>
      </c>
      <c r="D50" s="16" t="s">
        <v>172</v>
      </c>
      <c r="E50" s="17" t="s">
        <v>373</v>
      </c>
      <c r="F50" s="17" t="s">
        <v>389</v>
      </c>
      <c r="G50" s="34" t="s">
        <v>248</v>
      </c>
      <c r="H50" s="34"/>
      <c r="I50" s="35" t="str">
        <f>"167,5"</f>
        <v>167,5</v>
      </c>
      <c r="J50" s="36" t="str">
        <f>"117,9048"</f>
        <v>117,9048</v>
      </c>
      <c r="K50" s="16"/>
    </row>
    <row r="51" spans="1:11" x14ac:dyDescent="0.2">
      <c r="A51" s="14" t="s">
        <v>390</v>
      </c>
      <c r="B51" s="15" t="s">
        <v>391</v>
      </c>
      <c r="C51" s="15" t="s">
        <v>392</v>
      </c>
      <c r="D51" s="14" t="s">
        <v>29</v>
      </c>
      <c r="E51" s="15" t="s">
        <v>243</v>
      </c>
      <c r="F51" s="30" t="s">
        <v>373</v>
      </c>
      <c r="G51" s="30"/>
      <c r="H51" s="30"/>
      <c r="I51" s="31" t="str">
        <f>"160,0"</f>
        <v>160,0</v>
      </c>
      <c r="J51" s="32" t="str">
        <f>"104,0641"</f>
        <v>104,0641</v>
      </c>
      <c r="K51" s="14"/>
    </row>
    <row r="53" spans="1:11" ht="15" x14ac:dyDescent="0.2">
      <c r="A53" s="52" t="s">
        <v>60</v>
      </c>
      <c r="B53" s="53"/>
      <c r="C53" s="53"/>
      <c r="D53" s="53"/>
      <c r="E53" s="53"/>
      <c r="F53" s="53"/>
      <c r="G53" s="53"/>
      <c r="H53" s="53"/>
    </row>
    <row r="54" spans="1:11" x14ac:dyDescent="0.2">
      <c r="A54" s="12" t="s">
        <v>61</v>
      </c>
      <c r="B54" s="13" t="s">
        <v>393</v>
      </c>
      <c r="C54" s="13" t="s">
        <v>63</v>
      </c>
      <c r="D54" s="12" t="s">
        <v>64</v>
      </c>
      <c r="E54" s="13" t="s">
        <v>268</v>
      </c>
      <c r="F54" s="13" t="s">
        <v>252</v>
      </c>
      <c r="G54" s="13" t="s">
        <v>394</v>
      </c>
      <c r="H54" s="33"/>
      <c r="I54" s="28" t="str">
        <f>"205,0"</f>
        <v>205,0</v>
      </c>
      <c r="J54" s="29" t="str">
        <f>"108,1990"</f>
        <v>108,1990</v>
      </c>
      <c r="K54" s="12" t="s">
        <v>67</v>
      </c>
    </row>
    <row r="55" spans="1:11" x14ac:dyDescent="0.2">
      <c r="A55" s="16" t="s">
        <v>395</v>
      </c>
      <c r="B55" s="17" t="s">
        <v>396</v>
      </c>
      <c r="C55" s="17" t="s">
        <v>397</v>
      </c>
      <c r="D55" s="16" t="s">
        <v>29</v>
      </c>
      <c r="E55" s="17" t="s">
        <v>331</v>
      </c>
      <c r="F55" s="34" t="s">
        <v>352</v>
      </c>
      <c r="G55" s="17" t="s">
        <v>352</v>
      </c>
      <c r="H55" s="34"/>
      <c r="I55" s="35" t="str">
        <f>"152,5"</f>
        <v>152,5</v>
      </c>
      <c r="J55" s="36" t="str">
        <f>"79,8185"</f>
        <v>79,8185</v>
      </c>
      <c r="K55" s="16"/>
    </row>
    <row r="56" spans="1:11" x14ac:dyDescent="0.2">
      <c r="A56" s="16" t="s">
        <v>398</v>
      </c>
      <c r="B56" s="17" t="s">
        <v>399</v>
      </c>
      <c r="C56" s="17" t="s">
        <v>400</v>
      </c>
      <c r="D56" s="16" t="s">
        <v>29</v>
      </c>
      <c r="E56" s="34" t="s">
        <v>252</v>
      </c>
      <c r="F56" s="34" t="s">
        <v>58</v>
      </c>
      <c r="G56" s="34" t="s">
        <v>58</v>
      </c>
      <c r="H56" s="34"/>
      <c r="I56" s="35" t="str">
        <f>"0.00"</f>
        <v>0.00</v>
      </c>
      <c r="J56" s="36" t="str">
        <f>"0,0000"</f>
        <v>0,0000</v>
      </c>
      <c r="K56" s="16"/>
    </row>
    <row r="57" spans="1:11" x14ac:dyDescent="0.2">
      <c r="A57" s="16" t="s">
        <v>401</v>
      </c>
      <c r="B57" s="17" t="s">
        <v>402</v>
      </c>
      <c r="C57" s="17" t="s">
        <v>403</v>
      </c>
      <c r="D57" s="16" t="s">
        <v>404</v>
      </c>
      <c r="E57" s="17" t="s">
        <v>262</v>
      </c>
      <c r="F57" s="34" t="s">
        <v>240</v>
      </c>
      <c r="G57" s="17" t="s">
        <v>240</v>
      </c>
      <c r="H57" s="34"/>
      <c r="I57" s="35" t="str">
        <f>"180,0"</f>
        <v>180,0</v>
      </c>
      <c r="J57" s="36" t="str">
        <f>"97,5223"</f>
        <v>97,5223</v>
      </c>
      <c r="K57" s="16"/>
    </row>
    <row r="58" spans="1:11" x14ac:dyDescent="0.2">
      <c r="A58" s="16" t="s">
        <v>61</v>
      </c>
      <c r="B58" s="17" t="s">
        <v>62</v>
      </c>
      <c r="C58" s="17" t="s">
        <v>63</v>
      </c>
      <c r="D58" s="16" t="s">
        <v>64</v>
      </c>
      <c r="E58" s="17" t="s">
        <v>268</v>
      </c>
      <c r="F58" s="17" t="s">
        <v>252</v>
      </c>
      <c r="G58" s="17" t="s">
        <v>394</v>
      </c>
      <c r="H58" s="34"/>
      <c r="I58" s="35" t="str">
        <f>"205,0"</f>
        <v>205,0</v>
      </c>
      <c r="J58" s="36" t="str">
        <f>"113,3926"</f>
        <v>113,3926</v>
      </c>
      <c r="K58" s="16" t="s">
        <v>67</v>
      </c>
    </row>
    <row r="59" spans="1:11" x14ac:dyDescent="0.2">
      <c r="A59" s="16" t="s">
        <v>405</v>
      </c>
      <c r="B59" s="17" t="s">
        <v>406</v>
      </c>
      <c r="C59" s="17" t="s">
        <v>407</v>
      </c>
      <c r="D59" s="16" t="s">
        <v>29</v>
      </c>
      <c r="E59" s="17" t="s">
        <v>37</v>
      </c>
      <c r="F59" s="17" t="s">
        <v>330</v>
      </c>
      <c r="G59" s="34" t="s">
        <v>32</v>
      </c>
      <c r="H59" s="34"/>
      <c r="I59" s="35" t="str">
        <f>"137,5"</f>
        <v>137,5</v>
      </c>
      <c r="J59" s="36" t="str">
        <f>"81,9533"</f>
        <v>81,9533</v>
      </c>
      <c r="K59" s="16"/>
    </row>
    <row r="60" spans="1:11" x14ac:dyDescent="0.2">
      <c r="A60" s="14" t="s">
        <v>398</v>
      </c>
      <c r="B60" s="15" t="s">
        <v>408</v>
      </c>
      <c r="C60" s="15" t="s">
        <v>400</v>
      </c>
      <c r="D60" s="14" t="s">
        <v>29</v>
      </c>
      <c r="E60" s="30" t="s">
        <v>252</v>
      </c>
      <c r="F60" s="30" t="s">
        <v>58</v>
      </c>
      <c r="G60" s="30" t="s">
        <v>58</v>
      </c>
      <c r="H60" s="30"/>
      <c r="I60" s="31" t="str">
        <f>"0.00"</f>
        <v>0.00</v>
      </c>
      <c r="J60" s="32" t="str">
        <f>"0,0000"</f>
        <v>0,0000</v>
      </c>
      <c r="K60" s="14"/>
    </row>
    <row r="62" spans="1:11" ht="15" x14ac:dyDescent="0.2">
      <c r="A62" s="52" t="s">
        <v>269</v>
      </c>
      <c r="B62" s="53"/>
      <c r="C62" s="53"/>
      <c r="D62" s="53"/>
      <c r="E62" s="53"/>
      <c r="F62" s="53"/>
      <c r="G62" s="53"/>
      <c r="H62" s="53"/>
    </row>
    <row r="63" spans="1:11" x14ac:dyDescent="0.2">
      <c r="A63" s="9" t="s">
        <v>409</v>
      </c>
      <c r="B63" s="10" t="s">
        <v>410</v>
      </c>
      <c r="C63" s="10" t="s">
        <v>411</v>
      </c>
      <c r="D63" s="9" t="s">
        <v>29</v>
      </c>
      <c r="E63" s="10" t="s">
        <v>248</v>
      </c>
      <c r="F63" s="10" t="s">
        <v>412</v>
      </c>
      <c r="G63" s="25" t="s">
        <v>240</v>
      </c>
      <c r="H63" s="25"/>
      <c r="I63" s="26" t="str">
        <f>"177,5"</f>
        <v>177,5</v>
      </c>
      <c r="J63" s="27" t="str">
        <f>"134,3711"</f>
        <v>134,3711</v>
      </c>
      <c r="K63" s="9"/>
    </row>
    <row r="73" spans="1:3" ht="18" x14ac:dyDescent="0.25">
      <c r="A73" s="18" t="s">
        <v>17</v>
      </c>
      <c r="B73" s="19"/>
    </row>
    <row r="74" spans="1:3" ht="15" x14ac:dyDescent="0.2">
      <c r="A74" s="20" t="s">
        <v>68</v>
      </c>
      <c r="B74" s="11"/>
    </row>
    <row r="75" spans="1:3" ht="14.25" x14ac:dyDescent="0.2">
      <c r="A75" s="21"/>
      <c r="B75" s="22" t="s">
        <v>125</v>
      </c>
    </row>
    <row r="76" spans="1:3" ht="15" x14ac:dyDescent="0.2">
      <c r="A76" s="23" t="s">
        <v>1</v>
      </c>
      <c r="B76" s="23" t="s">
        <v>20</v>
      </c>
      <c r="C76" s="23" t="s">
        <v>21</v>
      </c>
    </row>
    <row r="77" spans="1:3" x14ac:dyDescent="0.2">
      <c r="A77" s="24" t="s">
        <v>413</v>
      </c>
      <c r="B77" s="3" t="s">
        <v>280</v>
      </c>
      <c r="C77" s="3" t="s">
        <v>203</v>
      </c>
    </row>
    <row r="79" spans="1:3" ht="14.25" x14ac:dyDescent="0.2">
      <c r="A79" s="21"/>
      <c r="B79" s="22" t="s">
        <v>19</v>
      </c>
    </row>
    <row r="80" spans="1:3" ht="15" x14ac:dyDescent="0.2">
      <c r="A80" s="23" t="s">
        <v>1</v>
      </c>
      <c r="B80" s="23" t="s">
        <v>20</v>
      </c>
      <c r="C80" s="23" t="s">
        <v>21</v>
      </c>
    </row>
    <row r="81" spans="1:3" x14ac:dyDescent="0.2">
      <c r="A81" s="24" t="s">
        <v>69</v>
      </c>
      <c r="B81" s="3" t="s">
        <v>19</v>
      </c>
      <c r="C81" s="3" t="s">
        <v>70</v>
      </c>
    </row>
    <row r="83" spans="1:3" ht="14.25" x14ac:dyDescent="0.2">
      <c r="A83" s="21"/>
      <c r="B83" s="22" t="s">
        <v>71</v>
      </c>
    </row>
    <row r="84" spans="1:3" ht="15" x14ac:dyDescent="0.2">
      <c r="A84" s="23" t="s">
        <v>1</v>
      </c>
      <c r="B84" s="23" t="s">
        <v>20</v>
      </c>
      <c r="C84" s="23" t="s">
        <v>21</v>
      </c>
    </row>
    <row r="85" spans="1:3" x14ac:dyDescent="0.2">
      <c r="A85" s="24" t="s">
        <v>414</v>
      </c>
      <c r="B85" s="3" t="s">
        <v>78</v>
      </c>
      <c r="C85" s="3" t="s">
        <v>70</v>
      </c>
    </row>
    <row r="86" spans="1:3" x14ac:dyDescent="0.2">
      <c r="A86" s="24" t="s">
        <v>415</v>
      </c>
      <c r="B86" s="3" t="s">
        <v>121</v>
      </c>
      <c r="C86" s="3" t="s">
        <v>133</v>
      </c>
    </row>
    <row r="89" spans="1:3" ht="15" x14ac:dyDescent="0.2">
      <c r="A89" s="20" t="s">
        <v>18</v>
      </c>
      <c r="B89" s="11"/>
    </row>
    <row r="90" spans="1:3" ht="14.25" x14ac:dyDescent="0.2">
      <c r="A90" s="21"/>
      <c r="B90" s="22" t="s">
        <v>125</v>
      </c>
    </row>
    <row r="91" spans="1:3" ht="15" x14ac:dyDescent="0.2">
      <c r="A91" s="23" t="s">
        <v>1</v>
      </c>
      <c r="B91" s="23" t="s">
        <v>20</v>
      </c>
      <c r="C91" s="23" t="s">
        <v>21</v>
      </c>
    </row>
    <row r="92" spans="1:3" x14ac:dyDescent="0.2">
      <c r="A92" s="24" t="s">
        <v>416</v>
      </c>
      <c r="B92" s="3" t="s">
        <v>282</v>
      </c>
      <c r="C92" s="3" t="s">
        <v>70</v>
      </c>
    </row>
    <row r="94" spans="1:3" ht="14.25" x14ac:dyDescent="0.2">
      <c r="A94" s="21"/>
      <c r="B94" s="22" t="s">
        <v>273</v>
      </c>
    </row>
    <row r="95" spans="1:3" ht="15" x14ac:dyDescent="0.2">
      <c r="A95" s="23" t="s">
        <v>1</v>
      </c>
      <c r="B95" s="23" t="s">
        <v>20</v>
      </c>
      <c r="C95" s="23" t="s">
        <v>21</v>
      </c>
    </row>
    <row r="96" spans="1:3" x14ac:dyDescent="0.2">
      <c r="A96" s="24" t="s">
        <v>417</v>
      </c>
      <c r="B96" s="3" t="s">
        <v>275</v>
      </c>
      <c r="C96" s="3" t="s">
        <v>75</v>
      </c>
    </row>
    <row r="98" spans="1:3" ht="14.25" x14ac:dyDescent="0.2">
      <c r="A98" s="21"/>
      <c r="B98" s="22" t="s">
        <v>19</v>
      </c>
    </row>
    <row r="99" spans="1:3" ht="15" x14ac:dyDescent="0.2">
      <c r="A99" s="23" t="s">
        <v>1</v>
      </c>
      <c r="B99" s="23" t="s">
        <v>20</v>
      </c>
      <c r="C99" s="23" t="s">
        <v>21</v>
      </c>
    </row>
    <row r="100" spans="1:3" x14ac:dyDescent="0.2">
      <c r="A100" s="24" t="s">
        <v>418</v>
      </c>
      <c r="B100" s="3" t="s">
        <v>19</v>
      </c>
      <c r="C100" s="3" t="s">
        <v>134</v>
      </c>
    </row>
    <row r="101" spans="1:3" x14ac:dyDescent="0.2">
      <c r="A101" s="24" t="s">
        <v>77</v>
      </c>
      <c r="B101" s="3" t="s">
        <v>19</v>
      </c>
      <c r="C101" s="3" t="s">
        <v>79</v>
      </c>
    </row>
    <row r="102" spans="1:3" x14ac:dyDescent="0.2">
      <c r="A102" s="24" t="s">
        <v>419</v>
      </c>
      <c r="B102" s="3" t="s">
        <v>19</v>
      </c>
      <c r="C102" s="3" t="s">
        <v>23</v>
      </c>
    </row>
    <row r="103" spans="1:3" x14ac:dyDescent="0.2">
      <c r="A103" s="24" t="s">
        <v>289</v>
      </c>
      <c r="B103" s="3" t="s">
        <v>19</v>
      </c>
      <c r="C103" s="3" t="s">
        <v>70</v>
      </c>
    </row>
    <row r="104" spans="1:3" x14ac:dyDescent="0.2">
      <c r="A104" s="24" t="s">
        <v>420</v>
      </c>
      <c r="B104" s="3" t="s">
        <v>19</v>
      </c>
      <c r="C104" s="3" t="s">
        <v>134</v>
      </c>
    </row>
    <row r="105" spans="1:3" x14ac:dyDescent="0.2">
      <c r="A105" s="24" t="s">
        <v>421</v>
      </c>
      <c r="B105" s="3" t="s">
        <v>19</v>
      </c>
      <c r="C105" s="3" t="s">
        <v>134</v>
      </c>
    </row>
    <row r="106" spans="1:3" x14ac:dyDescent="0.2">
      <c r="A106" s="24" t="s">
        <v>422</v>
      </c>
      <c r="B106" s="3" t="s">
        <v>19</v>
      </c>
      <c r="C106" s="3" t="s">
        <v>75</v>
      </c>
    </row>
    <row r="107" spans="1:3" x14ac:dyDescent="0.2">
      <c r="A107" s="24" t="s">
        <v>423</v>
      </c>
      <c r="B107" s="3" t="s">
        <v>19</v>
      </c>
      <c r="C107" s="3" t="s">
        <v>70</v>
      </c>
    </row>
    <row r="108" spans="1:3" x14ac:dyDescent="0.2">
      <c r="A108" s="24" t="s">
        <v>424</v>
      </c>
      <c r="B108" s="3" t="s">
        <v>19</v>
      </c>
      <c r="C108" s="3" t="s">
        <v>133</v>
      </c>
    </row>
    <row r="109" spans="1:3" x14ac:dyDescent="0.2">
      <c r="A109" s="24" t="s">
        <v>425</v>
      </c>
      <c r="B109" s="3" t="s">
        <v>19</v>
      </c>
      <c r="C109" s="3" t="s">
        <v>133</v>
      </c>
    </row>
    <row r="110" spans="1:3" x14ac:dyDescent="0.2">
      <c r="A110" s="24" t="s">
        <v>426</v>
      </c>
      <c r="B110" s="3" t="s">
        <v>19</v>
      </c>
      <c r="C110" s="3" t="s">
        <v>118</v>
      </c>
    </row>
    <row r="111" spans="1:3" x14ac:dyDescent="0.2">
      <c r="A111" s="24" t="s">
        <v>427</v>
      </c>
      <c r="B111" s="3" t="s">
        <v>19</v>
      </c>
      <c r="C111" s="3" t="s">
        <v>75</v>
      </c>
    </row>
    <row r="112" spans="1:3" x14ac:dyDescent="0.2">
      <c r="A112" s="24" t="s">
        <v>428</v>
      </c>
      <c r="B112" s="3" t="s">
        <v>19</v>
      </c>
      <c r="C112" s="3" t="s">
        <v>79</v>
      </c>
    </row>
    <row r="113" spans="1:3" x14ac:dyDescent="0.2">
      <c r="A113" s="24" t="s">
        <v>429</v>
      </c>
      <c r="B113" s="3" t="s">
        <v>19</v>
      </c>
      <c r="C113" s="3" t="s">
        <v>70</v>
      </c>
    </row>
    <row r="114" spans="1:3" x14ac:dyDescent="0.2">
      <c r="A114" s="24" t="s">
        <v>430</v>
      </c>
      <c r="B114" s="3" t="s">
        <v>19</v>
      </c>
      <c r="C114" s="3" t="s">
        <v>134</v>
      </c>
    </row>
    <row r="115" spans="1:3" x14ac:dyDescent="0.2">
      <c r="A115" s="24" t="s">
        <v>431</v>
      </c>
      <c r="B115" s="3" t="s">
        <v>19</v>
      </c>
      <c r="C115" s="3" t="s">
        <v>118</v>
      </c>
    </row>
    <row r="116" spans="1:3" x14ac:dyDescent="0.2">
      <c r="A116" s="24" t="s">
        <v>432</v>
      </c>
      <c r="B116" s="3" t="s">
        <v>19</v>
      </c>
      <c r="C116" s="3" t="s">
        <v>133</v>
      </c>
    </row>
    <row r="117" spans="1:3" x14ac:dyDescent="0.2">
      <c r="A117" s="24" t="s">
        <v>433</v>
      </c>
      <c r="B117" s="3" t="s">
        <v>19</v>
      </c>
      <c r="C117" s="3" t="s">
        <v>75</v>
      </c>
    </row>
    <row r="119" spans="1:3" ht="14.25" x14ac:dyDescent="0.2">
      <c r="A119" s="21"/>
      <c r="B119" s="22" t="s">
        <v>205</v>
      </c>
    </row>
    <row r="120" spans="1:3" ht="15" x14ac:dyDescent="0.2">
      <c r="A120" s="23" t="s">
        <v>1</v>
      </c>
      <c r="B120" s="23" t="s">
        <v>20</v>
      </c>
      <c r="C120" s="23" t="s">
        <v>21</v>
      </c>
    </row>
    <row r="121" spans="1:3" x14ac:dyDescent="0.2">
      <c r="A121" s="24" t="s">
        <v>434</v>
      </c>
      <c r="B121" s="3" t="s">
        <v>206</v>
      </c>
      <c r="C121" s="3" t="s">
        <v>134</v>
      </c>
    </row>
    <row r="123" spans="1:3" ht="14.25" x14ac:dyDescent="0.2">
      <c r="A123" s="21"/>
      <c r="B123" s="22" t="s">
        <v>71</v>
      </c>
    </row>
    <row r="124" spans="1:3" ht="15" x14ac:dyDescent="0.2">
      <c r="A124" s="23" t="s">
        <v>1</v>
      </c>
      <c r="B124" s="23" t="s">
        <v>20</v>
      </c>
      <c r="C124" s="23" t="s">
        <v>21</v>
      </c>
    </row>
    <row r="125" spans="1:3" x14ac:dyDescent="0.2">
      <c r="A125" s="24" t="s">
        <v>435</v>
      </c>
      <c r="B125" s="3" t="s">
        <v>73</v>
      </c>
      <c r="C125" s="3" t="s">
        <v>288</v>
      </c>
    </row>
    <row r="126" spans="1:3" x14ac:dyDescent="0.2">
      <c r="A126" s="24" t="s">
        <v>436</v>
      </c>
      <c r="B126" s="3" t="s">
        <v>73</v>
      </c>
      <c r="C126" s="3" t="s">
        <v>118</v>
      </c>
    </row>
    <row r="127" spans="1:3" x14ac:dyDescent="0.2">
      <c r="A127" s="24" t="s">
        <v>437</v>
      </c>
      <c r="B127" s="3" t="s">
        <v>438</v>
      </c>
      <c r="C127" s="3" t="s">
        <v>23</v>
      </c>
    </row>
    <row r="128" spans="1:3" x14ac:dyDescent="0.2">
      <c r="A128" s="24" t="s">
        <v>77</v>
      </c>
      <c r="B128" s="3" t="s">
        <v>78</v>
      </c>
      <c r="C128" s="3" t="s">
        <v>79</v>
      </c>
    </row>
    <row r="129" spans="1:3" x14ac:dyDescent="0.2">
      <c r="A129" s="24" t="s">
        <v>439</v>
      </c>
      <c r="B129" s="3" t="s">
        <v>438</v>
      </c>
      <c r="C129" s="3" t="s">
        <v>23</v>
      </c>
    </row>
    <row r="130" spans="1:3" x14ac:dyDescent="0.2">
      <c r="A130" s="24" t="s">
        <v>440</v>
      </c>
      <c r="B130" s="3" t="s">
        <v>121</v>
      </c>
      <c r="C130" s="3" t="s">
        <v>79</v>
      </c>
    </row>
    <row r="131" spans="1:3" x14ac:dyDescent="0.2">
      <c r="A131" s="24" t="s">
        <v>441</v>
      </c>
      <c r="B131" s="3" t="s">
        <v>121</v>
      </c>
      <c r="C131" s="3" t="s">
        <v>118</v>
      </c>
    </row>
    <row r="132" spans="1:3" x14ac:dyDescent="0.2">
      <c r="A132" s="24" t="s">
        <v>442</v>
      </c>
      <c r="B132" s="3" t="s">
        <v>78</v>
      </c>
      <c r="C132" s="3" t="s">
        <v>79</v>
      </c>
    </row>
    <row r="133" spans="1:3" x14ac:dyDescent="0.2">
      <c r="A133" s="24" t="s">
        <v>443</v>
      </c>
      <c r="B133" s="3" t="s">
        <v>78</v>
      </c>
      <c r="C133" s="3" t="s">
        <v>23</v>
      </c>
    </row>
  </sheetData>
  <mergeCells count="20">
    <mergeCell ref="I3:I4"/>
    <mergeCell ref="J3:J4"/>
    <mergeCell ref="K3:K4"/>
    <mergeCell ref="A1:K2"/>
    <mergeCell ref="A53:H53"/>
    <mergeCell ref="A62:H62"/>
    <mergeCell ref="A3:A4"/>
    <mergeCell ref="B3:B4"/>
    <mergeCell ref="C3:C4"/>
    <mergeCell ref="D3:D4"/>
    <mergeCell ref="A21:H21"/>
    <mergeCell ref="A26:H26"/>
    <mergeCell ref="A33:H33"/>
    <mergeCell ref="A40:H40"/>
    <mergeCell ref="A47:H47"/>
    <mergeCell ref="E3:H3"/>
    <mergeCell ref="A5:H5"/>
    <mergeCell ref="A8:H8"/>
    <mergeCell ref="A12:H12"/>
    <mergeCell ref="A15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4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28515625" style="3" customWidth="1"/>
    <col min="3" max="3" width="7.5703125" style="3" customWidth="1"/>
    <col min="4" max="4" width="14.7109375" style="4" customWidth="1"/>
    <col min="5" max="7" width="5.5703125" style="3" customWidth="1"/>
    <col min="8" max="8" width="4.7109375" style="3" customWidth="1"/>
    <col min="9" max="9" width="5.7109375" style="5" customWidth="1"/>
    <col min="10" max="10" width="8.5703125" style="6" customWidth="1"/>
    <col min="11" max="11" width="14.42578125" style="4" customWidth="1"/>
    <col min="12" max="16384" width="9.140625" style="7"/>
  </cols>
  <sheetData>
    <row r="1" spans="1:11" s="1" customFormat="1" ht="28.9" customHeight="1" x14ac:dyDescent="0.2">
      <c r="A1" s="46" t="s">
        <v>444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209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211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445</v>
      </c>
      <c r="B6" s="10" t="s">
        <v>446</v>
      </c>
      <c r="C6" s="10" t="s">
        <v>447</v>
      </c>
      <c r="D6" s="9" t="s">
        <v>29</v>
      </c>
      <c r="E6" s="10" t="s">
        <v>148</v>
      </c>
      <c r="F6" s="10" t="s">
        <v>128</v>
      </c>
      <c r="G6" s="25" t="s">
        <v>222</v>
      </c>
      <c r="H6" s="25"/>
      <c r="I6" s="26" t="str">
        <f>"70,0"</f>
        <v>70,0</v>
      </c>
      <c r="J6" s="27" t="str">
        <f>"68,1170"</f>
        <v>68,1170</v>
      </c>
      <c r="K6" s="9"/>
    </row>
    <row r="7" spans="1:11" s="3" customFormat="1" x14ac:dyDescent="0.2">
      <c r="A7" s="4"/>
      <c r="D7" s="4"/>
      <c r="I7" s="5"/>
      <c r="J7" s="6"/>
      <c r="K7" s="4"/>
    </row>
    <row r="8" spans="1:11" ht="15" x14ac:dyDescent="0.2">
      <c r="A8" s="52" t="s">
        <v>192</v>
      </c>
      <c r="B8" s="53"/>
      <c r="C8" s="53"/>
      <c r="D8" s="53"/>
      <c r="E8" s="53"/>
      <c r="F8" s="53"/>
      <c r="G8" s="53"/>
      <c r="H8" s="53"/>
    </row>
    <row r="9" spans="1:11" x14ac:dyDescent="0.2">
      <c r="A9" s="12" t="s">
        <v>291</v>
      </c>
      <c r="B9" s="13" t="s">
        <v>292</v>
      </c>
      <c r="C9" s="13" t="s">
        <v>293</v>
      </c>
      <c r="D9" s="12" t="s">
        <v>29</v>
      </c>
      <c r="E9" s="13" t="s">
        <v>132</v>
      </c>
      <c r="F9" s="13" t="s">
        <v>216</v>
      </c>
      <c r="G9" s="13" t="s">
        <v>230</v>
      </c>
      <c r="H9" s="33"/>
      <c r="I9" s="28" t="str">
        <f>"112,5"</f>
        <v>112,5</v>
      </c>
      <c r="J9" s="29" t="str">
        <f>"106,9425"</f>
        <v>106,9425</v>
      </c>
      <c r="K9" s="12"/>
    </row>
    <row r="10" spans="1:11" x14ac:dyDescent="0.2">
      <c r="A10" s="14" t="s">
        <v>193</v>
      </c>
      <c r="B10" s="15" t="s">
        <v>194</v>
      </c>
      <c r="C10" s="15" t="s">
        <v>195</v>
      </c>
      <c r="D10" s="14" t="s">
        <v>29</v>
      </c>
      <c r="E10" s="15" t="s">
        <v>322</v>
      </c>
      <c r="F10" s="15" t="s">
        <v>216</v>
      </c>
      <c r="G10" s="15" t="s">
        <v>217</v>
      </c>
      <c r="H10" s="30"/>
      <c r="I10" s="31" t="str">
        <f>"110,0"</f>
        <v>110,0</v>
      </c>
      <c r="J10" s="32" t="str">
        <f>"103,4550"</f>
        <v>103,4550</v>
      </c>
      <c r="K10" s="14"/>
    </row>
    <row r="12" spans="1:11" ht="15" x14ac:dyDescent="0.2">
      <c r="A12" s="52" t="s">
        <v>25</v>
      </c>
      <c r="B12" s="53"/>
      <c r="C12" s="53"/>
      <c r="D12" s="53"/>
      <c r="E12" s="53"/>
      <c r="F12" s="53"/>
      <c r="G12" s="53"/>
      <c r="H12" s="53"/>
    </row>
    <row r="13" spans="1:11" x14ac:dyDescent="0.2">
      <c r="A13" s="9" t="s">
        <v>448</v>
      </c>
      <c r="B13" s="10" t="s">
        <v>449</v>
      </c>
      <c r="C13" s="10" t="s">
        <v>450</v>
      </c>
      <c r="D13" s="9" t="s">
        <v>29</v>
      </c>
      <c r="E13" s="10" t="s">
        <v>340</v>
      </c>
      <c r="F13" s="10" t="s">
        <v>322</v>
      </c>
      <c r="G13" s="10" t="s">
        <v>229</v>
      </c>
      <c r="H13" s="25"/>
      <c r="I13" s="26" t="str">
        <f>"102,5"</f>
        <v>102,5</v>
      </c>
      <c r="J13" s="27" t="str">
        <f>"80,9545"</f>
        <v>80,9545</v>
      </c>
      <c r="K13" s="9"/>
    </row>
    <row r="15" spans="1:11" ht="15" x14ac:dyDescent="0.2">
      <c r="A15" s="52" t="s">
        <v>192</v>
      </c>
      <c r="B15" s="53"/>
      <c r="C15" s="53"/>
      <c r="D15" s="53"/>
      <c r="E15" s="53"/>
      <c r="F15" s="53"/>
      <c r="G15" s="53"/>
      <c r="H15" s="53"/>
    </row>
    <row r="16" spans="1:11" x14ac:dyDescent="0.2">
      <c r="A16" s="9" t="s">
        <v>451</v>
      </c>
      <c r="B16" s="10" t="s">
        <v>452</v>
      </c>
      <c r="C16" s="10" t="s">
        <v>453</v>
      </c>
      <c r="D16" s="9" t="s">
        <v>29</v>
      </c>
      <c r="E16" s="25" t="s">
        <v>244</v>
      </c>
      <c r="F16" s="10" t="s">
        <v>240</v>
      </c>
      <c r="G16" s="25" t="s">
        <v>454</v>
      </c>
      <c r="H16" s="25"/>
      <c r="I16" s="26" t="str">
        <f>"180,0"</f>
        <v>180,0</v>
      </c>
      <c r="J16" s="27" t="str">
        <f>"157,4640"</f>
        <v>157,4640</v>
      </c>
      <c r="K16" s="9" t="s">
        <v>455</v>
      </c>
    </row>
    <row r="18" spans="1:11" ht="15" x14ac:dyDescent="0.2">
      <c r="A18" s="52" t="s">
        <v>25</v>
      </c>
      <c r="B18" s="53"/>
      <c r="C18" s="53"/>
      <c r="D18" s="53"/>
      <c r="E18" s="53"/>
      <c r="F18" s="53"/>
      <c r="G18" s="53"/>
      <c r="H18" s="53"/>
    </row>
    <row r="19" spans="1:11" x14ac:dyDescent="0.2">
      <c r="A19" s="9" t="s">
        <v>456</v>
      </c>
      <c r="B19" s="10" t="s">
        <v>457</v>
      </c>
      <c r="C19" s="10" t="s">
        <v>308</v>
      </c>
      <c r="D19" s="9" t="s">
        <v>29</v>
      </c>
      <c r="E19" s="10" t="s">
        <v>244</v>
      </c>
      <c r="F19" s="25" t="s">
        <v>57</v>
      </c>
      <c r="G19" s="25"/>
      <c r="H19" s="25"/>
      <c r="I19" s="26" t="str">
        <f>"170,0"</f>
        <v>170,0</v>
      </c>
      <c r="J19" s="27" t="str">
        <f>"123,5560"</f>
        <v>123,5560</v>
      </c>
      <c r="K19" s="9"/>
    </row>
    <row r="21" spans="1:11" ht="15" x14ac:dyDescent="0.2">
      <c r="A21" s="52" t="s">
        <v>127</v>
      </c>
      <c r="B21" s="53"/>
      <c r="C21" s="53"/>
      <c r="D21" s="53"/>
      <c r="E21" s="53"/>
      <c r="F21" s="53"/>
      <c r="G21" s="53"/>
      <c r="H21" s="53"/>
    </row>
    <row r="22" spans="1:11" x14ac:dyDescent="0.2">
      <c r="A22" s="9" t="s">
        <v>458</v>
      </c>
      <c r="B22" s="10" t="s">
        <v>459</v>
      </c>
      <c r="C22" s="10" t="s">
        <v>460</v>
      </c>
      <c r="D22" s="9" t="s">
        <v>461</v>
      </c>
      <c r="E22" s="10" t="s">
        <v>241</v>
      </c>
      <c r="F22" s="25" t="s">
        <v>242</v>
      </c>
      <c r="G22" s="25" t="s">
        <v>242</v>
      </c>
      <c r="H22" s="25"/>
      <c r="I22" s="26" t="str">
        <f>"200,0"</f>
        <v>200,0</v>
      </c>
      <c r="J22" s="27" t="str">
        <f>"135,3400"</f>
        <v>135,3400</v>
      </c>
      <c r="K22" s="9" t="s">
        <v>462</v>
      </c>
    </row>
    <row r="24" spans="1:11" ht="15" x14ac:dyDescent="0.2">
      <c r="A24" s="52" t="s">
        <v>39</v>
      </c>
      <c r="B24" s="53"/>
      <c r="C24" s="53"/>
      <c r="D24" s="53"/>
      <c r="E24" s="53"/>
      <c r="F24" s="53"/>
      <c r="G24" s="53"/>
      <c r="H24" s="53"/>
    </row>
    <row r="25" spans="1:11" x14ac:dyDescent="0.2">
      <c r="A25" s="9" t="s">
        <v>463</v>
      </c>
      <c r="B25" s="10" t="s">
        <v>464</v>
      </c>
      <c r="C25" s="10" t="s">
        <v>465</v>
      </c>
      <c r="D25" s="9" t="s">
        <v>29</v>
      </c>
      <c r="E25" s="10" t="s">
        <v>102</v>
      </c>
      <c r="F25" s="10" t="s">
        <v>103</v>
      </c>
      <c r="G25" s="10" t="s">
        <v>373</v>
      </c>
      <c r="H25" s="25"/>
      <c r="I25" s="26" t="str">
        <f>"162,5"</f>
        <v>162,5</v>
      </c>
      <c r="J25" s="27" t="str">
        <f>"101,5788"</f>
        <v>101,5788</v>
      </c>
      <c r="K25" s="9" t="s">
        <v>466</v>
      </c>
    </row>
    <row r="27" spans="1:11" ht="15" x14ac:dyDescent="0.2">
      <c r="A27" s="52" t="s">
        <v>47</v>
      </c>
      <c r="B27" s="53"/>
      <c r="C27" s="53"/>
      <c r="D27" s="53"/>
      <c r="E27" s="53"/>
      <c r="F27" s="53"/>
      <c r="G27" s="53"/>
      <c r="H27" s="53"/>
    </row>
    <row r="28" spans="1:11" x14ac:dyDescent="0.2">
      <c r="A28" s="12" t="s">
        <v>467</v>
      </c>
      <c r="B28" s="13" t="s">
        <v>468</v>
      </c>
      <c r="C28" s="13" t="s">
        <v>356</v>
      </c>
      <c r="D28" s="12" t="s">
        <v>469</v>
      </c>
      <c r="E28" s="13" t="s">
        <v>244</v>
      </c>
      <c r="F28" s="13" t="s">
        <v>470</v>
      </c>
      <c r="G28" s="33" t="s">
        <v>268</v>
      </c>
      <c r="H28" s="33"/>
      <c r="I28" s="28" t="str">
        <f>"185,0"</f>
        <v>185,0</v>
      </c>
      <c r="J28" s="29" t="str">
        <f>"109,4830"</f>
        <v>109,4830</v>
      </c>
      <c r="K28" s="12"/>
    </row>
    <row r="29" spans="1:11" x14ac:dyDescent="0.2">
      <c r="A29" s="14" t="s">
        <v>471</v>
      </c>
      <c r="B29" s="15" t="s">
        <v>472</v>
      </c>
      <c r="C29" s="15" t="s">
        <v>473</v>
      </c>
      <c r="D29" s="14" t="s">
        <v>29</v>
      </c>
      <c r="E29" s="15" t="s">
        <v>263</v>
      </c>
      <c r="F29" s="15" t="s">
        <v>43</v>
      </c>
      <c r="G29" s="30" t="s">
        <v>474</v>
      </c>
      <c r="H29" s="30"/>
      <c r="I29" s="31" t="str">
        <f>"240,0"</f>
        <v>240,0</v>
      </c>
      <c r="J29" s="32" t="str">
        <f>"141,6240"</f>
        <v>141,6240</v>
      </c>
      <c r="K29" s="14"/>
    </row>
    <row r="31" spans="1:11" ht="15" x14ac:dyDescent="0.2">
      <c r="A31" s="52" t="s">
        <v>87</v>
      </c>
      <c r="B31" s="53"/>
      <c r="C31" s="53"/>
      <c r="D31" s="53"/>
      <c r="E31" s="53"/>
      <c r="F31" s="53"/>
      <c r="G31" s="53"/>
      <c r="H31" s="53"/>
    </row>
    <row r="32" spans="1:11" x14ac:dyDescent="0.2">
      <c r="A32" s="9" t="s">
        <v>475</v>
      </c>
      <c r="B32" s="10" t="s">
        <v>256</v>
      </c>
      <c r="C32" s="10" t="s">
        <v>130</v>
      </c>
      <c r="D32" s="9" t="s">
        <v>234</v>
      </c>
      <c r="E32" s="10" t="s">
        <v>240</v>
      </c>
      <c r="F32" s="10" t="s">
        <v>53</v>
      </c>
      <c r="G32" s="25" t="s">
        <v>476</v>
      </c>
      <c r="H32" s="25"/>
      <c r="I32" s="26" t="str">
        <f>"220,0"</f>
        <v>220,0</v>
      </c>
      <c r="J32" s="27" t="str">
        <f>"123,0020"</f>
        <v>123,0020</v>
      </c>
      <c r="K32" s="9"/>
    </row>
    <row r="34" spans="1:11" ht="15" x14ac:dyDescent="0.2">
      <c r="A34" s="52" t="s">
        <v>269</v>
      </c>
      <c r="B34" s="53"/>
      <c r="C34" s="53"/>
      <c r="D34" s="53"/>
      <c r="E34" s="53"/>
      <c r="F34" s="53"/>
      <c r="G34" s="53"/>
      <c r="H34" s="53"/>
    </row>
    <row r="35" spans="1:11" x14ac:dyDescent="0.2">
      <c r="A35" s="9" t="s">
        <v>270</v>
      </c>
      <c r="B35" s="10" t="s">
        <v>271</v>
      </c>
      <c r="C35" s="10" t="s">
        <v>272</v>
      </c>
      <c r="D35" s="9" t="s">
        <v>234</v>
      </c>
      <c r="E35" s="10" t="s">
        <v>241</v>
      </c>
      <c r="F35" s="10" t="s">
        <v>53</v>
      </c>
      <c r="G35" s="25"/>
      <c r="H35" s="25"/>
      <c r="I35" s="26" t="str">
        <f>"220,0"</f>
        <v>220,0</v>
      </c>
      <c r="J35" s="27" t="str">
        <f>"113,0580"</f>
        <v>113,0580</v>
      </c>
      <c r="K35" s="9"/>
    </row>
    <row r="45" spans="1:11" ht="18" x14ac:dyDescent="0.25">
      <c r="A45" s="18" t="s">
        <v>17</v>
      </c>
      <c r="B45" s="19"/>
    </row>
    <row r="46" spans="1:11" ht="15" x14ac:dyDescent="0.2">
      <c r="A46" s="20" t="s">
        <v>68</v>
      </c>
      <c r="B46" s="11"/>
    </row>
    <row r="47" spans="1:11" ht="14.25" x14ac:dyDescent="0.2">
      <c r="A47" s="21"/>
      <c r="B47" s="22" t="s">
        <v>125</v>
      </c>
    </row>
    <row r="48" spans="1:11" ht="15" x14ac:dyDescent="0.2">
      <c r="A48" s="23" t="s">
        <v>1</v>
      </c>
      <c r="B48" s="23" t="s">
        <v>20</v>
      </c>
      <c r="C48" s="23" t="s">
        <v>21</v>
      </c>
    </row>
    <row r="49" spans="1:3" x14ac:dyDescent="0.2">
      <c r="A49" s="24" t="s">
        <v>413</v>
      </c>
      <c r="B49" s="3" t="s">
        <v>280</v>
      </c>
      <c r="C49" s="3" t="s">
        <v>203</v>
      </c>
    </row>
    <row r="50" spans="1:3" x14ac:dyDescent="0.2">
      <c r="A50" s="24" t="s">
        <v>477</v>
      </c>
      <c r="B50" s="3" t="s">
        <v>282</v>
      </c>
      <c r="C50" s="3" t="s">
        <v>278</v>
      </c>
    </row>
    <row r="52" spans="1:3" ht="14.25" x14ac:dyDescent="0.2">
      <c r="A52" s="21"/>
      <c r="B52" s="22" t="s">
        <v>19</v>
      </c>
    </row>
    <row r="53" spans="1:3" ht="15" x14ac:dyDescent="0.2">
      <c r="A53" s="23" t="s">
        <v>1</v>
      </c>
      <c r="B53" s="23" t="s">
        <v>20</v>
      </c>
      <c r="C53" s="23" t="s">
        <v>21</v>
      </c>
    </row>
    <row r="54" spans="1:3" x14ac:dyDescent="0.2">
      <c r="A54" s="24" t="s">
        <v>202</v>
      </c>
      <c r="B54" s="3" t="s">
        <v>19</v>
      </c>
      <c r="C54" s="3" t="s">
        <v>203</v>
      </c>
    </row>
    <row r="55" spans="1:3" x14ac:dyDescent="0.2">
      <c r="A55" s="24" t="s">
        <v>478</v>
      </c>
      <c r="B55" s="3" t="s">
        <v>19</v>
      </c>
      <c r="C55" s="3" t="s">
        <v>70</v>
      </c>
    </row>
    <row r="58" spans="1:3" ht="15" x14ac:dyDescent="0.2">
      <c r="A58" s="20" t="s">
        <v>18</v>
      </c>
      <c r="B58" s="11"/>
    </row>
    <row r="59" spans="1:3" ht="14.25" x14ac:dyDescent="0.2">
      <c r="A59" s="21"/>
      <c r="B59" s="22" t="s">
        <v>125</v>
      </c>
    </row>
    <row r="60" spans="1:3" ht="15" x14ac:dyDescent="0.2">
      <c r="A60" s="23" t="s">
        <v>1</v>
      </c>
      <c r="B60" s="23" t="s">
        <v>20</v>
      </c>
      <c r="C60" s="23" t="s">
        <v>21</v>
      </c>
    </row>
    <row r="61" spans="1:3" x14ac:dyDescent="0.2">
      <c r="A61" s="24" t="s">
        <v>479</v>
      </c>
      <c r="B61" s="3" t="s">
        <v>480</v>
      </c>
      <c r="C61" s="3" t="s">
        <v>203</v>
      </c>
    </row>
    <row r="63" spans="1:3" ht="14.25" x14ac:dyDescent="0.2">
      <c r="A63" s="21"/>
      <c r="B63" s="22" t="s">
        <v>273</v>
      </c>
    </row>
    <row r="64" spans="1:3" ht="15" x14ac:dyDescent="0.2">
      <c r="A64" s="23" t="s">
        <v>1</v>
      </c>
      <c r="B64" s="23" t="s">
        <v>20</v>
      </c>
      <c r="C64" s="23" t="s">
        <v>21</v>
      </c>
    </row>
    <row r="65" spans="1:3" x14ac:dyDescent="0.2">
      <c r="A65" s="24" t="s">
        <v>481</v>
      </c>
      <c r="B65" s="3" t="s">
        <v>275</v>
      </c>
      <c r="C65" s="3" t="s">
        <v>134</v>
      </c>
    </row>
    <row r="67" spans="1:3" ht="14.25" x14ac:dyDescent="0.2">
      <c r="A67" s="21"/>
      <c r="B67" s="22" t="s">
        <v>19</v>
      </c>
    </row>
    <row r="68" spans="1:3" ht="15" x14ac:dyDescent="0.2">
      <c r="A68" s="23" t="s">
        <v>1</v>
      </c>
      <c r="B68" s="23" t="s">
        <v>20</v>
      </c>
      <c r="C68" s="23" t="s">
        <v>21</v>
      </c>
    </row>
    <row r="69" spans="1:3" x14ac:dyDescent="0.2">
      <c r="A69" s="24" t="s">
        <v>482</v>
      </c>
      <c r="B69" s="3" t="s">
        <v>19</v>
      </c>
      <c r="C69" s="3" t="s">
        <v>134</v>
      </c>
    </row>
    <row r="70" spans="1:3" x14ac:dyDescent="0.2">
      <c r="A70" s="24" t="s">
        <v>483</v>
      </c>
      <c r="B70" s="3" t="s">
        <v>19</v>
      </c>
      <c r="C70" s="3" t="s">
        <v>133</v>
      </c>
    </row>
    <row r="71" spans="1:3" x14ac:dyDescent="0.2">
      <c r="A71" s="24" t="s">
        <v>484</v>
      </c>
      <c r="B71" s="3" t="s">
        <v>19</v>
      </c>
      <c r="C71" s="3" t="s">
        <v>70</v>
      </c>
    </row>
    <row r="72" spans="1:3" x14ac:dyDescent="0.2">
      <c r="A72" s="24" t="s">
        <v>431</v>
      </c>
      <c r="B72" s="3" t="s">
        <v>19</v>
      </c>
      <c r="C72" s="3" t="s">
        <v>118</v>
      </c>
    </row>
    <row r="73" spans="1:3" x14ac:dyDescent="0.2">
      <c r="A73" s="24" t="s">
        <v>287</v>
      </c>
      <c r="B73" s="3" t="s">
        <v>19</v>
      </c>
      <c r="C73" s="3" t="s">
        <v>288</v>
      </c>
    </row>
    <row r="74" spans="1:3" x14ac:dyDescent="0.2">
      <c r="A74" s="24" t="s">
        <v>485</v>
      </c>
      <c r="B74" s="3" t="s">
        <v>19</v>
      </c>
      <c r="C74" s="3" t="s">
        <v>75</v>
      </c>
    </row>
  </sheetData>
  <mergeCells count="19">
    <mergeCell ref="I3:I4"/>
    <mergeCell ref="J3:J4"/>
    <mergeCell ref="K3:K4"/>
    <mergeCell ref="A1:K2"/>
    <mergeCell ref="A34:H34"/>
    <mergeCell ref="A3:A4"/>
    <mergeCell ref="B3:B4"/>
    <mergeCell ref="C3:C4"/>
    <mergeCell ref="D3:D4"/>
    <mergeCell ref="A18:H18"/>
    <mergeCell ref="A21:H21"/>
    <mergeCell ref="A24:H24"/>
    <mergeCell ref="A27:H27"/>
    <mergeCell ref="A31:H31"/>
    <mergeCell ref="E3:H3"/>
    <mergeCell ref="A5:H5"/>
    <mergeCell ref="A8:H8"/>
    <mergeCell ref="A12:H12"/>
    <mergeCell ref="A15:H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0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7.7109375" style="4" customWidth="1"/>
    <col min="5" max="7" width="4.5703125" style="3" customWidth="1"/>
    <col min="8" max="8" width="4.7109375" style="3" customWidth="1"/>
    <col min="9" max="9" width="5.7109375" style="5" customWidth="1"/>
    <col min="10" max="10" width="7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190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191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192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193</v>
      </c>
      <c r="B6" s="10" t="s">
        <v>194</v>
      </c>
      <c r="C6" s="10" t="s">
        <v>195</v>
      </c>
      <c r="D6" s="9" t="s">
        <v>29</v>
      </c>
      <c r="E6" s="10" t="s">
        <v>196</v>
      </c>
      <c r="F6" s="10" t="s">
        <v>141</v>
      </c>
      <c r="G6" s="25"/>
      <c r="H6" s="25"/>
      <c r="I6" s="26" t="str">
        <f>"30,0"</f>
        <v>30,0</v>
      </c>
      <c r="J6" s="27" t="str">
        <f>"28,2150"</f>
        <v>28,2150</v>
      </c>
      <c r="K6" s="9"/>
    </row>
    <row r="7" spans="1:11" s="3" customFormat="1" x14ac:dyDescent="0.2">
      <c r="A7" s="4"/>
      <c r="D7" s="4"/>
      <c r="I7" s="5"/>
      <c r="J7" s="6"/>
      <c r="K7" s="4"/>
    </row>
    <row r="8" spans="1:11" ht="15" x14ac:dyDescent="0.2">
      <c r="A8" s="52" t="s">
        <v>39</v>
      </c>
      <c r="B8" s="53"/>
      <c r="C8" s="53"/>
      <c r="D8" s="53"/>
      <c r="E8" s="53"/>
      <c r="F8" s="53"/>
      <c r="G8" s="53"/>
      <c r="H8" s="53"/>
    </row>
    <row r="9" spans="1:11" x14ac:dyDescent="0.2">
      <c r="A9" s="9" t="s">
        <v>197</v>
      </c>
      <c r="B9" s="10" t="s">
        <v>198</v>
      </c>
      <c r="C9" s="10" t="s">
        <v>199</v>
      </c>
      <c r="D9" s="9" t="s">
        <v>200</v>
      </c>
      <c r="E9" s="25" t="s">
        <v>148</v>
      </c>
      <c r="F9" s="10" t="s">
        <v>148</v>
      </c>
      <c r="G9" s="10" t="s">
        <v>201</v>
      </c>
      <c r="H9" s="25"/>
      <c r="I9" s="26" t="str">
        <f>"70,0"</f>
        <v>70,0</v>
      </c>
      <c r="J9" s="27" t="str">
        <f>"44,4290"</f>
        <v>44,4290</v>
      </c>
      <c r="K9" s="9"/>
    </row>
    <row r="11" spans="1:11" ht="15" x14ac:dyDescent="0.2">
      <c r="A11" s="52" t="s">
        <v>87</v>
      </c>
      <c r="B11" s="53"/>
      <c r="C11" s="53"/>
      <c r="D11" s="53"/>
      <c r="E11" s="53"/>
      <c r="F11" s="53"/>
      <c r="G11" s="53"/>
      <c r="H11" s="53"/>
    </row>
    <row r="12" spans="1:11" x14ac:dyDescent="0.2">
      <c r="A12" s="9" t="s">
        <v>181</v>
      </c>
      <c r="B12" s="10" t="s">
        <v>182</v>
      </c>
      <c r="C12" s="10" t="s">
        <v>183</v>
      </c>
      <c r="D12" s="9" t="s">
        <v>29</v>
      </c>
      <c r="E12" s="10" t="s">
        <v>158</v>
      </c>
      <c r="F12" s="10" t="s">
        <v>168</v>
      </c>
      <c r="G12" s="10" t="s">
        <v>177</v>
      </c>
      <c r="H12" s="25"/>
      <c r="I12" s="26" t="str">
        <f>"62,5"</f>
        <v>62,5</v>
      </c>
      <c r="J12" s="27" t="str">
        <f>"37,0533"</f>
        <v>37,0533</v>
      </c>
      <c r="K12" s="9"/>
    </row>
    <row r="22" spans="1:3" ht="18" x14ac:dyDescent="0.25">
      <c r="A22" s="18" t="s">
        <v>17</v>
      </c>
      <c r="B22" s="19"/>
    </row>
    <row r="23" spans="1:3" ht="15" x14ac:dyDescent="0.2">
      <c r="A23" s="20" t="s">
        <v>68</v>
      </c>
      <c r="B23" s="11"/>
    </row>
    <row r="24" spans="1:3" ht="14.25" x14ac:dyDescent="0.2">
      <c r="A24" s="21"/>
      <c r="B24" s="22" t="s">
        <v>19</v>
      </c>
    </row>
    <row r="25" spans="1:3" ht="15" x14ac:dyDescent="0.2">
      <c r="A25" s="23" t="s">
        <v>1</v>
      </c>
      <c r="B25" s="23" t="s">
        <v>20</v>
      </c>
      <c r="C25" s="23" t="s">
        <v>21</v>
      </c>
    </row>
    <row r="26" spans="1:3" x14ac:dyDescent="0.2">
      <c r="A26" s="24" t="s">
        <v>202</v>
      </c>
      <c r="B26" s="3" t="s">
        <v>19</v>
      </c>
      <c r="C26" s="3" t="s">
        <v>203</v>
      </c>
    </row>
    <row r="29" spans="1:3" ht="15" x14ac:dyDescent="0.2">
      <c r="A29" s="20" t="s">
        <v>18</v>
      </c>
      <c r="B29" s="11"/>
    </row>
    <row r="30" spans="1:3" ht="14.25" x14ac:dyDescent="0.2">
      <c r="A30" s="21"/>
      <c r="B30" s="22" t="s">
        <v>19</v>
      </c>
    </row>
    <row r="31" spans="1:3" ht="15" x14ac:dyDescent="0.2">
      <c r="A31" s="23" t="s">
        <v>1</v>
      </c>
      <c r="B31" s="23" t="s">
        <v>20</v>
      </c>
      <c r="C31" s="23" t="s">
        <v>21</v>
      </c>
    </row>
    <row r="32" spans="1:3" x14ac:dyDescent="0.2">
      <c r="A32" s="24" t="s">
        <v>204</v>
      </c>
      <c r="B32" s="3" t="s">
        <v>19</v>
      </c>
      <c r="C32" s="3" t="s">
        <v>75</v>
      </c>
    </row>
    <row r="34" spans="1:3" ht="14.25" x14ac:dyDescent="0.2">
      <c r="A34" s="21"/>
      <c r="B34" s="22" t="s">
        <v>205</v>
      </c>
    </row>
    <row r="35" spans="1:3" ht="15" x14ac:dyDescent="0.2">
      <c r="A35" s="23" t="s">
        <v>1</v>
      </c>
      <c r="B35" s="23" t="s">
        <v>20</v>
      </c>
      <c r="C35" s="23" t="s">
        <v>21</v>
      </c>
    </row>
    <row r="36" spans="1:3" x14ac:dyDescent="0.2">
      <c r="A36" s="24" t="s">
        <v>204</v>
      </c>
      <c r="B36" s="3" t="s">
        <v>206</v>
      </c>
      <c r="C36" s="3" t="s">
        <v>75</v>
      </c>
    </row>
    <row r="38" spans="1:3" ht="14.25" x14ac:dyDescent="0.2">
      <c r="A38" s="21"/>
      <c r="B38" s="22" t="s">
        <v>71</v>
      </c>
    </row>
    <row r="39" spans="1:3" ht="15" x14ac:dyDescent="0.2">
      <c r="A39" s="23" t="s">
        <v>1</v>
      </c>
      <c r="B39" s="23" t="s">
        <v>20</v>
      </c>
      <c r="C39" s="23" t="s">
        <v>21</v>
      </c>
    </row>
    <row r="40" spans="1:3" x14ac:dyDescent="0.2">
      <c r="A40" s="24" t="s">
        <v>189</v>
      </c>
      <c r="B40" s="3" t="s">
        <v>78</v>
      </c>
      <c r="C40" s="3" t="s">
        <v>118</v>
      </c>
    </row>
  </sheetData>
  <mergeCells count="12">
    <mergeCell ref="I3:I4"/>
    <mergeCell ref="J3:J4"/>
    <mergeCell ref="K3:K4"/>
    <mergeCell ref="A1:K2"/>
    <mergeCell ref="E3:H3"/>
    <mergeCell ref="A5:H5"/>
    <mergeCell ref="A8:H8"/>
    <mergeCell ref="A11:H1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5.5703125" style="4" customWidth="1"/>
    <col min="5" max="7" width="4.5703125" style="3" customWidth="1"/>
    <col min="8" max="8" width="4.7109375" style="3" customWidth="1"/>
    <col min="9" max="9" width="5.7109375" style="5" customWidth="1"/>
    <col min="10" max="10" width="7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152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136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127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153</v>
      </c>
      <c r="B6" s="10" t="s">
        <v>154</v>
      </c>
      <c r="C6" s="10" t="s">
        <v>155</v>
      </c>
      <c r="D6" s="9" t="s">
        <v>140</v>
      </c>
      <c r="E6" s="10" t="s">
        <v>156</v>
      </c>
      <c r="F6" s="10" t="s">
        <v>157</v>
      </c>
      <c r="G6" s="25" t="s">
        <v>158</v>
      </c>
      <c r="H6" s="25"/>
      <c r="I6" s="26" t="str">
        <f>"50,0"</f>
        <v>50,0</v>
      </c>
      <c r="J6" s="27" t="str">
        <f>"33,4000"</f>
        <v>33,4000</v>
      </c>
      <c r="K6" s="9"/>
    </row>
    <row r="7" spans="1:11" s="3" customFormat="1" x14ac:dyDescent="0.2">
      <c r="A7" s="4"/>
      <c r="D7" s="4"/>
      <c r="I7" s="5"/>
      <c r="J7" s="6"/>
      <c r="K7" s="4"/>
    </row>
    <row r="8" spans="1:11" ht="15" x14ac:dyDescent="0.2">
      <c r="A8" s="52" t="s">
        <v>39</v>
      </c>
      <c r="B8" s="53"/>
      <c r="C8" s="53"/>
      <c r="D8" s="53"/>
      <c r="E8" s="53"/>
      <c r="F8" s="53"/>
      <c r="G8" s="53"/>
      <c r="H8" s="53"/>
    </row>
    <row r="9" spans="1:11" x14ac:dyDescent="0.2">
      <c r="A9" s="12" t="s">
        <v>159</v>
      </c>
      <c r="B9" s="13" t="s">
        <v>160</v>
      </c>
      <c r="C9" s="13" t="s">
        <v>161</v>
      </c>
      <c r="D9" s="12" t="s">
        <v>162</v>
      </c>
      <c r="E9" s="13" t="s">
        <v>163</v>
      </c>
      <c r="F9" s="13" t="s">
        <v>164</v>
      </c>
      <c r="G9" s="33" t="s">
        <v>158</v>
      </c>
      <c r="H9" s="33"/>
      <c r="I9" s="28" t="str">
        <f>"55,0"</f>
        <v>55,0</v>
      </c>
      <c r="J9" s="29" t="str">
        <f>"34,6885"</f>
        <v>34,6885</v>
      </c>
      <c r="K9" s="12"/>
    </row>
    <row r="10" spans="1:11" x14ac:dyDescent="0.2">
      <c r="A10" s="16" t="s">
        <v>165</v>
      </c>
      <c r="B10" s="17" t="s">
        <v>166</v>
      </c>
      <c r="C10" s="17" t="s">
        <v>167</v>
      </c>
      <c r="D10" s="16" t="s">
        <v>131</v>
      </c>
      <c r="E10" s="17" t="s">
        <v>163</v>
      </c>
      <c r="F10" s="34" t="s">
        <v>158</v>
      </c>
      <c r="G10" s="34" t="s">
        <v>168</v>
      </c>
      <c r="H10" s="34"/>
      <c r="I10" s="35" t="str">
        <f>"52,5"</f>
        <v>52,5</v>
      </c>
      <c r="J10" s="36" t="str">
        <f>"33,5160"</f>
        <v>33,5160</v>
      </c>
      <c r="K10" s="16"/>
    </row>
    <row r="11" spans="1:11" x14ac:dyDescent="0.2">
      <c r="A11" s="14" t="s">
        <v>169</v>
      </c>
      <c r="B11" s="15" t="s">
        <v>170</v>
      </c>
      <c r="C11" s="15" t="s">
        <v>171</v>
      </c>
      <c r="D11" s="14" t="s">
        <v>172</v>
      </c>
      <c r="E11" s="30" t="s">
        <v>164</v>
      </c>
      <c r="F11" s="30" t="s">
        <v>164</v>
      </c>
      <c r="G11" s="30" t="s">
        <v>164</v>
      </c>
      <c r="H11" s="30"/>
      <c r="I11" s="31" t="str">
        <f>"0.00"</f>
        <v>0.00</v>
      </c>
      <c r="J11" s="32" t="str">
        <f>"0,0000"</f>
        <v>0,0000</v>
      </c>
      <c r="K11" s="14"/>
    </row>
    <row r="13" spans="1:11" ht="15" x14ac:dyDescent="0.2">
      <c r="A13" s="52" t="s">
        <v>87</v>
      </c>
      <c r="B13" s="53"/>
      <c r="C13" s="53"/>
      <c r="D13" s="53"/>
      <c r="E13" s="53"/>
      <c r="F13" s="53"/>
      <c r="G13" s="53"/>
      <c r="H13" s="53"/>
    </row>
    <row r="14" spans="1:11" x14ac:dyDescent="0.2">
      <c r="A14" s="12" t="s">
        <v>173</v>
      </c>
      <c r="B14" s="13" t="s">
        <v>174</v>
      </c>
      <c r="C14" s="13" t="s">
        <v>175</v>
      </c>
      <c r="D14" s="12" t="s">
        <v>176</v>
      </c>
      <c r="E14" s="13" t="s">
        <v>177</v>
      </c>
      <c r="F14" s="13" t="s">
        <v>148</v>
      </c>
      <c r="G14" s="33" t="s">
        <v>126</v>
      </c>
      <c r="H14" s="33"/>
      <c r="I14" s="28" t="str">
        <f>"65,0"</f>
        <v>65,0</v>
      </c>
      <c r="J14" s="29" t="str">
        <f>"36,5235"</f>
        <v>36,5235</v>
      </c>
      <c r="K14" s="12"/>
    </row>
    <row r="15" spans="1:11" x14ac:dyDescent="0.2">
      <c r="A15" s="16" t="s">
        <v>178</v>
      </c>
      <c r="B15" s="17" t="s">
        <v>179</v>
      </c>
      <c r="C15" s="17" t="s">
        <v>180</v>
      </c>
      <c r="D15" s="16" t="s">
        <v>29</v>
      </c>
      <c r="E15" s="17" t="s">
        <v>164</v>
      </c>
      <c r="F15" s="17" t="s">
        <v>158</v>
      </c>
      <c r="G15" s="34" t="s">
        <v>168</v>
      </c>
      <c r="H15" s="34"/>
      <c r="I15" s="35" t="str">
        <f>"57,5"</f>
        <v>57,5</v>
      </c>
      <c r="J15" s="36" t="str">
        <f>"33,5685"</f>
        <v>33,5685</v>
      </c>
      <c r="K15" s="16"/>
    </row>
    <row r="16" spans="1:11" x14ac:dyDescent="0.2">
      <c r="A16" s="14" t="s">
        <v>181</v>
      </c>
      <c r="B16" s="15" t="s">
        <v>182</v>
      </c>
      <c r="C16" s="15" t="s">
        <v>183</v>
      </c>
      <c r="D16" s="14" t="s">
        <v>29</v>
      </c>
      <c r="E16" s="15" t="s">
        <v>157</v>
      </c>
      <c r="F16" s="15" t="s">
        <v>164</v>
      </c>
      <c r="G16" s="30" t="s">
        <v>168</v>
      </c>
      <c r="H16" s="30"/>
      <c r="I16" s="31" t="str">
        <f>"55,0"</f>
        <v>55,0</v>
      </c>
      <c r="J16" s="32" t="str">
        <f>"32,6069"</f>
        <v>32,6069</v>
      </c>
      <c r="K16" s="14"/>
    </row>
    <row r="26" spans="1:3" ht="18" x14ac:dyDescent="0.25">
      <c r="A26" s="18" t="s">
        <v>17</v>
      </c>
      <c r="B26" s="19"/>
    </row>
    <row r="27" spans="1:3" ht="15" x14ac:dyDescent="0.2">
      <c r="A27" s="20" t="s">
        <v>18</v>
      </c>
      <c r="B27" s="11"/>
    </row>
    <row r="28" spans="1:3" ht="14.25" x14ac:dyDescent="0.2">
      <c r="A28" s="21"/>
      <c r="B28" s="22" t="s">
        <v>19</v>
      </c>
    </row>
    <row r="29" spans="1:3" ht="15" x14ac:dyDescent="0.2">
      <c r="A29" s="23" t="s">
        <v>1</v>
      </c>
      <c r="B29" s="23" t="s">
        <v>20</v>
      </c>
      <c r="C29" s="23" t="s">
        <v>21</v>
      </c>
    </row>
    <row r="30" spans="1:3" x14ac:dyDescent="0.2">
      <c r="A30" s="24" t="s">
        <v>184</v>
      </c>
      <c r="B30" s="3" t="s">
        <v>19</v>
      </c>
      <c r="C30" s="3" t="s">
        <v>118</v>
      </c>
    </row>
    <row r="31" spans="1:3" x14ac:dyDescent="0.2">
      <c r="A31" s="24" t="s">
        <v>185</v>
      </c>
      <c r="B31" s="3" t="s">
        <v>19</v>
      </c>
      <c r="C31" s="3" t="s">
        <v>75</v>
      </c>
    </row>
    <row r="32" spans="1:3" x14ac:dyDescent="0.2">
      <c r="A32" s="24" t="s">
        <v>186</v>
      </c>
      <c r="B32" s="3" t="s">
        <v>19</v>
      </c>
      <c r="C32" s="3" t="s">
        <v>118</v>
      </c>
    </row>
    <row r="33" spans="1:3" x14ac:dyDescent="0.2">
      <c r="A33" s="24" t="s">
        <v>187</v>
      </c>
      <c r="B33" s="3" t="s">
        <v>19</v>
      </c>
      <c r="C33" s="3" t="s">
        <v>75</v>
      </c>
    </row>
    <row r="34" spans="1:3" x14ac:dyDescent="0.2">
      <c r="A34" s="24" t="s">
        <v>188</v>
      </c>
      <c r="B34" s="3" t="s">
        <v>19</v>
      </c>
      <c r="C34" s="3" t="s">
        <v>133</v>
      </c>
    </row>
    <row r="36" spans="1:3" ht="14.25" x14ac:dyDescent="0.2">
      <c r="A36" s="21"/>
      <c r="B36" s="22" t="s">
        <v>71</v>
      </c>
    </row>
    <row r="37" spans="1:3" ht="15" x14ac:dyDescent="0.2">
      <c r="A37" s="23" t="s">
        <v>1</v>
      </c>
      <c r="B37" s="23" t="s">
        <v>20</v>
      </c>
      <c r="C37" s="23" t="s">
        <v>21</v>
      </c>
    </row>
    <row r="38" spans="1:3" x14ac:dyDescent="0.2">
      <c r="A38" s="24" t="s">
        <v>189</v>
      </c>
      <c r="B38" s="3" t="s">
        <v>78</v>
      </c>
      <c r="C38" s="3" t="s">
        <v>118</v>
      </c>
    </row>
  </sheetData>
  <mergeCells count="12">
    <mergeCell ref="I3:I4"/>
    <mergeCell ref="J3:J4"/>
    <mergeCell ref="K3:K4"/>
    <mergeCell ref="A1:K2"/>
    <mergeCell ref="E3:H3"/>
    <mergeCell ref="A5:H5"/>
    <mergeCell ref="A8:H8"/>
    <mergeCell ref="A13:H13"/>
    <mergeCell ref="A3:A4"/>
    <mergeCell ref="B3:B4"/>
    <mergeCell ref="C3:C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9"/>
  <sheetViews>
    <sheetView workbookViewId="0">
      <selection activeCell="A5" sqref="A5:P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5.7109375" style="4" customWidth="1"/>
    <col min="5" max="7" width="5.5703125" style="3" customWidth="1"/>
    <col min="8" max="8" width="4.7109375" style="3" customWidth="1"/>
    <col min="9" max="11" width="5.5703125" style="3" customWidth="1"/>
    <col min="12" max="12" width="4.7109375" style="3" customWidth="1"/>
    <col min="13" max="15" width="5.5703125" style="3" customWidth="1"/>
    <col min="16" max="16" width="4.7109375" style="3" customWidth="1"/>
    <col min="17" max="17" width="5.7109375" style="5" customWidth="1"/>
    <col min="18" max="18" width="8.5703125" style="6" customWidth="1"/>
    <col min="19" max="19" width="7.140625" style="4" customWidth="1"/>
    <col min="20" max="16384" width="9.140625" style="7"/>
  </cols>
  <sheetData>
    <row r="1" spans="1:19" s="1" customFormat="1" ht="28.9" customHeight="1" x14ac:dyDescent="0.2">
      <c r="A1" s="46" t="s">
        <v>486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208</v>
      </c>
      <c r="F3" s="37"/>
      <c r="G3" s="37"/>
      <c r="H3" s="37"/>
      <c r="I3" s="37" t="s">
        <v>5</v>
      </c>
      <c r="J3" s="37"/>
      <c r="K3" s="37"/>
      <c r="L3" s="37"/>
      <c r="M3" s="37" t="s">
        <v>209</v>
      </c>
      <c r="N3" s="37"/>
      <c r="O3" s="37"/>
      <c r="P3" s="37"/>
      <c r="Q3" s="37" t="s">
        <v>210</v>
      </c>
      <c r="R3" s="37" t="s">
        <v>7</v>
      </c>
      <c r="S3" s="44" t="s">
        <v>8</v>
      </c>
    </row>
    <row r="4" spans="1:19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8">
        <v>1</v>
      </c>
      <c r="J4" s="8">
        <v>2</v>
      </c>
      <c r="K4" s="8">
        <v>3</v>
      </c>
      <c r="L4" s="8" t="s">
        <v>9</v>
      </c>
      <c r="M4" s="8">
        <v>1</v>
      </c>
      <c r="N4" s="8">
        <v>2</v>
      </c>
      <c r="O4" s="8">
        <v>3</v>
      </c>
      <c r="P4" s="8" t="s">
        <v>9</v>
      </c>
      <c r="Q4" s="43"/>
      <c r="R4" s="43"/>
      <c r="S4" s="45"/>
    </row>
    <row r="5" spans="1:19" s="3" customFormat="1" ht="15" x14ac:dyDescent="0.2">
      <c r="A5" s="3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5"/>
      <c r="R5" s="6"/>
      <c r="S5" s="4"/>
    </row>
    <row r="6" spans="1:19" s="3" customFormat="1" x14ac:dyDescent="0.2">
      <c r="A6" s="12" t="s">
        <v>487</v>
      </c>
      <c r="B6" s="13" t="s">
        <v>488</v>
      </c>
      <c r="C6" s="13" t="s">
        <v>489</v>
      </c>
      <c r="D6" s="12" t="s">
        <v>490</v>
      </c>
      <c r="E6" s="13" t="s">
        <v>53</v>
      </c>
      <c r="F6" s="13" t="s">
        <v>43</v>
      </c>
      <c r="G6" s="13" t="s">
        <v>97</v>
      </c>
      <c r="H6" s="33"/>
      <c r="I6" s="13" t="s">
        <v>261</v>
      </c>
      <c r="J6" s="13" t="s">
        <v>248</v>
      </c>
      <c r="K6" s="13" t="s">
        <v>491</v>
      </c>
      <c r="L6" s="33"/>
      <c r="M6" s="13" t="s">
        <v>43</v>
      </c>
      <c r="N6" s="13" t="s">
        <v>84</v>
      </c>
      <c r="O6" s="13" t="s">
        <v>86</v>
      </c>
      <c r="P6" s="33"/>
      <c r="Q6" s="28" t="str">
        <f>"702,5"</f>
        <v>702,5</v>
      </c>
      <c r="R6" s="29" t="str">
        <f>"391,7618"</f>
        <v>391,7618</v>
      </c>
      <c r="S6" s="12"/>
    </row>
    <row r="7" spans="1:19" s="3" customFormat="1" x14ac:dyDescent="0.2">
      <c r="A7" s="14" t="s">
        <v>98</v>
      </c>
      <c r="B7" s="15" t="s">
        <v>99</v>
      </c>
      <c r="C7" s="15" t="s">
        <v>100</v>
      </c>
      <c r="D7" s="14" t="s">
        <v>101</v>
      </c>
      <c r="E7" s="15" t="s">
        <v>470</v>
      </c>
      <c r="F7" s="15" t="s">
        <v>241</v>
      </c>
      <c r="G7" s="15" t="s">
        <v>242</v>
      </c>
      <c r="H7" s="30"/>
      <c r="I7" s="15" t="s">
        <v>216</v>
      </c>
      <c r="J7" s="15" t="s">
        <v>230</v>
      </c>
      <c r="K7" s="15" t="s">
        <v>228</v>
      </c>
      <c r="L7" s="30"/>
      <c r="M7" s="15" t="s">
        <v>268</v>
      </c>
      <c r="N7" s="15" t="s">
        <v>52</v>
      </c>
      <c r="O7" s="15" t="s">
        <v>59</v>
      </c>
      <c r="P7" s="30"/>
      <c r="Q7" s="31" t="str">
        <f>"552,5"</f>
        <v>552,5</v>
      </c>
      <c r="R7" s="32" t="str">
        <f>"570,8485"</f>
        <v>570,8485</v>
      </c>
      <c r="S7" s="14"/>
    </row>
    <row r="9" spans="1:19" ht="15" x14ac:dyDescent="0.2">
      <c r="A9" s="52" t="s">
        <v>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9" x14ac:dyDescent="0.2">
      <c r="A10" s="9" t="s">
        <v>492</v>
      </c>
      <c r="B10" s="10" t="s">
        <v>493</v>
      </c>
      <c r="C10" s="10" t="s">
        <v>494</v>
      </c>
      <c r="D10" s="9" t="s">
        <v>29</v>
      </c>
      <c r="E10" s="10" t="s">
        <v>263</v>
      </c>
      <c r="F10" s="10" t="s">
        <v>476</v>
      </c>
      <c r="G10" s="10" t="s">
        <v>84</v>
      </c>
      <c r="H10" s="25"/>
      <c r="I10" s="10" t="s">
        <v>38</v>
      </c>
      <c r="J10" s="10" t="s">
        <v>352</v>
      </c>
      <c r="K10" s="10" t="s">
        <v>373</v>
      </c>
      <c r="L10" s="25"/>
      <c r="M10" s="10" t="s">
        <v>97</v>
      </c>
      <c r="N10" s="10" t="s">
        <v>85</v>
      </c>
      <c r="O10" s="25" t="s">
        <v>65</v>
      </c>
      <c r="P10" s="25"/>
      <c r="Q10" s="26" t="str">
        <f>"682,5"</f>
        <v>682,5</v>
      </c>
      <c r="R10" s="27" t="str">
        <f>"368,0040"</f>
        <v>368,0040</v>
      </c>
      <c r="S10" s="9"/>
    </row>
    <row r="20" spans="1:3" ht="18" x14ac:dyDescent="0.25">
      <c r="A20" s="18" t="s">
        <v>17</v>
      </c>
      <c r="B20" s="19"/>
    </row>
    <row r="21" spans="1:3" ht="15" x14ac:dyDescent="0.2">
      <c r="A21" s="20" t="s">
        <v>18</v>
      </c>
      <c r="B21" s="11"/>
    </row>
    <row r="22" spans="1:3" ht="14.25" x14ac:dyDescent="0.2">
      <c r="A22" s="21"/>
      <c r="B22" s="22" t="s">
        <v>19</v>
      </c>
    </row>
    <row r="23" spans="1:3" ht="15" x14ac:dyDescent="0.2">
      <c r="A23" s="23" t="s">
        <v>1</v>
      </c>
      <c r="B23" s="23" t="s">
        <v>20</v>
      </c>
      <c r="C23" s="23" t="s">
        <v>21</v>
      </c>
    </row>
    <row r="24" spans="1:3" x14ac:dyDescent="0.2">
      <c r="A24" s="24" t="s">
        <v>495</v>
      </c>
      <c r="B24" s="3" t="s">
        <v>19</v>
      </c>
      <c r="C24" s="3" t="s">
        <v>23</v>
      </c>
    </row>
    <row r="26" spans="1:3" ht="14.25" x14ac:dyDescent="0.2">
      <c r="A26" s="21"/>
      <c r="B26" s="22" t="s">
        <v>71</v>
      </c>
    </row>
    <row r="27" spans="1:3" ht="15" x14ac:dyDescent="0.2">
      <c r="A27" s="23" t="s">
        <v>1</v>
      </c>
      <c r="B27" s="23" t="s">
        <v>20</v>
      </c>
      <c r="C27" s="23" t="s">
        <v>21</v>
      </c>
    </row>
    <row r="28" spans="1:3" x14ac:dyDescent="0.2">
      <c r="A28" s="24" t="s">
        <v>123</v>
      </c>
      <c r="B28" s="3" t="s">
        <v>124</v>
      </c>
      <c r="C28" s="3" t="s">
        <v>118</v>
      </c>
    </row>
    <row r="29" spans="1:3" x14ac:dyDescent="0.2">
      <c r="A29" s="24" t="s">
        <v>496</v>
      </c>
      <c r="B29" s="3" t="s">
        <v>121</v>
      </c>
      <c r="C29" s="3" t="s">
        <v>118</v>
      </c>
    </row>
  </sheetData>
  <mergeCells count="13">
    <mergeCell ref="Q3:Q4"/>
    <mergeCell ref="R3:R4"/>
    <mergeCell ref="S3:S4"/>
    <mergeCell ref="A1:S2"/>
    <mergeCell ref="E3:H3"/>
    <mergeCell ref="I3:L3"/>
    <mergeCell ref="M3:P3"/>
    <mergeCell ref="A5:P5"/>
    <mergeCell ref="A9:P9"/>
    <mergeCell ref="A3:A4"/>
    <mergeCell ref="B3:B4"/>
    <mergeCell ref="C3:C4"/>
    <mergeCell ref="D3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2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6.7109375" style="4" customWidth="1"/>
    <col min="5" max="7" width="5.5703125" style="3" customWidth="1"/>
    <col min="8" max="8" width="4.7109375" style="3" customWidth="1"/>
    <col min="9" max="9" width="5.7109375" style="5" customWidth="1"/>
    <col min="10" max="10" width="8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506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5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25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12" t="s">
        <v>507</v>
      </c>
      <c r="B6" s="13" t="s">
        <v>508</v>
      </c>
      <c r="C6" s="13" t="s">
        <v>312</v>
      </c>
      <c r="D6" s="12" t="s">
        <v>29</v>
      </c>
      <c r="E6" s="13" t="s">
        <v>132</v>
      </c>
      <c r="F6" s="13" t="s">
        <v>229</v>
      </c>
      <c r="G6" s="13" t="s">
        <v>216</v>
      </c>
      <c r="H6" s="33"/>
      <c r="I6" s="28" t="str">
        <f>"105,0"</f>
        <v>105,0</v>
      </c>
      <c r="J6" s="29" t="str">
        <f>"82,3935"</f>
        <v>82,3935</v>
      </c>
      <c r="K6" s="12"/>
    </row>
    <row r="7" spans="1:11" s="3" customFormat="1" x14ac:dyDescent="0.2">
      <c r="A7" s="14" t="s">
        <v>509</v>
      </c>
      <c r="B7" s="15" t="s">
        <v>510</v>
      </c>
      <c r="C7" s="15" t="s">
        <v>511</v>
      </c>
      <c r="D7" s="14" t="s">
        <v>512</v>
      </c>
      <c r="E7" s="15" t="s">
        <v>222</v>
      </c>
      <c r="F7" s="15" t="s">
        <v>301</v>
      </c>
      <c r="G7" s="30" t="s">
        <v>129</v>
      </c>
      <c r="H7" s="30"/>
      <c r="I7" s="31" t="str">
        <f>"80,0"</f>
        <v>80,0</v>
      </c>
      <c r="J7" s="32" t="str">
        <f>"65,4480"</f>
        <v>65,4480</v>
      </c>
      <c r="K7" s="14"/>
    </row>
    <row r="9" spans="1:11" ht="15" x14ac:dyDescent="0.2">
      <c r="A9" s="52" t="s">
        <v>127</v>
      </c>
      <c r="B9" s="53"/>
      <c r="C9" s="53"/>
      <c r="D9" s="53"/>
      <c r="E9" s="53"/>
      <c r="F9" s="53"/>
      <c r="G9" s="53"/>
      <c r="H9" s="53"/>
    </row>
    <row r="10" spans="1:11" x14ac:dyDescent="0.2">
      <c r="A10" s="9" t="s">
        <v>513</v>
      </c>
      <c r="B10" s="10" t="s">
        <v>514</v>
      </c>
      <c r="C10" s="10" t="s">
        <v>299</v>
      </c>
      <c r="D10" s="9" t="s">
        <v>515</v>
      </c>
      <c r="E10" s="10" t="s">
        <v>103</v>
      </c>
      <c r="F10" s="10" t="s">
        <v>243</v>
      </c>
      <c r="G10" s="25" t="s">
        <v>373</v>
      </c>
      <c r="H10" s="25"/>
      <c r="I10" s="26" t="str">
        <f>"160,0"</f>
        <v>160,0</v>
      </c>
      <c r="J10" s="27" t="str">
        <f>"107,5680"</f>
        <v>107,5680</v>
      </c>
      <c r="K10" s="9"/>
    </row>
    <row r="12" spans="1:11" ht="15" x14ac:dyDescent="0.2">
      <c r="A12" s="52" t="s">
        <v>87</v>
      </c>
      <c r="B12" s="53"/>
      <c r="C12" s="53"/>
      <c r="D12" s="53"/>
      <c r="E12" s="53"/>
      <c r="F12" s="53"/>
      <c r="G12" s="53"/>
      <c r="H12" s="53"/>
    </row>
    <row r="13" spans="1:11" x14ac:dyDescent="0.2">
      <c r="A13" s="9" t="s">
        <v>516</v>
      </c>
      <c r="B13" s="10" t="s">
        <v>517</v>
      </c>
      <c r="C13" s="10" t="s">
        <v>518</v>
      </c>
      <c r="D13" s="9" t="s">
        <v>176</v>
      </c>
      <c r="E13" s="25" t="s">
        <v>470</v>
      </c>
      <c r="F13" s="10" t="s">
        <v>470</v>
      </c>
      <c r="G13" s="10" t="s">
        <v>57</v>
      </c>
      <c r="H13" s="25"/>
      <c r="I13" s="26" t="str">
        <f>"190,0"</f>
        <v>190,0</v>
      </c>
      <c r="J13" s="27" t="str">
        <f>"107,5400"</f>
        <v>107,5400</v>
      </c>
      <c r="K13" s="9"/>
    </row>
    <row r="15" spans="1:11" ht="15" x14ac:dyDescent="0.2">
      <c r="A15" s="52" t="s">
        <v>10</v>
      </c>
      <c r="B15" s="53"/>
      <c r="C15" s="53"/>
      <c r="D15" s="53"/>
      <c r="E15" s="53"/>
      <c r="F15" s="53"/>
      <c r="G15" s="53"/>
      <c r="H15" s="53"/>
    </row>
    <row r="16" spans="1:11" x14ac:dyDescent="0.2">
      <c r="A16" s="9" t="s">
        <v>498</v>
      </c>
      <c r="B16" s="10" t="s">
        <v>499</v>
      </c>
      <c r="C16" s="10" t="s">
        <v>381</v>
      </c>
      <c r="D16" s="9" t="s">
        <v>500</v>
      </c>
      <c r="E16" s="10" t="s">
        <v>30</v>
      </c>
      <c r="F16" s="10" t="s">
        <v>31</v>
      </c>
      <c r="G16" s="25" t="s">
        <v>38</v>
      </c>
      <c r="H16" s="25"/>
      <c r="I16" s="26" t="str">
        <f>"135,0"</f>
        <v>135,0</v>
      </c>
      <c r="J16" s="27" t="str">
        <f>"87,5928"</f>
        <v>87,5928</v>
      </c>
      <c r="K16" s="9"/>
    </row>
    <row r="26" spans="1:3" ht="18" x14ac:dyDescent="0.25">
      <c r="A26" s="18" t="s">
        <v>17</v>
      </c>
      <c r="B26" s="19"/>
    </row>
    <row r="27" spans="1:3" ht="15" x14ac:dyDescent="0.2">
      <c r="A27" s="20" t="s">
        <v>68</v>
      </c>
      <c r="B27" s="11"/>
    </row>
    <row r="28" spans="1:3" ht="14.25" x14ac:dyDescent="0.2">
      <c r="A28" s="21"/>
      <c r="B28" s="22" t="s">
        <v>19</v>
      </c>
    </row>
    <row r="29" spans="1:3" ht="15" x14ac:dyDescent="0.2">
      <c r="A29" s="23" t="s">
        <v>1</v>
      </c>
      <c r="B29" s="23" t="s">
        <v>20</v>
      </c>
      <c r="C29" s="23" t="s">
        <v>21</v>
      </c>
    </row>
    <row r="30" spans="1:3" x14ac:dyDescent="0.2">
      <c r="A30" s="24" t="s">
        <v>519</v>
      </c>
      <c r="B30" s="3" t="s">
        <v>19</v>
      </c>
      <c r="C30" s="3" t="s">
        <v>70</v>
      </c>
    </row>
    <row r="31" spans="1:3" x14ac:dyDescent="0.2">
      <c r="A31" s="24" t="s">
        <v>520</v>
      </c>
      <c r="B31" s="3" t="s">
        <v>19</v>
      </c>
      <c r="C31" s="3" t="s">
        <v>70</v>
      </c>
    </row>
    <row r="34" spans="1:3" ht="15" x14ac:dyDescent="0.2">
      <c r="A34" s="20" t="s">
        <v>18</v>
      </c>
      <c r="B34" s="11"/>
    </row>
    <row r="35" spans="1:3" ht="14.25" x14ac:dyDescent="0.2">
      <c r="A35" s="21"/>
      <c r="B35" s="22" t="s">
        <v>19</v>
      </c>
    </row>
    <row r="36" spans="1:3" ht="15" x14ac:dyDescent="0.2">
      <c r="A36" s="23" t="s">
        <v>1</v>
      </c>
      <c r="B36" s="23" t="s">
        <v>20</v>
      </c>
      <c r="C36" s="23" t="s">
        <v>21</v>
      </c>
    </row>
    <row r="37" spans="1:3" x14ac:dyDescent="0.2">
      <c r="A37" s="24" t="s">
        <v>521</v>
      </c>
      <c r="B37" s="3" t="s">
        <v>19</v>
      </c>
      <c r="C37" s="3" t="s">
        <v>133</v>
      </c>
    </row>
    <row r="38" spans="1:3" x14ac:dyDescent="0.2">
      <c r="A38" s="24" t="s">
        <v>522</v>
      </c>
      <c r="B38" s="3" t="s">
        <v>19</v>
      </c>
      <c r="C38" s="3" t="s">
        <v>118</v>
      </c>
    </row>
    <row r="40" spans="1:3" ht="14.25" x14ac:dyDescent="0.2">
      <c r="A40" s="21"/>
      <c r="B40" s="22" t="s">
        <v>71</v>
      </c>
    </row>
    <row r="41" spans="1:3" ht="15" x14ac:dyDescent="0.2">
      <c r="A41" s="23" t="s">
        <v>1</v>
      </c>
      <c r="B41" s="23" t="s">
        <v>20</v>
      </c>
      <c r="C41" s="23" t="s">
        <v>21</v>
      </c>
    </row>
    <row r="42" spans="1:3" x14ac:dyDescent="0.2">
      <c r="A42" s="24" t="s">
        <v>501</v>
      </c>
      <c r="B42" s="3" t="s">
        <v>438</v>
      </c>
      <c r="C42" s="3" t="s">
        <v>23</v>
      </c>
    </row>
  </sheetData>
  <mergeCells count="13">
    <mergeCell ref="I3:I4"/>
    <mergeCell ref="J3:J4"/>
    <mergeCell ref="K3:K4"/>
    <mergeCell ref="A1:K2"/>
    <mergeCell ref="E3:H3"/>
    <mergeCell ref="A5:H5"/>
    <mergeCell ref="A9:H9"/>
    <mergeCell ref="A12:H12"/>
    <mergeCell ref="A15:H15"/>
    <mergeCell ref="A3:A4"/>
    <mergeCell ref="B3:B4"/>
    <mergeCell ref="C3:C4"/>
    <mergeCell ref="D3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0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26.5703125" style="3" customWidth="1"/>
    <col min="3" max="3" width="7.5703125" style="3" customWidth="1"/>
    <col min="4" max="4" width="16.7109375" style="4" customWidth="1"/>
    <col min="5" max="7" width="5.5703125" style="3" customWidth="1"/>
    <col min="8" max="8" width="4.7109375" style="3" customWidth="1"/>
    <col min="9" max="9" width="5.7109375" style="5" customWidth="1"/>
    <col min="10" max="10" width="7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497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5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10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498</v>
      </c>
      <c r="B6" s="10" t="s">
        <v>499</v>
      </c>
      <c r="C6" s="10" t="s">
        <v>381</v>
      </c>
      <c r="D6" s="9" t="s">
        <v>500</v>
      </c>
      <c r="E6" s="10" t="s">
        <v>30</v>
      </c>
      <c r="F6" s="10" t="s">
        <v>31</v>
      </c>
      <c r="G6" s="25" t="s">
        <v>38</v>
      </c>
      <c r="H6" s="25"/>
      <c r="I6" s="26" t="str">
        <f>"135,0"</f>
        <v>135,0</v>
      </c>
      <c r="J6" s="27" t="str">
        <f>"87,5928"</f>
        <v>87,5928</v>
      </c>
      <c r="K6" s="9"/>
    </row>
    <row r="7" spans="1:11" s="3" customFormat="1" x14ac:dyDescent="0.2">
      <c r="A7" s="4"/>
      <c r="D7" s="4"/>
      <c r="I7" s="5"/>
      <c r="J7" s="6"/>
      <c r="K7" s="4"/>
    </row>
    <row r="16" spans="1:11" ht="18" x14ac:dyDescent="0.25">
      <c r="A16" s="18" t="s">
        <v>17</v>
      </c>
      <c r="B16" s="19"/>
    </row>
    <row r="17" spans="1:3" ht="15" x14ac:dyDescent="0.2">
      <c r="A17" s="20" t="s">
        <v>18</v>
      </c>
      <c r="B17" s="11"/>
    </row>
    <row r="18" spans="1:3" ht="14.25" x14ac:dyDescent="0.2">
      <c r="A18" s="21"/>
      <c r="B18" s="22" t="s">
        <v>71</v>
      </c>
    </row>
    <row r="19" spans="1:3" ht="15" x14ac:dyDescent="0.2">
      <c r="A19" s="23" t="s">
        <v>1</v>
      </c>
      <c r="B19" s="23" t="s">
        <v>20</v>
      </c>
      <c r="C19" s="23" t="s">
        <v>21</v>
      </c>
    </row>
    <row r="20" spans="1:3" x14ac:dyDescent="0.2">
      <c r="A20" s="24" t="s">
        <v>501</v>
      </c>
      <c r="B20" s="3" t="s">
        <v>438</v>
      </c>
      <c r="C20" s="3" t="s">
        <v>23</v>
      </c>
    </row>
  </sheetData>
  <mergeCells count="10">
    <mergeCell ref="I3:I4"/>
    <mergeCell ref="J3:J4"/>
    <mergeCell ref="K3:K4"/>
    <mergeCell ref="A1:K2"/>
    <mergeCell ref="E3:H3"/>
    <mergeCell ref="A5:H5"/>
    <mergeCell ref="A3:A4"/>
    <mergeCell ref="B3:B4"/>
    <mergeCell ref="C3:C4"/>
    <mergeCell ref="D3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0"/>
  <sheetViews>
    <sheetView workbookViewId="0">
      <selection activeCell="A5" sqref="A5:H5"/>
    </sheetView>
  </sheetViews>
  <sheetFormatPr defaultColWidth="9.140625" defaultRowHeight="12.75" x14ac:dyDescent="0.2"/>
  <cols>
    <col min="1" max="1" width="24.85546875" style="4" customWidth="1"/>
    <col min="2" max="2" width="19.140625" style="3" customWidth="1"/>
    <col min="3" max="3" width="7.5703125" style="3" customWidth="1"/>
    <col min="4" max="4" width="15.7109375" style="4" customWidth="1"/>
    <col min="5" max="7" width="5.5703125" style="3" customWidth="1"/>
    <col min="8" max="8" width="4.7109375" style="3" customWidth="1"/>
    <col min="9" max="9" width="5.7109375" style="5" customWidth="1"/>
    <col min="10" max="10" width="7.5703125" style="6" customWidth="1"/>
    <col min="11" max="11" width="7.140625" style="4" customWidth="1"/>
    <col min="12" max="16384" width="9.140625" style="7"/>
  </cols>
  <sheetData>
    <row r="1" spans="1:11" s="1" customFormat="1" ht="28.9" customHeight="1" x14ac:dyDescent="0.2">
      <c r="A1" s="46" t="s">
        <v>502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" customFormat="1" ht="61.9" customHeight="1" thickBot="1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2" customFormat="1" ht="12.75" customHeight="1" x14ac:dyDescent="0.2">
      <c r="A3" s="40" t="s">
        <v>1</v>
      </c>
      <c r="B3" s="42" t="s">
        <v>2</v>
      </c>
      <c r="C3" s="42" t="s">
        <v>3</v>
      </c>
      <c r="D3" s="37" t="s">
        <v>4</v>
      </c>
      <c r="E3" s="37" t="s">
        <v>5</v>
      </c>
      <c r="F3" s="37"/>
      <c r="G3" s="37"/>
      <c r="H3" s="37"/>
      <c r="I3" s="37" t="s">
        <v>6</v>
      </c>
      <c r="J3" s="37" t="s">
        <v>7</v>
      </c>
      <c r="K3" s="44" t="s">
        <v>8</v>
      </c>
    </row>
    <row r="4" spans="1:11" s="2" customFormat="1" ht="23.25" customHeight="1" thickBot="1" x14ac:dyDescent="0.25">
      <c r="A4" s="41"/>
      <c r="B4" s="43"/>
      <c r="C4" s="43"/>
      <c r="D4" s="43"/>
      <c r="E4" s="8">
        <v>1</v>
      </c>
      <c r="F4" s="8">
        <v>2</v>
      </c>
      <c r="G4" s="8">
        <v>3</v>
      </c>
      <c r="H4" s="8" t="s">
        <v>9</v>
      </c>
      <c r="I4" s="43"/>
      <c r="J4" s="43"/>
      <c r="K4" s="45"/>
    </row>
    <row r="5" spans="1:11" s="3" customFormat="1" ht="15" x14ac:dyDescent="0.2">
      <c r="A5" s="38" t="s">
        <v>10</v>
      </c>
      <c r="B5" s="39"/>
      <c r="C5" s="39"/>
      <c r="D5" s="39"/>
      <c r="E5" s="39"/>
      <c r="F5" s="39"/>
      <c r="G5" s="39"/>
      <c r="H5" s="39"/>
      <c r="I5" s="5"/>
      <c r="J5" s="6"/>
      <c r="K5" s="4"/>
    </row>
    <row r="6" spans="1:11" s="3" customFormat="1" x14ac:dyDescent="0.2">
      <c r="A6" s="9" t="s">
        <v>503</v>
      </c>
      <c r="B6" s="10" t="s">
        <v>504</v>
      </c>
      <c r="C6" s="10" t="s">
        <v>388</v>
      </c>
      <c r="D6" s="9" t="s">
        <v>490</v>
      </c>
      <c r="E6" s="10" t="s">
        <v>244</v>
      </c>
      <c r="F6" s="10" t="s">
        <v>240</v>
      </c>
      <c r="G6" s="25" t="s">
        <v>57</v>
      </c>
      <c r="H6" s="25"/>
      <c r="I6" s="26" t="str">
        <f>"180,0"</f>
        <v>180,0</v>
      </c>
      <c r="J6" s="27" t="str">
        <f>"98,9100"</f>
        <v>98,9100</v>
      </c>
      <c r="K6" s="9"/>
    </row>
    <row r="7" spans="1:11" s="3" customFormat="1" x14ac:dyDescent="0.2">
      <c r="A7" s="4"/>
      <c r="D7" s="4"/>
      <c r="I7" s="5"/>
      <c r="J7" s="6"/>
      <c r="K7" s="4"/>
    </row>
    <row r="16" spans="1:11" ht="18" x14ac:dyDescent="0.25">
      <c r="A16" s="18" t="s">
        <v>17</v>
      </c>
      <c r="B16" s="19"/>
    </row>
    <row r="17" spans="1:3" ht="15" x14ac:dyDescent="0.2">
      <c r="A17" s="20" t="s">
        <v>18</v>
      </c>
      <c r="B17" s="11"/>
    </row>
    <row r="18" spans="1:3" ht="14.25" x14ac:dyDescent="0.2">
      <c r="A18" s="21"/>
      <c r="B18" s="22" t="s">
        <v>19</v>
      </c>
    </row>
    <row r="19" spans="1:3" ht="15" x14ac:dyDescent="0.2">
      <c r="A19" s="23" t="s">
        <v>1</v>
      </c>
      <c r="B19" s="23" t="s">
        <v>20</v>
      </c>
      <c r="C19" s="23" t="s">
        <v>21</v>
      </c>
    </row>
    <row r="20" spans="1:3" x14ac:dyDescent="0.2">
      <c r="A20" s="24" t="s">
        <v>505</v>
      </c>
      <c r="B20" s="3" t="s">
        <v>19</v>
      </c>
      <c r="C20" s="3" t="s">
        <v>23</v>
      </c>
    </row>
  </sheetData>
  <mergeCells count="10">
    <mergeCell ref="I3:I4"/>
    <mergeCell ref="J3:J4"/>
    <mergeCell ref="K3:K4"/>
    <mergeCell ref="A1:K2"/>
    <mergeCell ref="E3:H3"/>
    <mergeCell ref="A5:H5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AWPA PL Raw</vt:lpstr>
      <vt:lpstr>AWPA raw BP</vt:lpstr>
      <vt:lpstr>AWPA raw DL</vt:lpstr>
      <vt:lpstr>AWPA OB</vt:lpstr>
      <vt:lpstr>AWPA SC</vt:lpstr>
      <vt:lpstr>WPA raw PL</vt:lpstr>
      <vt:lpstr>WPA raw BP</vt:lpstr>
      <vt:lpstr>WPA m.ply BP</vt:lpstr>
      <vt:lpstr>WPA st.ply BP</vt:lpstr>
      <vt:lpstr>WPA raw DL</vt:lpstr>
      <vt:lpstr>WPA SC</vt:lpstr>
      <vt:lpstr>AWPC MP soft BP</vt:lpstr>
      <vt:lpstr>AWPC MP soft std BP</vt:lpstr>
      <vt:lpstr>WPC soft std 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2008-02-22T21:19:00Z</cp:lastPrinted>
  <dcterms:created xsi:type="dcterms:W3CDTF">2002-06-16T13:36:00Z</dcterms:created>
  <dcterms:modified xsi:type="dcterms:W3CDTF">2021-11-24T19:04:55Z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1BE40931B5244BD997BF7BFABEA207EC</vt:lpwstr>
  </property>
  <property fmtid="{D5CDD505-2E9C-101B-9397-08002B2CF9AE}" pid="3" name="KSOProductBuildVer">
    <vt:lpwstr>1049-11.2.0.10382</vt:lpwstr>
  </property>
</Properties>
</file>