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2ED823D8-1DEA-7241-AE40-D7A09B113ED0}" xr6:coauthVersionLast="45" xr6:coauthVersionMax="45" xr10:uidLastSave="{00000000-0000-0000-0000-000000000000}"/>
  <bookViews>
    <workbookView xWindow="480" yWindow="460" windowWidth="28120" windowHeight="15980" firstSheet="15" activeTab="15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ПЛ в бинтах" sheetId="7" r:id="rId4"/>
    <sheet name="IPL Двоеборье без экип" sheetId="16" r:id="rId5"/>
    <sheet name="IPL Присед без экипировки" sheetId="15" r:id="rId6"/>
    <sheet name="IPL Жим без экипировки ДК" sheetId="10" r:id="rId7"/>
    <sheet name="IPL Жим без экипировки" sheetId="9" r:id="rId8"/>
    <sheet name="IPL Жим однослой ДК" sheetId="11" r:id="rId9"/>
    <sheet name="СПР Жим софт однопетельная ДК" sheetId="38" r:id="rId10"/>
    <sheet name="СПР Жим софт многопетельная" sheetId="39" r:id="rId11"/>
    <sheet name="СПР Жим СФО" sheetId="25" r:id="rId12"/>
    <sheet name="IPL Тяга без экипировки ДК" sheetId="13" r:id="rId13"/>
    <sheet name="IPL Тяга без экипировки" sheetId="12" r:id="rId14"/>
    <sheet name="IPL Тяга многослой" sheetId="14" r:id="rId15"/>
    <sheet name="СПР Пауэрспорт ДК" sheetId="24" r:id="rId16"/>
    <sheet name="СПР Пауэрспорт" sheetId="23" r:id="rId17"/>
    <sheet name="СПР Подъем на бицепс ДК" sheetId="22" r:id="rId18"/>
    <sheet name="СПР Подъем на бицепс" sheetId="21" r:id="rId19"/>
  </sheets>
  <definedNames>
    <definedName name="_FilterDatabase" localSheetId="1" hidden="1">'IPL ПЛ без экипировки'!$A$1:$S$3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39" l="1"/>
  <c r="K9" i="39"/>
  <c r="L6" i="39"/>
  <c r="K6" i="39"/>
  <c r="L18" i="38"/>
  <c r="K18" i="38"/>
  <c r="L15" i="38"/>
  <c r="K15" i="38"/>
  <c r="L12" i="38"/>
  <c r="K12" i="38"/>
  <c r="L9" i="38"/>
  <c r="K9" i="38"/>
  <c r="L6" i="38"/>
  <c r="K6" i="38"/>
  <c r="L12" i="25"/>
  <c r="K12" i="25"/>
  <c r="L9" i="25"/>
  <c r="K9" i="25"/>
  <c r="L6" i="25"/>
  <c r="K6" i="25"/>
  <c r="P9" i="24"/>
  <c r="O9" i="24"/>
  <c r="P6" i="24"/>
  <c r="O6" i="24"/>
  <c r="P6" i="23"/>
  <c r="O6" i="23"/>
  <c r="L17" i="22"/>
  <c r="K17" i="22"/>
  <c r="L14" i="22"/>
  <c r="K14" i="22"/>
  <c r="L11" i="22"/>
  <c r="K11" i="22"/>
  <c r="L10" i="22"/>
  <c r="K10" i="22"/>
  <c r="L7" i="22"/>
  <c r="K7" i="22"/>
  <c r="L6" i="22"/>
  <c r="K6" i="22"/>
  <c r="L6" i="21"/>
  <c r="K6" i="21"/>
  <c r="P6" i="16"/>
  <c r="O6" i="16"/>
  <c r="L6" i="15"/>
  <c r="K6" i="15"/>
  <c r="L6" i="14"/>
  <c r="K6" i="14"/>
  <c r="L9" i="13"/>
  <c r="K9" i="13"/>
  <c r="L6" i="13"/>
  <c r="K6" i="13"/>
  <c r="L15" i="12"/>
  <c r="K15" i="12"/>
  <c r="L12" i="12"/>
  <c r="K12" i="12"/>
  <c r="L9" i="12"/>
  <c r="K9" i="12"/>
  <c r="L6" i="12"/>
  <c r="K6" i="12"/>
  <c r="L6" i="11"/>
  <c r="K6" i="11"/>
  <c r="L40" i="10"/>
  <c r="K40" i="10"/>
  <c r="L37" i="10"/>
  <c r="K37" i="10"/>
  <c r="L36" i="10"/>
  <c r="K36" i="10"/>
  <c r="L33" i="10"/>
  <c r="K33" i="10"/>
  <c r="L30" i="10"/>
  <c r="K30" i="10"/>
  <c r="L29" i="10"/>
  <c r="K29" i="10"/>
  <c r="L26" i="10"/>
  <c r="K26" i="10"/>
  <c r="L23" i="10"/>
  <c r="K23" i="10"/>
  <c r="L22" i="10"/>
  <c r="K22" i="10"/>
  <c r="L21" i="10"/>
  <c r="K21" i="10"/>
  <c r="L20" i="10"/>
  <c r="K20" i="10"/>
  <c r="L17" i="10"/>
  <c r="K17" i="10"/>
  <c r="L14" i="10"/>
  <c r="K14" i="10"/>
  <c r="L11" i="10"/>
  <c r="K11" i="10"/>
  <c r="L10" i="10"/>
  <c r="K10" i="10"/>
  <c r="L7" i="10"/>
  <c r="K7" i="10"/>
  <c r="L6" i="10"/>
  <c r="K6" i="10"/>
  <c r="L25" i="9"/>
  <c r="K25" i="9"/>
  <c r="L22" i="9"/>
  <c r="K22" i="9"/>
  <c r="L21" i="9"/>
  <c r="K21" i="9"/>
  <c r="L18" i="9"/>
  <c r="K18" i="9"/>
  <c r="L15" i="9"/>
  <c r="K15" i="9"/>
  <c r="L12" i="9"/>
  <c r="K12" i="9"/>
  <c r="L9" i="9"/>
  <c r="K9" i="9"/>
  <c r="L6" i="9"/>
  <c r="K6" i="9"/>
  <c r="T9" i="8"/>
  <c r="S9" i="8"/>
  <c r="T6" i="8"/>
  <c r="S6" i="8"/>
  <c r="T6" i="7"/>
  <c r="S6" i="7"/>
  <c r="T9" i="6"/>
  <c r="S9" i="6"/>
  <c r="T6" i="6"/>
  <c r="S6" i="6"/>
  <c r="T9" i="5"/>
  <c r="S9" i="5"/>
  <c r="T6" i="5"/>
</calcChain>
</file>

<file path=xl/sharedStrings.xml><?xml version="1.0" encoding="utf-8"?>
<sst xmlns="http://schemas.openxmlformats.org/spreadsheetml/2006/main" count="1041" uniqueCount="341">
  <si>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</si>
  <si>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</si>
  <si>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</si>
  <si>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</si>
  <si>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</si>
  <si>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</si>
  <si>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</si>
  <si>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</si>
  <si>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</si>
  <si>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</si>
  <si>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</si>
  <si>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Юсупова Роза</t>
  </si>
  <si>
    <t>Открытая (01.04.1981)/40</t>
  </si>
  <si>
    <t>55,20</t>
  </si>
  <si>
    <t xml:space="preserve">Саратов/Саратовская область </t>
  </si>
  <si>
    <t>107,5</t>
  </si>
  <si>
    <t>115,0</t>
  </si>
  <si>
    <t>120,0</t>
  </si>
  <si>
    <t>67,5</t>
  </si>
  <si>
    <t>72,5</t>
  </si>
  <si>
    <t>127,5</t>
  </si>
  <si>
    <t xml:space="preserve">Гаврилин А. </t>
  </si>
  <si>
    <t>ВЕСОВАЯ КАТЕГОРИЯ   82.5</t>
  </si>
  <si>
    <t>Чичкин Сергей</t>
  </si>
  <si>
    <t>Открытая (15.07.1992)/29</t>
  </si>
  <si>
    <t>80,70</t>
  </si>
  <si>
    <t xml:space="preserve">Самара/Самарская область </t>
  </si>
  <si>
    <t>230,0</t>
  </si>
  <si>
    <t>240,0</t>
  </si>
  <si>
    <t>157,5</t>
  </si>
  <si>
    <t>162,5</t>
  </si>
  <si>
    <t>250,0</t>
  </si>
  <si>
    <t>265,0</t>
  </si>
  <si>
    <t>282,5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</si>
  <si>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</si>
  <si>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</si>
  <si>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</si>
  <si>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</si>
  <si>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</si>
  <si>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</si>
  <si>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82.5</t>
  </si>
  <si>
    <t>-</t>
  </si>
  <si>
    <t/>
  </si>
  <si>
    <t>1</t>
  </si>
  <si>
    <t>Бурочкина Мария</t>
  </si>
  <si>
    <t>Открытая (24.02.1990)/31</t>
  </si>
  <si>
    <t>56,00</t>
  </si>
  <si>
    <t>60,0</t>
  </si>
  <si>
    <t>65,0</t>
  </si>
  <si>
    <t>70,0</t>
  </si>
  <si>
    <t>40,0</t>
  </si>
  <si>
    <t>45,0</t>
  </si>
  <si>
    <t>50,0</t>
  </si>
  <si>
    <t>85,0</t>
  </si>
  <si>
    <t>95,0</t>
  </si>
  <si>
    <t>100,0</t>
  </si>
  <si>
    <t xml:space="preserve">Гугняков А. </t>
  </si>
  <si>
    <t>ВЕСОВАЯ КАТЕГОРИЯ   140</t>
  </si>
  <si>
    <t>Кузнецов Алексей</t>
  </si>
  <si>
    <t>135,90</t>
  </si>
  <si>
    <t>175,0</t>
  </si>
  <si>
    <t>105,0</t>
  </si>
  <si>
    <t>180,0</t>
  </si>
  <si>
    <t>185,0</t>
  </si>
  <si>
    <t>190,0</t>
  </si>
  <si>
    <t>215,0</t>
  </si>
  <si>
    <t>140</t>
  </si>
  <si>
    <t>ВЕСОВАЯ КАТЕГОРИЯ   75</t>
  </si>
  <si>
    <t>Гарифуллов Рафаэль</t>
  </si>
  <si>
    <t>Открытая (03.01.1995)/26</t>
  </si>
  <si>
    <t>72,10</t>
  </si>
  <si>
    <t>200,0</t>
  </si>
  <si>
    <t>130,0</t>
  </si>
  <si>
    <t>140,0</t>
  </si>
  <si>
    <t>145,0</t>
  </si>
  <si>
    <t>210,0</t>
  </si>
  <si>
    <t>220,0</t>
  </si>
  <si>
    <t>225,0</t>
  </si>
  <si>
    <t>75</t>
  </si>
  <si>
    <t>ВЕСОВАЯ КАТЕГОРИЯ   52</t>
  </si>
  <si>
    <t>Ракова Ольга</t>
  </si>
  <si>
    <t>51,20</t>
  </si>
  <si>
    <t xml:space="preserve">Иваново/Ивановская область </t>
  </si>
  <si>
    <t>75,0</t>
  </si>
  <si>
    <t>80,0</t>
  </si>
  <si>
    <t>82,5</t>
  </si>
  <si>
    <t>52,5</t>
  </si>
  <si>
    <t xml:space="preserve">Колыданов М. </t>
  </si>
  <si>
    <t>Маркелов Максим</t>
  </si>
  <si>
    <t>Открытая (10.07.1994)/27</t>
  </si>
  <si>
    <t>75,00</t>
  </si>
  <si>
    <t>170,0</t>
  </si>
  <si>
    <t>110,0</t>
  </si>
  <si>
    <t>150,0</t>
  </si>
  <si>
    <t>ВЕСОВАЯ КАТЕГОРИЯ   60</t>
  </si>
  <si>
    <t>Сингильдина Анна</t>
  </si>
  <si>
    <t>Открытая (06.07.1985)/36</t>
  </si>
  <si>
    <t>59,40</t>
  </si>
  <si>
    <t>87,5</t>
  </si>
  <si>
    <t>90,0</t>
  </si>
  <si>
    <t xml:space="preserve">Чадаев А. </t>
  </si>
  <si>
    <t>ВЕСОВАЯ КАТЕГОРИЯ   67.5</t>
  </si>
  <si>
    <t>Михеев Владислав</t>
  </si>
  <si>
    <t>Юноши 15-19 (25.06.2007)/14</t>
  </si>
  <si>
    <t>63,60</t>
  </si>
  <si>
    <t xml:space="preserve">Тольятти/Самарская область </t>
  </si>
  <si>
    <t>55,0</t>
  </si>
  <si>
    <t xml:space="preserve">Михеева Р. </t>
  </si>
  <si>
    <t>ВЕСОВАЯ КАТЕГОРИЯ   90</t>
  </si>
  <si>
    <t>Кисин Антон</t>
  </si>
  <si>
    <t>Открытая (07.08.1993)/28</t>
  </si>
  <si>
    <t>87,80</t>
  </si>
  <si>
    <t xml:space="preserve">Лагутин Е. </t>
  </si>
  <si>
    <t>ВЕСОВАЯ КАТЕГОРИЯ   100</t>
  </si>
  <si>
    <t>Фахретдинов Ринат</t>
  </si>
  <si>
    <t>Открытая (20.03.1980)/41</t>
  </si>
  <si>
    <t>93,50</t>
  </si>
  <si>
    <t>135,0</t>
  </si>
  <si>
    <t>152,5</t>
  </si>
  <si>
    <t>Михеев Александр</t>
  </si>
  <si>
    <t>Открытая (12.11.1978)/42</t>
  </si>
  <si>
    <t>97,20</t>
  </si>
  <si>
    <t>ВЕСОВАЯ КАТЕГОРИЯ   110</t>
  </si>
  <si>
    <t>Горшунов Сергей</t>
  </si>
  <si>
    <t>108,10</t>
  </si>
  <si>
    <t>155,0</t>
  </si>
  <si>
    <t>167,5</t>
  </si>
  <si>
    <t xml:space="preserve">Результат </t>
  </si>
  <si>
    <t>106,9425</t>
  </si>
  <si>
    <t>106,2850</t>
  </si>
  <si>
    <t>100</t>
  </si>
  <si>
    <t>95,5565</t>
  </si>
  <si>
    <t>110</t>
  </si>
  <si>
    <t>Результат</t>
  </si>
  <si>
    <t>2</t>
  </si>
  <si>
    <t>Горожанина Ольга</t>
  </si>
  <si>
    <t>Открытая (05.11.1983)/37</t>
  </si>
  <si>
    <t>54,90</t>
  </si>
  <si>
    <t xml:space="preserve">Ульяновск/Ульяновская область </t>
  </si>
  <si>
    <t>Емануйлова Наталья</t>
  </si>
  <si>
    <t>55,50</t>
  </si>
  <si>
    <t xml:space="preserve">Октярьск/Самарская область </t>
  </si>
  <si>
    <t>62,5</t>
  </si>
  <si>
    <t>Чернева Марина</t>
  </si>
  <si>
    <t>Открытая (27.09.1970)/51</t>
  </si>
  <si>
    <t>82,40</t>
  </si>
  <si>
    <t>Емануйлов Дмитрий</t>
  </si>
  <si>
    <t>Юноши 15-19 (28.01.2008)/13</t>
  </si>
  <si>
    <t>55,90</t>
  </si>
  <si>
    <t>Попов Антон</t>
  </si>
  <si>
    <t>Открытая (11.01.1989)/32</t>
  </si>
  <si>
    <t>64,80</t>
  </si>
  <si>
    <t>125,0</t>
  </si>
  <si>
    <t xml:space="preserve">Губанов А. </t>
  </si>
  <si>
    <t>Власов Александр</t>
  </si>
  <si>
    <t>69,00</t>
  </si>
  <si>
    <t>Гугняков Александр</t>
  </si>
  <si>
    <t>Открытая (17.09.1974)/47</t>
  </si>
  <si>
    <t>71,00</t>
  </si>
  <si>
    <t>160,0</t>
  </si>
  <si>
    <t>163,0</t>
  </si>
  <si>
    <t>165,0</t>
  </si>
  <si>
    <t>Панкратов Вадим</t>
  </si>
  <si>
    <t>Открытая (21.09.1997)/24</t>
  </si>
  <si>
    <t>70,00</t>
  </si>
  <si>
    <t xml:space="preserve">Васев А. </t>
  </si>
  <si>
    <t>Ошков Александр</t>
  </si>
  <si>
    <t>Юноши 15-19 (26.11.2003)/17</t>
  </si>
  <si>
    <t>78,30</t>
  </si>
  <si>
    <t>112,5</t>
  </si>
  <si>
    <t xml:space="preserve">Ошков С. </t>
  </si>
  <si>
    <t>Бондаренко Михаил</t>
  </si>
  <si>
    <t>Юноши 15-19 (03.01.2006)/15</t>
  </si>
  <si>
    <t>83,00</t>
  </si>
  <si>
    <t>132,5</t>
  </si>
  <si>
    <t>Филатов Алексей</t>
  </si>
  <si>
    <t>Юноши 15-19 (07.05.2002)/19</t>
  </si>
  <si>
    <t>89,00</t>
  </si>
  <si>
    <t xml:space="preserve">Димитровград/Ульяновская область </t>
  </si>
  <si>
    <t>Буланов Алексей</t>
  </si>
  <si>
    <t>Открытая (11.04.1992)/29</t>
  </si>
  <si>
    <t>104,30</t>
  </si>
  <si>
    <t>ВЕСОВАЯ КАТЕГОРИЯ   125</t>
  </si>
  <si>
    <t>Петров Данил</t>
  </si>
  <si>
    <t>Открытая (19.12.1980)/40</t>
  </si>
  <si>
    <t>116,90</t>
  </si>
  <si>
    <t xml:space="preserve">Омск/Омская область </t>
  </si>
  <si>
    <t>147,5</t>
  </si>
  <si>
    <t>Сафронов Олег</t>
  </si>
  <si>
    <t>111,30</t>
  </si>
  <si>
    <t>142,5</t>
  </si>
  <si>
    <t>Пожидаев Олег</t>
  </si>
  <si>
    <t>Открытая (25.06.1992)/29</t>
  </si>
  <si>
    <t>135,30</t>
  </si>
  <si>
    <t>205,0</t>
  </si>
  <si>
    <t>123,5960</t>
  </si>
  <si>
    <t>120,8482</t>
  </si>
  <si>
    <t>107,8200</t>
  </si>
  <si>
    <t>Бакунц Гагик</t>
  </si>
  <si>
    <t>Открытая (22.03.1990)/31</t>
  </si>
  <si>
    <t>108,20</t>
  </si>
  <si>
    <t>212,5</t>
  </si>
  <si>
    <t>Новлянский Виктор</t>
  </si>
  <si>
    <t>103,80</t>
  </si>
  <si>
    <t>202,5</t>
  </si>
  <si>
    <t xml:space="preserve">Шарастиславов А., Гераймас А. </t>
  </si>
  <si>
    <t>Горбунов Дмитрий</t>
  </si>
  <si>
    <t>Открытая (05.07.1989)/32</t>
  </si>
  <si>
    <t>117,00</t>
  </si>
  <si>
    <t xml:space="preserve">Балаково/Саратовская область </t>
  </si>
  <si>
    <t>275,0</t>
  </si>
  <si>
    <t>292,5</t>
  </si>
  <si>
    <t>295,0</t>
  </si>
  <si>
    <t>Давыдов Евгений</t>
  </si>
  <si>
    <t>Открытая (24.09.1996)/25</t>
  </si>
  <si>
    <t>70,50</t>
  </si>
  <si>
    <t>Чадаев Александр</t>
  </si>
  <si>
    <t>Открытая (18.11.1989)/31</t>
  </si>
  <si>
    <t>94,10</t>
  </si>
  <si>
    <t>Конопацкий Владимир</t>
  </si>
  <si>
    <t>108,50</t>
  </si>
  <si>
    <t>270,0</t>
  </si>
  <si>
    <t>297,5</t>
  </si>
  <si>
    <t>320,0</t>
  </si>
  <si>
    <t>Гриднев Илья</t>
  </si>
  <si>
    <t>Открытая (19.07.1972)/49</t>
  </si>
  <si>
    <t>96,20</t>
  </si>
  <si>
    <t>Ошков Сергей</t>
  </si>
  <si>
    <t>78,00</t>
  </si>
  <si>
    <t>Малахов Сергей</t>
  </si>
  <si>
    <t>Открытая (20.08.1991)/30</t>
  </si>
  <si>
    <t>75,20</t>
  </si>
  <si>
    <t>Челноков Всеволод</t>
  </si>
  <si>
    <t>65,60</t>
  </si>
  <si>
    <t xml:space="preserve">Сызрань/Самарская область </t>
  </si>
  <si>
    <t>42,5</t>
  </si>
  <si>
    <t xml:space="preserve">Курынов В. </t>
  </si>
  <si>
    <t>Бувашкин Олег</t>
  </si>
  <si>
    <t>66,30</t>
  </si>
  <si>
    <t>47,5</t>
  </si>
  <si>
    <t>57,5</t>
  </si>
  <si>
    <t>Иванов Вячеслав</t>
  </si>
  <si>
    <t>120,10</t>
  </si>
  <si>
    <t>97,5</t>
  </si>
  <si>
    <t>102,5</t>
  </si>
  <si>
    <t>77,5</t>
  </si>
  <si>
    <t>25,0</t>
  </si>
  <si>
    <t>30,0</t>
  </si>
  <si>
    <t>32,5</t>
  </si>
  <si>
    <t>35,0</t>
  </si>
  <si>
    <t>Сармандеев Владимир</t>
  </si>
  <si>
    <t>Открытая (18.11.1987)/33</t>
  </si>
  <si>
    <t>65,30</t>
  </si>
  <si>
    <t>Воровкин Максим</t>
  </si>
  <si>
    <t>Мастера 40-49 (31.03.1980)/41</t>
  </si>
  <si>
    <t>63,80</t>
  </si>
  <si>
    <t>Зайцев Евгений</t>
  </si>
  <si>
    <t>Открытая (26.01.1994)/27</t>
  </si>
  <si>
    <t>72,50</t>
  </si>
  <si>
    <t>ВЕСОВАЯ КАТЕГОРИЯ   140+</t>
  </si>
  <si>
    <t>Сурков Алексей</t>
  </si>
  <si>
    <t>Мастера 40-49 (15.08.1978)/43</t>
  </si>
  <si>
    <t>148,00</t>
  </si>
  <si>
    <t>Леушкин Руслан</t>
  </si>
  <si>
    <t>Открытая (10.08.1989)/32</t>
  </si>
  <si>
    <t>73,50</t>
  </si>
  <si>
    <t>Колыданов Михаил</t>
  </si>
  <si>
    <t>Логинов Александр</t>
  </si>
  <si>
    <t>Открытая (03.03.1997)/24</t>
  </si>
  <si>
    <t>89,60</t>
  </si>
  <si>
    <t>187,5</t>
  </si>
  <si>
    <t>Грищенко Андрей</t>
  </si>
  <si>
    <t>Открытая (19.06.1996)/25</t>
  </si>
  <si>
    <t>87,60</t>
  </si>
  <si>
    <t>260,0</t>
  </si>
  <si>
    <t>290,0</t>
  </si>
  <si>
    <t xml:space="preserve">Брославский В. </t>
  </si>
  <si>
    <t>Открытая (12.04.1973)/48</t>
  </si>
  <si>
    <t>134,00</t>
  </si>
  <si>
    <t>340,0</t>
  </si>
  <si>
    <t>350,0</t>
  </si>
  <si>
    <t>Всероссийский мастерский турнир "Битва Титанов"
СПР Жим лежа в многопетельной софт экипировке
Димитровград/Ульяновская область, 09 октября 2021 года</t>
  </si>
  <si>
    <t>Всероссийский мастерский турнир "Битва Титанов"
СПР Жим лежа в однопетельной софт экипировке ДК
Димитровград/Ульяновская область, 09 октября 2021 года</t>
  </si>
  <si>
    <t>Всероссийский мастерский турнир "Битва Титанов"
СПР Жим лежа СФО
Димитровград/Ульяновская область, 09 октября 2021 года</t>
  </si>
  <si>
    <t>Всероссийский мастерский турнир "Битва Титанов"
СПР Пауэрспорт ДК
Димитровград/Ульяновская область, 09 октября 2021 года</t>
  </si>
  <si>
    <t>Всероссийский мастерский турнир "Битва Титанов"
СПР Пауэрспорт
Димитровград/Ульяновская область, 09 октября 2021 года</t>
  </si>
  <si>
    <t>Всероссийский мастерский турнир "Битва Титанов"
СПР Строгий подъем штанги на бицепс ДК
Димитровград/Ульяновская область, 09 октября 2021 года</t>
  </si>
  <si>
    <t>Всероссийский мастерский турнир "Битва Титанов"
СПР Строгий подъем штанги на бицепс
Димитровград/Ульяновская область, 09 октября 2021 года</t>
  </si>
  <si>
    <t>Всероссийский мастерский турнир "Битва Титанов"
IPL Силовое двоеборье без экипировки
Димитровград/Ульяновская область, 09 октября 2021 года</t>
  </si>
  <si>
    <t>Всероссийский мастерский турнир "Битва Титанов"
IPL Присед без экипировки
Димитровград/Ульяновская область, 09 октября 2021 года</t>
  </si>
  <si>
    <t>Всероссийский мастерский турнир "Битва Титанов"
IPL Становая тяга в многослойной экипировке
Димитровград/Ульяновская область, 09 октября 2021 года</t>
  </si>
  <si>
    <t>Всероссийский мастерский турнир "Битва Титанов"
IPL Становая тяга без экипировки ДК
Димитровград/Ульяновская область, 09 октября 2021 года</t>
  </si>
  <si>
    <t>Всероссийский мастерский турнир "Битва Титанов"
IPL Становая тяга без экипировки
Димитровград/Ульяновская область, 09 октября 2021 года</t>
  </si>
  <si>
    <t>Всероссийский мастерский турнир "Битва Титанов"
IPL Жим лежа в однослойной экипировке ДК
Димитровград/Ульяновская область, 09 октября 2021 года</t>
  </si>
  <si>
    <t>Всероссийский мастерский турнир "Битва Титанов"
IPL Жим лежа без экипировки ДК
Димитровград/Ульяновская область, 09 октября 2021 года</t>
  </si>
  <si>
    <t>Всероссийский мастерский турнир "Битва Титанов"
IPL Жим лежа без экипировки
Димитровград/Ульяновская область, 09 октября 2021 года</t>
  </si>
  <si>
    <t>Всероссийский мастерский турнир "Битва Титанов"
IPL Пауэрлифтинг в бинтах ДК
Димитровград/Ульяновская область, 09 октября 2021 года</t>
  </si>
  <si>
    <t>Всероссийский мастерский турнир "Битва Титанов"
IPL Пауэрлифтинг в бинтах
Димитровград/Ульяновская область, 09 октября 2021 года</t>
  </si>
  <si>
    <t>Всероссийский мастерский турнир "Битва Титанов"
IPL Пауэрлифтинг без экипировки ДК
Димитровград/Ульяновская область, 09 октября 2021 года</t>
  </si>
  <si>
    <t>Всероссийский мастерский турнир "Битва Титанов"
IPL Пауэрлифтинг без экипировки
Димитровград/Ульяновская область, 09 октября 2021 года</t>
  </si>
  <si>
    <t>Чебоксары/Республика Чувашия</t>
  </si>
  <si>
    <t>Мастера 50-59 (27.09.1970)/51</t>
  </si>
  <si>
    <t>Мастера 40-49 (30.04.1979)/42</t>
  </si>
  <si>
    <t>Мастера 40-49 (18.03.1978)/43</t>
  </si>
  <si>
    <t>Юноши 13-19 (10.11.2004)/16</t>
  </si>
  <si>
    <t>Мастера 40-49 (17.10.1978)/42</t>
  </si>
  <si>
    <t>Юноши 13-19 (26.11.2003)/17</t>
  </si>
  <si>
    <t>Мастера 40-49 (10.08.1972)/49</t>
  </si>
  <si>
    <t>Юноши 13-19 (07.05.2002)/19</t>
  </si>
  <si>
    <t>Юниоры 20-23 (18.10.1998)/22</t>
  </si>
  <si>
    <t>Мастера 45-49 (06.08.1973)/48</t>
  </si>
  <si>
    <t>Мастера 55-59 (01.11.1965)/55</t>
  </si>
  <si>
    <t>Мастера 40-44 (13.08.1981)/40</t>
  </si>
  <si>
    <t>Мастера 50-54 (27.09.1970)/51</t>
  </si>
  <si>
    <t>Мастера 45-49 (17.09.1974)/47</t>
  </si>
  <si>
    <t>Мастера 55-59 (07.07.1966)/55</t>
  </si>
  <si>
    <t>Мастера 45-49 (26.05.1976)/45</t>
  </si>
  <si>
    <t>Мастера 40-44 (28.01.1977)/44</t>
  </si>
  <si>
    <t>Юниоры 20-23 (13.07.2000)/21</t>
  </si>
  <si>
    <t xml:space="preserve">Черноречье/Самарская область </t>
  </si>
  <si>
    <t xml:space="preserve">Новокуйбышевск/Самарская область </t>
  </si>
  <si>
    <t xml:space="preserve">Волжск/Республика Марий Эл </t>
  </si>
  <si>
    <t>Самостоятельно</t>
  </si>
  <si>
    <t>Кутуков А.</t>
  </si>
  <si>
    <t>Суслов Н.</t>
  </si>
  <si>
    <t xml:space="preserve">Казань/Республика Татарстан </t>
  </si>
  <si>
    <t>Перелюб/Саратовская область</t>
  </si>
  <si>
    <t>Весовая категория</t>
  </si>
  <si>
    <t xml:space="preserve">Чебоксары/Республика Чувашия </t>
  </si>
  <si>
    <t>№</t>
  </si>
  <si>
    <t xml:space="preserve">
Дата рождения/Возраст</t>
  </si>
  <si>
    <t>Возрастная группа</t>
  </si>
  <si>
    <t>O</t>
  </si>
  <si>
    <t>J</t>
  </si>
  <si>
    <t>M1</t>
  </si>
  <si>
    <t>M3</t>
  </si>
  <si>
    <t>T</t>
  </si>
  <si>
    <t>M2</t>
  </si>
  <si>
    <t>M4</t>
  </si>
  <si>
    <t>Жим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</si>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</sst>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1" width="4.5" style="6" customWidth="1"/>
    <col min="12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.6640625" style="5" customWidth="1"/>
    <col min="22" max="16384" width="9.1640625" style="3"/>
  </cols>
  <sheetData>
    <row r="1" spans="1:21" s="2" customFormat="1" ht="29" customHeight="1">
      <c r="A1" s="38" t="s">
        <v>298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7</v>
      </c>
      <c r="H3" s="32"/>
      <c r="I3" s="32"/>
      <c r="J3" s="32"/>
      <c r="K3" s="32" t="s">
        <v>8</v>
      </c>
      <c r="L3" s="32"/>
      <c r="M3" s="32"/>
      <c r="N3" s="32"/>
      <c r="O3" s="32" t="s">
        <v>9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10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43</v>
      </c>
      <c r="B6" s="7" t="s">
        <v>44</v>
      </c>
      <c r="C6" s="7" t="s">
        <v>45</v>
      </c>
      <c r="D6" s="7" t="s">
        <v>46</v>
      </c>
      <c r="E6" s="7" t="s">
        <v>332</v>
      </c>
      <c r="F6" s="7" t="s">
        <v>26</v>
      </c>
      <c r="G6" s="14" t="s">
        <v>47</v>
      </c>
      <c r="H6" s="14" t="s">
        <v>48</v>
      </c>
      <c r="I6" s="14" t="s">
        <v>49</v>
      </c>
      <c r="J6" s="8"/>
      <c r="K6" s="14" t="s">
        <v>50</v>
      </c>
      <c r="L6" s="14" t="s">
        <v>51</v>
      </c>
      <c r="M6" s="14" t="s">
        <v>52</v>
      </c>
      <c r="N6" s="8"/>
      <c r="O6" s="14" t="s">
        <v>53</v>
      </c>
      <c r="P6" s="14" t="s">
        <v>54</v>
      </c>
      <c r="Q6" s="15" t="s">
        <v>55</v>
      </c>
      <c r="R6" s="8"/>
      <c r="S6" s="8" t="str">
        <f>"215,0"</f>
        <v>215,0</v>
      </c>
      <c r="T6" s="8" t="str">
        <f>"252,9690"</f>
        <v>252,9690</v>
      </c>
      <c r="U6" s="7" t="s">
        <v>56</v>
      </c>
    </row>
    <row r="7" spans="1:21">
      <c r="B7" s="5" t="s">
        <v>42</v>
      </c>
    </row>
    <row r="8" spans="1:21" ht="16">
      <c r="A8" s="29" t="s">
        <v>57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21">
      <c r="A9" s="8" t="s">
        <v>43</v>
      </c>
      <c r="B9" s="7" t="s">
        <v>58</v>
      </c>
      <c r="C9" s="7" t="s">
        <v>318</v>
      </c>
      <c r="D9" s="7" t="s">
        <v>59</v>
      </c>
      <c r="E9" s="7" t="s">
        <v>333</v>
      </c>
      <c r="F9" s="7" t="s">
        <v>178</v>
      </c>
      <c r="G9" s="15" t="s">
        <v>60</v>
      </c>
      <c r="H9" s="15" t="s">
        <v>60</v>
      </c>
      <c r="I9" s="14" t="s">
        <v>60</v>
      </c>
      <c r="J9" s="8"/>
      <c r="K9" s="14" t="s">
        <v>54</v>
      </c>
      <c r="L9" s="15" t="s">
        <v>55</v>
      </c>
      <c r="M9" s="14" t="s">
        <v>61</v>
      </c>
      <c r="N9" s="8"/>
      <c r="O9" s="14" t="s">
        <v>62</v>
      </c>
      <c r="P9" s="14" t="s">
        <v>63</v>
      </c>
      <c r="Q9" s="14" t="s">
        <v>64</v>
      </c>
      <c r="R9" s="8"/>
      <c r="S9" s="8" t="str">
        <f>"470,0"</f>
        <v>470,0</v>
      </c>
      <c r="T9" s="8" t="str">
        <f>"263,8580"</f>
        <v>263,8580</v>
      </c>
      <c r="U9" s="7"/>
    </row>
    <row r="10" spans="1:21">
      <c r="B10" s="5" t="s">
        <v>42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5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38" t="s">
        <v>282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8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135</v>
      </c>
      <c r="C6" s="7" t="s">
        <v>136</v>
      </c>
      <c r="D6" s="7" t="s">
        <v>137</v>
      </c>
      <c r="E6" s="7" t="s">
        <v>332</v>
      </c>
      <c r="F6" s="7" t="s">
        <v>138</v>
      </c>
      <c r="G6" s="14" t="s">
        <v>106</v>
      </c>
      <c r="H6" s="14" t="s">
        <v>47</v>
      </c>
      <c r="I6" s="14" t="s">
        <v>48</v>
      </c>
      <c r="J6" s="8"/>
      <c r="K6" s="8" t="str">
        <f>"65,0"</f>
        <v>65,0</v>
      </c>
      <c r="L6" s="8" t="str">
        <f>"68,9390"</f>
        <v>68,9390</v>
      </c>
      <c r="M6" s="7"/>
    </row>
    <row r="7" spans="1:13">
      <c r="B7" s="5" t="s">
        <v>42</v>
      </c>
    </row>
    <row r="8" spans="1:13" ht="16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43</v>
      </c>
      <c r="B9" s="7" t="s">
        <v>143</v>
      </c>
      <c r="C9" s="7" t="s">
        <v>301</v>
      </c>
      <c r="D9" s="7" t="s">
        <v>145</v>
      </c>
      <c r="E9" s="7" t="s">
        <v>337</v>
      </c>
      <c r="F9" s="7" t="s">
        <v>178</v>
      </c>
      <c r="G9" s="14" t="s">
        <v>61</v>
      </c>
      <c r="H9" s="14" t="s">
        <v>169</v>
      </c>
      <c r="I9" s="14" t="s">
        <v>16</v>
      </c>
      <c r="J9" s="8"/>
      <c r="K9" s="8" t="str">
        <f>"115,0"</f>
        <v>115,0</v>
      </c>
      <c r="L9" s="8" t="str">
        <f>"103,8224"</f>
        <v>103,8224</v>
      </c>
      <c r="M9" s="7"/>
    </row>
    <row r="10" spans="1:13">
      <c r="B10" s="5" t="s">
        <v>42</v>
      </c>
    </row>
    <row r="11" spans="1:13" ht="16">
      <c r="A11" s="29" t="s">
        <v>67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3">
      <c r="A12" s="8" t="s">
        <v>43</v>
      </c>
      <c r="B12" s="7" t="s">
        <v>263</v>
      </c>
      <c r="C12" s="7" t="s">
        <v>264</v>
      </c>
      <c r="D12" s="7" t="s">
        <v>265</v>
      </c>
      <c r="E12" s="7" t="s">
        <v>332</v>
      </c>
      <c r="F12" s="7" t="s">
        <v>138</v>
      </c>
      <c r="G12" s="14" t="s">
        <v>74</v>
      </c>
      <c r="H12" s="15" t="s">
        <v>93</v>
      </c>
      <c r="I12" s="15" t="s">
        <v>93</v>
      </c>
      <c r="J12" s="8"/>
      <c r="K12" s="8" t="str">
        <f>"145,0"</f>
        <v>145,0</v>
      </c>
      <c r="L12" s="8" t="str">
        <f>"101,3550"</f>
        <v>101,3550</v>
      </c>
      <c r="M12" s="7"/>
    </row>
    <row r="13" spans="1:13">
      <c r="B13" s="5" t="s">
        <v>42</v>
      </c>
    </row>
    <row r="14" spans="1:13" ht="16">
      <c r="A14" s="29" t="s">
        <v>22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3">
      <c r="A15" s="8" t="s">
        <v>43</v>
      </c>
      <c r="B15" s="7" t="s">
        <v>266</v>
      </c>
      <c r="C15" s="7" t="s">
        <v>302</v>
      </c>
      <c r="D15" s="7" t="s">
        <v>145</v>
      </c>
      <c r="E15" s="7" t="s">
        <v>334</v>
      </c>
      <c r="F15" s="7" t="s">
        <v>82</v>
      </c>
      <c r="G15" s="14" t="s">
        <v>93</v>
      </c>
      <c r="H15" s="14" t="s">
        <v>159</v>
      </c>
      <c r="I15" s="15" t="s">
        <v>91</v>
      </c>
      <c r="J15" s="8"/>
      <c r="K15" s="8" t="str">
        <f>"160,0"</f>
        <v>160,0</v>
      </c>
      <c r="L15" s="8" t="str">
        <f>"105,2803"</f>
        <v>105,2803</v>
      </c>
      <c r="M15" s="7"/>
    </row>
    <row r="16" spans="1:13">
      <c r="B16" s="5" t="s">
        <v>42</v>
      </c>
    </row>
    <row r="17" spans="1:13" ht="16">
      <c r="A17" s="29" t="s">
        <v>108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3">
      <c r="A18" s="8" t="s">
        <v>43</v>
      </c>
      <c r="B18" s="7" t="s">
        <v>267</v>
      </c>
      <c r="C18" s="7" t="s">
        <v>268</v>
      </c>
      <c r="D18" s="7" t="s">
        <v>269</v>
      </c>
      <c r="E18" s="7" t="s">
        <v>332</v>
      </c>
      <c r="F18" s="7" t="s">
        <v>138</v>
      </c>
      <c r="G18" s="14" t="s">
        <v>60</v>
      </c>
      <c r="H18" s="15" t="s">
        <v>270</v>
      </c>
      <c r="I18" s="14" t="s">
        <v>270</v>
      </c>
      <c r="J18" s="8"/>
      <c r="K18" s="8" t="str">
        <f>"187,5"</f>
        <v>187,5</v>
      </c>
      <c r="L18" s="8" t="str">
        <f>"115,0031"</f>
        <v>115,0031</v>
      </c>
      <c r="M18" s="7"/>
    </row>
    <row r="19" spans="1:13">
      <c r="B19" s="5" t="s">
        <v>42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83203125" style="5" customWidth="1"/>
    <col min="14" max="16384" width="9.1640625" style="3"/>
  </cols>
  <sheetData>
    <row r="1" spans="1:13" s="2" customFormat="1" ht="29" customHeight="1">
      <c r="A1" s="38" t="s">
        <v>281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8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108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271</v>
      </c>
      <c r="C6" s="7" t="s">
        <v>272</v>
      </c>
      <c r="D6" s="7" t="s">
        <v>273</v>
      </c>
      <c r="E6" s="7" t="s">
        <v>332</v>
      </c>
      <c r="F6" s="7" t="s">
        <v>105</v>
      </c>
      <c r="G6" s="15" t="s">
        <v>274</v>
      </c>
      <c r="H6" s="14" t="s">
        <v>274</v>
      </c>
      <c r="I6" s="15" t="s">
        <v>275</v>
      </c>
      <c r="J6" s="8"/>
      <c r="K6" s="8" t="str">
        <f>"260,0"</f>
        <v>260,0</v>
      </c>
      <c r="L6" s="8" t="str">
        <f>"161,5510"</f>
        <v>161,5510</v>
      </c>
      <c r="M6" s="7" t="s">
        <v>276</v>
      </c>
    </row>
    <row r="7" spans="1:13">
      <c r="B7" s="5" t="s">
        <v>42</v>
      </c>
    </row>
    <row r="8" spans="1:13" ht="16">
      <c r="A8" s="29" t="s">
        <v>57</v>
      </c>
      <c r="B8" s="29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43</v>
      </c>
      <c r="B9" s="7" t="s">
        <v>216</v>
      </c>
      <c r="C9" s="7" t="s">
        <v>277</v>
      </c>
      <c r="D9" s="7" t="s">
        <v>278</v>
      </c>
      <c r="E9" s="7" t="s">
        <v>332</v>
      </c>
      <c r="F9" s="7" t="s">
        <v>300</v>
      </c>
      <c r="G9" s="15" t="s">
        <v>279</v>
      </c>
      <c r="H9" s="15" t="s">
        <v>279</v>
      </c>
      <c r="I9" s="14" t="s">
        <v>280</v>
      </c>
      <c r="J9" s="8"/>
      <c r="K9" s="8" t="str">
        <f>"350,0"</f>
        <v>350,0</v>
      </c>
      <c r="L9" s="8" t="str">
        <f>"187,7645"</f>
        <v>187,7645</v>
      </c>
      <c r="M9" s="7"/>
    </row>
    <row r="10" spans="1:13">
      <c r="B10" s="5" t="s">
        <v>42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2.6640625" style="5" bestFit="1" customWidth="1"/>
    <col min="7" max="7" width="4.5" style="6" customWidth="1"/>
    <col min="8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38" t="s">
        <v>283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8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101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253</v>
      </c>
      <c r="C6" s="7" t="s">
        <v>254</v>
      </c>
      <c r="D6" s="7" t="s">
        <v>255</v>
      </c>
      <c r="E6" s="7" t="s">
        <v>334</v>
      </c>
      <c r="F6" s="7" t="s">
        <v>320</v>
      </c>
      <c r="G6" s="14" t="s">
        <v>47</v>
      </c>
      <c r="H6" s="15" t="s">
        <v>49</v>
      </c>
      <c r="I6" s="15" t="s">
        <v>49</v>
      </c>
      <c r="J6" s="8"/>
      <c r="K6" s="8" t="str">
        <f>"60,0"</f>
        <v>60,0</v>
      </c>
      <c r="L6" s="8" t="str">
        <f>"47,6467"</f>
        <v>47,6467</v>
      </c>
      <c r="M6" s="7" t="s">
        <v>153</v>
      </c>
    </row>
    <row r="7" spans="1:13">
      <c r="B7" s="5" t="s">
        <v>42</v>
      </c>
    </row>
    <row r="8" spans="1:13" ht="16">
      <c r="A8" s="29" t="s">
        <v>67</v>
      </c>
      <c r="B8" s="29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43</v>
      </c>
      <c r="B9" s="7" t="s">
        <v>256</v>
      </c>
      <c r="C9" s="7" t="s">
        <v>257</v>
      </c>
      <c r="D9" s="7" t="s">
        <v>258</v>
      </c>
      <c r="E9" s="7" t="s">
        <v>332</v>
      </c>
      <c r="F9" s="7" t="s">
        <v>320</v>
      </c>
      <c r="G9" s="14" t="s">
        <v>47</v>
      </c>
      <c r="H9" s="15" t="s">
        <v>84</v>
      </c>
      <c r="I9" s="14" t="s">
        <v>84</v>
      </c>
      <c r="J9" s="8"/>
      <c r="K9" s="8" t="str">
        <f>"80,0"</f>
        <v>80,0</v>
      </c>
      <c r="L9" s="8" t="str">
        <f>"56,5120"</f>
        <v>56,5120</v>
      </c>
      <c r="M9" s="7"/>
    </row>
    <row r="10" spans="1:13">
      <c r="B10" s="5" t="s">
        <v>42</v>
      </c>
    </row>
    <row r="11" spans="1:13" ht="16">
      <c r="A11" s="29" t="s">
        <v>259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3">
      <c r="A12" s="8" t="s">
        <v>43</v>
      </c>
      <c r="B12" s="7" t="s">
        <v>260</v>
      </c>
      <c r="C12" s="7" t="s">
        <v>261</v>
      </c>
      <c r="D12" s="7" t="s">
        <v>262</v>
      </c>
      <c r="E12" s="7" t="s">
        <v>334</v>
      </c>
      <c r="F12" s="7" t="s">
        <v>320</v>
      </c>
      <c r="G12" s="14" t="s">
        <v>99</v>
      </c>
      <c r="H12" s="14" t="s">
        <v>55</v>
      </c>
      <c r="I12" s="14" t="s">
        <v>61</v>
      </c>
      <c r="J12" s="8"/>
      <c r="K12" s="8" t="str">
        <f>"105,0"</f>
        <v>105,0</v>
      </c>
      <c r="L12" s="8" t="str">
        <f>"56,7987"</f>
        <v>56,7987</v>
      </c>
      <c r="M12" s="7" t="s">
        <v>153</v>
      </c>
    </row>
    <row r="13" spans="1:13">
      <c r="B13" s="5" t="s">
        <v>42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38" t="s">
        <v>291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9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67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213</v>
      </c>
      <c r="C6" s="7" t="s">
        <v>214</v>
      </c>
      <c r="D6" s="7" t="s">
        <v>215</v>
      </c>
      <c r="E6" s="7" t="s">
        <v>332</v>
      </c>
      <c r="F6" s="7" t="s">
        <v>26</v>
      </c>
      <c r="G6" s="14" t="s">
        <v>16</v>
      </c>
      <c r="H6" s="14" t="s">
        <v>152</v>
      </c>
      <c r="I6" s="14" t="s">
        <v>72</v>
      </c>
      <c r="J6" s="8"/>
      <c r="K6" s="8" t="str">
        <f>"130,0"</f>
        <v>130,0</v>
      </c>
      <c r="L6" s="8" t="str">
        <f>"96,8890"</f>
        <v>96,8890</v>
      </c>
      <c r="M6" s="7"/>
    </row>
    <row r="7" spans="1:13">
      <c r="B7" s="5" t="s">
        <v>42</v>
      </c>
    </row>
    <row r="8" spans="1:13" ht="16">
      <c r="A8" s="29" t="s">
        <v>113</v>
      </c>
      <c r="B8" s="29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43</v>
      </c>
      <c r="B9" s="7" t="s">
        <v>216</v>
      </c>
      <c r="C9" s="7" t="s">
        <v>217</v>
      </c>
      <c r="D9" s="7" t="s">
        <v>218</v>
      </c>
      <c r="E9" s="7" t="s">
        <v>332</v>
      </c>
      <c r="F9" s="7" t="s">
        <v>138</v>
      </c>
      <c r="G9" s="14" t="s">
        <v>159</v>
      </c>
      <c r="H9" s="14" t="s">
        <v>62</v>
      </c>
      <c r="I9" s="14" t="s">
        <v>71</v>
      </c>
      <c r="J9" s="8"/>
      <c r="K9" s="8" t="str">
        <f>"200,0"</f>
        <v>200,0</v>
      </c>
      <c r="L9" s="8" t="str">
        <f>"124,9400"</f>
        <v>124,9400</v>
      </c>
      <c r="M9" s="7"/>
    </row>
    <row r="10" spans="1:13">
      <c r="B10" s="5" t="s">
        <v>42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6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9.83203125" style="5" bestFit="1" customWidth="1"/>
    <col min="14" max="16384" width="9.1640625" style="3"/>
  </cols>
  <sheetData>
    <row r="1" spans="1:13" s="2" customFormat="1" ht="29" customHeight="1">
      <c r="A1" s="38" t="s">
        <v>292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9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11</v>
      </c>
      <c r="C6" s="7" t="s">
        <v>12</v>
      </c>
      <c r="D6" s="7" t="s">
        <v>13</v>
      </c>
      <c r="E6" s="7" t="s">
        <v>332</v>
      </c>
      <c r="F6" s="7" t="s">
        <v>14</v>
      </c>
      <c r="G6" s="14" t="s">
        <v>20</v>
      </c>
      <c r="H6" s="14" t="s">
        <v>117</v>
      </c>
      <c r="I6" s="14" t="s">
        <v>190</v>
      </c>
      <c r="J6" s="8"/>
      <c r="K6" s="8" t="str">
        <f>"142,5"</f>
        <v>142,5</v>
      </c>
      <c r="L6" s="8" t="str">
        <f>"169,5750"</f>
        <v>169,5750</v>
      </c>
      <c r="M6" s="7" t="s">
        <v>21</v>
      </c>
    </row>
    <row r="7" spans="1:13">
      <c r="B7" s="5" t="s">
        <v>42</v>
      </c>
    </row>
    <row r="8" spans="1:13" ht="16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43</v>
      </c>
      <c r="B9" s="7" t="s">
        <v>23</v>
      </c>
      <c r="C9" s="7" t="s">
        <v>24</v>
      </c>
      <c r="D9" s="7" t="s">
        <v>25</v>
      </c>
      <c r="E9" s="7" t="s">
        <v>332</v>
      </c>
      <c r="F9" s="7" t="s">
        <v>26</v>
      </c>
      <c r="G9" s="14" t="s">
        <v>31</v>
      </c>
      <c r="H9" s="14" t="s">
        <v>32</v>
      </c>
      <c r="I9" s="15" t="s">
        <v>33</v>
      </c>
      <c r="J9" s="8"/>
      <c r="K9" s="8" t="str">
        <f>"265,0"</f>
        <v>265,0</v>
      </c>
      <c r="L9" s="8" t="str">
        <f>"179,9350"</f>
        <v>179,9350</v>
      </c>
      <c r="M9" s="7" t="s">
        <v>322</v>
      </c>
    </row>
    <row r="10" spans="1:13">
      <c r="B10" s="5" t="s">
        <v>42</v>
      </c>
    </row>
    <row r="11" spans="1:13" ht="16">
      <c r="A11" s="29" t="s">
        <v>122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3">
      <c r="A12" s="8" t="s">
        <v>43</v>
      </c>
      <c r="B12" s="7" t="s">
        <v>202</v>
      </c>
      <c r="C12" s="7" t="s">
        <v>311</v>
      </c>
      <c r="D12" s="7" t="s">
        <v>203</v>
      </c>
      <c r="E12" s="7" t="s">
        <v>337</v>
      </c>
      <c r="F12" s="7" t="s">
        <v>26</v>
      </c>
      <c r="G12" s="14" t="s">
        <v>204</v>
      </c>
      <c r="H12" s="14" t="s">
        <v>75</v>
      </c>
      <c r="I12" s="14" t="s">
        <v>65</v>
      </c>
      <c r="J12" s="8"/>
      <c r="K12" s="8" t="str">
        <f>"215,0"</f>
        <v>215,0</v>
      </c>
      <c r="L12" s="8" t="str">
        <f>"161,2500"</f>
        <v>161,2500</v>
      </c>
      <c r="M12" s="7" t="s">
        <v>205</v>
      </c>
    </row>
    <row r="13" spans="1:13">
      <c r="B13" s="5" t="s">
        <v>42</v>
      </c>
    </row>
    <row r="14" spans="1:13" ht="16">
      <c r="A14" s="29" t="s">
        <v>182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3">
      <c r="A15" s="8" t="s">
        <v>43</v>
      </c>
      <c r="B15" s="7" t="s">
        <v>206</v>
      </c>
      <c r="C15" s="7" t="s">
        <v>207</v>
      </c>
      <c r="D15" s="7" t="s">
        <v>208</v>
      </c>
      <c r="E15" s="7" t="s">
        <v>332</v>
      </c>
      <c r="F15" s="7" t="s">
        <v>209</v>
      </c>
      <c r="G15" s="14" t="s">
        <v>210</v>
      </c>
      <c r="H15" s="15" t="s">
        <v>211</v>
      </c>
      <c r="I15" s="14" t="s">
        <v>212</v>
      </c>
      <c r="J15" s="8"/>
      <c r="K15" s="8" t="str">
        <f>"295,0"</f>
        <v>295,0</v>
      </c>
      <c r="L15" s="8" t="str">
        <f>"170,6575"</f>
        <v>170,6575</v>
      </c>
      <c r="M15" s="7"/>
    </row>
    <row r="16" spans="1:13">
      <c r="B16" s="5" t="s">
        <v>42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38" t="s">
        <v>290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9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122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219</v>
      </c>
      <c r="C6" s="7" t="s">
        <v>310</v>
      </c>
      <c r="D6" s="7" t="s">
        <v>220</v>
      </c>
      <c r="E6" s="7" t="s">
        <v>337</v>
      </c>
      <c r="F6" s="7" t="s">
        <v>105</v>
      </c>
      <c r="G6" s="14" t="s">
        <v>221</v>
      </c>
      <c r="H6" s="14" t="s">
        <v>222</v>
      </c>
      <c r="I6" s="15" t="s">
        <v>223</v>
      </c>
      <c r="J6" s="8"/>
      <c r="K6" s="8" t="str">
        <f>"297,5"</f>
        <v>297,5</v>
      </c>
      <c r="L6" s="8" t="str">
        <f>"195,8663"</f>
        <v>195,8663</v>
      </c>
      <c r="M6" s="7"/>
    </row>
    <row r="7" spans="1:13">
      <c r="B7" s="5" t="s">
        <v>42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0"/>
  <sheetViews>
    <sheetView tabSelected="1"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18.5" style="5" customWidth="1"/>
    <col min="18" max="16384" width="9.1640625" style="3"/>
  </cols>
  <sheetData>
    <row r="1" spans="1:17" s="2" customFormat="1" ht="29" customHeight="1">
      <c r="A1" s="38" t="s">
        <v>284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339</v>
      </c>
      <c r="H3" s="32"/>
      <c r="I3" s="32"/>
      <c r="J3" s="32"/>
      <c r="K3" s="32" t="s">
        <v>340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3"/>
      <c r="P4" s="33"/>
      <c r="Q4" s="35"/>
    </row>
    <row r="5" spans="1:17" ht="16">
      <c r="A5" s="36" t="s">
        <v>94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8" t="s">
        <v>43</v>
      </c>
      <c r="B6" s="7" t="s">
        <v>135</v>
      </c>
      <c r="C6" s="7" t="s">
        <v>136</v>
      </c>
      <c r="D6" s="7" t="s">
        <v>137</v>
      </c>
      <c r="E6" s="7" t="s">
        <v>332</v>
      </c>
      <c r="F6" s="7" t="s">
        <v>138</v>
      </c>
      <c r="G6" s="14" t="s">
        <v>246</v>
      </c>
      <c r="H6" s="14" t="s">
        <v>247</v>
      </c>
      <c r="I6" s="14" t="s">
        <v>248</v>
      </c>
      <c r="J6" s="8"/>
      <c r="K6" s="14" t="s">
        <v>246</v>
      </c>
      <c r="L6" s="14" t="s">
        <v>247</v>
      </c>
      <c r="M6" s="15" t="s">
        <v>249</v>
      </c>
      <c r="N6" s="8"/>
      <c r="O6" s="8" t="str">
        <f>"62,5"</f>
        <v>62,5</v>
      </c>
      <c r="P6" s="8" t="str">
        <f>"66,2875"</f>
        <v>66,2875</v>
      </c>
      <c r="Q6" s="7"/>
    </row>
    <row r="7" spans="1:17">
      <c r="B7" s="5" t="s">
        <v>42</v>
      </c>
    </row>
    <row r="8" spans="1:17" ht="16">
      <c r="A8" s="29" t="s">
        <v>101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7">
      <c r="A9" s="8" t="s">
        <v>43</v>
      </c>
      <c r="B9" s="7" t="s">
        <v>250</v>
      </c>
      <c r="C9" s="7" t="s">
        <v>251</v>
      </c>
      <c r="D9" s="7" t="s">
        <v>252</v>
      </c>
      <c r="E9" s="7" t="s">
        <v>332</v>
      </c>
      <c r="F9" s="7" t="s">
        <v>138</v>
      </c>
      <c r="G9" s="15" t="s">
        <v>142</v>
      </c>
      <c r="H9" s="14" t="s">
        <v>142</v>
      </c>
      <c r="I9" s="15" t="s">
        <v>49</v>
      </c>
      <c r="J9" s="8"/>
      <c r="K9" s="15" t="s">
        <v>106</v>
      </c>
      <c r="L9" s="14" t="s">
        <v>106</v>
      </c>
      <c r="M9" s="14" t="s">
        <v>240</v>
      </c>
      <c r="N9" s="8"/>
      <c r="O9" s="8" t="str">
        <f>"120,0"</f>
        <v>120,0</v>
      </c>
      <c r="P9" s="8" t="str">
        <f>"92,4180"</f>
        <v>92,4180</v>
      </c>
      <c r="Q9" s="7"/>
    </row>
    <row r="10" spans="1:17">
      <c r="B10" s="5" t="s">
        <v>42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18.6640625" style="5" customWidth="1"/>
    <col min="18" max="16384" width="9.1640625" style="3"/>
  </cols>
  <sheetData>
    <row r="1" spans="1:17" s="2" customFormat="1" ht="29" customHeight="1">
      <c r="A1" s="38" t="s">
        <v>285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339</v>
      </c>
      <c r="H3" s="32"/>
      <c r="I3" s="32"/>
      <c r="J3" s="32"/>
      <c r="K3" s="32" t="s">
        <v>340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3"/>
      <c r="P4" s="33"/>
      <c r="Q4" s="35"/>
    </row>
    <row r="5" spans="1:17" ht="16">
      <c r="A5" s="36" t="s">
        <v>182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8" t="s">
        <v>43</v>
      </c>
      <c r="B6" s="7" t="s">
        <v>241</v>
      </c>
      <c r="C6" s="7" t="s">
        <v>303</v>
      </c>
      <c r="D6" s="7" t="s">
        <v>242</v>
      </c>
      <c r="E6" s="7" t="s">
        <v>334</v>
      </c>
      <c r="F6" s="7" t="s">
        <v>138</v>
      </c>
      <c r="G6" s="14" t="s">
        <v>243</v>
      </c>
      <c r="H6" s="14" t="s">
        <v>244</v>
      </c>
      <c r="I6" s="14" t="s">
        <v>61</v>
      </c>
      <c r="J6" s="14" t="s">
        <v>15</v>
      </c>
      <c r="K6" s="14" t="s">
        <v>49</v>
      </c>
      <c r="L6" s="14" t="s">
        <v>19</v>
      </c>
      <c r="M6" s="14" t="s">
        <v>83</v>
      </c>
      <c r="N6" s="15" t="s">
        <v>245</v>
      </c>
      <c r="O6" s="8" t="str">
        <f>"180,0"</f>
        <v>180,0</v>
      </c>
      <c r="P6" s="8" t="str">
        <f>"102,2267"</f>
        <v>102,2267</v>
      </c>
      <c r="Q6" s="7" t="s">
        <v>322</v>
      </c>
    </row>
    <row r="7" spans="1:17">
      <c r="B7" s="5" t="s">
        <v>42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10" width="5.33203125" style="6" customWidth="1"/>
    <col min="11" max="11" width="10.5" style="6" bestFit="1" customWidth="1"/>
    <col min="12" max="12" width="7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8" t="s">
        <v>286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339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101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7" t="s">
        <v>43</v>
      </c>
      <c r="B6" s="16" t="s">
        <v>232</v>
      </c>
      <c r="C6" s="16" t="s">
        <v>304</v>
      </c>
      <c r="D6" s="16" t="s">
        <v>233</v>
      </c>
      <c r="E6" s="16" t="s">
        <v>336</v>
      </c>
      <c r="F6" s="16" t="s">
        <v>234</v>
      </c>
      <c r="G6" s="20" t="s">
        <v>235</v>
      </c>
      <c r="H6" s="20" t="s">
        <v>52</v>
      </c>
      <c r="I6" s="20" t="s">
        <v>106</v>
      </c>
      <c r="J6" s="17"/>
      <c r="K6" s="17" t="str">
        <f>"55,0"</f>
        <v>55,0</v>
      </c>
      <c r="L6" s="17" t="str">
        <f>"42,1878"</f>
        <v>42,1878</v>
      </c>
      <c r="M6" s="16" t="s">
        <v>236</v>
      </c>
    </row>
    <row r="7" spans="1:13">
      <c r="A7" s="19" t="s">
        <v>43</v>
      </c>
      <c r="B7" s="18" t="s">
        <v>237</v>
      </c>
      <c r="C7" s="18" t="s">
        <v>305</v>
      </c>
      <c r="D7" s="18" t="s">
        <v>238</v>
      </c>
      <c r="E7" s="18" t="s">
        <v>334</v>
      </c>
      <c r="F7" s="18" t="s">
        <v>138</v>
      </c>
      <c r="G7" s="21" t="s">
        <v>52</v>
      </c>
      <c r="H7" s="22" t="s">
        <v>106</v>
      </c>
      <c r="I7" s="21" t="s">
        <v>106</v>
      </c>
      <c r="J7" s="19"/>
      <c r="K7" s="19" t="str">
        <f>"55,0"</f>
        <v>55,0</v>
      </c>
      <c r="L7" s="19" t="str">
        <f>"42,6360"</f>
        <v>42,6360</v>
      </c>
      <c r="M7" s="18"/>
    </row>
    <row r="8" spans="1:13">
      <c r="B8" s="5" t="s">
        <v>42</v>
      </c>
    </row>
    <row r="9" spans="1:13" ht="16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</row>
    <row r="10" spans="1:13">
      <c r="A10" s="17" t="s">
        <v>43</v>
      </c>
      <c r="B10" s="16" t="s">
        <v>166</v>
      </c>
      <c r="C10" s="16" t="s">
        <v>306</v>
      </c>
      <c r="D10" s="16" t="s">
        <v>168</v>
      </c>
      <c r="E10" s="16" t="s">
        <v>336</v>
      </c>
      <c r="F10" s="16" t="s">
        <v>321</v>
      </c>
      <c r="G10" s="20" t="s">
        <v>239</v>
      </c>
      <c r="H10" s="20" t="s">
        <v>52</v>
      </c>
      <c r="I10" s="20" t="s">
        <v>86</v>
      </c>
      <c r="J10" s="17"/>
      <c r="K10" s="17" t="str">
        <f>"52,5"</f>
        <v>52,5</v>
      </c>
      <c r="L10" s="17" t="str">
        <f>"35,0490"</f>
        <v>35,0490</v>
      </c>
      <c r="M10" s="16" t="s">
        <v>170</v>
      </c>
    </row>
    <row r="11" spans="1:13">
      <c r="A11" s="19" t="s">
        <v>43</v>
      </c>
      <c r="B11" s="18" t="s">
        <v>227</v>
      </c>
      <c r="C11" s="18" t="s">
        <v>307</v>
      </c>
      <c r="D11" s="18" t="s">
        <v>228</v>
      </c>
      <c r="E11" s="18" t="s">
        <v>334</v>
      </c>
      <c r="F11" s="18" t="s">
        <v>321</v>
      </c>
      <c r="G11" s="21" t="s">
        <v>106</v>
      </c>
      <c r="H11" s="21" t="s">
        <v>240</v>
      </c>
      <c r="I11" s="21" t="s">
        <v>142</v>
      </c>
      <c r="J11" s="19"/>
      <c r="K11" s="19" t="str">
        <f>"62,5"</f>
        <v>62,5</v>
      </c>
      <c r="L11" s="19" t="str">
        <f>"46,5617"</f>
        <v>46,5617</v>
      </c>
      <c r="M11" s="18"/>
    </row>
    <row r="12" spans="1:13">
      <c r="B12" s="5" t="s">
        <v>42</v>
      </c>
    </row>
    <row r="13" spans="1:13" ht="16">
      <c r="A13" s="29" t="s">
        <v>108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3">
      <c r="A14" s="8" t="s">
        <v>43</v>
      </c>
      <c r="B14" s="7" t="s">
        <v>175</v>
      </c>
      <c r="C14" s="7" t="s">
        <v>308</v>
      </c>
      <c r="D14" s="7" t="s">
        <v>177</v>
      </c>
      <c r="E14" s="7" t="s">
        <v>336</v>
      </c>
      <c r="F14" s="7" t="s">
        <v>178</v>
      </c>
      <c r="G14" s="14" t="s">
        <v>51</v>
      </c>
      <c r="H14" s="14" t="s">
        <v>52</v>
      </c>
      <c r="I14" s="14" t="s">
        <v>106</v>
      </c>
      <c r="J14" s="8"/>
      <c r="K14" s="8" t="str">
        <f>"55,0"</f>
        <v>55,0</v>
      </c>
      <c r="L14" s="8" t="str">
        <f>"33,8635"</f>
        <v>33,8635</v>
      </c>
      <c r="M14" s="7" t="s">
        <v>112</v>
      </c>
    </row>
    <row r="15" spans="1:13">
      <c r="B15" s="5" t="s">
        <v>42</v>
      </c>
    </row>
    <row r="16" spans="1:13" ht="16">
      <c r="A16" s="29" t="s">
        <v>57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3">
      <c r="A17" s="8" t="s">
        <v>43</v>
      </c>
      <c r="B17" s="7" t="s">
        <v>191</v>
      </c>
      <c r="C17" s="7" t="s">
        <v>192</v>
      </c>
      <c r="D17" s="7" t="s">
        <v>193</v>
      </c>
      <c r="E17" s="7" t="s">
        <v>332</v>
      </c>
      <c r="F17" s="7" t="s">
        <v>26</v>
      </c>
      <c r="G17" s="14" t="s">
        <v>84</v>
      </c>
      <c r="H17" s="14" t="s">
        <v>99</v>
      </c>
      <c r="I17" s="14" t="s">
        <v>54</v>
      </c>
      <c r="J17" s="8"/>
      <c r="K17" s="8" t="str">
        <f>"95,0"</f>
        <v>95,0</v>
      </c>
      <c r="L17" s="8" t="str">
        <f>"50,8492"</f>
        <v>50,8492</v>
      </c>
      <c r="M17" s="7"/>
    </row>
    <row r="18" spans="1:13">
      <c r="B18" s="5" t="s">
        <v>42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3:J13"/>
    <mergeCell ref="A16:J16"/>
    <mergeCell ref="B3:B4"/>
    <mergeCell ref="K3:K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7"/>
  <sheetViews>
    <sheetView workbookViewId="0">
      <selection activeCell="L3" sqref="L3:L4"/>
    </sheetView>
  </sheetViews>
  <sheetFormatPr baseColWidth="10" defaultColWidth="9.1640625" defaultRowHeight="13"/>
  <cols>
    <col min="1" max="1" width="7.5" style="5" bestFit="1" customWidth="1"/>
    <col min="2" max="2" width="19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1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38" t="s">
        <v>287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339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22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229</v>
      </c>
      <c r="C6" s="7" t="s">
        <v>230</v>
      </c>
      <c r="D6" s="7" t="s">
        <v>231</v>
      </c>
      <c r="E6" s="7" t="s">
        <v>332</v>
      </c>
      <c r="F6" s="7" t="s">
        <v>319</v>
      </c>
      <c r="G6" s="14" t="s">
        <v>49</v>
      </c>
      <c r="H6" s="14" t="s">
        <v>19</v>
      </c>
      <c r="I6" s="8"/>
      <c r="J6" s="8"/>
      <c r="K6" s="8" t="str">
        <f>"72,5"</f>
        <v>72,5</v>
      </c>
      <c r="L6" s="8" t="str">
        <f>"49,8184"</f>
        <v>49,8184</v>
      </c>
      <c r="M6" s="7"/>
    </row>
    <row r="7" spans="1:13">
      <c r="B7" s="5" t="s">
        <v>42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5">
    <pageSetUpPr fitToPage="1"/>
  </sheetPr>
  <dimension ref="A1:U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3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83203125" style="5" customWidth="1"/>
    <col min="22" max="16384" width="9.1640625" style="3"/>
  </cols>
  <sheetData>
    <row r="1" spans="1:21" s="2" customFormat="1" ht="29" customHeight="1">
      <c r="A1" s="38" t="s">
        <v>299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7</v>
      </c>
      <c r="H3" s="32"/>
      <c r="I3" s="32"/>
      <c r="J3" s="32"/>
      <c r="K3" s="32" t="s">
        <v>8</v>
      </c>
      <c r="L3" s="32"/>
      <c r="M3" s="32"/>
      <c r="N3" s="32"/>
      <c r="O3" s="32" t="s">
        <v>9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10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41</v>
      </c>
      <c r="B6" s="7" t="s">
        <v>11</v>
      </c>
      <c r="C6" s="7" t="s">
        <v>12</v>
      </c>
      <c r="D6" s="7" t="s">
        <v>13</v>
      </c>
      <c r="E6" s="7" t="s">
        <v>332</v>
      </c>
      <c r="F6" s="7" t="s">
        <v>14</v>
      </c>
      <c r="G6" s="14" t="s">
        <v>15</v>
      </c>
      <c r="H6" s="14" t="s">
        <v>16</v>
      </c>
      <c r="I6" s="15" t="s">
        <v>17</v>
      </c>
      <c r="J6" s="8"/>
      <c r="K6" s="15" t="s">
        <v>18</v>
      </c>
      <c r="L6" s="15" t="s">
        <v>19</v>
      </c>
      <c r="M6" s="15" t="s">
        <v>19</v>
      </c>
      <c r="N6" s="8"/>
      <c r="O6" s="15"/>
      <c r="P6" s="8"/>
      <c r="Q6" s="8"/>
      <c r="R6" s="8"/>
      <c r="S6" s="28">
        <v>0</v>
      </c>
      <c r="T6" s="8" t="str">
        <f>"0,0000"</f>
        <v>0,0000</v>
      </c>
      <c r="U6" s="7" t="s">
        <v>21</v>
      </c>
    </row>
    <row r="7" spans="1:21">
      <c r="B7" s="5" t="s">
        <v>42</v>
      </c>
    </row>
    <row r="8" spans="1:21" ht="16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21">
      <c r="A9" s="8" t="s">
        <v>43</v>
      </c>
      <c r="B9" s="7" t="s">
        <v>23</v>
      </c>
      <c r="C9" s="7" t="s">
        <v>24</v>
      </c>
      <c r="D9" s="7" t="s">
        <v>25</v>
      </c>
      <c r="E9" s="7" t="s">
        <v>332</v>
      </c>
      <c r="F9" s="7" t="s">
        <v>26</v>
      </c>
      <c r="G9" s="14" t="s">
        <v>27</v>
      </c>
      <c r="H9" s="15" t="s">
        <v>28</v>
      </c>
      <c r="I9" s="15" t="s">
        <v>28</v>
      </c>
      <c r="J9" s="8"/>
      <c r="K9" s="14" t="s">
        <v>29</v>
      </c>
      <c r="L9" s="15" t="s">
        <v>30</v>
      </c>
      <c r="M9" s="15" t="s">
        <v>30</v>
      </c>
      <c r="N9" s="8"/>
      <c r="O9" s="14" t="s">
        <v>31</v>
      </c>
      <c r="P9" s="14" t="s">
        <v>32</v>
      </c>
      <c r="Q9" s="15" t="s">
        <v>33</v>
      </c>
      <c r="R9" s="8"/>
      <c r="S9" s="8" t="str">
        <f>"652,5"</f>
        <v>652,5</v>
      </c>
      <c r="T9" s="8" t="str">
        <f>"443,0475"</f>
        <v>443,0475</v>
      </c>
      <c r="U9" s="7" t="s">
        <v>322</v>
      </c>
    </row>
    <row r="10" spans="1:21">
      <c r="B10" s="5" t="s">
        <v>42</v>
      </c>
    </row>
  </sheetData>
  <mergeCells count="15"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B3:B4"/>
    <mergeCell ref="E3:E4"/>
    <mergeCell ref="S3:S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8" t="s">
        <v>296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7</v>
      </c>
      <c r="H3" s="32"/>
      <c r="I3" s="32"/>
      <c r="J3" s="32"/>
      <c r="K3" s="32" t="s">
        <v>8</v>
      </c>
      <c r="L3" s="32"/>
      <c r="M3" s="32"/>
      <c r="N3" s="32"/>
      <c r="O3" s="32" t="s">
        <v>9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79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43</v>
      </c>
      <c r="B6" s="7" t="s">
        <v>80</v>
      </c>
      <c r="C6" s="7" t="s">
        <v>317</v>
      </c>
      <c r="D6" s="7" t="s">
        <v>81</v>
      </c>
      <c r="E6" s="7" t="s">
        <v>334</v>
      </c>
      <c r="F6" s="7" t="s">
        <v>82</v>
      </c>
      <c r="G6" s="14" t="s">
        <v>83</v>
      </c>
      <c r="H6" s="14" t="s">
        <v>84</v>
      </c>
      <c r="I6" s="14" t="s">
        <v>85</v>
      </c>
      <c r="J6" s="8"/>
      <c r="K6" s="14" t="s">
        <v>52</v>
      </c>
      <c r="L6" s="15" t="s">
        <v>86</v>
      </c>
      <c r="M6" s="8"/>
      <c r="N6" s="8"/>
      <c r="O6" s="14" t="s">
        <v>53</v>
      </c>
      <c r="P6" s="14" t="s">
        <v>54</v>
      </c>
      <c r="Q6" s="14" t="s">
        <v>61</v>
      </c>
      <c r="R6" s="8"/>
      <c r="S6" s="8" t="str">
        <f>"237,5"</f>
        <v>237,5</v>
      </c>
      <c r="T6" s="8" t="str">
        <f>"312,8137"</f>
        <v>312,8137</v>
      </c>
      <c r="U6" s="7" t="s">
        <v>87</v>
      </c>
    </row>
    <row r="7" spans="1:21">
      <c r="B7" s="5" t="s">
        <v>42</v>
      </c>
    </row>
    <row r="8" spans="1:21" ht="16">
      <c r="A8" s="29" t="s">
        <v>67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21">
      <c r="A9" s="8" t="s">
        <v>43</v>
      </c>
      <c r="B9" s="7" t="s">
        <v>88</v>
      </c>
      <c r="C9" s="7" t="s">
        <v>89</v>
      </c>
      <c r="D9" s="7" t="s">
        <v>90</v>
      </c>
      <c r="E9" s="7" t="s">
        <v>332</v>
      </c>
      <c r="F9" s="7" t="s">
        <v>178</v>
      </c>
      <c r="G9" s="14" t="s">
        <v>91</v>
      </c>
      <c r="H9" s="15" t="s">
        <v>62</v>
      </c>
      <c r="I9" s="14" t="s">
        <v>62</v>
      </c>
      <c r="J9" s="8"/>
      <c r="K9" s="15" t="s">
        <v>55</v>
      </c>
      <c r="L9" s="14" t="s">
        <v>55</v>
      </c>
      <c r="M9" s="15" t="s">
        <v>92</v>
      </c>
      <c r="N9" s="8"/>
      <c r="O9" s="14" t="s">
        <v>93</v>
      </c>
      <c r="P9" s="8"/>
      <c r="Q9" s="8"/>
      <c r="R9" s="8"/>
      <c r="S9" s="8" t="str">
        <f>"430,0"</f>
        <v>430,0</v>
      </c>
      <c r="T9" s="8" t="str">
        <f>"306,4180"</f>
        <v>306,4180</v>
      </c>
      <c r="U9" s="7"/>
    </row>
    <row r="10" spans="1:21">
      <c r="B10" s="5" t="s">
        <v>42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83203125" style="5" customWidth="1"/>
    <col min="22" max="16384" width="9.1640625" style="3"/>
  </cols>
  <sheetData>
    <row r="1" spans="1:21" s="2" customFormat="1" ht="29" customHeight="1">
      <c r="A1" s="38" t="s">
        <v>297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7</v>
      </c>
      <c r="H3" s="32"/>
      <c r="I3" s="32"/>
      <c r="J3" s="32"/>
      <c r="K3" s="32" t="s">
        <v>8</v>
      </c>
      <c r="L3" s="32"/>
      <c r="M3" s="32"/>
      <c r="N3" s="32"/>
      <c r="O3" s="32" t="s">
        <v>9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67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43</v>
      </c>
      <c r="B6" s="7" t="s">
        <v>68</v>
      </c>
      <c r="C6" s="7" t="s">
        <v>69</v>
      </c>
      <c r="D6" s="7" t="s">
        <v>70</v>
      </c>
      <c r="E6" s="7" t="s">
        <v>332</v>
      </c>
      <c r="F6" s="7" t="s">
        <v>178</v>
      </c>
      <c r="G6" s="14" t="s">
        <v>63</v>
      </c>
      <c r="H6" s="14" t="s">
        <v>64</v>
      </c>
      <c r="I6" s="14" t="s">
        <v>71</v>
      </c>
      <c r="J6" s="8"/>
      <c r="K6" s="14" t="s">
        <v>72</v>
      </c>
      <c r="L6" s="14" t="s">
        <v>73</v>
      </c>
      <c r="M6" s="14" t="s">
        <v>74</v>
      </c>
      <c r="N6" s="8"/>
      <c r="O6" s="14" t="s">
        <v>75</v>
      </c>
      <c r="P6" s="14" t="s">
        <v>76</v>
      </c>
      <c r="Q6" s="14" t="s">
        <v>77</v>
      </c>
      <c r="R6" s="8"/>
      <c r="S6" s="8" t="str">
        <f>"570,0"</f>
        <v>570,0</v>
      </c>
      <c r="T6" s="8" t="str">
        <f>"417,8100"</f>
        <v>417,8100</v>
      </c>
      <c r="U6" s="7"/>
    </row>
    <row r="7" spans="1:21">
      <c r="B7" s="5" t="s">
        <v>42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38" t="s">
        <v>288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8</v>
      </c>
      <c r="H3" s="32"/>
      <c r="I3" s="32"/>
      <c r="J3" s="32"/>
      <c r="K3" s="32" t="s">
        <v>9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3"/>
      <c r="P4" s="33"/>
      <c r="Q4" s="35"/>
    </row>
    <row r="5" spans="1:17" ht="16">
      <c r="A5" s="36" t="s">
        <v>113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8" t="s">
        <v>43</v>
      </c>
      <c r="B6" s="7" t="s">
        <v>224</v>
      </c>
      <c r="C6" s="7" t="s">
        <v>225</v>
      </c>
      <c r="D6" s="7" t="s">
        <v>226</v>
      </c>
      <c r="E6" s="7" t="s">
        <v>332</v>
      </c>
      <c r="F6" s="7" t="s">
        <v>105</v>
      </c>
      <c r="G6" s="14" t="s">
        <v>187</v>
      </c>
      <c r="H6" s="15" t="s">
        <v>118</v>
      </c>
      <c r="I6" s="14" t="s">
        <v>118</v>
      </c>
      <c r="J6" s="8"/>
      <c r="K6" s="14" t="s">
        <v>65</v>
      </c>
      <c r="L6" s="14" t="s">
        <v>27</v>
      </c>
      <c r="M6" s="15" t="s">
        <v>28</v>
      </c>
      <c r="N6" s="8"/>
      <c r="O6" s="8" t="str">
        <f>"382,5"</f>
        <v>382,5</v>
      </c>
      <c r="P6" s="8" t="str">
        <f>"236,6145"</f>
        <v>236,6145</v>
      </c>
      <c r="Q6" s="7"/>
    </row>
    <row r="7" spans="1:17">
      <c r="B7" s="5" t="s">
        <v>42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83203125" style="5" customWidth="1"/>
    <col min="14" max="16384" width="9.1640625" style="3"/>
  </cols>
  <sheetData>
    <row r="1" spans="1:13" s="2" customFormat="1" ht="29" customHeight="1">
      <c r="A1" s="38" t="s">
        <v>289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7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22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23</v>
      </c>
      <c r="C6" s="7" t="s">
        <v>24</v>
      </c>
      <c r="D6" s="7" t="s">
        <v>25</v>
      </c>
      <c r="E6" s="7" t="s">
        <v>332</v>
      </c>
      <c r="F6" s="7" t="s">
        <v>26</v>
      </c>
      <c r="G6" s="14" t="s">
        <v>27</v>
      </c>
      <c r="H6" s="15" t="s">
        <v>28</v>
      </c>
      <c r="I6" s="15" t="s">
        <v>28</v>
      </c>
      <c r="J6" s="8"/>
      <c r="K6" s="8" t="str">
        <f>"230,0"</f>
        <v>230,0</v>
      </c>
      <c r="L6" s="8" t="str">
        <f>"156,1700"</f>
        <v>156,1700</v>
      </c>
      <c r="M6" s="7" t="s">
        <v>322</v>
      </c>
    </row>
    <row r="7" spans="1:13">
      <c r="B7" s="5" t="s">
        <v>42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50"/>
  <sheetViews>
    <sheetView topLeftCell="A5" workbookViewId="0">
      <selection activeCell="E41" sqref="E4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8" t="s">
        <v>294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8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7" t="s">
        <v>43</v>
      </c>
      <c r="B6" s="16" t="s">
        <v>135</v>
      </c>
      <c r="C6" s="16" t="s">
        <v>136</v>
      </c>
      <c r="D6" s="16" t="s">
        <v>137</v>
      </c>
      <c r="E6" s="16" t="s">
        <v>332</v>
      </c>
      <c r="F6" s="16" t="s">
        <v>138</v>
      </c>
      <c r="G6" s="20" t="s">
        <v>51</v>
      </c>
      <c r="H6" s="20" t="s">
        <v>52</v>
      </c>
      <c r="I6" s="25" t="s">
        <v>106</v>
      </c>
      <c r="J6" s="17"/>
      <c r="K6" s="17" t="str">
        <f>"50,0"</f>
        <v>50,0</v>
      </c>
      <c r="L6" s="17" t="str">
        <f>"59,7500"</f>
        <v>59,7500</v>
      </c>
      <c r="M6" s="16"/>
    </row>
    <row r="7" spans="1:13">
      <c r="A7" s="19" t="s">
        <v>43</v>
      </c>
      <c r="B7" s="18" t="s">
        <v>139</v>
      </c>
      <c r="C7" s="18" t="s">
        <v>312</v>
      </c>
      <c r="D7" s="18" t="s">
        <v>140</v>
      </c>
      <c r="E7" s="18" t="s">
        <v>334</v>
      </c>
      <c r="F7" s="18" t="s">
        <v>141</v>
      </c>
      <c r="G7" s="21" t="s">
        <v>86</v>
      </c>
      <c r="H7" s="22" t="s">
        <v>142</v>
      </c>
      <c r="I7" s="22" t="s">
        <v>142</v>
      </c>
      <c r="J7" s="19"/>
      <c r="K7" s="19" t="str">
        <f>"52,5"</f>
        <v>52,5</v>
      </c>
      <c r="L7" s="19" t="str">
        <f>"62,2073"</f>
        <v>62,2073</v>
      </c>
      <c r="M7" s="18" t="s">
        <v>323</v>
      </c>
    </row>
    <row r="8" spans="1:13">
      <c r="B8" s="5" t="s">
        <v>42</v>
      </c>
    </row>
    <row r="9" spans="1:13" ht="16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</row>
    <row r="10" spans="1:13">
      <c r="A10" s="17" t="s">
        <v>43</v>
      </c>
      <c r="B10" s="16" t="s">
        <v>143</v>
      </c>
      <c r="C10" s="16" t="s">
        <v>144</v>
      </c>
      <c r="D10" s="16" t="s">
        <v>145</v>
      </c>
      <c r="E10" s="16" t="s">
        <v>332</v>
      </c>
      <c r="F10" s="16" t="s">
        <v>178</v>
      </c>
      <c r="G10" s="20" t="s">
        <v>83</v>
      </c>
      <c r="H10" s="20" t="s">
        <v>84</v>
      </c>
      <c r="I10" s="20" t="s">
        <v>53</v>
      </c>
      <c r="J10" s="17"/>
      <c r="K10" s="17" t="str">
        <f>"85,0"</f>
        <v>85,0</v>
      </c>
      <c r="L10" s="17" t="str">
        <f>"76,5425"</f>
        <v>76,5425</v>
      </c>
      <c r="M10" s="16"/>
    </row>
    <row r="11" spans="1:13">
      <c r="A11" s="19" t="s">
        <v>43</v>
      </c>
      <c r="B11" s="18" t="s">
        <v>143</v>
      </c>
      <c r="C11" s="18" t="s">
        <v>313</v>
      </c>
      <c r="D11" s="18" t="s">
        <v>145</v>
      </c>
      <c r="E11" s="18" t="s">
        <v>335</v>
      </c>
      <c r="F11" s="18" t="s">
        <v>178</v>
      </c>
      <c r="G11" s="21" t="s">
        <v>83</v>
      </c>
      <c r="H11" s="21" t="s">
        <v>84</v>
      </c>
      <c r="I11" s="21" t="s">
        <v>53</v>
      </c>
      <c r="J11" s="19"/>
      <c r="K11" s="19" t="str">
        <f>"85,0"</f>
        <v>85,0</v>
      </c>
      <c r="L11" s="19" t="str">
        <f>"89,4016"</f>
        <v>89,4016</v>
      </c>
      <c r="M11" s="18"/>
    </row>
    <row r="12" spans="1:13">
      <c r="B12" s="5" t="s">
        <v>42</v>
      </c>
    </row>
    <row r="13" spans="1:13" ht="16">
      <c r="A13" s="29" t="s">
        <v>10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3">
      <c r="A14" s="8" t="s">
        <v>43</v>
      </c>
      <c r="B14" s="7" t="s">
        <v>146</v>
      </c>
      <c r="C14" s="7" t="s">
        <v>147</v>
      </c>
      <c r="D14" s="7" t="s">
        <v>148</v>
      </c>
      <c r="E14" s="7" t="s">
        <v>336</v>
      </c>
      <c r="F14" s="7" t="s">
        <v>141</v>
      </c>
      <c r="G14" s="14" t="s">
        <v>50</v>
      </c>
      <c r="H14" s="14" t="s">
        <v>106</v>
      </c>
      <c r="I14" s="15" t="s">
        <v>47</v>
      </c>
      <c r="J14" s="8"/>
      <c r="K14" s="8" t="str">
        <f>"55,0"</f>
        <v>55,0</v>
      </c>
      <c r="L14" s="8" t="str">
        <f>"50,1545"</f>
        <v>50,1545</v>
      </c>
      <c r="M14" s="7" t="s">
        <v>323</v>
      </c>
    </row>
    <row r="15" spans="1:13">
      <c r="B15" s="5" t="s">
        <v>42</v>
      </c>
    </row>
    <row r="16" spans="1:13" ht="16">
      <c r="A16" s="29" t="s">
        <v>101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3">
      <c r="A17" s="8" t="s">
        <v>43</v>
      </c>
      <c r="B17" s="7" t="s">
        <v>149</v>
      </c>
      <c r="C17" s="7" t="s">
        <v>150</v>
      </c>
      <c r="D17" s="7" t="s">
        <v>151</v>
      </c>
      <c r="E17" s="7" t="s">
        <v>332</v>
      </c>
      <c r="F17" s="7" t="s">
        <v>320</v>
      </c>
      <c r="G17" s="14" t="s">
        <v>92</v>
      </c>
      <c r="H17" s="14" t="s">
        <v>152</v>
      </c>
      <c r="I17" s="14" t="s">
        <v>72</v>
      </c>
      <c r="J17" s="8"/>
      <c r="K17" s="8" t="str">
        <f>"130,0"</f>
        <v>130,0</v>
      </c>
      <c r="L17" s="8" t="str">
        <f>"103,6490"</f>
        <v>103,6490</v>
      </c>
      <c r="M17" s="7" t="s">
        <v>153</v>
      </c>
    </row>
    <row r="18" spans="1:13">
      <c r="B18" s="5" t="s">
        <v>42</v>
      </c>
    </row>
    <row r="19" spans="1:13" ht="16">
      <c r="A19" s="29" t="s">
        <v>67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3">
      <c r="A20" s="17" t="s">
        <v>43</v>
      </c>
      <c r="B20" s="16" t="s">
        <v>154</v>
      </c>
      <c r="C20" s="16" t="s">
        <v>309</v>
      </c>
      <c r="D20" s="16" t="s">
        <v>155</v>
      </c>
      <c r="E20" s="16" t="s">
        <v>333</v>
      </c>
      <c r="F20" s="16" t="s">
        <v>138</v>
      </c>
      <c r="G20" s="20" t="s">
        <v>73</v>
      </c>
      <c r="H20" s="20" t="s">
        <v>74</v>
      </c>
      <c r="I20" s="20" t="s">
        <v>93</v>
      </c>
      <c r="J20" s="17"/>
      <c r="K20" s="17" t="str">
        <f>"150,0"</f>
        <v>150,0</v>
      </c>
      <c r="L20" s="17" t="str">
        <f>"113,6700"</f>
        <v>113,6700</v>
      </c>
      <c r="M20" s="16"/>
    </row>
    <row r="21" spans="1:13">
      <c r="A21" s="24" t="s">
        <v>43</v>
      </c>
      <c r="B21" s="23" t="s">
        <v>156</v>
      </c>
      <c r="C21" s="23" t="s">
        <v>157</v>
      </c>
      <c r="D21" s="23" t="s">
        <v>158</v>
      </c>
      <c r="E21" s="23" t="s">
        <v>332</v>
      </c>
      <c r="F21" s="23" t="s">
        <v>26</v>
      </c>
      <c r="G21" s="26" t="s">
        <v>93</v>
      </c>
      <c r="H21" s="27" t="s">
        <v>159</v>
      </c>
      <c r="I21" s="27" t="s">
        <v>160</v>
      </c>
      <c r="J21" s="27" t="s">
        <v>161</v>
      </c>
      <c r="K21" s="24" t="str">
        <f>"163,0"</f>
        <v>163,0</v>
      </c>
      <c r="L21" s="24" t="str">
        <f>"120,8482"</f>
        <v>120,8482</v>
      </c>
      <c r="M21" s="23"/>
    </row>
    <row r="22" spans="1:13">
      <c r="A22" s="24" t="s">
        <v>134</v>
      </c>
      <c r="B22" s="23" t="s">
        <v>162</v>
      </c>
      <c r="C22" s="23" t="s">
        <v>163</v>
      </c>
      <c r="D22" s="23" t="s">
        <v>164</v>
      </c>
      <c r="E22" s="23" t="s">
        <v>332</v>
      </c>
      <c r="F22" s="23" t="s">
        <v>325</v>
      </c>
      <c r="G22" s="27" t="s">
        <v>152</v>
      </c>
      <c r="H22" s="27" t="s">
        <v>72</v>
      </c>
      <c r="I22" s="26" t="s">
        <v>117</v>
      </c>
      <c r="J22" s="24"/>
      <c r="K22" s="24" t="str">
        <f>"130,0"</f>
        <v>130,0</v>
      </c>
      <c r="L22" s="24" t="str">
        <f>"97,4220"</f>
        <v>97,4220</v>
      </c>
      <c r="M22" s="23" t="s">
        <v>165</v>
      </c>
    </row>
    <row r="23" spans="1:13">
      <c r="A23" s="19" t="s">
        <v>43</v>
      </c>
      <c r="B23" s="18" t="s">
        <v>156</v>
      </c>
      <c r="C23" s="18" t="s">
        <v>314</v>
      </c>
      <c r="D23" s="18" t="s">
        <v>158</v>
      </c>
      <c r="E23" s="18" t="s">
        <v>337</v>
      </c>
      <c r="F23" s="18" t="s">
        <v>26</v>
      </c>
      <c r="G23" s="22" t="s">
        <v>93</v>
      </c>
      <c r="H23" s="21" t="s">
        <v>159</v>
      </c>
      <c r="I23" s="21" t="s">
        <v>160</v>
      </c>
      <c r="J23" s="21" t="s">
        <v>161</v>
      </c>
      <c r="K23" s="19" t="str">
        <f>"163,0"</f>
        <v>163,0</v>
      </c>
      <c r="L23" s="19" t="str">
        <f>"132,4496"</f>
        <v>132,4496</v>
      </c>
      <c r="M23" s="18"/>
    </row>
    <row r="24" spans="1:13">
      <c r="B24" s="5" t="s">
        <v>42</v>
      </c>
    </row>
    <row r="25" spans="1:13" ht="16">
      <c r="A25" s="29" t="s">
        <v>22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3">
      <c r="A26" s="8" t="s">
        <v>43</v>
      </c>
      <c r="B26" s="7" t="s">
        <v>166</v>
      </c>
      <c r="C26" s="7" t="s">
        <v>167</v>
      </c>
      <c r="D26" s="7" t="s">
        <v>168</v>
      </c>
      <c r="E26" s="7" t="s">
        <v>336</v>
      </c>
      <c r="F26" s="7" t="s">
        <v>321</v>
      </c>
      <c r="G26" s="14" t="s">
        <v>61</v>
      </c>
      <c r="H26" s="14" t="s">
        <v>92</v>
      </c>
      <c r="I26" s="14" t="s">
        <v>169</v>
      </c>
      <c r="J26" s="8"/>
      <c r="K26" s="8" t="str">
        <f>"112,5"</f>
        <v>112,5</v>
      </c>
      <c r="L26" s="8" t="str">
        <f>"77,8725"</f>
        <v>77,8725</v>
      </c>
      <c r="M26" s="7" t="s">
        <v>170</v>
      </c>
    </row>
    <row r="27" spans="1:13">
      <c r="B27" s="5" t="s">
        <v>42</v>
      </c>
    </row>
    <row r="28" spans="1:13" ht="16">
      <c r="A28" s="29" t="s">
        <v>108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3">
      <c r="A29" s="17" t="s">
        <v>43</v>
      </c>
      <c r="B29" s="16" t="s">
        <v>171</v>
      </c>
      <c r="C29" s="16" t="s">
        <v>172</v>
      </c>
      <c r="D29" s="16" t="s">
        <v>173</v>
      </c>
      <c r="E29" s="16" t="s">
        <v>336</v>
      </c>
      <c r="F29" s="16" t="s">
        <v>178</v>
      </c>
      <c r="G29" s="25" t="s">
        <v>20</v>
      </c>
      <c r="H29" s="25" t="s">
        <v>174</v>
      </c>
      <c r="I29" s="20" t="s">
        <v>174</v>
      </c>
      <c r="J29" s="17"/>
      <c r="K29" s="17" t="str">
        <f>"132,5"</f>
        <v>132,5</v>
      </c>
      <c r="L29" s="17" t="str">
        <f>"88,4438"</f>
        <v>88,4438</v>
      </c>
      <c r="M29" s="16"/>
    </row>
    <row r="30" spans="1:13">
      <c r="A30" s="19" t="s">
        <v>134</v>
      </c>
      <c r="B30" s="18" t="s">
        <v>175</v>
      </c>
      <c r="C30" s="18" t="s">
        <v>176</v>
      </c>
      <c r="D30" s="18" t="s">
        <v>177</v>
      </c>
      <c r="E30" s="18" t="s">
        <v>336</v>
      </c>
      <c r="F30" s="18" t="s">
        <v>178</v>
      </c>
      <c r="G30" s="21" t="s">
        <v>61</v>
      </c>
      <c r="H30" s="21" t="s">
        <v>92</v>
      </c>
      <c r="I30" s="22" t="s">
        <v>169</v>
      </c>
      <c r="J30" s="19"/>
      <c r="K30" s="19" t="str">
        <f>"110,0"</f>
        <v>110,0</v>
      </c>
      <c r="L30" s="19" t="str">
        <f>"70,6310"</f>
        <v>70,6310</v>
      </c>
      <c r="M30" s="18" t="s">
        <v>112</v>
      </c>
    </row>
    <row r="31" spans="1:13">
      <c r="B31" s="5" t="s">
        <v>42</v>
      </c>
    </row>
    <row r="32" spans="1:13" ht="16">
      <c r="A32" s="29" t="s">
        <v>122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3">
      <c r="A33" s="8" t="s">
        <v>43</v>
      </c>
      <c r="B33" s="7" t="s">
        <v>179</v>
      </c>
      <c r="C33" s="7" t="s">
        <v>180</v>
      </c>
      <c r="D33" s="7" t="s">
        <v>181</v>
      </c>
      <c r="E33" s="7" t="s">
        <v>332</v>
      </c>
      <c r="F33" s="7" t="s">
        <v>326</v>
      </c>
      <c r="G33" s="14" t="s">
        <v>126</v>
      </c>
      <c r="H33" s="14" t="s">
        <v>60</v>
      </c>
      <c r="I33" s="14" t="s">
        <v>62</v>
      </c>
      <c r="J33" s="8"/>
      <c r="K33" s="8" t="str">
        <f>"180,0"</f>
        <v>180,0</v>
      </c>
      <c r="L33" s="8" t="str">
        <f>"107,8200"</f>
        <v>107,8200</v>
      </c>
      <c r="M33" s="7" t="s">
        <v>324</v>
      </c>
    </row>
    <row r="34" spans="1:13">
      <c r="B34" s="5" t="s">
        <v>42</v>
      </c>
    </row>
    <row r="35" spans="1:13" ht="16">
      <c r="A35" s="29" t="s">
        <v>182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3">
      <c r="A36" s="17" t="s">
        <v>43</v>
      </c>
      <c r="B36" s="16" t="s">
        <v>183</v>
      </c>
      <c r="C36" s="16" t="s">
        <v>184</v>
      </c>
      <c r="D36" s="16" t="s">
        <v>185</v>
      </c>
      <c r="E36" s="16" t="s">
        <v>332</v>
      </c>
      <c r="F36" s="16" t="s">
        <v>186</v>
      </c>
      <c r="G36" s="20" t="s">
        <v>73</v>
      </c>
      <c r="H36" s="20" t="s">
        <v>187</v>
      </c>
      <c r="I36" s="20" t="s">
        <v>118</v>
      </c>
      <c r="J36" s="17"/>
      <c r="K36" s="17" t="str">
        <f>"152,5"</f>
        <v>152,5</v>
      </c>
      <c r="L36" s="17" t="str">
        <f>"88,2365"</f>
        <v>88,2365</v>
      </c>
      <c r="M36" s="16"/>
    </row>
    <row r="37" spans="1:13">
      <c r="A37" s="19" t="s">
        <v>43</v>
      </c>
      <c r="B37" s="18" t="s">
        <v>188</v>
      </c>
      <c r="C37" s="18" t="s">
        <v>315</v>
      </c>
      <c r="D37" s="18" t="s">
        <v>189</v>
      </c>
      <c r="E37" s="18" t="s">
        <v>338</v>
      </c>
      <c r="F37" s="18" t="s">
        <v>141</v>
      </c>
      <c r="G37" s="21" t="s">
        <v>190</v>
      </c>
      <c r="H37" s="21" t="s">
        <v>93</v>
      </c>
      <c r="I37" s="22" t="s">
        <v>118</v>
      </c>
      <c r="J37" s="19"/>
      <c r="K37" s="19" t="str">
        <f>"150,0"</f>
        <v>150,0</v>
      </c>
      <c r="L37" s="19" t="str">
        <f>"109,9500"</f>
        <v>109,9500</v>
      </c>
      <c r="M37" s="18" t="s">
        <v>323</v>
      </c>
    </row>
    <row r="38" spans="1:13">
      <c r="B38" s="5" t="s">
        <v>42</v>
      </c>
    </row>
    <row r="39" spans="1:13" ht="16">
      <c r="A39" s="29" t="s">
        <v>57</v>
      </c>
      <c r="B39" s="29"/>
      <c r="C39" s="29"/>
      <c r="D39" s="29"/>
      <c r="E39" s="29"/>
      <c r="F39" s="29"/>
      <c r="G39" s="29"/>
      <c r="H39" s="29"/>
      <c r="I39" s="29"/>
      <c r="J39" s="29"/>
    </row>
    <row r="40" spans="1:13">
      <c r="A40" s="8" t="s">
        <v>43</v>
      </c>
      <c r="B40" s="7" t="s">
        <v>191</v>
      </c>
      <c r="C40" s="7" t="s">
        <v>192</v>
      </c>
      <c r="D40" s="7" t="s">
        <v>193</v>
      </c>
      <c r="E40" s="7" t="s">
        <v>332</v>
      </c>
      <c r="F40" s="7" t="s">
        <v>26</v>
      </c>
      <c r="G40" s="14" t="s">
        <v>194</v>
      </c>
      <c r="H40" s="14" t="s">
        <v>76</v>
      </c>
      <c r="I40" s="15" t="s">
        <v>77</v>
      </c>
      <c r="J40" s="8"/>
      <c r="K40" s="8" t="str">
        <f>"220,0"</f>
        <v>220,0</v>
      </c>
      <c r="L40" s="8" t="str">
        <f>"123,5960"</f>
        <v>123,5960</v>
      </c>
      <c r="M40" s="7"/>
    </row>
    <row r="41" spans="1:13">
      <c r="B41" s="5" t="s">
        <v>42</v>
      </c>
    </row>
    <row r="42" spans="1:13">
      <c r="B42" s="5" t="s">
        <v>42</v>
      </c>
    </row>
    <row r="43" spans="1:13">
      <c r="B43" s="5" t="s">
        <v>42</v>
      </c>
    </row>
    <row r="44" spans="1:13" ht="18">
      <c r="B44" s="9" t="s">
        <v>34</v>
      </c>
      <c r="C44" s="9"/>
      <c r="F44" s="3"/>
    </row>
    <row r="45" spans="1:13" ht="16">
      <c r="B45" s="10" t="s">
        <v>35</v>
      </c>
      <c r="C45" s="10"/>
      <c r="F45" s="3"/>
    </row>
    <row r="46" spans="1:13" ht="14">
      <c r="B46" s="11"/>
      <c r="C46" s="12" t="s">
        <v>36</v>
      </c>
      <c r="F46" s="3"/>
    </row>
    <row r="47" spans="1:13" ht="14">
      <c r="B47" s="13" t="s">
        <v>37</v>
      </c>
      <c r="C47" s="13" t="s">
        <v>38</v>
      </c>
      <c r="D47" s="13" t="s">
        <v>327</v>
      </c>
      <c r="E47" s="13" t="s">
        <v>127</v>
      </c>
      <c r="F47" s="13" t="s">
        <v>39</v>
      </c>
    </row>
    <row r="48" spans="1:13">
      <c r="B48" s="5" t="s">
        <v>191</v>
      </c>
      <c r="C48" s="5" t="s">
        <v>36</v>
      </c>
      <c r="D48" s="6" t="s">
        <v>66</v>
      </c>
      <c r="E48" s="6" t="s">
        <v>76</v>
      </c>
      <c r="F48" s="6" t="s">
        <v>195</v>
      </c>
    </row>
    <row r="49" spans="2:6">
      <c r="B49" s="5" t="s">
        <v>156</v>
      </c>
      <c r="C49" s="5" t="s">
        <v>36</v>
      </c>
      <c r="D49" s="6" t="s">
        <v>78</v>
      </c>
      <c r="E49" s="6" t="s">
        <v>160</v>
      </c>
      <c r="F49" s="6" t="s">
        <v>196</v>
      </c>
    </row>
    <row r="50" spans="2:6">
      <c r="B50" s="5" t="s">
        <v>179</v>
      </c>
      <c r="C50" s="5" t="s">
        <v>36</v>
      </c>
      <c r="D50" s="6" t="s">
        <v>132</v>
      </c>
      <c r="E50" s="6" t="s">
        <v>62</v>
      </c>
      <c r="F50" s="6" t="s">
        <v>197</v>
      </c>
    </row>
  </sheetData>
  <mergeCells count="21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2:J32"/>
    <mergeCell ref="A35:J35"/>
    <mergeCell ref="A39:J39"/>
    <mergeCell ref="B3:B4"/>
    <mergeCell ref="A9:J9"/>
    <mergeCell ref="A13:J13"/>
    <mergeCell ref="A16:J16"/>
    <mergeCell ref="A19:J19"/>
    <mergeCell ref="A25:J25"/>
    <mergeCell ref="A28:J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35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8" t="s">
        <v>295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8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94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95</v>
      </c>
      <c r="C6" s="7" t="s">
        <v>96</v>
      </c>
      <c r="D6" s="7" t="s">
        <v>97</v>
      </c>
      <c r="E6" s="7" t="s">
        <v>332</v>
      </c>
      <c r="F6" s="7" t="s">
        <v>328</v>
      </c>
      <c r="G6" s="14" t="s">
        <v>98</v>
      </c>
      <c r="H6" s="14" t="s">
        <v>99</v>
      </c>
      <c r="I6" s="15" t="s">
        <v>54</v>
      </c>
      <c r="J6" s="8"/>
      <c r="K6" s="8" t="str">
        <f>"90,0"</f>
        <v>90,0</v>
      </c>
      <c r="L6" s="8" t="str">
        <f>"101,1240"</f>
        <v>101,1240</v>
      </c>
      <c r="M6" s="7" t="s">
        <v>100</v>
      </c>
    </row>
    <row r="7" spans="1:13">
      <c r="B7" s="5" t="s">
        <v>42</v>
      </c>
    </row>
    <row r="8" spans="1:13" ht="16">
      <c r="A8" s="29" t="s">
        <v>101</v>
      </c>
      <c r="B8" s="29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43</v>
      </c>
      <c r="B9" s="7" t="s">
        <v>102</v>
      </c>
      <c r="C9" s="7" t="s">
        <v>103</v>
      </c>
      <c r="D9" s="7" t="s">
        <v>104</v>
      </c>
      <c r="E9" s="7" t="s">
        <v>336</v>
      </c>
      <c r="F9" s="7" t="s">
        <v>105</v>
      </c>
      <c r="G9" s="14" t="s">
        <v>106</v>
      </c>
      <c r="H9" s="15" t="s">
        <v>47</v>
      </c>
      <c r="I9" s="15" t="s">
        <v>48</v>
      </c>
      <c r="J9" s="8"/>
      <c r="K9" s="8" t="str">
        <f>"55,0"</f>
        <v>55,0</v>
      </c>
      <c r="L9" s="8" t="str">
        <f>"44,5500"</f>
        <v>44,5500</v>
      </c>
      <c r="M9" s="7" t="s">
        <v>107</v>
      </c>
    </row>
    <row r="10" spans="1:13">
      <c r="B10" s="5" t="s">
        <v>42</v>
      </c>
    </row>
    <row r="11" spans="1:13" ht="16">
      <c r="A11" s="29" t="s">
        <v>67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3">
      <c r="A12" s="8" t="s">
        <v>43</v>
      </c>
      <c r="B12" s="7" t="s">
        <v>68</v>
      </c>
      <c r="C12" s="7" t="s">
        <v>69</v>
      </c>
      <c r="D12" s="7" t="s">
        <v>70</v>
      </c>
      <c r="E12" s="7" t="s">
        <v>332</v>
      </c>
      <c r="F12" s="7" t="s">
        <v>178</v>
      </c>
      <c r="G12" s="14" t="s">
        <v>72</v>
      </c>
      <c r="H12" s="14" t="s">
        <v>73</v>
      </c>
      <c r="I12" s="14" t="s">
        <v>74</v>
      </c>
      <c r="J12" s="8"/>
      <c r="K12" s="8" t="str">
        <f>"145,0"</f>
        <v>145,0</v>
      </c>
      <c r="L12" s="8" t="str">
        <f>"106,2850"</f>
        <v>106,2850</v>
      </c>
      <c r="M12" s="7"/>
    </row>
    <row r="13" spans="1:13">
      <c r="B13" s="5" t="s">
        <v>42</v>
      </c>
    </row>
    <row r="14" spans="1:13" ht="16">
      <c r="A14" s="29" t="s">
        <v>22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3">
      <c r="A15" s="8" t="s">
        <v>43</v>
      </c>
      <c r="B15" s="7" t="s">
        <v>23</v>
      </c>
      <c r="C15" s="7" t="s">
        <v>24</v>
      </c>
      <c r="D15" s="7" t="s">
        <v>25</v>
      </c>
      <c r="E15" s="7" t="s">
        <v>332</v>
      </c>
      <c r="F15" s="7" t="s">
        <v>26</v>
      </c>
      <c r="G15" s="14" t="s">
        <v>29</v>
      </c>
      <c r="H15" s="15" t="s">
        <v>30</v>
      </c>
      <c r="I15" s="15" t="s">
        <v>30</v>
      </c>
      <c r="J15" s="8"/>
      <c r="K15" s="8" t="str">
        <f>"157,5"</f>
        <v>157,5</v>
      </c>
      <c r="L15" s="8" t="str">
        <f>"106,9425"</f>
        <v>106,9425</v>
      </c>
      <c r="M15" s="7" t="s">
        <v>322</v>
      </c>
    </row>
    <row r="16" spans="1:13">
      <c r="B16" s="5" t="s">
        <v>42</v>
      </c>
    </row>
    <row r="17" spans="1:13" ht="16">
      <c r="A17" s="29" t="s">
        <v>108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3">
      <c r="A18" s="8" t="s">
        <v>43</v>
      </c>
      <c r="B18" s="7" t="s">
        <v>109</v>
      </c>
      <c r="C18" s="7" t="s">
        <v>110</v>
      </c>
      <c r="D18" s="7" t="s">
        <v>111</v>
      </c>
      <c r="E18" s="7" t="s">
        <v>332</v>
      </c>
      <c r="F18" s="7" t="s">
        <v>178</v>
      </c>
      <c r="G18" s="15" t="s">
        <v>99</v>
      </c>
      <c r="H18" s="14" t="s">
        <v>54</v>
      </c>
      <c r="I18" s="15" t="s">
        <v>55</v>
      </c>
      <c r="J18" s="8"/>
      <c r="K18" s="8" t="str">
        <f>"95,0"</f>
        <v>95,0</v>
      </c>
      <c r="L18" s="8" t="str">
        <f>"61,4365"</f>
        <v>61,4365</v>
      </c>
      <c r="M18" s="7" t="s">
        <v>112</v>
      </c>
    </row>
    <row r="19" spans="1:13">
      <c r="B19" s="5" t="s">
        <v>42</v>
      </c>
    </row>
    <row r="20" spans="1:13" ht="16">
      <c r="A20" s="29" t="s">
        <v>113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3">
      <c r="A21" s="17" t="s">
        <v>43</v>
      </c>
      <c r="B21" s="16" t="s">
        <v>114</v>
      </c>
      <c r="C21" s="16" t="s">
        <v>115</v>
      </c>
      <c r="D21" s="16" t="s">
        <v>116</v>
      </c>
      <c r="E21" s="16" t="s">
        <v>332</v>
      </c>
      <c r="F21" s="16" t="s">
        <v>105</v>
      </c>
      <c r="G21" s="20" t="s">
        <v>117</v>
      </c>
      <c r="H21" s="20" t="s">
        <v>74</v>
      </c>
      <c r="I21" s="20" t="s">
        <v>118</v>
      </c>
      <c r="J21" s="17"/>
      <c r="K21" s="17" t="str">
        <f>"152,5"</f>
        <v>152,5</v>
      </c>
      <c r="L21" s="17" t="str">
        <f>"95,5565"</f>
        <v>95,5565</v>
      </c>
      <c r="M21" s="16"/>
    </row>
    <row r="22" spans="1:13">
      <c r="A22" s="19" t="s">
        <v>134</v>
      </c>
      <c r="B22" s="18" t="s">
        <v>119</v>
      </c>
      <c r="C22" s="18" t="s">
        <v>120</v>
      </c>
      <c r="D22" s="18" t="s">
        <v>121</v>
      </c>
      <c r="E22" s="18" t="s">
        <v>332</v>
      </c>
      <c r="F22" s="18" t="s">
        <v>105</v>
      </c>
      <c r="G22" s="21" t="s">
        <v>92</v>
      </c>
      <c r="H22" s="21" t="s">
        <v>16</v>
      </c>
      <c r="I22" s="22" t="s">
        <v>17</v>
      </c>
      <c r="J22" s="19"/>
      <c r="K22" s="19" t="str">
        <f>"115,0"</f>
        <v>115,0</v>
      </c>
      <c r="L22" s="19" t="str">
        <f>"70,8170"</f>
        <v>70,8170</v>
      </c>
      <c r="M22" s="18" t="s">
        <v>107</v>
      </c>
    </row>
    <row r="23" spans="1:13">
      <c r="B23" s="5" t="s">
        <v>42</v>
      </c>
    </row>
    <row r="24" spans="1:13" ht="16">
      <c r="A24" s="29" t="s">
        <v>122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3">
      <c r="A25" s="8" t="s">
        <v>43</v>
      </c>
      <c r="B25" s="7" t="s">
        <v>123</v>
      </c>
      <c r="C25" s="7" t="s">
        <v>316</v>
      </c>
      <c r="D25" s="7" t="s">
        <v>124</v>
      </c>
      <c r="E25" s="7" t="s">
        <v>337</v>
      </c>
      <c r="F25" s="7" t="s">
        <v>178</v>
      </c>
      <c r="G25" s="14" t="s">
        <v>125</v>
      </c>
      <c r="H25" s="14" t="s">
        <v>30</v>
      </c>
      <c r="I25" s="15" t="s">
        <v>126</v>
      </c>
      <c r="J25" s="8"/>
      <c r="K25" s="8" t="str">
        <f>"162,5"</f>
        <v>162,5</v>
      </c>
      <c r="L25" s="8" t="str">
        <f>"101,9203"</f>
        <v>101,9203</v>
      </c>
      <c r="M25" s="7"/>
    </row>
    <row r="26" spans="1:13">
      <c r="B26" s="5" t="s">
        <v>42</v>
      </c>
    </row>
    <row r="27" spans="1:13">
      <c r="B27" s="5" t="s">
        <v>42</v>
      </c>
    </row>
    <row r="28" spans="1:13">
      <c r="B28" s="5" t="s">
        <v>42</v>
      </c>
    </row>
    <row r="29" spans="1:13" ht="18">
      <c r="B29" s="9" t="s">
        <v>34</v>
      </c>
      <c r="C29" s="9"/>
      <c r="F29" s="3"/>
    </row>
    <row r="30" spans="1:13" ht="16">
      <c r="B30" s="10" t="s">
        <v>35</v>
      </c>
      <c r="C30" s="10"/>
      <c r="F30" s="3"/>
    </row>
    <row r="31" spans="1:13" ht="14">
      <c r="B31" s="11"/>
      <c r="C31" s="12" t="s">
        <v>36</v>
      </c>
      <c r="F31" s="3"/>
    </row>
    <row r="32" spans="1:13" ht="14">
      <c r="B32" s="13" t="s">
        <v>37</v>
      </c>
      <c r="C32" s="13" t="s">
        <v>38</v>
      </c>
      <c r="D32" s="13" t="s">
        <v>327</v>
      </c>
      <c r="E32" s="13" t="s">
        <v>127</v>
      </c>
      <c r="F32" s="13" t="s">
        <v>39</v>
      </c>
    </row>
    <row r="33" spans="2:6">
      <c r="B33" s="5" t="s">
        <v>23</v>
      </c>
      <c r="C33" s="5" t="s">
        <v>36</v>
      </c>
      <c r="D33" s="6" t="s">
        <v>40</v>
      </c>
      <c r="E33" s="6" t="s">
        <v>29</v>
      </c>
      <c r="F33" s="6" t="s">
        <v>128</v>
      </c>
    </row>
    <row r="34" spans="2:6">
      <c r="B34" s="5" t="s">
        <v>68</v>
      </c>
      <c r="C34" s="5" t="s">
        <v>36</v>
      </c>
      <c r="D34" s="6" t="s">
        <v>78</v>
      </c>
      <c r="E34" s="6" t="s">
        <v>74</v>
      </c>
      <c r="F34" s="6" t="s">
        <v>129</v>
      </c>
    </row>
    <row r="35" spans="2:6">
      <c r="B35" s="5" t="s">
        <v>114</v>
      </c>
      <c r="C35" s="5" t="s">
        <v>36</v>
      </c>
      <c r="D35" s="6" t="s">
        <v>130</v>
      </c>
      <c r="E35" s="6" t="s">
        <v>118</v>
      </c>
      <c r="F35" s="6" t="s">
        <v>131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4:J24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0:J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38" t="s">
        <v>293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329</v>
      </c>
      <c r="B3" s="30" t="s">
        <v>0</v>
      </c>
      <c r="C3" s="48" t="s">
        <v>330</v>
      </c>
      <c r="D3" s="48" t="s">
        <v>6</v>
      </c>
      <c r="E3" s="32" t="s">
        <v>331</v>
      </c>
      <c r="F3" s="32" t="s">
        <v>5</v>
      </c>
      <c r="G3" s="32" t="s">
        <v>8</v>
      </c>
      <c r="H3" s="32"/>
      <c r="I3" s="32"/>
      <c r="J3" s="32"/>
      <c r="K3" s="32" t="s">
        <v>133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122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43</v>
      </c>
      <c r="B6" s="7" t="s">
        <v>198</v>
      </c>
      <c r="C6" s="7" t="s">
        <v>199</v>
      </c>
      <c r="D6" s="7" t="s">
        <v>200</v>
      </c>
      <c r="E6" s="7" t="s">
        <v>332</v>
      </c>
      <c r="F6" s="7" t="s">
        <v>26</v>
      </c>
      <c r="G6" s="14" t="s">
        <v>64</v>
      </c>
      <c r="H6" s="14" t="s">
        <v>194</v>
      </c>
      <c r="I6" s="14" t="s">
        <v>201</v>
      </c>
      <c r="J6" s="8"/>
      <c r="K6" s="8" t="str">
        <f>"212,5"</f>
        <v>212,5</v>
      </c>
      <c r="L6" s="8" t="str">
        <f>"125,7150"</f>
        <v>125,7150</v>
      </c>
      <c r="M6" s="7"/>
    </row>
    <row r="7" spans="1:13">
      <c r="B7" s="5" t="s">
        <v>42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Двоеборье без экип</vt:lpstr>
      <vt:lpstr>IPL Присед без экипировки</vt:lpstr>
      <vt:lpstr>IPL Жим без экипировки ДК</vt:lpstr>
      <vt:lpstr>IPL Жим без экипировки</vt:lpstr>
      <vt:lpstr>IPL Жим однослой ДК</vt:lpstr>
      <vt:lpstr>СПР Жим софт однопетельная ДК</vt:lpstr>
      <vt:lpstr>СПР Жим софт многопетельная</vt:lpstr>
      <vt:lpstr>СПР Жим СФО</vt:lpstr>
      <vt:lpstr>IPL Тяга без экипировки ДК</vt:lpstr>
      <vt:lpstr>IPL Тяга без экипировки</vt:lpstr>
      <vt:lpstr>IPL Тяга многослой</vt:lpstr>
      <vt:lpstr>СПР Пауэрспорт ДК</vt:lpstr>
      <vt:lpstr>СПР Пауэрспорт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2021-10-09T20:00:00Z</dcterms:modified>
</cp:coreProperties>
</file>