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2" windowWidth="11340" windowHeight="9696" firstSheet="2" activeTab="8"/>
  </bookViews>
  <sheets>
    <sheet name="Лист39" sheetId="44" r:id="rId1"/>
    <sheet name="MR BP 1_2 bw. AWPC" sheetId="43" r:id="rId2"/>
    <sheet name="MR BP 1_2 bw. WPC" sheetId="42" r:id="rId3"/>
    <sheet name="MR BP 1 bw. AWPC" sheetId="41" r:id="rId4"/>
    <sheet name="MR BP 1 bw. WPC" sheetId="40" r:id="rId5"/>
    <sheet name="«Excalibur»" sheetId="39" r:id="rId6"/>
    <sheet name="«Rus brick»" sheetId="38" r:id="rId7"/>
    <sheet name="«Rus HUB»" sheetId="37" r:id="rId8"/>
    <sheet name="«Rus Axle»" sheetId="36" r:id="rId9"/>
    <sheet name="«Russian Roullette»" sheetId="35" r:id="rId10"/>
    <sheet name="WPC SC" sheetId="34" r:id="rId11"/>
    <sheet name="AWPC SC" sheetId="33" r:id="rId12"/>
    <sheet name="AWPC m.ply DL" sheetId="32" r:id="rId13"/>
    <sheet name="AWPC s.ply DL" sheetId="31" r:id="rId14"/>
    <sheet name="AWPC raw DL" sheetId="30" r:id="rId15"/>
    <sheet name="WPC m.ply DL" sheetId="29" r:id="rId16"/>
    <sheet name="WPC s.ply DL" sheetId="28" r:id="rId17"/>
    <sheet name="WPC raw DL" sheetId="27" r:id="rId18"/>
    <sheet name="12-18-29AWPC MP soft eq. BP" sheetId="26" r:id="rId19"/>
    <sheet name="AWPC MP soft eq. BP" sheetId="25" r:id="rId20"/>
    <sheet name="AWPC m.ply BP" sheetId="24" r:id="rId21"/>
    <sheet name="AWPC s.ply BP" sheetId="23" r:id="rId22"/>
    <sheet name="WPC OB" sheetId="22" r:id="rId23"/>
    <sheet name="AWPC OB" sheetId="21" r:id="rId24"/>
    <sheet name="AWPC raw BP" sheetId="20" r:id="rId25"/>
    <sheet name="AWPC m.ply PL" sheetId="19" r:id="rId26"/>
    <sheet name="AWPC s.ply PL" sheetId="18" r:id="rId27"/>
    <sheet name="AWPC Classic RAW PL" sheetId="17" r:id="rId28"/>
    <sheet name="AWPC raw PL" sheetId="16" r:id="rId29"/>
    <sheet name="WPC MP soft eq. BP" sheetId="15" r:id="rId30"/>
    <sheet name="WPC soft eq. BP" sheetId="14" r:id="rId31"/>
    <sheet name="WPC m.ply BP" sheetId="13" r:id="rId32"/>
    <sheet name="WPC s.ply BP" sheetId="12" r:id="rId33"/>
    <sheet name="WPC raw BP" sheetId="11" r:id="rId34"/>
    <sheet name="WPC m.ply PL" sheetId="10" r:id="rId35"/>
    <sheet name="WPC s.ply PL" sheetId="9" r:id="rId36"/>
    <sheet name="WPC Classic RAW PL" sheetId="8" r:id="rId37"/>
    <sheet name="WPC raw PL" sheetId="7" r:id="rId38"/>
    <sheet name="AWPC soft PL" sheetId="6" r:id="rId39"/>
    <sheet name="WPC soft PL" sheetId="5" r:id="rId40"/>
  </sheets>
  <definedNames>
    <definedName name="_FilterDatabase" localSheetId="39" hidden="1">'WPC soft PL'!$A$1:$S$3</definedName>
  </definedNames>
  <calcPr calcId="144525" refMode="R1C1"/>
</workbook>
</file>

<file path=xl/calcChain.xml><?xml version="1.0" encoding="utf-8"?>
<calcChain xmlns="http://schemas.openxmlformats.org/spreadsheetml/2006/main">
  <c r="J6" i="43" l="1"/>
  <c r="I6" i="43"/>
  <c r="D6" i="43"/>
  <c r="J18" i="41"/>
  <c r="I18" i="41"/>
  <c r="D18" i="41"/>
  <c r="J15" i="41"/>
  <c r="I15" i="41"/>
  <c r="D15" i="41"/>
  <c r="J14" i="41"/>
  <c r="I14" i="41"/>
  <c r="D14" i="41"/>
  <c r="J13" i="41"/>
  <c r="I13" i="41"/>
  <c r="D13" i="41"/>
  <c r="J10" i="41"/>
  <c r="I10" i="41"/>
  <c r="D10" i="41"/>
  <c r="J9" i="41"/>
  <c r="I9" i="41"/>
  <c r="D9" i="41"/>
  <c r="J6" i="41"/>
  <c r="I6" i="41"/>
  <c r="D6" i="41"/>
  <c r="R9" i="39"/>
  <c r="R6" i="39"/>
  <c r="R9" i="38"/>
  <c r="R6" i="38"/>
  <c r="R15" i="36"/>
  <c r="R12" i="36"/>
  <c r="R9" i="36"/>
  <c r="R6" i="36"/>
  <c r="R12" i="35"/>
  <c r="R9" i="35"/>
  <c r="R6" i="35"/>
  <c r="L12" i="33"/>
  <c r="K12" i="33"/>
  <c r="D12" i="33"/>
  <c r="L9" i="33"/>
  <c r="K9" i="33"/>
  <c r="D9" i="33"/>
  <c r="L6" i="33"/>
  <c r="K6" i="33"/>
  <c r="D6" i="33"/>
  <c r="L6" i="32"/>
  <c r="K6" i="32"/>
  <c r="D6" i="32"/>
  <c r="L6" i="31"/>
  <c r="K6" i="31"/>
  <c r="D6" i="31"/>
  <c r="L29" i="30"/>
  <c r="K29" i="30"/>
  <c r="D29" i="30"/>
  <c r="L28" i="30"/>
  <c r="K28" i="30"/>
  <c r="D28" i="30"/>
  <c r="L25" i="30"/>
  <c r="K25" i="30"/>
  <c r="D25" i="30"/>
  <c r="L24" i="30"/>
  <c r="K24" i="30"/>
  <c r="D24" i="30"/>
  <c r="L21" i="30"/>
  <c r="K21" i="30"/>
  <c r="D21" i="30"/>
  <c r="L18" i="30"/>
  <c r="K18" i="30"/>
  <c r="D18" i="30"/>
  <c r="L15" i="30"/>
  <c r="K15" i="30"/>
  <c r="D15" i="30"/>
  <c r="L12" i="30"/>
  <c r="K12" i="30"/>
  <c r="D12" i="30"/>
  <c r="L9" i="30"/>
  <c r="K9" i="30"/>
  <c r="D9" i="30"/>
  <c r="L6" i="30"/>
  <c r="K6" i="30"/>
  <c r="D6" i="30"/>
  <c r="L16" i="27"/>
  <c r="K16" i="27"/>
  <c r="D16" i="27"/>
  <c r="L13" i="27"/>
  <c r="K13" i="27"/>
  <c r="D13" i="27"/>
  <c r="L12" i="27"/>
  <c r="K12" i="27"/>
  <c r="D12" i="27"/>
  <c r="L9" i="27"/>
  <c r="K9" i="27"/>
  <c r="D9" i="27"/>
  <c r="L6" i="27"/>
  <c r="K6" i="27"/>
  <c r="D6" i="27"/>
  <c r="L9" i="25"/>
  <c r="K9" i="25"/>
  <c r="D9" i="25"/>
  <c r="L6" i="25"/>
  <c r="K6" i="25"/>
  <c r="D6" i="25"/>
  <c r="L10" i="23"/>
  <c r="K10" i="23"/>
  <c r="D10" i="23"/>
  <c r="L9" i="23"/>
  <c r="K9" i="23"/>
  <c r="D9" i="23"/>
  <c r="L6" i="23"/>
  <c r="K6" i="23"/>
  <c r="D6" i="23"/>
  <c r="L68" i="20"/>
  <c r="K68" i="20"/>
  <c r="D68" i="20"/>
  <c r="L67" i="20"/>
  <c r="K67" i="20"/>
  <c r="D67" i="20"/>
  <c r="L66" i="20"/>
  <c r="K66" i="20"/>
  <c r="D66" i="20"/>
  <c r="L65" i="20"/>
  <c r="K65" i="20"/>
  <c r="D65" i="20"/>
  <c r="L64" i="20"/>
  <c r="K64" i="20"/>
  <c r="D64" i="20"/>
  <c r="L61" i="20"/>
  <c r="K61" i="20"/>
  <c r="D61" i="20"/>
  <c r="L60" i="20"/>
  <c r="K60" i="20"/>
  <c r="D60" i="20"/>
  <c r="L59" i="20"/>
  <c r="K59" i="20"/>
  <c r="D59" i="20"/>
  <c r="L58" i="20"/>
  <c r="K58" i="20"/>
  <c r="D58" i="20"/>
  <c r="L57" i="20"/>
  <c r="K57" i="20"/>
  <c r="D57" i="20"/>
  <c r="L54" i="20"/>
  <c r="K54" i="20"/>
  <c r="D54" i="20"/>
  <c r="L53" i="20"/>
  <c r="K53" i="20"/>
  <c r="D53" i="20"/>
  <c r="L52" i="20"/>
  <c r="K52" i="20"/>
  <c r="D52" i="20"/>
  <c r="L51" i="20"/>
  <c r="K51" i="20"/>
  <c r="D51" i="20"/>
  <c r="L50" i="20"/>
  <c r="K50" i="20"/>
  <c r="D50" i="20"/>
  <c r="L47" i="20"/>
  <c r="K47" i="20"/>
  <c r="D47" i="20"/>
  <c r="L46" i="20"/>
  <c r="K46" i="20"/>
  <c r="D46" i="20"/>
  <c r="L45" i="20"/>
  <c r="K45" i="20"/>
  <c r="D45" i="20"/>
  <c r="L44" i="20"/>
  <c r="K44" i="20"/>
  <c r="D44" i="20"/>
  <c r="L43" i="20"/>
  <c r="K43" i="20"/>
  <c r="D43" i="20"/>
  <c r="L42" i="20"/>
  <c r="K42" i="20"/>
  <c r="D42" i="20"/>
  <c r="L39" i="20"/>
  <c r="K39" i="20"/>
  <c r="D39" i="20"/>
  <c r="L38" i="20"/>
  <c r="K38" i="20"/>
  <c r="D38" i="20"/>
  <c r="L37" i="20"/>
  <c r="K37" i="20"/>
  <c r="D37" i="20"/>
  <c r="L34" i="20"/>
  <c r="K34" i="20"/>
  <c r="D34" i="20"/>
  <c r="L33" i="20"/>
  <c r="K33" i="20"/>
  <c r="D33" i="20"/>
  <c r="L32" i="20"/>
  <c r="K32" i="20"/>
  <c r="D32" i="20"/>
  <c r="L29" i="20"/>
  <c r="K29" i="20"/>
  <c r="D29" i="20"/>
  <c r="L28" i="20"/>
  <c r="K28" i="20"/>
  <c r="D28" i="20"/>
  <c r="L27" i="20"/>
  <c r="K27" i="20"/>
  <c r="D27" i="20"/>
  <c r="L26" i="20"/>
  <c r="K26" i="20"/>
  <c r="D26" i="20"/>
  <c r="L25" i="20"/>
  <c r="K25" i="20"/>
  <c r="D25" i="20"/>
  <c r="L22" i="20"/>
  <c r="K22" i="20"/>
  <c r="D22" i="20"/>
  <c r="L19" i="20"/>
  <c r="K19" i="20"/>
  <c r="D19" i="20"/>
  <c r="L16" i="20"/>
  <c r="K16" i="20"/>
  <c r="D16" i="20"/>
  <c r="L15" i="20"/>
  <c r="K15" i="20"/>
  <c r="D15" i="20"/>
  <c r="L12" i="20"/>
  <c r="K12" i="20"/>
  <c r="D12" i="20"/>
  <c r="L11" i="20"/>
  <c r="K11" i="20"/>
  <c r="D11" i="20"/>
  <c r="L10" i="20"/>
  <c r="K10" i="20"/>
  <c r="D10" i="20"/>
  <c r="L9" i="20"/>
  <c r="K9" i="20"/>
  <c r="D9" i="20"/>
  <c r="L6" i="20"/>
  <c r="K6" i="20"/>
  <c r="D6" i="20"/>
  <c r="T22" i="17"/>
  <c r="S22" i="17"/>
  <c r="D22" i="17"/>
  <c r="T21" i="17"/>
  <c r="S21" i="17"/>
  <c r="D21" i="17"/>
  <c r="T18" i="17"/>
  <c r="S18" i="17"/>
  <c r="D18" i="17"/>
  <c r="T15" i="17"/>
  <c r="S15" i="17"/>
  <c r="D15" i="17"/>
  <c r="T12" i="17"/>
  <c r="S12" i="17"/>
  <c r="D12" i="17"/>
  <c r="T9" i="17"/>
  <c r="S9" i="17"/>
  <c r="D9" i="17"/>
  <c r="T6" i="17"/>
  <c r="S6" i="17"/>
  <c r="D6" i="17"/>
  <c r="L13" i="12"/>
  <c r="K13" i="12"/>
  <c r="D13" i="12"/>
  <c r="L12" i="12"/>
  <c r="K12" i="12"/>
  <c r="D12" i="12"/>
  <c r="L9" i="12"/>
  <c r="K9" i="12"/>
  <c r="D9" i="12"/>
  <c r="L6" i="12"/>
  <c r="K6" i="12"/>
  <c r="D6" i="12"/>
  <c r="L39" i="11"/>
  <c r="K39" i="11"/>
  <c r="D39" i="11"/>
  <c r="L36" i="11"/>
  <c r="K36" i="11"/>
  <c r="D36" i="11"/>
  <c r="L33" i="11"/>
  <c r="K33" i="11"/>
  <c r="D33" i="11"/>
  <c r="L32" i="11"/>
  <c r="K32" i="11"/>
  <c r="D32" i="11"/>
  <c r="L29" i="11"/>
  <c r="K29" i="11"/>
  <c r="D29" i="11"/>
  <c r="L28" i="11"/>
  <c r="K28" i="11"/>
  <c r="D28" i="11"/>
  <c r="L25" i="11"/>
  <c r="K25" i="11"/>
  <c r="D25" i="11"/>
  <c r="L22" i="11"/>
  <c r="K22" i="11"/>
  <c r="D22" i="11"/>
  <c r="L21" i="11"/>
  <c r="K21" i="11"/>
  <c r="D21" i="11"/>
  <c r="L20" i="11"/>
  <c r="K20" i="11"/>
  <c r="D20" i="11"/>
  <c r="L17" i="11"/>
  <c r="K17" i="11"/>
  <c r="D17" i="11"/>
  <c r="L14" i="11"/>
  <c r="K14" i="11"/>
  <c r="D14" i="11"/>
  <c r="L11" i="11"/>
  <c r="K11" i="11"/>
  <c r="D11" i="11"/>
  <c r="L10" i="11"/>
  <c r="K10" i="11"/>
  <c r="D10" i="11"/>
  <c r="L7" i="11"/>
  <c r="K7" i="11"/>
  <c r="D7" i="11"/>
  <c r="L6" i="11"/>
  <c r="K6" i="11"/>
  <c r="D6" i="11"/>
  <c r="T6" i="8"/>
  <c r="S6" i="8"/>
  <c r="D6" i="8"/>
  <c r="T15" i="7"/>
  <c r="S15" i="7"/>
  <c r="D15" i="7"/>
  <c r="T12" i="7"/>
  <c r="S12" i="7"/>
  <c r="D12" i="7"/>
  <c r="T9" i="7"/>
  <c r="S9" i="7"/>
  <c r="D9" i="7"/>
  <c r="T6" i="7"/>
  <c r="S6" i="7"/>
  <c r="D6" i="7"/>
</calcChain>
</file>

<file path=xl/sharedStrings.xml><?xml version="1.0" encoding="utf-8"?>
<sst xmlns="http://schemas.openxmlformats.org/spreadsheetml/2006/main" count="2726" uniqueCount="760">
  <si>
    <t>Name</t>
  </si>
  <si>
    <t>Team</t>
  </si>
  <si>
    <t>Town</t>
  </si>
  <si>
    <t>Squat</t>
  </si>
  <si>
    <t>Benchpress</t>
  </si>
  <si>
    <t>Deadlift</t>
  </si>
  <si>
    <t>Coach</t>
  </si>
  <si>
    <t>Pts</t>
  </si>
  <si>
    <t>Rec</t>
  </si>
  <si>
    <t>Body
weight</t>
  </si>
  <si>
    <t>Coef</t>
  </si>
  <si>
    <t>Total</t>
  </si>
  <si>
    <t>Age Class
Bith date/Age</t>
  </si>
  <si>
    <t>Open Europe Cup WPC/AWPC/WAA-2020
WPC soft equipment powerlifting
Раменское/Московская область 22 - 23 августа 2020 г.</t>
  </si>
  <si>
    <t>Town/Region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</si>
  <si>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</si>
  <si>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</si>
  <si>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</si>
  <si>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</si>
  <si>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</si>
  <si>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</si>
  <si>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List absolute winners</t>
  </si>
  <si>
    <t>Open Europe Cup WPC/AWPC/WAA-2020
AWPC soft equipment powerlifting
Раменское/Московская область 22 - 23 августа 2020 г.</t>
  </si>
  <si>
    <t>Open Europe Cup WPC/AWPC/WAA-2020
WPC raw powerlifting
Раменское/Московская область 22 - 23 августа 2020 г.</t>
  </si>
  <si>
    <t>Gloss</t>
  </si>
  <si>
    <t>Body Weight Category  48</t>
  </si>
  <si>
    <t>Zhuk Yuliya</t>
  </si>
  <si>
    <t>1. Zhuk Yuliya</t>
  </si>
  <si>
    <t>Open (01.04.1986)/34</t>
  </si>
  <si>
    <t>47,30</t>
  </si>
  <si>
    <t>lichno</t>
  </si>
  <si>
    <t>Sankt-Peterburg</t>
  </si>
  <si>
    <t>85,0</t>
  </si>
  <si>
    <t>90,0</t>
  </si>
  <si>
    <t>95,0</t>
  </si>
  <si>
    <t>42,5</t>
  </si>
  <si>
    <t>45,0</t>
  </si>
  <si>
    <t>47,5</t>
  </si>
  <si>
    <t>112,5</t>
  </si>
  <si>
    <t>120,0</t>
  </si>
  <si>
    <t>125,0</t>
  </si>
  <si>
    <t>Body Weight Category  56</t>
  </si>
  <si>
    <t>Abramova Yuliya</t>
  </si>
  <si>
    <t>1. Abramova Yuliya</t>
  </si>
  <si>
    <t>Open (29.06.1982)/38</t>
  </si>
  <si>
    <t>55,10</t>
  </si>
  <si>
    <t>Vsevolozhsk/Leningradskaya oblast</t>
  </si>
  <si>
    <t>132,5</t>
  </si>
  <si>
    <t>137,5</t>
  </si>
  <si>
    <t>70,0</t>
  </si>
  <si>
    <t>75,0</t>
  </si>
  <si>
    <t>77,5</t>
  </si>
  <si>
    <t>177,5</t>
  </si>
  <si>
    <t>190,5</t>
  </si>
  <si>
    <t>Body Weight Category  60</t>
  </si>
  <si>
    <t>Bondarchuk Elena</t>
  </si>
  <si>
    <t>1. Bondarchuk Elena</t>
  </si>
  <si>
    <t>Masters 40-44 (18.06.1980)/40</t>
  </si>
  <si>
    <t>58,70</t>
  </si>
  <si>
    <t>130,0</t>
  </si>
  <si>
    <t>135,0</t>
  </si>
  <si>
    <t>140,0</t>
  </si>
  <si>
    <t>87,5</t>
  </si>
  <si>
    <t>92,5</t>
  </si>
  <si>
    <t>155,0</t>
  </si>
  <si>
    <t>162,5</t>
  </si>
  <si>
    <t>Body Weight Category  75</t>
  </si>
  <si>
    <t>Doga Victoriya</t>
  </si>
  <si>
    <t>1. Doga Victoriya</t>
  </si>
  <si>
    <t>Open (04.09.1982)/37</t>
  </si>
  <si>
    <t>74,60</t>
  </si>
  <si>
    <t>145,0</t>
  </si>
  <si>
    <t>152,5</t>
  </si>
  <si>
    <t>160,0</t>
  </si>
  <si>
    <t>110,0</t>
  </si>
  <si>
    <t>115,0</t>
  </si>
  <si>
    <t>180,0</t>
  </si>
  <si>
    <t>193,0</t>
  </si>
  <si>
    <t>200,0</t>
  </si>
  <si>
    <t>Women</t>
  </si>
  <si>
    <t>Open</t>
  </si>
  <si>
    <t>Age class</t>
  </si>
  <si>
    <t>WC</t>
  </si>
  <si>
    <t>Totall</t>
  </si>
  <si>
    <t>56</t>
  </si>
  <si>
    <t>387,5</t>
  </si>
  <si>
    <t>409,7813</t>
  </si>
  <si>
    <t>75</t>
  </si>
  <si>
    <t>475,0</t>
  </si>
  <si>
    <t>398,5725</t>
  </si>
  <si>
    <t>48</t>
  </si>
  <si>
    <t>255,0</t>
  </si>
  <si>
    <t>304,0110</t>
  </si>
  <si>
    <t>Masters</t>
  </si>
  <si>
    <t>Masters 40-44</t>
  </si>
  <si>
    <t>60</t>
  </si>
  <si>
    <t>382,5</t>
  </si>
  <si>
    <t>384,4508</t>
  </si>
  <si>
    <t>Open Europe Cup WPC/AWPC/WAA-2020
WPC Classic RAW powerliftig
Раменское/Московская область 22 - 23 августа 2020 г.</t>
  </si>
  <si>
    <t>Body Weight Category  125</t>
  </si>
  <si>
    <t>Tulyakov Nikita</t>
  </si>
  <si>
    <t>1. Tulyakov Nikita</t>
  </si>
  <si>
    <t>Open (23.02.1988)/32</t>
  </si>
  <si>
    <t>116,40</t>
  </si>
  <si>
    <t>Moskva</t>
  </si>
  <si>
    <t>210,0</t>
  </si>
  <si>
    <t>220,0</t>
  </si>
  <si>
    <t>157,5</t>
  </si>
  <si>
    <t>240,0</t>
  </si>
  <si>
    <t>265,0</t>
  </si>
  <si>
    <t>Man</t>
  </si>
  <si>
    <t>125</t>
  </si>
  <si>
    <t>642,5</t>
  </si>
  <si>
    <t>356,3948</t>
  </si>
  <si>
    <t>Open Europe Cup WPC/AWPC/WAA-2020
WPC single ply powerlifting
Раменское/Московская область 22 - 23 августа 2020 г.</t>
  </si>
  <si>
    <t>Open Europe Cup WPC/AWPC/WAA-2020
WPC multi ply powerlifting
Раменское/Московская область 22 - 23 августа 2020 г.</t>
  </si>
  <si>
    <t>Open Europe Cup WPC/AWPC/WAA-2020
WPC raw benchpress
Раменское/Московская область 22 - 23 августа 2020 г.</t>
  </si>
  <si>
    <t>Body Weight Category  67.5</t>
  </si>
  <si>
    <t>Lyalyakicheva Tatyana</t>
  </si>
  <si>
    <t>1. Lyalyakicheva Tatyana</t>
  </si>
  <si>
    <t>Open (21.03.1978)/42</t>
  </si>
  <si>
    <t>66,50</t>
  </si>
  <si>
    <t>Serpukhov/Moskovskaya oblast</t>
  </si>
  <si>
    <t>80,0</t>
  </si>
  <si>
    <t>Zhiltsova Kira</t>
  </si>
  <si>
    <t>1. Zhiltsova Kira</t>
  </si>
  <si>
    <t>Masters 75-79 (24.04.1944)/76</t>
  </si>
  <si>
    <t>65,70</t>
  </si>
  <si>
    <t>Domodedovo/Moskovskaya oblast</t>
  </si>
  <si>
    <t>30,0</t>
  </si>
  <si>
    <t>35,0</t>
  </si>
  <si>
    <t>40,5</t>
  </si>
  <si>
    <t>Matvienko Nadezhda</t>
  </si>
  <si>
    <t>1. Matvienko Nadezhda</t>
  </si>
  <si>
    <t>Open (27.07.1964)/56</t>
  </si>
  <si>
    <t>73,10</t>
  </si>
  <si>
    <t>107,5</t>
  </si>
  <si>
    <t>Masters 55-59 (27.07.1964)/56</t>
  </si>
  <si>
    <t>Bolshakov Sergey</t>
  </si>
  <si>
    <t>1. Bolshakov Sergey</t>
  </si>
  <si>
    <t>Masters 55-59 (25.05.1964)/56</t>
  </si>
  <si>
    <t>66,90</t>
  </si>
  <si>
    <t>Neftekamsk/Bashkortostan</t>
  </si>
  <si>
    <t>Ignatev Artem</t>
  </si>
  <si>
    <t>1. Ignatev Artem</t>
  </si>
  <si>
    <t>Open (08.12.1985)/34</t>
  </si>
  <si>
    <t>69,60</t>
  </si>
  <si>
    <t>Vladimir/Vladimirskaya oblast</t>
  </si>
  <si>
    <t>100,0</t>
  </si>
  <si>
    <t>105,0</t>
  </si>
  <si>
    <t>Body Weight Category  82.5</t>
  </si>
  <si>
    <t>Kurakin Nikolay</t>
  </si>
  <si>
    <t>1. Kurakin Nikolay</t>
  </si>
  <si>
    <t>Open (07.11.1994)/25</t>
  </si>
  <si>
    <t>79,20</t>
  </si>
  <si>
    <t>Voskresensk/Moskovskaya oblast</t>
  </si>
  <si>
    <t>Burtsev Dmitriy</t>
  </si>
  <si>
    <t>1. Burtsev Dmitriy</t>
  </si>
  <si>
    <t>Masters 40-44 (21.02.1977)/43</t>
  </si>
  <si>
    <t>77,70</t>
  </si>
  <si>
    <t>Khudoleev Evgeniy</t>
  </si>
  <si>
    <t>1. Khudoleev Evgeniy</t>
  </si>
  <si>
    <t>Masters 70-74 (10.09.1946)/73</t>
  </si>
  <si>
    <t>80,30</t>
  </si>
  <si>
    <t>Valday/Novgorodskaya oblast</t>
  </si>
  <si>
    <t>Body Weight Category  90</t>
  </si>
  <si>
    <t>Vetrov Vladimir</t>
  </si>
  <si>
    <t>1. Vetrov Vladimir</t>
  </si>
  <si>
    <t>Masters 55-59 (02.09.1964)/55</t>
  </si>
  <si>
    <t>85,40</t>
  </si>
  <si>
    <t>Body Weight Category  100</t>
  </si>
  <si>
    <t>Bayduk Sergey</t>
  </si>
  <si>
    <t>1. Bayduk Sergey</t>
  </si>
  <si>
    <t>Open (07.04.1993)/27</t>
  </si>
  <si>
    <t>96,10</t>
  </si>
  <si>
    <t>165,0</t>
  </si>
  <si>
    <t>170,0</t>
  </si>
  <si>
    <t>Petrov Aleksandr</t>
  </si>
  <si>
    <t>1. Petrov Aleksandr</t>
  </si>
  <si>
    <t>Masters 60-64 (17.07.1960)/60</t>
  </si>
  <si>
    <t>94,20</t>
  </si>
  <si>
    <t>185,0</t>
  </si>
  <si>
    <t>Body Weight Category  110</t>
  </si>
  <si>
    <t>Lazarev Denis</t>
  </si>
  <si>
    <t>1. Lazarev Denis</t>
  </si>
  <si>
    <t>Teen 16-17 (02.09.2003)/16</t>
  </si>
  <si>
    <t>107,10</t>
  </si>
  <si>
    <t>Kuliev Elmer</t>
  </si>
  <si>
    <t>1. Kuliev Elmer</t>
  </si>
  <si>
    <t>Open (11.05.1995)/25</t>
  </si>
  <si>
    <t>107,80</t>
  </si>
  <si>
    <t>175,0</t>
  </si>
  <si>
    <t>197,5</t>
  </si>
  <si>
    <t>202,5</t>
  </si>
  <si>
    <t>Sizov Vladimir</t>
  </si>
  <si>
    <t>1. Sizov Vladimir</t>
  </si>
  <si>
    <t>Masters 55-59 (18.10.1963)/56</t>
  </si>
  <si>
    <t>111,90</t>
  </si>
  <si>
    <t>Body Weight Category  140</t>
  </si>
  <si>
    <t>Zhiltsov Igor</t>
  </si>
  <si>
    <t>1. Zhiltsov Igor</t>
  </si>
  <si>
    <t>Masters 50-54 (14.08.1970)/50</t>
  </si>
  <si>
    <t>129,00</t>
  </si>
  <si>
    <t>150,0</t>
  </si>
  <si>
    <t>93,5770</t>
  </si>
  <si>
    <t>67.5</t>
  </si>
  <si>
    <t>77,3670</t>
  </si>
  <si>
    <t>Masters 55-59</t>
  </si>
  <si>
    <t>116,5969</t>
  </si>
  <si>
    <t>Masters 75-79</t>
  </si>
  <si>
    <t>60,3317</t>
  </si>
  <si>
    <t>Teen</t>
  </si>
  <si>
    <t>Teen 16-17</t>
  </si>
  <si>
    <t>110</t>
  </si>
  <si>
    <t>53,8603</t>
  </si>
  <si>
    <t>111,7455</t>
  </si>
  <si>
    <t>100</t>
  </si>
  <si>
    <t>97,6223</t>
  </si>
  <si>
    <t>82.5</t>
  </si>
  <si>
    <t>79,4820</t>
  </si>
  <si>
    <t>72,9650</t>
  </si>
  <si>
    <t>Masters 60-64</t>
  </si>
  <si>
    <t>144,0929</t>
  </si>
  <si>
    <t>Masters 70-74</t>
  </si>
  <si>
    <t>103,6979</t>
  </si>
  <si>
    <t>90</t>
  </si>
  <si>
    <t>96,5913</t>
  </si>
  <si>
    <t>Masters 50-54</t>
  </si>
  <si>
    <t>140</t>
  </si>
  <si>
    <t>88,6953</t>
  </si>
  <si>
    <t>83,0409</t>
  </si>
  <si>
    <t>82,2212</t>
  </si>
  <si>
    <t>73,2517</t>
  </si>
  <si>
    <t>Result</t>
  </si>
  <si>
    <t>Open Europe Cup WPC/AWPC/WAA-2020
WPC single ply benchpress
Раменское/Московская область 22 - 23 августа 2020 г.</t>
  </si>
  <si>
    <t>Poryadin Ivan</t>
  </si>
  <si>
    <t>1. Poryadin Ivan</t>
  </si>
  <si>
    <t>Open (06.06.1982)/38</t>
  </si>
  <si>
    <t>97,70</t>
  </si>
  <si>
    <t>230,0</t>
  </si>
  <si>
    <t>Tolchin Leonid</t>
  </si>
  <si>
    <t>1. Tolchin Leonid</t>
  </si>
  <si>
    <t>Open (14.06.1989)/31</t>
  </si>
  <si>
    <t>101,40</t>
  </si>
  <si>
    <t>Ramenskoye/Moskovskaya oblast</t>
  </si>
  <si>
    <t>Gorbachev Dmitriy</t>
  </si>
  <si>
    <t>1. Gorbachev Dmitriy</t>
  </si>
  <si>
    <t>Open (06.03.1970)/50</t>
  </si>
  <si>
    <t>114,30</t>
  </si>
  <si>
    <t>300,0</t>
  </si>
  <si>
    <t>310,0</t>
  </si>
  <si>
    <t>Masters 50-54 (06.03.1970)/50</t>
  </si>
  <si>
    <t>167,1000</t>
  </si>
  <si>
    <t>135,0445</t>
  </si>
  <si>
    <t>127,1710</t>
  </si>
  <si>
    <t>188,8230</t>
  </si>
  <si>
    <t>Open Europe Cup WPC/AWPC/WAA-2020
WPC multi ply benchpress
Раменское/Московская область 22 - 23 августа 2020 г.</t>
  </si>
  <si>
    <t>Open Europe Cup WPC/AWPC/WAA-2020
WPC st. soft eq. benchpress
Раменское/Московская область 22 - 23 августа 2020 г.</t>
  </si>
  <si>
    <t>Open Europe Cup WPC/AWPC/WAA-2020
WPC MP soft eq. benchpress
Раменское/Московская область 22 - 23 августа 2020 г.</t>
  </si>
  <si>
    <t>Open Europe Cup WPC/AWPC/WAA-2020
AWPC raw powerlifting
Раменское/Московская область 22 - 23 августа 2020 г.</t>
  </si>
  <si>
    <t>Open Europe Cup WPC/AWPC/WAA-2020
AWPC Classic RAW powerliftig
Раменское/Московская область 22 - 23 августа 2020 г.</t>
  </si>
  <si>
    <t>Kolesnikova Margarita</t>
  </si>
  <si>
    <t>1. Kolesnikova Margarita</t>
  </si>
  <si>
    <t>Open (19.03.1994)/26</t>
  </si>
  <si>
    <t>58,90</t>
  </si>
  <si>
    <t>Kursk/Kurskaya oblast</t>
  </si>
  <si>
    <t>97,5</t>
  </si>
  <si>
    <t>52,5</t>
  </si>
  <si>
    <t>57,5</t>
  </si>
  <si>
    <t>60,0</t>
  </si>
  <si>
    <t>102,5</t>
  </si>
  <si>
    <t>Tolmacheva Olga</t>
  </si>
  <si>
    <t>1. Tolmacheva Olga</t>
  </si>
  <si>
    <t>Masters 40-44 (17.06.1980)/40</t>
  </si>
  <si>
    <t>66,30</t>
  </si>
  <si>
    <t>62,5</t>
  </si>
  <si>
    <t>117,5</t>
  </si>
  <si>
    <t>Shuvalova Tatyana</t>
  </si>
  <si>
    <t>1. Shuvalova Tatyana</t>
  </si>
  <si>
    <t>Masters 45-49 (05.01.1975)/45</t>
  </si>
  <si>
    <t>73,40</t>
  </si>
  <si>
    <t>40,0</t>
  </si>
  <si>
    <t>Kurdyukova Ekaterina</t>
  </si>
  <si>
    <t>1. Kurdyukova Ekaterina</t>
  </si>
  <si>
    <t>Open (07.10.1981)/38</t>
  </si>
  <si>
    <t>88,40</t>
  </si>
  <si>
    <t>142,5</t>
  </si>
  <si>
    <t>67,5</t>
  </si>
  <si>
    <t>Bukholtsev Maksim</t>
  </si>
  <si>
    <t>1. Bukholtsev Maksim</t>
  </si>
  <si>
    <t>Open (29.05.1991)/29</t>
  </si>
  <si>
    <t>74,70</t>
  </si>
  <si>
    <t>195,0</t>
  </si>
  <si>
    <t>190,0</t>
  </si>
  <si>
    <t>215,0</t>
  </si>
  <si>
    <t>Tsvetkov Aleksandr</t>
  </si>
  <si>
    <t>1. Tsvetkov Aleksandr</t>
  </si>
  <si>
    <t>Open (10.04.1957)/63</t>
  </si>
  <si>
    <t>98,40</t>
  </si>
  <si>
    <t>Dubna/Moskovskaya oblast</t>
  </si>
  <si>
    <t>Masters 60-64 (10.04.1957)/63</t>
  </si>
  <si>
    <t>280,0</t>
  </si>
  <si>
    <t>280,6720</t>
  </si>
  <si>
    <t>362,5</t>
  </si>
  <si>
    <t>273,6875</t>
  </si>
  <si>
    <t>272,5</t>
  </si>
  <si>
    <t>248,6154</t>
  </si>
  <si>
    <t>Masters 45-49</t>
  </si>
  <si>
    <t>225,0</t>
  </si>
  <si>
    <t>201,3771</t>
  </si>
  <si>
    <t>552,5</t>
  </si>
  <si>
    <t>381,5565</t>
  </si>
  <si>
    <t>550,0</t>
  </si>
  <si>
    <t>321,9425</t>
  </si>
  <si>
    <t>457,4803</t>
  </si>
  <si>
    <t>Open Europe Cup WPC/AWPC/WAA-2020
AWPC single ply powerlifting
Раменское/Московская область 22 - 23 августа 2020 г.</t>
  </si>
  <si>
    <t>Open Europe Cup WPC/AWPC/WAA-2020
AWPC multi ply powerlifting
Раменское/Московская область 22 - 23 августа 2020 г.</t>
  </si>
  <si>
    <t>Open Europe Cup WPC/AWPC/WAA-2020
AWPC raw benchpress
Раменское/Московская область 22 - 23 августа 2020 г.</t>
  </si>
  <si>
    <t>Martynova Darya</t>
  </si>
  <si>
    <t>1. Martynova Darya</t>
  </si>
  <si>
    <t>Open (20.01.1989)/31</t>
  </si>
  <si>
    <t>53,90</t>
  </si>
  <si>
    <t>37,5</t>
  </si>
  <si>
    <t>Drupova D.V.</t>
  </si>
  <si>
    <t>Romanova Darya</t>
  </si>
  <si>
    <t>1. Romanova Darya</t>
  </si>
  <si>
    <t>Teen 13-15 (30.05.2007)/13</t>
  </si>
  <si>
    <t>58,20</t>
  </si>
  <si>
    <t>Fryazino/Moskovskaya oblast</t>
  </si>
  <si>
    <t>Kontar Inessa</t>
  </si>
  <si>
    <t>1. Kontar Inessa</t>
  </si>
  <si>
    <t>Open (25.01.1980)/40</t>
  </si>
  <si>
    <t>58,00</t>
  </si>
  <si>
    <t>65,0</t>
  </si>
  <si>
    <t>Nemova Vera</t>
  </si>
  <si>
    <t>2. Nemova Vera</t>
  </si>
  <si>
    <t>Open (24.05.1983)/37</t>
  </si>
  <si>
    <t>59,60</t>
  </si>
  <si>
    <t>Yaschuk Vera</t>
  </si>
  <si>
    <t>1. Yaschuk Vera</t>
  </si>
  <si>
    <t>Masters 40-44 (20.05.1980)/40</t>
  </si>
  <si>
    <t>59,80</t>
  </si>
  <si>
    <t>Zelenograd/Moskovskaya oblast</t>
  </si>
  <si>
    <t>55,0</t>
  </si>
  <si>
    <t>Pogibko Svetlana</t>
  </si>
  <si>
    <t>1. Pogibko Svetlana</t>
  </si>
  <si>
    <t>Juniors 20-23 (31.07.1997)/23</t>
  </si>
  <si>
    <t>60,90</t>
  </si>
  <si>
    <t>Aprelevka/Moskovskaya oblast</t>
  </si>
  <si>
    <t>Gruzdeva Anastasiya</t>
  </si>
  <si>
    <t>1. Gruzdeva Anastasiya</t>
  </si>
  <si>
    <t>Masters 40-44 (12.09.1979)/40</t>
  </si>
  <si>
    <t>65,10</t>
  </si>
  <si>
    <t>Pelevanyuk Aleksandra</t>
  </si>
  <si>
    <t>1. Pelevanyuk Aleksandra</t>
  </si>
  <si>
    <t>Open (10.06.1996)/24</t>
  </si>
  <si>
    <t>75,00</t>
  </si>
  <si>
    <t>50,0</t>
  </si>
  <si>
    <t>Body Weight Category  52</t>
  </si>
  <si>
    <t>Selyanin Dmitriy</t>
  </si>
  <si>
    <t>1. Selyanin Dmitriy</t>
  </si>
  <si>
    <t>Teen 13-15 (10.11.2005)/14</t>
  </si>
  <si>
    <t>51,80</t>
  </si>
  <si>
    <t>83,0</t>
  </si>
  <si>
    <t>Tikhonov Semen</t>
  </si>
  <si>
    <t>1. Tikhonov Semen</t>
  </si>
  <si>
    <t>Teen 16-17 (16.01.2004)/16</t>
  </si>
  <si>
    <t>62,50</t>
  </si>
  <si>
    <t>72,5</t>
  </si>
  <si>
    <t>Tikhonov O.N.</t>
  </si>
  <si>
    <t>Goncharov Maksim</t>
  </si>
  <si>
    <t>1. Goncharov Maksim</t>
  </si>
  <si>
    <t>Teen 18-19 (01.04.2001)/19</t>
  </si>
  <si>
    <t>67,20</t>
  </si>
  <si>
    <t>Sumarokov Ilya</t>
  </si>
  <si>
    <t>1. Sumarokov Ilya</t>
  </si>
  <si>
    <t>Juniors 20-23 (12.08.1997)/23</t>
  </si>
  <si>
    <t>Open (01.04.2001)/19</t>
  </si>
  <si>
    <t>Bykov Evgeny</t>
  </si>
  <si>
    <t>2. Bykov Evgeny</t>
  </si>
  <si>
    <t>Open (02.07.1981)/39</t>
  </si>
  <si>
    <t>66,80</t>
  </si>
  <si>
    <t>Umerenkov Daniil</t>
  </si>
  <si>
    <t>1. Umerenkov Daniil</t>
  </si>
  <si>
    <t>Teen 16-17 (01.03.2004)/16</t>
  </si>
  <si>
    <t>71,00</t>
  </si>
  <si>
    <t>82,5</t>
  </si>
  <si>
    <t>Chesnyagin Anton</t>
  </si>
  <si>
    <t>1. Chesnyagin Anton</t>
  </si>
  <si>
    <t>Juniors 20-23 (21.11.1997)/22</t>
  </si>
  <si>
    <t>71,30</t>
  </si>
  <si>
    <t>Dolgoprudnyy/Moskovskaya oblast</t>
  </si>
  <si>
    <t>Kalinin Sergey</t>
  </si>
  <si>
    <t>1. Kalinin Sergey</t>
  </si>
  <si>
    <t>Masters 40-44 (19.11.1975)/44</t>
  </si>
  <si>
    <t>Scherbakov Daniil</t>
  </si>
  <si>
    <t>1. Scherbakov Daniil</t>
  </si>
  <si>
    <t>Teen 13-15 (29.10.2004)/15</t>
  </si>
  <si>
    <t>77,60</t>
  </si>
  <si>
    <t>Kalininsk/Saratovskaya oblast</t>
  </si>
  <si>
    <t>127,5</t>
  </si>
  <si>
    <t>Belov Mikhail</t>
  </si>
  <si>
    <t>1. Belov Mikhail</t>
  </si>
  <si>
    <t>Open (09.12.1991)/28</t>
  </si>
  <si>
    <t>82,30</t>
  </si>
  <si>
    <t>Yatskovskiy Andrey</t>
  </si>
  <si>
    <t>1. Yatskovskiy Andrey</t>
  </si>
  <si>
    <t>Masters 50-54 (14.08.1969)/51</t>
  </si>
  <si>
    <t>77,80</t>
  </si>
  <si>
    <t>Salosalov Sergey</t>
  </si>
  <si>
    <t>1. Salosalov Sergey</t>
  </si>
  <si>
    <t>Teen 13-15 (11.09.2004)/15</t>
  </si>
  <si>
    <t>89,50</t>
  </si>
  <si>
    <t>Shchelkovo/Moskovskaya oblast</t>
  </si>
  <si>
    <t>Mischenko Artem</t>
  </si>
  <si>
    <t>1. Mischenko Artem</t>
  </si>
  <si>
    <t>Open (26.06.1984)/36</t>
  </si>
  <si>
    <t>88,90</t>
  </si>
  <si>
    <t>182,5</t>
  </si>
  <si>
    <t>Kuliev Rafael</t>
  </si>
  <si>
    <t>2. Kuliev Rafael</t>
  </si>
  <si>
    <t>Open (13.09.1993)/26</t>
  </si>
  <si>
    <t>86,30</t>
  </si>
  <si>
    <t>Ulan-Ude/Buryatiya</t>
  </si>
  <si>
    <t>Grammatchikov Aleksandr</t>
  </si>
  <si>
    <t>3. Grammatchikov Aleksandr</t>
  </si>
  <si>
    <t>Open (27.02.1985)/35</t>
  </si>
  <si>
    <t>88,30</t>
  </si>
  <si>
    <t>Podolsk/Moskovskaya oblast</t>
  </si>
  <si>
    <t>Lalas Sergey</t>
  </si>
  <si>
    <t>4. Lalas Sergey</t>
  </si>
  <si>
    <t>Open (10.05.1985)/35</t>
  </si>
  <si>
    <t>87,80</t>
  </si>
  <si>
    <t>Dimov Oleg</t>
  </si>
  <si>
    <t>1. Dimov Oleg</t>
  </si>
  <si>
    <t>Masters 50-54 (02.05.1970)/50</t>
  </si>
  <si>
    <t>Zvyagitsev Danila</t>
  </si>
  <si>
    <t>1. Zvyagitsev Danila</t>
  </si>
  <si>
    <t>Juniors 20-23 (14.10.1999)/20</t>
  </si>
  <si>
    <t>98,80</t>
  </si>
  <si>
    <t>147,5</t>
  </si>
  <si>
    <t>Evlikov Mikhail</t>
  </si>
  <si>
    <t>1. Evlikov Mikhail</t>
  </si>
  <si>
    <t>Open (20.10.1993)/26</t>
  </si>
  <si>
    <t>90,50</t>
  </si>
  <si>
    <t>Volkov Vyacheslav</t>
  </si>
  <si>
    <t>1. Volkov Vyacheslav</t>
  </si>
  <si>
    <t>Masters 45-49 (13.11.1971)/48</t>
  </si>
  <si>
    <t>97,20</t>
  </si>
  <si>
    <t>Pastushenko Aleksandr</t>
  </si>
  <si>
    <t>1. Pastushenko Aleksandr</t>
  </si>
  <si>
    <t>Masters 50-54 (30.10.1966)/53</t>
  </si>
  <si>
    <t>97,90</t>
  </si>
  <si>
    <t>Nogliki/Sakhalinskaya oblast</t>
  </si>
  <si>
    <t>Smirnov Leonid</t>
  </si>
  <si>
    <t>1. Smirnov Leonid</t>
  </si>
  <si>
    <t>Masters 60-64 (26.09.1957)/62</t>
  </si>
  <si>
    <t>92,50</t>
  </si>
  <si>
    <t>Mulikhov Aleksandr</t>
  </si>
  <si>
    <t>1. Mulikhov Aleksandr</t>
  </si>
  <si>
    <t>Open (12.08.1988)/32</t>
  </si>
  <si>
    <t>107,30</t>
  </si>
  <si>
    <t>Dzerzhinsk/Nizhegorodskaya oblast</t>
  </si>
  <si>
    <t>167,5</t>
  </si>
  <si>
    <t>Kiriyak Oleg</t>
  </si>
  <si>
    <t>1. Kiriyak Oleg</t>
  </si>
  <si>
    <t>Masters 40-44 (17.02.1976)/44</t>
  </si>
  <si>
    <t>108,50</t>
  </si>
  <si>
    <t>Stolbovoy Vitaliy</t>
  </si>
  <si>
    <t>1. Stolbovoy Vitaliy</t>
  </si>
  <si>
    <t>Masters 45-49 (14.06.1973)/47</t>
  </si>
  <si>
    <t>106,30</t>
  </si>
  <si>
    <t>Podlesniy Stanislav</t>
  </si>
  <si>
    <t>-. Podlesniy Stanislav</t>
  </si>
  <si>
    <t>Masters 45-49 (03.09.1974)/45</t>
  </si>
  <si>
    <t>105,70</t>
  </si>
  <si>
    <t>Yakovenko Vladimir</t>
  </si>
  <si>
    <t>1. Yakovenko Vladimir</t>
  </si>
  <si>
    <t>Masters 60-64 (27.03.1959)/61</t>
  </si>
  <si>
    <t>109,60</t>
  </si>
  <si>
    <t>Mozhaysk/Moskovskaya oblast</t>
  </si>
  <si>
    <t>Ivanov Daniil</t>
  </si>
  <si>
    <t>1. Ivanov Daniil</t>
  </si>
  <si>
    <t>Teen 18-19 (02.10.2001)/18</t>
  </si>
  <si>
    <t>114,70</t>
  </si>
  <si>
    <t>Korzinkin Vadim</t>
  </si>
  <si>
    <t>1. Korzinkin Vadim</t>
  </si>
  <si>
    <t>Open (26.03.1983)/37</t>
  </si>
  <si>
    <t>116,00</t>
  </si>
  <si>
    <t>172,5</t>
  </si>
  <si>
    <t>Shishov Aleksey</t>
  </si>
  <si>
    <t>1. Shishov Aleksey</t>
  </si>
  <si>
    <t>Masters 45-49 (21.03.1973)/47</t>
  </si>
  <si>
    <t>117,60</t>
  </si>
  <si>
    <t>Tula/Tulskaya oblast</t>
  </si>
  <si>
    <t>Usoltsev Evgeniy</t>
  </si>
  <si>
    <t>1. Usoltsev Evgeniy</t>
  </si>
  <si>
    <t>Masters 50-54 (01.02.1970)/50</t>
  </si>
  <si>
    <t>124,00</t>
  </si>
  <si>
    <t>205,0</t>
  </si>
  <si>
    <t>213,0</t>
  </si>
  <si>
    <t>Bichkov Igor</t>
  </si>
  <si>
    <t>2. Bichkov Igor</t>
  </si>
  <si>
    <t>Masters 50-54 (18.06.1970)/50</t>
  </si>
  <si>
    <t>119,70</t>
  </si>
  <si>
    <t>Teen 13-15</t>
  </si>
  <si>
    <t>40,4800</t>
  </si>
  <si>
    <t>Juniors</t>
  </si>
  <si>
    <t>Juniors 20-23</t>
  </si>
  <si>
    <t>63,4335</t>
  </si>
  <si>
    <t>65,9685</t>
  </si>
  <si>
    <t>44,6828</t>
  </si>
  <si>
    <t>40,3650</t>
  </si>
  <si>
    <t>39,7147</t>
  </si>
  <si>
    <t>59,4180</t>
  </si>
  <si>
    <t>39,3337</t>
  </si>
  <si>
    <t>110,4750</t>
  </si>
  <si>
    <t>Teen 18-19</t>
  </si>
  <si>
    <t>99,5406</t>
  </si>
  <si>
    <t>52</t>
  </si>
  <si>
    <t>87,3495</t>
  </si>
  <si>
    <t>87,3340</t>
  </si>
  <si>
    <t>84,8739</t>
  </si>
  <si>
    <t>61,0343</t>
  </si>
  <si>
    <t>58,0906</t>
  </si>
  <si>
    <t>94,2687</t>
  </si>
  <si>
    <t>89,4563</t>
  </si>
  <si>
    <t>86,1842</t>
  </si>
  <si>
    <t>110,8890</t>
  </si>
  <si>
    <t>100,2960</t>
  </si>
  <si>
    <t>99,1637</t>
  </si>
  <si>
    <t>95,7548</t>
  </si>
  <si>
    <t>90,3840</t>
  </si>
  <si>
    <t>89,6752</t>
  </si>
  <si>
    <t>88,7243</t>
  </si>
  <si>
    <t>86,8700</t>
  </si>
  <si>
    <t>85,4000</t>
  </si>
  <si>
    <t>128,4998</t>
  </si>
  <si>
    <t>126,6199</t>
  </si>
  <si>
    <t>116,2151</t>
  </si>
  <si>
    <t>113,7566</t>
  </si>
  <si>
    <t>109,6415</t>
  </si>
  <si>
    <t>107,6872</t>
  </si>
  <si>
    <t>105,9047</t>
  </si>
  <si>
    <t>99,0407</t>
  </si>
  <si>
    <t>98,6893</t>
  </si>
  <si>
    <t>92,8107</t>
  </si>
  <si>
    <t>86,8749</t>
  </si>
  <si>
    <t>84,6096</t>
  </si>
  <si>
    <t>Open Europe Cup WPC/AWPC/WAA-2020
AWPC OVERHEAD BENCH
Раменское/Московская область 22 - 23 августа 2020 г.</t>
  </si>
  <si>
    <t>Open Europe Cup WPC/AWPC/WAA-2020
WPC OVERHEAD BENCH
Раменское/Московская область 22 - 23 августа 2020 г.</t>
  </si>
  <si>
    <t>Open Europe Cup WPC/AWPC/WAA-2020
AWPC single-ply benchpress
Раменское/Московская область 22 - 23 августа 2020 г.</t>
  </si>
  <si>
    <t>Vinogradskiy Denis</t>
  </si>
  <si>
    <t>1. Vinogradskiy Denis</t>
  </si>
  <si>
    <t>Open (20.07.1992)/28</t>
  </si>
  <si>
    <t>80,60</t>
  </si>
  <si>
    <t>Nazgaidze Viktor</t>
  </si>
  <si>
    <t>1. Nazgaidze Viktor</t>
  </si>
  <si>
    <t>Open (19.09.1981)/38</t>
  </si>
  <si>
    <t>100,00</t>
  </si>
  <si>
    <t>187,5</t>
  </si>
  <si>
    <t>Zinyagin Aleksey</t>
  </si>
  <si>
    <t>2. Zinyagin Aleksey</t>
  </si>
  <si>
    <t>Open (26.01.1988)/32</t>
  </si>
  <si>
    <t>99,10</t>
  </si>
  <si>
    <t>108,9938</t>
  </si>
  <si>
    <t>99,2035</t>
  </si>
  <si>
    <t>78,5400</t>
  </si>
  <si>
    <t>Open Europe Cup WPC/AWPC/WAA-2020
AWPC multi-ply benchpress
Раменское/Московская область 22 - 23 августа 2020 г.</t>
  </si>
  <si>
    <t>Open Europe Cup WPC/AWPC/WAA-2020
AWPC st. soft eq. benchpress
Раменское/Московская область 22 - 23 августа 2020 г.</t>
  </si>
  <si>
    <t>Agaeva Anastasiya</t>
  </si>
  <si>
    <t>1. Agaeva Anastasiya</t>
  </si>
  <si>
    <t>Teen 18-19 (20.06.2001)/19</t>
  </si>
  <si>
    <t>59,30</t>
  </si>
  <si>
    <t>74,7712</t>
  </si>
  <si>
    <t>133,0852</t>
  </si>
  <si>
    <t>Open Europe Cup WPC/AWPC/WAA-2020
AWPC MP soft eq. benchpress
Раменское/Московская область 22 - 23 августа 2020 г.</t>
  </si>
  <si>
    <t>Open Europe Cup WPC/AWPC/WAA-2020
WPC raw deadlift
Раменское/Московская область 22 - 23 августа 2020 г.</t>
  </si>
  <si>
    <t>260,0</t>
  </si>
  <si>
    <t>290,0</t>
  </si>
  <si>
    <t>Esayan Evgeniy</t>
  </si>
  <si>
    <t>2. Esayan Evgeniy</t>
  </si>
  <si>
    <t>Open (28.01.1993)/27</t>
  </si>
  <si>
    <t>96,30</t>
  </si>
  <si>
    <t>250,0</t>
  </si>
  <si>
    <t>Lukyanov Sergey</t>
  </si>
  <si>
    <t>1. Lukyanov Sergey</t>
  </si>
  <si>
    <t>Masters 60-64 (25.10.1955)/64</t>
  </si>
  <si>
    <t>122,80</t>
  </si>
  <si>
    <t>182,4188</t>
  </si>
  <si>
    <t>170,2735</t>
  </si>
  <si>
    <t>153,6860</t>
  </si>
  <si>
    <t>195,8739</t>
  </si>
  <si>
    <t>150,9740</t>
  </si>
  <si>
    <t>Open Europe Cup WPC/AWPC/WAA-2020
WPC single ply deadlift
Раменское/Московская область 22 - 23 августа 2020 г.</t>
  </si>
  <si>
    <t>Open Europe Cup WPC/AWPC/WAA-2020
WPC multy ply deadlift
Раменское/Московская область 22 - 23 августа 2020 г.</t>
  </si>
  <si>
    <t>Open Europe Cup WPC/AWPC/WAA-2020
AWPC raw deadlift
Раменское/Московская область 22 - 23 августа 2020 г.</t>
  </si>
  <si>
    <t>Enina Elena</t>
  </si>
  <si>
    <t>1. Enina Elena</t>
  </si>
  <si>
    <t>Open (10.05.1989)/31</t>
  </si>
  <si>
    <t>49,60</t>
  </si>
  <si>
    <t>122,5</t>
  </si>
  <si>
    <t>Rikov Aleksandr</t>
  </si>
  <si>
    <t>1. Rikov Aleksandr</t>
  </si>
  <si>
    <t>Teen 16-17 (02.12.2003)/16</t>
  </si>
  <si>
    <t>64,10</t>
  </si>
  <si>
    <t>Korzinkin Vladislav</t>
  </si>
  <si>
    <t>1. Korzinkin Vladislav</t>
  </si>
  <si>
    <t>Teen 13-15 (27.02.2006)/14</t>
  </si>
  <si>
    <t>79,70</t>
  </si>
  <si>
    <t>Konkov Andrey</t>
  </si>
  <si>
    <t>1. Konkov Andrey</t>
  </si>
  <si>
    <t>Masters 40-44 (26.07.1980)/40</t>
  </si>
  <si>
    <t>89,90</t>
  </si>
  <si>
    <t>222,5</t>
  </si>
  <si>
    <t>235,0</t>
  </si>
  <si>
    <t>Zmunchile Mikhail</t>
  </si>
  <si>
    <t>1. Zmunchile Mikhail</t>
  </si>
  <si>
    <t>Open (25.05.1983)/37</t>
  </si>
  <si>
    <t>91,90</t>
  </si>
  <si>
    <t>245,0</t>
  </si>
  <si>
    <t>252,5</t>
  </si>
  <si>
    <t>Kazakov Dmitriy</t>
  </si>
  <si>
    <t>1. Kazakov Dmitriy</t>
  </si>
  <si>
    <t>Masters 40-44 (19.11.1976)/43</t>
  </si>
  <si>
    <t>99,00</t>
  </si>
  <si>
    <t>Khimki/Moskovskaya oblast</t>
  </si>
  <si>
    <t>Konopatskiy Vladimir</t>
  </si>
  <si>
    <t>1. Konopatskiy Vladimir</t>
  </si>
  <si>
    <t>Masters 45-49 (06.08.1973)/47</t>
  </si>
  <si>
    <t>Tolyatti/Samarskaya oblast</t>
  </si>
  <si>
    <t>285,0</t>
  </si>
  <si>
    <t>2. Podlesniy Stanislav</t>
  </si>
  <si>
    <t>158,0563</t>
  </si>
  <si>
    <t>115,2760</t>
  </si>
  <si>
    <t>107,2011</t>
  </si>
  <si>
    <t>86,1245</t>
  </si>
  <si>
    <t>84,0863</t>
  </si>
  <si>
    <t>148,2250</t>
  </si>
  <si>
    <t>161,4577</t>
  </si>
  <si>
    <t>147,4650</t>
  </si>
  <si>
    <t>143,8787</t>
  </si>
  <si>
    <t>114,1362</t>
  </si>
  <si>
    <t>Open Europe Cup WPC/AWPC/WAA-2020
AWPC single ply deadlift
Раменское/Московская область 22 - 23 августа 2020 г.</t>
  </si>
  <si>
    <t>Kazarina Elena</t>
  </si>
  <si>
    <t>1. Kazarina Elena</t>
  </si>
  <si>
    <t>Open (14.10.1980)/39</t>
  </si>
  <si>
    <t>Korolev/Moskovskaya oblast</t>
  </si>
  <si>
    <t>115,5865</t>
  </si>
  <si>
    <t>Open Europe Cup WPC/AWPC/WAA-2020
AWPC multy ply deadlift
Раменское/Московская область 22 - 23 августа 2020 г.</t>
  </si>
  <si>
    <t>Umerenkova Yuliya</t>
  </si>
  <si>
    <t>1. Umerenkova Yuliya</t>
  </si>
  <si>
    <t>Open (09.12.1980)/39</t>
  </si>
  <si>
    <t>72,30</t>
  </si>
  <si>
    <t>200,5</t>
  </si>
  <si>
    <t>167,1443</t>
  </si>
  <si>
    <t>Open Europe Cup WPC/AWPC/WAA-2020
AWPC Strict Curl
Раменское/Московская область 22 - 23 августа 2020 г.</t>
  </si>
  <si>
    <t>Biceps curl</t>
  </si>
  <si>
    <t>41,1499</t>
  </si>
  <si>
    <t>40,9010</t>
  </si>
  <si>
    <t>46,2038</t>
  </si>
  <si>
    <t>Open Europe Cup WPC/AWPC/WAA-2020
WPC Strict Curl
Раменское/Московская область 22 - 23 августа 2020 г.</t>
  </si>
  <si>
    <t>Open Europe Cup WPC/AWPC/WAA-2020
«Russian Roullette»
Раменское/Московская область 22 - 23 августа 2020 г.</t>
  </si>
  <si>
    <t>Armlift</t>
  </si>
  <si>
    <t>Body Weight Category  80</t>
  </si>
  <si>
    <t>Dyba Mikhail</t>
  </si>
  <si>
    <t>1. Dyba Mikhail</t>
  </si>
  <si>
    <t>Open (09.12.1997)/22</t>
  </si>
  <si>
    <t>78,20</t>
  </si>
  <si>
    <t>Krasnogorsk/Moskovskaya oblast</t>
  </si>
  <si>
    <t>68,0</t>
  </si>
  <si>
    <t>73,0</t>
  </si>
  <si>
    <t>1. Kuliev Rafael</t>
  </si>
  <si>
    <t>50,5</t>
  </si>
  <si>
    <t>70,5</t>
  </si>
  <si>
    <t>Master 40+ (25.10.1955)/64</t>
  </si>
  <si>
    <t>60,5</t>
  </si>
  <si>
    <t>65,5</t>
  </si>
  <si>
    <t>80</t>
  </si>
  <si>
    <t>45,4342</t>
  </si>
  <si>
    <t>31,6559</t>
  </si>
  <si>
    <t>Master</t>
  </si>
  <si>
    <t>Master 40+</t>
  </si>
  <si>
    <t>52,0463</t>
  </si>
  <si>
    <t>Open Europe Cup WPC/AWPC/WAA-2020
«Russian Axle»
Раменское/Московская область 22 - 23 августа 2020 г.</t>
  </si>
  <si>
    <t>Kolevatov Dmitriy</t>
  </si>
  <si>
    <t>1. Kolevatov Dmitriy</t>
  </si>
  <si>
    <t>Open (10.02.1986)/34</t>
  </si>
  <si>
    <t>98,20</t>
  </si>
  <si>
    <t>Bykov Ivan</t>
  </si>
  <si>
    <t>1. Bykov Ivan</t>
  </si>
  <si>
    <t>Open (02.07.1984)/36</t>
  </si>
  <si>
    <t>104,60</t>
  </si>
  <si>
    <t>Tyumen/Tyumenskaya oblast</t>
  </si>
  <si>
    <t>Obidin Roman</t>
  </si>
  <si>
    <t>1. Obidin Roman</t>
  </si>
  <si>
    <t>Open (28.01.1982)/38</t>
  </si>
  <si>
    <t>117,70</t>
  </si>
  <si>
    <t>103,4303</t>
  </si>
  <si>
    <t>88,5670</t>
  </si>
  <si>
    <t>66,3960</t>
  </si>
  <si>
    <t>64,4435</t>
  </si>
  <si>
    <t>Open Europe Cup WPC/AWPC/WAA-2020
«Russian HUB»
Раменское/Московская область 22 - 23 августа 2020 г.</t>
  </si>
  <si>
    <t>Open Europe Cup WPC/AWPC/WAA-2020
«Russian brick»
Раменское/Московская область 22 - 23 августа 2020 г.</t>
  </si>
  <si>
    <t>44,0</t>
  </si>
  <si>
    <t>49,0</t>
  </si>
  <si>
    <t>54,0</t>
  </si>
  <si>
    <t>59,0</t>
  </si>
  <si>
    <t>39,0</t>
  </si>
  <si>
    <t>31,6359</t>
  </si>
  <si>
    <t>42,9084</t>
  </si>
  <si>
    <t>Open Europe Cup WPC/AWPC/WAA-2020
«Excalibur»
Раменское/Московская область 22 - 23 августа 2020 г.</t>
  </si>
  <si>
    <t>48,5690</t>
  </si>
  <si>
    <t>55,6220</t>
  </si>
  <si>
    <t>Open Europe Cup WPC/AWPC/WAA-2020
Multy-repeat BP 1 bw. WPC
Раменское/Московская область 22 - 23 августа 2020 г.</t>
  </si>
  <si>
    <t>Weight</t>
  </si>
  <si>
    <t>Rpt</t>
  </si>
  <si>
    <t>Open Europe Cup WPC/AWPC/WAA-2020
Multy-repeat BP 1 bw. AWPC
Раменское/Московская область 22 - 23 августа 2020 г.</t>
  </si>
  <si>
    <t>Multi.rpt. benchpress</t>
  </si>
  <si>
    <t>1. Bykov Evgeny</t>
  </si>
  <si>
    <t>34,0</t>
  </si>
  <si>
    <t>28,0</t>
  </si>
  <si>
    <t>Skripkin Vitaliy</t>
  </si>
  <si>
    <t>2. Skripkin Vitaliy</t>
  </si>
  <si>
    <t>Open (06.11.1988)/31</t>
  </si>
  <si>
    <t>82,90</t>
  </si>
  <si>
    <t>24,0</t>
  </si>
  <si>
    <t>23,0</t>
  </si>
  <si>
    <t>Masters 50-59 (30.10.1966)/53</t>
  </si>
  <si>
    <t>Masters 60+ (26.09.1957)/62</t>
  </si>
  <si>
    <t>8,0</t>
  </si>
  <si>
    <t>Masters 40-49 (14.06.1973)/47</t>
  </si>
  <si>
    <t>25,0</t>
  </si>
  <si>
    <t>2295,0</t>
  </si>
  <si>
    <t>1732,9545</t>
  </si>
  <si>
    <t>2520,0</t>
  </si>
  <si>
    <t>1552,4460</t>
  </si>
  <si>
    <t>2040,0</t>
  </si>
  <si>
    <t>1310,9040</t>
  </si>
  <si>
    <t>2127,5</t>
  </si>
  <si>
    <t>1297,7750</t>
  </si>
  <si>
    <t>Masters 50-59</t>
  </si>
  <si>
    <t>3000,0</t>
  </si>
  <si>
    <t>2083,7808</t>
  </si>
  <si>
    <t>Masters 40-49</t>
  </si>
  <si>
    <t>2687,5</t>
  </si>
  <si>
    <t>1652,5454</t>
  </si>
  <si>
    <t>Masters 60+</t>
  </si>
  <si>
    <t>740,0</t>
  </si>
  <si>
    <t>621,5329</t>
  </si>
  <si>
    <t>Open Europe Cup WPC/AWPC/WAA-2020
Multy-repeat BP 1/2 bw. WPC
Раменское/Московская область 22 - 23 августа 2020 г.</t>
  </si>
  <si>
    <t>Open Europe Cup WPC/AWPC/WAA-2020
Multy-repeat BP 1/2 bw. AWPC
Раменское/Московская область 22 - 23 августа 2020 г.</t>
  </si>
  <si>
    <t>Balyabina Anna</t>
  </si>
  <si>
    <t>1. Balyabina Anna</t>
  </si>
  <si>
    <t>Masters 40-49 (16.07.1980)/40</t>
  </si>
  <si>
    <t>62,10</t>
  </si>
  <si>
    <t>32,5</t>
  </si>
  <si>
    <t>10,0</t>
  </si>
  <si>
    <t>325,0</t>
  </si>
  <si>
    <t>312,2600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</si>
</sst>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7" fillId="0" borderId="15" xfId="0" applyNumberFormat="1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12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selection sqref="A1:XFD1048576"/>
    </sheetView>
  </sheetViews>
  <sheetFormatPr defaultColWidth="9.109375" defaultRowHeight="13.2" x14ac:dyDescent="0.25"/>
  <cols>
    <col min="1" max="1" width="25" style="8" bestFit="1" customWidth="1"/>
    <col min="2" max="2" width="19.5546875" style="9" customWidth="1"/>
    <col min="3" max="3" width="8.109375" style="5" customWidth="1"/>
    <col min="4" max="4" width="7.33203125" style="6" customWidth="1"/>
    <col min="5" max="6" width="12.109375" style="10" customWidth="1"/>
    <col min="7" max="8" width="7" style="11" customWidth="1"/>
    <col min="9" max="10" width="6.5546875" style="11" customWidth="1"/>
    <col min="11" max="11" width="7.33203125" style="11" customWidth="1"/>
    <col min="12" max="12" width="6.5546875" style="11" customWidth="1"/>
    <col min="13" max="15" width="6.88671875" style="11" customWidth="1"/>
    <col min="16" max="16" width="6.5546875" style="11" customWidth="1"/>
    <col min="17" max="18" width="6.88671875" style="11" customWidth="1"/>
    <col min="19" max="19" width="8.44140625" style="7" bestFit="1" customWidth="1"/>
    <col min="20" max="20" width="5.88671875" style="6" customWidth="1"/>
    <col min="21" max="21" width="14.109375" style="8" customWidth="1"/>
    <col min="22" max="16384" width="9.109375" style="3"/>
  </cols>
  <sheetData>
    <row r="1" spans="1:21" s="2" customFormat="1" ht="15" customHeight="1" x14ac:dyDescent="0.2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1"/>
    </row>
    <row r="2" spans="1:21" s="2" customFormat="1" ht="13.8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</row>
    <row r="3" spans="1:21" s="1" customFormat="1" ht="12.75" customHeight="1" x14ac:dyDescent="0.25">
      <c r="A3" s="25" t="s">
        <v>0</v>
      </c>
      <c r="B3" s="29" t="s">
        <v>12</v>
      </c>
      <c r="C3" s="29" t="s">
        <v>9</v>
      </c>
      <c r="D3" s="15" t="s">
        <v>10</v>
      </c>
      <c r="E3" s="26" t="s">
        <v>1</v>
      </c>
      <c r="F3" s="32" t="s">
        <v>2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17" t="s">
        <v>11</v>
      </c>
      <c r="T3" s="15" t="s">
        <v>7</v>
      </c>
      <c r="U3" s="27" t="s">
        <v>6</v>
      </c>
    </row>
    <row r="4" spans="1:21" s="1" customFormat="1" ht="23.25" customHeight="1" thickBot="1" x14ac:dyDescent="0.3">
      <c r="A4" s="28"/>
      <c r="B4" s="30"/>
      <c r="C4" s="30"/>
      <c r="D4" s="16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18"/>
      <c r="T4" s="16"/>
      <c r="U4" s="31"/>
    </row>
    <row r="5" spans="1:21" s="5" customFormat="1" x14ac:dyDescent="0.25">
      <c r="A5" s="4"/>
      <c r="D5" s="6"/>
      <c r="E5" s="4"/>
      <c r="F5" s="4"/>
      <c r="S5" s="7"/>
      <c r="T5" s="6"/>
      <c r="U5" s="4"/>
    </row>
    <row r="6" spans="1:21" s="5" customFormat="1" x14ac:dyDescent="0.25">
      <c r="A6" s="4"/>
      <c r="D6" s="6"/>
      <c r="E6" s="4"/>
      <c r="F6" s="4"/>
      <c r="S6" s="7"/>
      <c r="T6" s="6"/>
      <c r="U6" s="4"/>
    </row>
    <row r="7" spans="1:21" s="5" customFormat="1" x14ac:dyDescent="0.25">
      <c r="A7" s="4"/>
      <c r="D7" s="6"/>
      <c r="E7" s="4"/>
      <c r="F7" s="4"/>
      <c r="S7" s="7"/>
      <c r="T7" s="6"/>
      <c r="U7" s="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4" style="5" bestFit="1" customWidth="1"/>
    <col min="3" max="3" width="7.5546875" style="5" bestFit="1" customWidth="1"/>
    <col min="4" max="4" width="17" style="4" bestFit="1" customWidth="1"/>
    <col min="5" max="5" width="28.21875" style="4" bestFit="1" customWidth="1"/>
    <col min="6" max="8" width="4.5546875" style="5" bestFit="1" customWidth="1"/>
    <col min="9" max="9" width="4.77734375" style="5" bestFit="1" customWidth="1"/>
    <col min="10" max="12" width="2.109375" style="5" bestFit="1" customWidth="1"/>
    <col min="13" max="13" width="4.77734375" style="5" bestFit="1" customWidth="1"/>
    <col min="14" max="16" width="2.109375" style="5" bestFit="1" customWidth="1"/>
    <col min="17" max="17" width="4.77734375" style="5" bestFit="1" customWidth="1"/>
    <col min="18" max="18" width="5.77734375" style="4" bestFit="1" customWidth="1"/>
    <col min="19" max="19" width="7.109375" style="4" bestFit="1" customWidth="1"/>
    <col min="20" max="16384" width="9.109375" style="3"/>
  </cols>
  <sheetData>
    <row r="1" spans="1:19" s="2" customFormat="1" ht="28.95" customHeight="1" x14ac:dyDescent="0.25">
      <c r="A1" s="35" t="s">
        <v>662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</row>
    <row r="2" spans="1:19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19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1</v>
      </c>
      <c r="E3" s="32" t="s">
        <v>14</v>
      </c>
      <c r="F3" s="25" t="s">
        <v>663</v>
      </c>
      <c r="G3" s="26"/>
      <c r="H3" s="26"/>
      <c r="I3" s="27"/>
      <c r="J3" s="25" t="s">
        <v>4</v>
      </c>
      <c r="K3" s="26"/>
      <c r="L3" s="26"/>
      <c r="M3" s="27"/>
      <c r="N3" s="25" t="s">
        <v>5</v>
      </c>
      <c r="O3" s="26"/>
      <c r="P3" s="26"/>
      <c r="Q3" s="27"/>
      <c r="R3" s="41" t="s">
        <v>11</v>
      </c>
      <c r="S3" s="27" t="s">
        <v>6</v>
      </c>
    </row>
    <row r="4" spans="1:19" s="1" customFormat="1" ht="23.25" customHeight="1" thickBot="1" x14ac:dyDescent="0.3">
      <c r="A4" s="28"/>
      <c r="B4" s="30"/>
      <c r="C4" s="30"/>
      <c r="D4" s="30"/>
      <c r="E4" s="33"/>
      <c r="F4" s="12">
        <v>1</v>
      </c>
      <c r="G4" s="13">
        <v>2</v>
      </c>
      <c r="H4" s="13">
        <v>3</v>
      </c>
      <c r="I4" s="14" t="s">
        <v>8</v>
      </c>
      <c r="J4" s="12">
        <v>1</v>
      </c>
      <c r="K4" s="13">
        <v>2</v>
      </c>
      <c r="L4" s="13">
        <v>3</v>
      </c>
      <c r="M4" s="14" t="s">
        <v>8</v>
      </c>
      <c r="N4" s="12">
        <v>1</v>
      </c>
      <c r="O4" s="13">
        <v>2</v>
      </c>
      <c r="P4" s="13">
        <v>3</v>
      </c>
      <c r="Q4" s="14" t="s">
        <v>8</v>
      </c>
      <c r="R4" s="42"/>
      <c r="S4" s="31"/>
    </row>
    <row r="5" spans="1:19" s="5" customFormat="1" ht="15.6" x14ac:dyDescent="0.3">
      <c r="A5" s="45" t="s">
        <v>664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"/>
    </row>
    <row r="6" spans="1:19" s="5" customFormat="1" x14ac:dyDescent="0.25">
      <c r="A6" s="46" t="s">
        <v>666</v>
      </c>
      <c r="B6" s="47" t="s">
        <v>667</v>
      </c>
      <c r="C6" s="47" t="s">
        <v>668</v>
      </c>
      <c r="D6" s="46" t="s">
        <v>30</v>
      </c>
      <c r="E6" s="46" t="s">
        <v>669</v>
      </c>
      <c r="F6" s="47" t="s">
        <v>670</v>
      </c>
      <c r="G6" s="48" t="s">
        <v>671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6" t="str">
        <f>"68,0"</f>
        <v>68,0</v>
      </c>
      <c r="S6" s="46"/>
    </row>
    <row r="7" spans="1:19" s="5" customFormat="1" x14ac:dyDescent="0.25">
      <c r="A7" s="4"/>
      <c r="D7" s="4"/>
      <c r="E7" s="4"/>
      <c r="R7" s="4"/>
      <c r="S7" s="4"/>
    </row>
    <row r="8" spans="1:19" ht="15.6" x14ac:dyDescent="0.3">
      <c r="A8" s="50" t="s">
        <v>165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19" x14ac:dyDescent="0.25">
      <c r="A9" s="46" t="s">
        <v>672</v>
      </c>
      <c r="B9" s="47" t="s">
        <v>421</v>
      </c>
      <c r="C9" s="47" t="s">
        <v>422</v>
      </c>
      <c r="D9" s="46" t="s">
        <v>30</v>
      </c>
      <c r="E9" s="46" t="s">
        <v>423</v>
      </c>
      <c r="F9" s="47" t="s">
        <v>673</v>
      </c>
      <c r="G9" s="48" t="s">
        <v>674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6" t="str">
        <f>"50,5"</f>
        <v>50,5</v>
      </c>
      <c r="S9" s="46"/>
    </row>
    <row r="11" spans="1:19" ht="15.6" x14ac:dyDescent="0.3">
      <c r="A11" s="50" t="s">
        <v>99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9" x14ac:dyDescent="0.25">
      <c r="A12" s="46" t="s">
        <v>586</v>
      </c>
      <c r="B12" s="47" t="s">
        <v>675</v>
      </c>
      <c r="C12" s="47" t="s">
        <v>588</v>
      </c>
      <c r="D12" s="46" t="s">
        <v>30</v>
      </c>
      <c r="E12" s="46" t="s">
        <v>104</v>
      </c>
      <c r="F12" s="47" t="s">
        <v>676</v>
      </c>
      <c r="G12" s="47" t="s">
        <v>677</v>
      </c>
      <c r="H12" s="48" t="s">
        <v>670</v>
      </c>
      <c r="I12" s="48"/>
      <c r="J12" s="48"/>
      <c r="K12" s="48"/>
      <c r="L12" s="48"/>
      <c r="M12" s="48"/>
      <c r="N12" s="48"/>
      <c r="O12" s="48"/>
      <c r="P12" s="48"/>
      <c r="Q12" s="48"/>
      <c r="R12" s="46" t="str">
        <f>"65,5"</f>
        <v>65,5</v>
      </c>
      <c r="S12" s="46"/>
    </row>
    <row r="14" spans="1:19" ht="15" x14ac:dyDescent="0.25">
      <c r="D14" s="34" t="s">
        <v>15</v>
      </c>
    </row>
    <row r="15" spans="1:19" ht="15" x14ac:dyDescent="0.25">
      <c r="D15" s="34" t="s">
        <v>16</v>
      </c>
    </row>
    <row r="16" spans="1:19" ht="15" x14ac:dyDescent="0.25">
      <c r="D16" s="34" t="s">
        <v>17</v>
      </c>
    </row>
    <row r="17" spans="1:4" x14ac:dyDescent="0.25">
      <c r="D17" s="4" t="s">
        <v>18</v>
      </c>
    </row>
    <row r="18" spans="1:4" x14ac:dyDescent="0.25">
      <c r="D18" s="4" t="s">
        <v>19</v>
      </c>
    </row>
    <row r="19" spans="1:4" x14ac:dyDescent="0.25">
      <c r="D19" s="4" t="s">
        <v>20</v>
      </c>
    </row>
    <row r="22" spans="1:4" ht="17.399999999999999" x14ac:dyDescent="0.3">
      <c r="A22" s="43" t="s">
        <v>21</v>
      </c>
      <c r="B22" s="44"/>
    </row>
    <row r="23" spans="1:4" ht="15.6" x14ac:dyDescent="0.3">
      <c r="A23" s="52" t="s">
        <v>110</v>
      </c>
      <c r="B23" s="53"/>
    </row>
    <row r="24" spans="1:4" ht="14.4" x14ac:dyDescent="0.3">
      <c r="A24" s="55"/>
      <c r="B24" s="56" t="s">
        <v>80</v>
      </c>
    </row>
    <row r="25" spans="1:4" ht="13.8" x14ac:dyDescent="0.25">
      <c r="A25" s="57" t="s">
        <v>0</v>
      </c>
      <c r="B25" s="57" t="s">
        <v>81</v>
      </c>
      <c r="C25" s="57" t="s">
        <v>82</v>
      </c>
      <c r="D25" s="57" t="s">
        <v>24</v>
      </c>
    </row>
    <row r="26" spans="1:4" x14ac:dyDescent="0.25">
      <c r="A26" s="54" t="s">
        <v>665</v>
      </c>
      <c r="B26" s="5" t="s">
        <v>80</v>
      </c>
      <c r="C26" s="5" t="s">
        <v>678</v>
      </c>
      <c r="D26" s="58" t="s">
        <v>679</v>
      </c>
    </row>
    <row r="27" spans="1:4" x14ac:dyDescent="0.25">
      <c r="A27" s="54" t="s">
        <v>419</v>
      </c>
      <c r="B27" s="5" t="s">
        <v>80</v>
      </c>
      <c r="C27" s="5" t="s">
        <v>225</v>
      </c>
      <c r="D27" s="58" t="s">
        <v>680</v>
      </c>
    </row>
    <row r="29" spans="1:4" ht="14.4" x14ac:dyDescent="0.3">
      <c r="A29" s="55"/>
      <c r="B29" s="56" t="s">
        <v>681</v>
      </c>
    </row>
    <row r="30" spans="1:4" ht="13.8" x14ac:dyDescent="0.25">
      <c r="A30" s="57" t="s">
        <v>0</v>
      </c>
      <c r="B30" s="57" t="s">
        <v>81</v>
      </c>
      <c r="C30" s="57" t="s">
        <v>82</v>
      </c>
      <c r="D30" s="57" t="s">
        <v>24</v>
      </c>
    </row>
    <row r="31" spans="1:4" x14ac:dyDescent="0.25">
      <c r="A31" s="54" t="s">
        <v>585</v>
      </c>
      <c r="B31" s="5" t="s">
        <v>682</v>
      </c>
      <c r="C31" s="5" t="s">
        <v>111</v>
      </c>
      <c r="D31" s="58" t="s">
        <v>683</v>
      </c>
    </row>
  </sheetData>
  <mergeCells count="14">
    <mergeCell ref="R3:R4"/>
    <mergeCell ref="S3:S4"/>
    <mergeCell ref="A5:R5"/>
    <mergeCell ref="A8:R8"/>
    <mergeCell ref="A11:R11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1" width="5.77734375" style="4" bestFit="1" customWidth="1"/>
    <col min="12" max="12" width="4.1093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661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5">
      <c r="A5" s="4"/>
      <c r="E5" s="4"/>
      <c r="F5" s="4"/>
      <c r="K5" s="4"/>
      <c r="M5" s="4"/>
    </row>
    <row r="6" spans="1:13" s="5" customFormat="1" ht="15" x14ac:dyDescent="0.25">
      <c r="A6" s="4"/>
      <c r="E6" s="34" t="s">
        <v>15</v>
      </c>
      <c r="F6" s="4"/>
      <c r="K6" s="4"/>
      <c r="M6" s="4"/>
    </row>
    <row r="7" spans="1:13" s="5" customFormat="1" ht="15" x14ac:dyDescent="0.25">
      <c r="A7" s="4"/>
      <c r="E7" s="34" t="s">
        <v>16</v>
      </c>
      <c r="F7" s="4"/>
      <c r="K7" s="4"/>
      <c r="M7" s="4"/>
    </row>
    <row r="8" spans="1:13" ht="15" x14ac:dyDescent="0.25">
      <c r="E8" s="34" t="s">
        <v>17</v>
      </c>
    </row>
    <row r="9" spans="1:13" x14ac:dyDescent="0.25">
      <c r="E9" s="4" t="s">
        <v>18</v>
      </c>
    </row>
    <row r="10" spans="1:13" x14ac:dyDescent="0.25">
      <c r="E10" s="4" t="s">
        <v>19</v>
      </c>
    </row>
    <row r="11" spans="1:13" x14ac:dyDescent="0.25">
      <c r="E11" s="4" t="s">
        <v>20</v>
      </c>
    </row>
    <row r="14" spans="1:13" ht="17.399999999999999" x14ac:dyDescent="0.3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6.218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29.33203125" style="4" bestFit="1" customWidth="1"/>
    <col min="7" max="9" width="4.5546875" style="5" bestFit="1" customWidth="1"/>
    <col min="10" max="10" width="4.77734375" style="5" bestFit="1" customWidth="1"/>
    <col min="11" max="11" width="5.77734375" style="4" bestFit="1" customWidth="1"/>
    <col min="12" max="12" width="7.55468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656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657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.6" x14ac:dyDescent="0.3">
      <c r="A5" s="45" t="s">
        <v>66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5">
      <c r="A6" s="46" t="s">
        <v>388</v>
      </c>
      <c r="B6" s="47" t="s">
        <v>389</v>
      </c>
      <c r="C6" s="47" t="s">
        <v>390</v>
      </c>
      <c r="D6" s="47" t="str">
        <f>"0,7157"</f>
        <v>0,7157</v>
      </c>
      <c r="E6" s="46" t="s">
        <v>30</v>
      </c>
      <c r="F6" s="46" t="s">
        <v>391</v>
      </c>
      <c r="G6" s="47" t="s">
        <v>357</v>
      </c>
      <c r="H6" s="47" t="s">
        <v>268</v>
      </c>
      <c r="I6" s="48" t="s">
        <v>269</v>
      </c>
      <c r="J6" s="48"/>
      <c r="K6" s="46" t="str">
        <f>"57,5"</f>
        <v>57,5</v>
      </c>
      <c r="L6" s="47" t="str">
        <f>"41,1499"</f>
        <v>41,1499</v>
      </c>
      <c r="M6" s="46"/>
    </row>
    <row r="7" spans="1:13" s="5" customFormat="1" x14ac:dyDescent="0.25">
      <c r="A7" s="4"/>
      <c r="E7" s="4"/>
      <c r="F7" s="4"/>
      <c r="K7" s="4"/>
      <c r="M7" s="4"/>
    </row>
    <row r="8" spans="1:13" ht="15.6" x14ac:dyDescent="0.3">
      <c r="A8" s="50" t="s">
        <v>165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5">
      <c r="A9" s="46" t="s">
        <v>415</v>
      </c>
      <c r="B9" s="47" t="s">
        <v>416</v>
      </c>
      <c r="C9" s="47" t="s">
        <v>417</v>
      </c>
      <c r="D9" s="47" t="str">
        <f>"0,6161"</f>
        <v>0,6161</v>
      </c>
      <c r="E9" s="46" t="s">
        <v>30</v>
      </c>
      <c r="F9" s="46" t="s">
        <v>104</v>
      </c>
      <c r="G9" s="47" t="s">
        <v>333</v>
      </c>
      <c r="H9" s="47" t="s">
        <v>49</v>
      </c>
      <c r="I9" s="47" t="s">
        <v>50</v>
      </c>
      <c r="J9" s="48"/>
      <c r="K9" s="46" t="str">
        <f>"75,0"</f>
        <v>75,0</v>
      </c>
      <c r="L9" s="47" t="str">
        <f>"46,2038"</f>
        <v>46,2038</v>
      </c>
      <c r="M9" s="46"/>
    </row>
    <row r="11" spans="1:13" ht="15.6" x14ac:dyDescent="0.3">
      <c r="A11" s="50" t="s">
        <v>170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3" x14ac:dyDescent="0.25">
      <c r="A12" s="46" t="s">
        <v>437</v>
      </c>
      <c r="B12" s="47" t="s">
        <v>438</v>
      </c>
      <c r="C12" s="47" t="s">
        <v>439</v>
      </c>
      <c r="D12" s="47" t="str">
        <f>"0,5843"</f>
        <v>0,5843</v>
      </c>
      <c r="E12" s="46" t="s">
        <v>30</v>
      </c>
      <c r="F12" s="46" t="s">
        <v>391</v>
      </c>
      <c r="G12" s="47" t="s">
        <v>269</v>
      </c>
      <c r="H12" s="47" t="s">
        <v>49</v>
      </c>
      <c r="I12" s="48" t="s">
        <v>123</v>
      </c>
      <c r="J12" s="48"/>
      <c r="K12" s="46" t="str">
        <f>"70,0"</f>
        <v>70,0</v>
      </c>
      <c r="L12" s="47" t="str">
        <f>"40,9010"</f>
        <v>40,9010</v>
      </c>
      <c r="M12" s="46"/>
    </row>
    <row r="14" spans="1:13" ht="15" x14ac:dyDescent="0.25">
      <c r="E14" s="34" t="s">
        <v>15</v>
      </c>
    </row>
    <row r="15" spans="1:13" ht="15" x14ac:dyDescent="0.25">
      <c r="E15" s="34" t="s">
        <v>16</v>
      </c>
    </row>
    <row r="16" spans="1:13" ht="15" x14ac:dyDescent="0.25">
      <c r="E16" s="34" t="s">
        <v>17</v>
      </c>
    </row>
    <row r="17" spans="1:5" x14ac:dyDescent="0.25">
      <c r="E17" s="4" t="s">
        <v>18</v>
      </c>
    </row>
    <row r="18" spans="1:5" x14ac:dyDescent="0.25">
      <c r="E18" s="4" t="s">
        <v>19</v>
      </c>
    </row>
    <row r="19" spans="1:5" x14ac:dyDescent="0.25">
      <c r="E19" s="4" t="s">
        <v>20</v>
      </c>
    </row>
    <row r="22" spans="1:5" ht="17.399999999999999" x14ac:dyDescent="0.3">
      <c r="A22" s="43" t="s">
        <v>21</v>
      </c>
      <c r="B22" s="44"/>
    </row>
    <row r="23" spans="1:5" ht="15.6" x14ac:dyDescent="0.3">
      <c r="A23" s="52" t="s">
        <v>110</v>
      </c>
      <c r="B23" s="53"/>
    </row>
    <row r="24" spans="1:5" ht="14.4" x14ac:dyDescent="0.3">
      <c r="A24" s="55"/>
      <c r="B24" s="56" t="s">
        <v>507</v>
      </c>
    </row>
    <row r="25" spans="1:5" ht="13.8" x14ac:dyDescent="0.25">
      <c r="A25" s="57" t="s">
        <v>0</v>
      </c>
      <c r="B25" s="57" t="s">
        <v>81</v>
      </c>
      <c r="C25" s="57" t="s">
        <v>82</v>
      </c>
      <c r="D25" s="57" t="s">
        <v>83</v>
      </c>
      <c r="E25" s="57" t="s">
        <v>24</v>
      </c>
    </row>
    <row r="26" spans="1:5" x14ac:dyDescent="0.25">
      <c r="A26" s="54" t="s">
        <v>387</v>
      </c>
      <c r="B26" s="5" t="s">
        <v>508</v>
      </c>
      <c r="C26" s="5" t="s">
        <v>87</v>
      </c>
      <c r="D26" s="5" t="s">
        <v>268</v>
      </c>
      <c r="E26" s="58" t="s">
        <v>658</v>
      </c>
    </row>
    <row r="27" spans="1:5" x14ac:dyDescent="0.25">
      <c r="A27" s="54" t="s">
        <v>436</v>
      </c>
      <c r="B27" s="5" t="s">
        <v>508</v>
      </c>
      <c r="C27" s="5" t="s">
        <v>216</v>
      </c>
      <c r="D27" s="5" t="s">
        <v>49</v>
      </c>
      <c r="E27" s="58" t="s">
        <v>659</v>
      </c>
    </row>
    <row r="29" spans="1:5" ht="14.4" x14ac:dyDescent="0.3">
      <c r="A29" s="55"/>
      <c r="B29" s="56" t="s">
        <v>80</v>
      </c>
    </row>
    <row r="30" spans="1:5" ht="13.8" x14ac:dyDescent="0.25">
      <c r="A30" s="57" t="s">
        <v>0</v>
      </c>
      <c r="B30" s="57" t="s">
        <v>81</v>
      </c>
      <c r="C30" s="57" t="s">
        <v>82</v>
      </c>
      <c r="D30" s="57" t="s">
        <v>83</v>
      </c>
      <c r="E30" s="57" t="s">
        <v>24</v>
      </c>
    </row>
    <row r="31" spans="1:5" x14ac:dyDescent="0.25">
      <c r="A31" s="54" t="s">
        <v>414</v>
      </c>
      <c r="B31" s="5" t="s">
        <v>80</v>
      </c>
      <c r="C31" s="5" t="s">
        <v>225</v>
      </c>
      <c r="D31" s="5" t="s">
        <v>50</v>
      </c>
      <c r="E31" s="58" t="s">
        <v>660</v>
      </c>
    </row>
  </sheetData>
  <mergeCells count="14"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9.1093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19.33203125" style="4" bestFit="1" customWidth="1"/>
    <col min="7" max="9" width="5.5546875" style="5" bestFit="1" customWidth="1"/>
    <col min="10" max="10" width="4.77734375" style="5" bestFit="1" customWidth="1"/>
    <col min="11" max="11" width="5.77734375" style="4" bestFit="1" customWidth="1"/>
    <col min="12" max="12" width="8.55468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649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.6" x14ac:dyDescent="0.3">
      <c r="A5" s="45" t="s">
        <v>66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5">
      <c r="A6" s="46" t="s">
        <v>651</v>
      </c>
      <c r="B6" s="47" t="s">
        <v>652</v>
      </c>
      <c r="C6" s="47" t="s">
        <v>653</v>
      </c>
      <c r="D6" s="47" t="str">
        <f>"0,8572"</f>
        <v>0,8572</v>
      </c>
      <c r="E6" s="46" t="s">
        <v>30</v>
      </c>
      <c r="F6" s="46" t="s">
        <v>265</v>
      </c>
      <c r="G6" s="47" t="s">
        <v>181</v>
      </c>
      <c r="H6" s="47" t="s">
        <v>292</v>
      </c>
      <c r="I6" s="48" t="s">
        <v>654</v>
      </c>
      <c r="J6" s="48"/>
      <c r="K6" s="46" t="str">
        <f>"195,0"</f>
        <v>195,0</v>
      </c>
      <c r="L6" s="47" t="str">
        <f>"167,1443"</f>
        <v>167,1443</v>
      </c>
      <c r="M6" s="46"/>
    </row>
    <row r="7" spans="1:13" s="5" customFormat="1" x14ac:dyDescent="0.25">
      <c r="A7" s="4"/>
      <c r="E7" s="4"/>
      <c r="F7" s="4"/>
      <c r="K7" s="4"/>
      <c r="M7" s="4"/>
    </row>
    <row r="8" spans="1:13" ht="15" x14ac:dyDescent="0.25">
      <c r="E8" s="34" t="s">
        <v>15</v>
      </c>
    </row>
    <row r="9" spans="1:13" ht="15" x14ac:dyDescent="0.25">
      <c r="E9" s="34" t="s">
        <v>16</v>
      </c>
    </row>
    <row r="10" spans="1:13" ht="15" x14ac:dyDescent="0.25">
      <c r="E10" s="34" t="s">
        <v>17</v>
      </c>
    </row>
    <row r="11" spans="1:13" x14ac:dyDescent="0.25">
      <c r="E11" s="4" t="s">
        <v>18</v>
      </c>
    </row>
    <row r="12" spans="1:13" x14ac:dyDescent="0.25">
      <c r="E12" s="4" t="s">
        <v>19</v>
      </c>
    </row>
    <row r="13" spans="1:13" x14ac:dyDescent="0.25">
      <c r="E13" s="4" t="s">
        <v>20</v>
      </c>
    </row>
    <row r="16" spans="1:13" ht="17.399999999999999" x14ac:dyDescent="0.3">
      <c r="A16" s="43" t="s">
        <v>21</v>
      </c>
      <c r="B16" s="44"/>
    </row>
    <row r="17" spans="1:5" ht="15.6" x14ac:dyDescent="0.3">
      <c r="A17" s="52" t="s">
        <v>79</v>
      </c>
      <c r="B17" s="53"/>
    </row>
    <row r="18" spans="1:5" ht="14.4" x14ac:dyDescent="0.3">
      <c r="A18" s="55"/>
      <c r="B18" s="56" t="s">
        <v>80</v>
      </c>
    </row>
    <row r="19" spans="1:5" ht="13.8" x14ac:dyDescent="0.25">
      <c r="A19" s="57" t="s">
        <v>0</v>
      </c>
      <c r="B19" s="57" t="s">
        <v>81</v>
      </c>
      <c r="C19" s="57" t="s">
        <v>82</v>
      </c>
      <c r="D19" s="57" t="s">
        <v>83</v>
      </c>
      <c r="E19" s="57" t="s">
        <v>24</v>
      </c>
    </row>
    <row r="20" spans="1:5" x14ac:dyDescent="0.25">
      <c r="A20" s="54" t="s">
        <v>650</v>
      </c>
      <c r="B20" s="5" t="s">
        <v>80</v>
      </c>
      <c r="C20" s="5" t="s">
        <v>87</v>
      </c>
      <c r="D20" s="5" t="s">
        <v>292</v>
      </c>
      <c r="E20" s="58" t="s">
        <v>655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9.1093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23.88671875" style="4" bestFit="1" customWidth="1"/>
    <col min="7" max="9" width="5.5546875" style="5" bestFit="1" customWidth="1"/>
    <col min="10" max="10" width="4.77734375" style="5" bestFit="1" customWidth="1"/>
    <col min="11" max="11" width="5.77734375" style="4" bestFit="1" customWidth="1"/>
    <col min="12" max="12" width="8.55468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643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.6" x14ac:dyDescent="0.3">
      <c r="A5" s="45" t="s">
        <v>54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5">
      <c r="A6" s="46" t="s">
        <v>645</v>
      </c>
      <c r="B6" s="47" t="s">
        <v>646</v>
      </c>
      <c r="C6" s="47" t="s">
        <v>58</v>
      </c>
      <c r="D6" s="47" t="str">
        <f>"1,0051"</f>
        <v>1,0051</v>
      </c>
      <c r="E6" s="46" t="s">
        <v>30</v>
      </c>
      <c r="F6" s="46" t="s">
        <v>647</v>
      </c>
      <c r="G6" s="47" t="s">
        <v>75</v>
      </c>
      <c r="H6" s="48" t="s">
        <v>40</v>
      </c>
      <c r="I6" s="48" t="s">
        <v>40</v>
      </c>
      <c r="J6" s="48"/>
      <c r="K6" s="46" t="str">
        <f>"115,0"</f>
        <v>115,0</v>
      </c>
      <c r="L6" s="47" t="str">
        <f>"115,5865"</f>
        <v>115,5865</v>
      </c>
      <c r="M6" s="46"/>
    </row>
    <row r="7" spans="1:13" s="5" customFormat="1" x14ac:dyDescent="0.25">
      <c r="A7" s="4"/>
      <c r="E7" s="4"/>
      <c r="F7" s="4"/>
      <c r="K7" s="4"/>
      <c r="M7" s="4"/>
    </row>
    <row r="8" spans="1:13" ht="15" x14ac:dyDescent="0.25">
      <c r="E8" s="34" t="s">
        <v>15</v>
      </c>
    </row>
    <row r="9" spans="1:13" ht="15" x14ac:dyDescent="0.25">
      <c r="E9" s="34" t="s">
        <v>16</v>
      </c>
    </row>
    <row r="10" spans="1:13" ht="15" x14ac:dyDescent="0.25">
      <c r="E10" s="34" t="s">
        <v>17</v>
      </c>
    </row>
    <row r="11" spans="1:13" x14ac:dyDescent="0.25">
      <c r="E11" s="4" t="s">
        <v>18</v>
      </c>
    </row>
    <row r="12" spans="1:13" x14ac:dyDescent="0.25">
      <c r="E12" s="4" t="s">
        <v>19</v>
      </c>
    </row>
    <row r="13" spans="1:13" x14ac:dyDescent="0.25">
      <c r="E13" s="4" t="s">
        <v>20</v>
      </c>
    </row>
    <row r="16" spans="1:13" ht="17.399999999999999" x14ac:dyDescent="0.3">
      <c r="A16" s="43" t="s">
        <v>21</v>
      </c>
      <c r="B16" s="44"/>
    </row>
    <row r="17" spans="1:5" ht="15.6" x14ac:dyDescent="0.3">
      <c r="A17" s="52" t="s">
        <v>79</v>
      </c>
      <c r="B17" s="53"/>
    </row>
    <row r="18" spans="1:5" ht="14.4" x14ac:dyDescent="0.3">
      <c r="A18" s="55"/>
      <c r="B18" s="56" t="s">
        <v>80</v>
      </c>
    </row>
    <row r="19" spans="1:5" ht="13.8" x14ac:dyDescent="0.25">
      <c r="A19" s="57" t="s">
        <v>0</v>
      </c>
      <c r="B19" s="57" t="s">
        <v>81</v>
      </c>
      <c r="C19" s="57" t="s">
        <v>82</v>
      </c>
      <c r="D19" s="57" t="s">
        <v>83</v>
      </c>
      <c r="E19" s="57" t="s">
        <v>24</v>
      </c>
    </row>
    <row r="20" spans="1:5" x14ac:dyDescent="0.25">
      <c r="A20" s="54" t="s">
        <v>644</v>
      </c>
      <c r="B20" s="5" t="s">
        <v>80</v>
      </c>
      <c r="C20" s="5" t="s">
        <v>95</v>
      </c>
      <c r="D20" s="5" t="s">
        <v>75</v>
      </c>
      <c r="E20" s="58" t="s">
        <v>648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6.55468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28.44140625" style="4" bestFit="1" customWidth="1"/>
    <col min="7" max="9" width="5.5546875" style="5" bestFit="1" customWidth="1"/>
    <col min="10" max="10" width="4.77734375" style="5" bestFit="1" customWidth="1"/>
    <col min="11" max="11" width="5.77734375" style="4" bestFit="1" customWidth="1"/>
    <col min="12" max="12" width="8.55468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596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.6" x14ac:dyDescent="0.3">
      <c r="A5" s="45" t="s">
        <v>358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5">
      <c r="A6" s="46" t="s">
        <v>598</v>
      </c>
      <c r="B6" s="47" t="s">
        <v>599</v>
      </c>
      <c r="C6" s="47" t="s">
        <v>600</v>
      </c>
      <c r="D6" s="47" t="str">
        <f>"1,1495"</f>
        <v>1,1495</v>
      </c>
      <c r="E6" s="46" t="s">
        <v>30</v>
      </c>
      <c r="F6" s="46" t="s">
        <v>265</v>
      </c>
      <c r="G6" s="47" t="s">
        <v>601</v>
      </c>
      <c r="H6" s="47" t="s">
        <v>47</v>
      </c>
      <c r="I6" s="47" t="s">
        <v>48</v>
      </c>
      <c r="J6" s="48"/>
      <c r="K6" s="46" t="str">
        <f>"137,5"</f>
        <v>137,5</v>
      </c>
      <c r="L6" s="47" t="str">
        <f>"158,0563"</f>
        <v>158,0563</v>
      </c>
      <c r="M6" s="46"/>
    </row>
    <row r="7" spans="1:13" s="5" customFormat="1" x14ac:dyDescent="0.25">
      <c r="A7" s="4"/>
      <c r="E7" s="4"/>
      <c r="F7" s="4"/>
      <c r="K7" s="4"/>
      <c r="M7" s="4"/>
    </row>
    <row r="8" spans="1:13" ht="15.6" x14ac:dyDescent="0.3">
      <c r="A8" s="50" t="s">
        <v>54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5">
      <c r="A9" s="46" t="s">
        <v>262</v>
      </c>
      <c r="B9" s="47" t="s">
        <v>263</v>
      </c>
      <c r="C9" s="47" t="s">
        <v>264</v>
      </c>
      <c r="D9" s="47" t="str">
        <f>"1,0024"</f>
        <v>1,0024</v>
      </c>
      <c r="E9" s="46" t="s">
        <v>30</v>
      </c>
      <c r="F9" s="46" t="s">
        <v>265</v>
      </c>
      <c r="G9" s="47" t="s">
        <v>75</v>
      </c>
      <c r="H9" s="48"/>
      <c r="I9" s="48"/>
      <c r="J9" s="48"/>
      <c r="K9" s="46" t="str">
        <f>"115,0"</f>
        <v>115,0</v>
      </c>
      <c r="L9" s="47" t="str">
        <f>"115,2760"</f>
        <v>115,2760</v>
      </c>
      <c r="M9" s="46"/>
    </row>
    <row r="11" spans="1:13" ht="15.6" x14ac:dyDescent="0.3">
      <c r="A11" s="50" t="s">
        <v>117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3" x14ac:dyDescent="0.25">
      <c r="A12" s="46" t="s">
        <v>272</v>
      </c>
      <c r="B12" s="47" t="s">
        <v>273</v>
      </c>
      <c r="C12" s="47" t="s">
        <v>274</v>
      </c>
      <c r="D12" s="47" t="str">
        <f>"0,9123"</f>
        <v>0,9123</v>
      </c>
      <c r="E12" s="46" t="s">
        <v>30</v>
      </c>
      <c r="F12" s="46" t="s">
        <v>265</v>
      </c>
      <c r="G12" s="47" t="s">
        <v>276</v>
      </c>
      <c r="H12" s="48"/>
      <c r="I12" s="48"/>
      <c r="J12" s="48"/>
      <c r="K12" s="46" t="str">
        <f>"117,5"</f>
        <v>117,5</v>
      </c>
      <c r="L12" s="47" t="str">
        <f>"107,2011"</f>
        <v>107,2011</v>
      </c>
      <c r="M12" s="46"/>
    </row>
    <row r="14" spans="1:13" ht="15.6" x14ac:dyDescent="0.3">
      <c r="A14" s="50" t="s">
        <v>117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3" x14ac:dyDescent="0.25">
      <c r="A15" s="46" t="s">
        <v>603</v>
      </c>
      <c r="B15" s="47" t="s">
        <v>604</v>
      </c>
      <c r="C15" s="47" t="s">
        <v>605</v>
      </c>
      <c r="D15" s="47" t="str">
        <f>"0,7829"</f>
        <v>0,7829</v>
      </c>
      <c r="E15" s="46" t="s">
        <v>30</v>
      </c>
      <c r="F15" s="46" t="s">
        <v>244</v>
      </c>
      <c r="G15" s="47" t="s">
        <v>123</v>
      </c>
      <c r="H15" s="47" t="s">
        <v>34</v>
      </c>
      <c r="I15" s="47" t="s">
        <v>74</v>
      </c>
      <c r="J15" s="48"/>
      <c r="K15" s="46" t="str">
        <f>"110,0"</f>
        <v>110,0</v>
      </c>
      <c r="L15" s="47" t="str">
        <f>"86,1245"</f>
        <v>86,1245</v>
      </c>
      <c r="M15" s="46"/>
    </row>
    <row r="17" spans="1:13" ht="15.6" x14ac:dyDescent="0.3">
      <c r="A17" s="50" t="s">
        <v>150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3" x14ac:dyDescent="0.25">
      <c r="A18" s="46" t="s">
        <v>607</v>
      </c>
      <c r="B18" s="47" t="s">
        <v>608</v>
      </c>
      <c r="C18" s="47" t="s">
        <v>609</v>
      </c>
      <c r="D18" s="47" t="str">
        <f>"0,6595"</f>
        <v>0,6595</v>
      </c>
      <c r="E18" s="46" t="s">
        <v>30</v>
      </c>
      <c r="F18" s="46" t="s">
        <v>104</v>
      </c>
      <c r="G18" s="47" t="s">
        <v>136</v>
      </c>
      <c r="H18" s="48" t="s">
        <v>400</v>
      </c>
      <c r="I18" s="47" t="s">
        <v>400</v>
      </c>
      <c r="J18" s="48"/>
      <c r="K18" s="46" t="str">
        <f>"127,5"</f>
        <v>127,5</v>
      </c>
      <c r="L18" s="47" t="str">
        <f>"84,0863"</f>
        <v>84,0863</v>
      </c>
      <c r="M18" s="46"/>
    </row>
    <row r="20" spans="1:13" ht="15.6" x14ac:dyDescent="0.3">
      <c r="A20" s="50" t="s">
        <v>165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3" x14ac:dyDescent="0.25">
      <c r="A21" s="46" t="s">
        <v>611</v>
      </c>
      <c r="B21" s="47" t="s">
        <v>612</v>
      </c>
      <c r="C21" s="47" t="s">
        <v>613</v>
      </c>
      <c r="D21" s="47" t="str">
        <f>"0,6122"</f>
        <v>0,6122</v>
      </c>
      <c r="E21" s="46" t="s">
        <v>30</v>
      </c>
      <c r="F21" s="46" t="s">
        <v>244</v>
      </c>
      <c r="G21" s="47" t="s">
        <v>105</v>
      </c>
      <c r="H21" s="47" t="s">
        <v>614</v>
      </c>
      <c r="I21" s="47" t="s">
        <v>615</v>
      </c>
      <c r="J21" s="48"/>
      <c r="K21" s="46" t="str">
        <f>"235,0"</f>
        <v>235,0</v>
      </c>
      <c r="L21" s="47" t="str">
        <f>"143,8787"</f>
        <v>143,8787</v>
      </c>
      <c r="M21" s="46"/>
    </row>
    <row r="23" spans="1:13" ht="15.6" x14ac:dyDescent="0.3">
      <c r="A23" s="50" t="s">
        <v>170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3" x14ac:dyDescent="0.25">
      <c r="A24" s="59" t="s">
        <v>617</v>
      </c>
      <c r="B24" s="60" t="s">
        <v>618</v>
      </c>
      <c r="C24" s="60" t="s">
        <v>619</v>
      </c>
      <c r="D24" s="60" t="str">
        <f>"0,6050"</f>
        <v>0,6050</v>
      </c>
      <c r="E24" s="59" t="s">
        <v>30</v>
      </c>
      <c r="F24" s="59" t="s">
        <v>104</v>
      </c>
      <c r="G24" s="60" t="s">
        <v>308</v>
      </c>
      <c r="H24" s="60" t="s">
        <v>620</v>
      </c>
      <c r="I24" s="61" t="s">
        <v>621</v>
      </c>
      <c r="J24" s="61"/>
      <c r="K24" s="59" t="str">
        <f>"245,0"</f>
        <v>245,0</v>
      </c>
      <c r="L24" s="60" t="str">
        <f>"148,2250"</f>
        <v>148,2250</v>
      </c>
      <c r="M24" s="59"/>
    </row>
    <row r="25" spans="1:13" x14ac:dyDescent="0.25">
      <c r="A25" s="62" t="s">
        <v>623</v>
      </c>
      <c r="B25" s="63" t="s">
        <v>624</v>
      </c>
      <c r="C25" s="63" t="s">
        <v>625</v>
      </c>
      <c r="D25" s="63" t="str">
        <f>"0,5838"</f>
        <v>0,5838</v>
      </c>
      <c r="E25" s="62" t="s">
        <v>30</v>
      </c>
      <c r="F25" s="62" t="s">
        <v>626</v>
      </c>
      <c r="G25" s="63" t="s">
        <v>615</v>
      </c>
      <c r="H25" s="63" t="s">
        <v>620</v>
      </c>
      <c r="I25" s="64" t="s">
        <v>91</v>
      </c>
      <c r="J25" s="64"/>
      <c r="K25" s="62" t="str">
        <f>"245,0"</f>
        <v>245,0</v>
      </c>
      <c r="L25" s="63" t="str">
        <f>"147,4650"</f>
        <v>147,4650</v>
      </c>
      <c r="M25" s="62"/>
    </row>
    <row r="27" spans="1:13" ht="15.6" x14ac:dyDescent="0.3">
      <c r="A27" s="50" t="s">
        <v>182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3" x14ac:dyDescent="0.25">
      <c r="A28" s="59" t="s">
        <v>628</v>
      </c>
      <c r="B28" s="60" t="s">
        <v>629</v>
      </c>
      <c r="C28" s="60" t="s">
        <v>479</v>
      </c>
      <c r="D28" s="60" t="str">
        <f>"0,5631"</f>
        <v>0,5631</v>
      </c>
      <c r="E28" s="59" t="s">
        <v>30</v>
      </c>
      <c r="F28" s="59" t="s">
        <v>630</v>
      </c>
      <c r="G28" s="60" t="s">
        <v>109</v>
      </c>
      <c r="H28" s="61" t="s">
        <v>631</v>
      </c>
      <c r="I28" s="61" t="s">
        <v>631</v>
      </c>
      <c r="J28" s="61"/>
      <c r="K28" s="59" t="str">
        <f>"265,0"</f>
        <v>265,0</v>
      </c>
      <c r="L28" s="60" t="str">
        <f>"161,4577"</f>
        <v>161,4577</v>
      </c>
      <c r="M28" s="59"/>
    </row>
    <row r="29" spans="1:13" x14ac:dyDescent="0.25">
      <c r="A29" s="62" t="s">
        <v>632</v>
      </c>
      <c r="B29" s="63" t="s">
        <v>474</v>
      </c>
      <c r="C29" s="63" t="s">
        <v>475</v>
      </c>
      <c r="D29" s="63" t="str">
        <f>"0,5694"</f>
        <v>0,5694</v>
      </c>
      <c r="E29" s="62" t="s">
        <v>30</v>
      </c>
      <c r="F29" s="62" t="s">
        <v>104</v>
      </c>
      <c r="G29" s="64" t="s">
        <v>181</v>
      </c>
      <c r="H29" s="63" t="s">
        <v>181</v>
      </c>
      <c r="I29" s="63" t="s">
        <v>293</v>
      </c>
      <c r="J29" s="64"/>
      <c r="K29" s="62" t="str">
        <f>"190,0"</f>
        <v>190,0</v>
      </c>
      <c r="L29" s="63" t="str">
        <f>"114,1362"</f>
        <v>114,1362</v>
      </c>
      <c r="M29" s="62"/>
    </row>
    <row r="31" spans="1:13" ht="15" x14ac:dyDescent="0.25">
      <c r="E31" s="34" t="s">
        <v>15</v>
      </c>
    </row>
    <row r="32" spans="1:13" ht="15" x14ac:dyDescent="0.25">
      <c r="E32" s="34" t="s">
        <v>16</v>
      </c>
    </row>
    <row r="33" spans="1:5" ht="15" x14ac:dyDescent="0.25">
      <c r="E33" s="34" t="s">
        <v>17</v>
      </c>
    </row>
    <row r="34" spans="1:5" x14ac:dyDescent="0.25">
      <c r="E34" s="4" t="s">
        <v>18</v>
      </c>
    </row>
    <row r="35" spans="1:5" x14ac:dyDescent="0.25">
      <c r="E35" s="4" t="s">
        <v>19</v>
      </c>
    </row>
    <row r="36" spans="1:5" x14ac:dyDescent="0.25">
      <c r="E36" s="4" t="s">
        <v>20</v>
      </c>
    </row>
    <row r="39" spans="1:5" ht="17.399999999999999" x14ac:dyDescent="0.3">
      <c r="A39" s="43" t="s">
        <v>21</v>
      </c>
      <c r="B39" s="44"/>
    </row>
    <row r="40" spans="1:5" ht="15.6" x14ac:dyDescent="0.3">
      <c r="A40" s="52" t="s">
        <v>79</v>
      </c>
      <c r="B40" s="53"/>
    </row>
    <row r="41" spans="1:5" ht="14.4" x14ac:dyDescent="0.3">
      <c r="A41" s="55"/>
      <c r="B41" s="56" t="s">
        <v>80</v>
      </c>
    </row>
    <row r="42" spans="1:5" ht="13.8" x14ac:dyDescent="0.25">
      <c r="A42" s="57" t="s">
        <v>0</v>
      </c>
      <c r="B42" s="57" t="s">
        <v>81</v>
      </c>
      <c r="C42" s="57" t="s">
        <v>82</v>
      </c>
      <c r="D42" s="57" t="s">
        <v>83</v>
      </c>
      <c r="E42" s="57" t="s">
        <v>24</v>
      </c>
    </row>
    <row r="43" spans="1:5" x14ac:dyDescent="0.25">
      <c r="A43" s="54" t="s">
        <v>597</v>
      </c>
      <c r="B43" s="5" t="s">
        <v>80</v>
      </c>
      <c r="C43" s="5" t="s">
        <v>519</v>
      </c>
      <c r="D43" s="5" t="s">
        <v>48</v>
      </c>
      <c r="E43" s="58" t="s">
        <v>633</v>
      </c>
    </row>
    <row r="44" spans="1:5" x14ac:dyDescent="0.25">
      <c r="A44" s="54" t="s">
        <v>261</v>
      </c>
      <c r="B44" s="5" t="s">
        <v>80</v>
      </c>
      <c r="C44" s="5" t="s">
        <v>95</v>
      </c>
      <c r="D44" s="5" t="s">
        <v>75</v>
      </c>
      <c r="E44" s="58" t="s">
        <v>634</v>
      </c>
    </row>
    <row r="46" spans="1:5" ht="14.4" x14ac:dyDescent="0.3">
      <c r="A46" s="55"/>
      <c r="B46" s="56" t="s">
        <v>93</v>
      </c>
    </row>
    <row r="47" spans="1:5" ht="13.8" x14ac:dyDescent="0.25">
      <c r="A47" s="57" t="s">
        <v>0</v>
      </c>
      <c r="B47" s="57" t="s">
        <v>81</v>
      </c>
      <c r="C47" s="57" t="s">
        <v>82</v>
      </c>
      <c r="D47" s="57" t="s">
        <v>83</v>
      </c>
      <c r="E47" s="57" t="s">
        <v>24</v>
      </c>
    </row>
    <row r="48" spans="1:5" x14ac:dyDescent="0.25">
      <c r="A48" s="54" t="s">
        <v>271</v>
      </c>
      <c r="B48" s="5" t="s">
        <v>94</v>
      </c>
      <c r="C48" s="5" t="s">
        <v>205</v>
      </c>
      <c r="D48" s="5" t="s">
        <v>276</v>
      </c>
      <c r="E48" s="58" t="s">
        <v>635</v>
      </c>
    </row>
    <row r="51" spans="1:5" ht="15.6" x14ac:dyDescent="0.3">
      <c r="A51" s="52" t="s">
        <v>110</v>
      </c>
      <c r="B51" s="53"/>
    </row>
    <row r="52" spans="1:5" ht="14.4" x14ac:dyDescent="0.3">
      <c r="A52" s="55"/>
      <c r="B52" s="56" t="s">
        <v>211</v>
      </c>
    </row>
    <row r="53" spans="1:5" ht="13.8" x14ac:dyDescent="0.25">
      <c r="A53" s="57" t="s">
        <v>0</v>
      </c>
      <c r="B53" s="57" t="s">
        <v>81</v>
      </c>
      <c r="C53" s="57" t="s">
        <v>82</v>
      </c>
      <c r="D53" s="57" t="s">
        <v>83</v>
      </c>
      <c r="E53" s="57" t="s">
        <v>24</v>
      </c>
    </row>
    <row r="54" spans="1:5" x14ac:dyDescent="0.25">
      <c r="A54" s="54" t="s">
        <v>602</v>
      </c>
      <c r="B54" s="5" t="s">
        <v>212</v>
      </c>
      <c r="C54" s="5" t="s">
        <v>205</v>
      </c>
      <c r="D54" s="5" t="s">
        <v>74</v>
      </c>
      <c r="E54" s="58" t="s">
        <v>636</v>
      </c>
    </row>
    <row r="55" spans="1:5" x14ac:dyDescent="0.25">
      <c r="A55" s="54" t="s">
        <v>606</v>
      </c>
      <c r="B55" s="5" t="s">
        <v>505</v>
      </c>
      <c r="C55" s="5" t="s">
        <v>218</v>
      </c>
      <c r="D55" s="5" t="s">
        <v>400</v>
      </c>
      <c r="E55" s="58" t="s">
        <v>637</v>
      </c>
    </row>
    <row r="57" spans="1:5" ht="14.4" x14ac:dyDescent="0.3">
      <c r="A57" s="55"/>
      <c r="B57" s="56" t="s">
        <v>80</v>
      </c>
    </row>
    <row r="58" spans="1:5" ht="13.8" x14ac:dyDescent="0.25">
      <c r="A58" s="57" t="s">
        <v>0</v>
      </c>
      <c r="B58" s="57" t="s">
        <v>81</v>
      </c>
      <c r="C58" s="57" t="s">
        <v>82</v>
      </c>
      <c r="D58" s="57" t="s">
        <v>83</v>
      </c>
      <c r="E58" s="57" t="s">
        <v>24</v>
      </c>
    </row>
    <row r="59" spans="1:5" x14ac:dyDescent="0.25">
      <c r="A59" s="54" t="s">
        <v>616</v>
      </c>
      <c r="B59" s="5" t="s">
        <v>80</v>
      </c>
      <c r="C59" s="5" t="s">
        <v>216</v>
      </c>
      <c r="D59" s="5" t="s">
        <v>620</v>
      </c>
      <c r="E59" s="58" t="s">
        <v>638</v>
      </c>
    </row>
    <row r="61" spans="1:5" ht="14.4" x14ac:dyDescent="0.3">
      <c r="A61" s="55"/>
      <c r="B61" s="56" t="s">
        <v>93</v>
      </c>
    </row>
    <row r="62" spans="1:5" ht="13.8" x14ac:dyDescent="0.25">
      <c r="A62" s="57" t="s">
        <v>0</v>
      </c>
      <c r="B62" s="57" t="s">
        <v>81</v>
      </c>
      <c r="C62" s="57" t="s">
        <v>82</v>
      </c>
      <c r="D62" s="57" t="s">
        <v>83</v>
      </c>
      <c r="E62" s="57" t="s">
        <v>24</v>
      </c>
    </row>
    <row r="63" spans="1:5" x14ac:dyDescent="0.25">
      <c r="A63" s="54" t="s">
        <v>627</v>
      </c>
      <c r="B63" s="5" t="s">
        <v>307</v>
      </c>
      <c r="C63" s="5" t="s">
        <v>213</v>
      </c>
      <c r="D63" s="5" t="s">
        <v>109</v>
      </c>
      <c r="E63" s="58" t="s">
        <v>639</v>
      </c>
    </row>
    <row r="64" spans="1:5" x14ac:dyDescent="0.25">
      <c r="A64" s="54" t="s">
        <v>622</v>
      </c>
      <c r="B64" s="5" t="s">
        <v>94</v>
      </c>
      <c r="C64" s="5" t="s">
        <v>216</v>
      </c>
      <c r="D64" s="5" t="s">
        <v>620</v>
      </c>
      <c r="E64" s="58" t="s">
        <v>640</v>
      </c>
    </row>
    <row r="65" spans="1:5" x14ac:dyDescent="0.25">
      <c r="A65" s="54" t="s">
        <v>610</v>
      </c>
      <c r="B65" s="5" t="s">
        <v>94</v>
      </c>
      <c r="C65" s="5" t="s">
        <v>225</v>
      </c>
      <c r="D65" s="5" t="s">
        <v>615</v>
      </c>
      <c r="E65" s="58" t="s">
        <v>641</v>
      </c>
    </row>
    <row r="66" spans="1:5" x14ac:dyDescent="0.25">
      <c r="A66" s="54" t="s">
        <v>472</v>
      </c>
      <c r="B66" s="5" t="s">
        <v>307</v>
      </c>
      <c r="C66" s="5" t="s">
        <v>213</v>
      </c>
      <c r="D66" s="5" t="s">
        <v>293</v>
      </c>
      <c r="E66" s="58" t="s">
        <v>642</v>
      </c>
    </row>
  </sheetData>
  <mergeCells count="19">
    <mergeCell ref="A14:L14"/>
    <mergeCell ref="A17:L17"/>
    <mergeCell ref="A20:L20"/>
    <mergeCell ref="A23:L23"/>
    <mergeCell ref="A27:L27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1" width="5.77734375" style="4" bestFit="1" customWidth="1"/>
    <col min="12" max="12" width="4.1093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595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5">
      <c r="A5" s="4"/>
      <c r="E5" s="4"/>
      <c r="F5" s="4"/>
      <c r="K5" s="4"/>
      <c r="M5" s="4"/>
    </row>
    <row r="6" spans="1:13" s="5" customFormat="1" ht="15" x14ac:dyDescent="0.25">
      <c r="A6" s="4"/>
      <c r="E6" s="34" t="s">
        <v>15</v>
      </c>
      <c r="F6" s="4"/>
      <c r="K6" s="4"/>
      <c r="M6" s="4"/>
    </row>
    <row r="7" spans="1:13" s="5" customFormat="1" ht="15" x14ac:dyDescent="0.25">
      <c r="A7" s="4"/>
      <c r="E7" s="34" t="s">
        <v>16</v>
      </c>
      <c r="F7" s="4"/>
      <c r="K7" s="4"/>
      <c r="M7" s="4"/>
    </row>
    <row r="8" spans="1:13" ht="15" x14ac:dyDescent="0.25">
      <c r="E8" s="34" t="s">
        <v>17</v>
      </c>
    </row>
    <row r="9" spans="1:13" x14ac:dyDescent="0.25">
      <c r="E9" s="4" t="s">
        <v>18</v>
      </c>
    </row>
    <row r="10" spans="1:13" x14ac:dyDescent="0.25">
      <c r="E10" s="4" t="s">
        <v>19</v>
      </c>
    </row>
    <row r="11" spans="1:13" x14ac:dyDescent="0.25">
      <c r="E11" s="4" t="s">
        <v>20</v>
      </c>
    </row>
    <row r="14" spans="1:13" ht="17.399999999999999" x14ac:dyDescent="0.3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1" width="5.77734375" style="4" bestFit="1" customWidth="1"/>
    <col min="12" max="12" width="4.1093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594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5">
      <c r="A5" s="4"/>
      <c r="E5" s="4"/>
      <c r="F5" s="4"/>
      <c r="K5" s="4"/>
      <c r="M5" s="4"/>
    </row>
    <row r="6" spans="1:13" s="5" customFormat="1" ht="15" x14ac:dyDescent="0.25">
      <c r="A6" s="4"/>
      <c r="E6" s="34" t="s">
        <v>15</v>
      </c>
      <c r="F6" s="4"/>
      <c r="K6" s="4"/>
      <c r="M6" s="4"/>
    </row>
    <row r="7" spans="1:13" s="5" customFormat="1" ht="15" x14ac:dyDescent="0.25">
      <c r="A7" s="4"/>
      <c r="E7" s="34" t="s">
        <v>16</v>
      </c>
      <c r="F7" s="4"/>
      <c r="K7" s="4"/>
      <c r="M7" s="4"/>
    </row>
    <row r="8" spans="1:13" ht="15" x14ac:dyDescent="0.25">
      <c r="E8" s="34" t="s">
        <v>17</v>
      </c>
    </row>
    <row r="9" spans="1:13" x14ac:dyDescent="0.25">
      <c r="E9" s="4" t="s">
        <v>18</v>
      </c>
    </row>
    <row r="10" spans="1:13" x14ac:dyDescent="0.25">
      <c r="E10" s="4" t="s">
        <v>19</v>
      </c>
    </row>
    <row r="11" spans="1:13" x14ac:dyDescent="0.25">
      <c r="E11" s="4" t="s">
        <v>20</v>
      </c>
    </row>
    <row r="14" spans="1:13" ht="17.399999999999999" x14ac:dyDescent="0.3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6.55468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30.109375" style="4" bestFit="1" customWidth="1"/>
    <col min="7" max="9" width="5.5546875" style="5" bestFit="1" customWidth="1"/>
    <col min="10" max="10" width="4.77734375" style="5" bestFit="1" customWidth="1"/>
    <col min="11" max="11" width="5.77734375" style="4" bestFit="1" customWidth="1"/>
    <col min="12" max="12" width="8.55468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577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.6" x14ac:dyDescent="0.3">
      <c r="A5" s="45" t="s">
        <v>41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5">
      <c r="A6" s="46" t="s">
        <v>43</v>
      </c>
      <c r="B6" s="47" t="s">
        <v>44</v>
      </c>
      <c r="C6" s="47" t="s">
        <v>45</v>
      </c>
      <c r="D6" s="47" t="str">
        <f>"1,0575"</f>
        <v>1,0575</v>
      </c>
      <c r="E6" s="46" t="s">
        <v>30</v>
      </c>
      <c r="F6" s="46" t="s">
        <v>46</v>
      </c>
      <c r="G6" s="48" t="s">
        <v>489</v>
      </c>
      <c r="H6" s="47" t="s">
        <v>489</v>
      </c>
      <c r="I6" s="48" t="s">
        <v>181</v>
      </c>
      <c r="J6" s="48"/>
      <c r="K6" s="46" t="str">
        <f>"172,5"</f>
        <v>172,5</v>
      </c>
      <c r="L6" s="47" t="str">
        <f>"182,4188"</f>
        <v>182,4188</v>
      </c>
      <c r="M6" s="46"/>
    </row>
    <row r="7" spans="1:13" s="5" customFormat="1" x14ac:dyDescent="0.25">
      <c r="A7" s="4"/>
      <c r="E7" s="4"/>
      <c r="F7" s="4"/>
      <c r="K7" s="4"/>
      <c r="M7" s="4"/>
    </row>
    <row r="8" spans="1:13" ht="15.6" x14ac:dyDescent="0.3">
      <c r="A8" s="50" t="s">
        <v>150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5">
      <c r="A9" s="46" t="s">
        <v>161</v>
      </c>
      <c r="B9" s="47" t="s">
        <v>162</v>
      </c>
      <c r="C9" s="47" t="s">
        <v>163</v>
      </c>
      <c r="D9" s="47" t="str">
        <f>"0,6561"</f>
        <v>0,6561</v>
      </c>
      <c r="E9" s="46" t="s">
        <v>30</v>
      </c>
      <c r="F9" s="46" t="s">
        <v>164</v>
      </c>
      <c r="G9" s="47" t="s">
        <v>203</v>
      </c>
      <c r="H9" s="47" t="s">
        <v>73</v>
      </c>
      <c r="I9" s="47" t="s">
        <v>176</v>
      </c>
      <c r="J9" s="48"/>
      <c r="K9" s="46" t="str">
        <f>"170,0"</f>
        <v>170,0</v>
      </c>
      <c r="L9" s="47" t="str">
        <f>"195,8739"</f>
        <v>195,8739</v>
      </c>
      <c r="M9" s="46"/>
    </row>
    <row r="11" spans="1:13" ht="15.6" x14ac:dyDescent="0.3">
      <c r="A11" s="50" t="s">
        <v>170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3" x14ac:dyDescent="0.25">
      <c r="A12" s="59" t="s">
        <v>236</v>
      </c>
      <c r="B12" s="60" t="s">
        <v>237</v>
      </c>
      <c r="C12" s="60" t="s">
        <v>238</v>
      </c>
      <c r="D12" s="60" t="str">
        <f>"0,5871"</f>
        <v>0,5871</v>
      </c>
      <c r="E12" s="59" t="s">
        <v>30</v>
      </c>
      <c r="F12" s="59" t="s">
        <v>155</v>
      </c>
      <c r="G12" s="60" t="s">
        <v>578</v>
      </c>
      <c r="H12" s="60" t="s">
        <v>301</v>
      </c>
      <c r="I12" s="60" t="s">
        <v>579</v>
      </c>
      <c r="J12" s="61"/>
      <c r="K12" s="59" t="str">
        <f>"290,0"</f>
        <v>290,0</v>
      </c>
      <c r="L12" s="60" t="str">
        <f>"170,2735"</f>
        <v>170,2735</v>
      </c>
      <c r="M12" s="59"/>
    </row>
    <row r="13" spans="1:13" x14ac:dyDescent="0.25">
      <c r="A13" s="62" t="s">
        <v>581</v>
      </c>
      <c r="B13" s="63" t="s">
        <v>582</v>
      </c>
      <c r="C13" s="63" t="s">
        <v>583</v>
      </c>
      <c r="D13" s="63" t="str">
        <f>"0,5911"</f>
        <v>0,5911</v>
      </c>
      <c r="E13" s="62" t="s">
        <v>30</v>
      </c>
      <c r="F13" s="62" t="s">
        <v>104</v>
      </c>
      <c r="G13" s="64" t="s">
        <v>584</v>
      </c>
      <c r="H13" s="63" t="s">
        <v>91</v>
      </c>
      <c r="I13" s="63" t="s">
        <v>578</v>
      </c>
      <c r="J13" s="64"/>
      <c r="K13" s="62" t="str">
        <f>"260,0"</f>
        <v>260,0</v>
      </c>
      <c r="L13" s="63" t="str">
        <f>"153,6860"</f>
        <v>153,6860</v>
      </c>
      <c r="M13" s="62"/>
    </row>
    <row r="15" spans="1:13" ht="15.6" x14ac:dyDescent="0.3">
      <c r="A15" s="50" t="s">
        <v>99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3" x14ac:dyDescent="0.25">
      <c r="A16" s="46" t="s">
        <v>586</v>
      </c>
      <c r="B16" s="47" t="s">
        <v>587</v>
      </c>
      <c r="C16" s="47" t="s">
        <v>588</v>
      </c>
      <c r="D16" s="47" t="str">
        <f>"0,5480"</f>
        <v>0,5480</v>
      </c>
      <c r="E16" s="46" t="s">
        <v>30</v>
      </c>
      <c r="F16" s="46" t="s">
        <v>104</v>
      </c>
      <c r="G16" s="47" t="s">
        <v>176</v>
      </c>
      <c r="H16" s="47" t="s">
        <v>76</v>
      </c>
      <c r="I16" s="47" t="s">
        <v>293</v>
      </c>
      <c r="J16" s="48"/>
      <c r="K16" s="46" t="str">
        <f>"190,0"</f>
        <v>190,0</v>
      </c>
      <c r="L16" s="47" t="str">
        <f>"150,9740"</f>
        <v>150,9740</v>
      </c>
      <c r="M16" s="46"/>
    </row>
    <row r="18" spans="1:5" ht="15" x14ac:dyDescent="0.25">
      <c r="E18" s="34" t="s">
        <v>15</v>
      </c>
    </row>
    <row r="19" spans="1:5" ht="15" x14ac:dyDescent="0.25">
      <c r="E19" s="34" t="s">
        <v>16</v>
      </c>
    </row>
    <row r="20" spans="1:5" ht="15" x14ac:dyDescent="0.25">
      <c r="E20" s="34" t="s">
        <v>17</v>
      </c>
    </row>
    <row r="21" spans="1:5" x14ac:dyDescent="0.25">
      <c r="E21" s="4" t="s">
        <v>18</v>
      </c>
    </row>
    <row r="22" spans="1:5" x14ac:dyDescent="0.25">
      <c r="E22" s="4" t="s">
        <v>19</v>
      </c>
    </row>
    <row r="23" spans="1:5" x14ac:dyDescent="0.25">
      <c r="E23" s="4" t="s">
        <v>20</v>
      </c>
    </row>
    <row r="26" spans="1:5" ht="17.399999999999999" x14ac:dyDescent="0.3">
      <c r="A26" s="43" t="s">
        <v>21</v>
      </c>
      <c r="B26" s="44"/>
    </row>
    <row r="27" spans="1:5" ht="15.6" x14ac:dyDescent="0.3">
      <c r="A27" s="52" t="s">
        <v>79</v>
      </c>
      <c r="B27" s="53"/>
    </row>
    <row r="28" spans="1:5" ht="14.4" x14ac:dyDescent="0.3">
      <c r="A28" s="55"/>
      <c r="B28" s="56" t="s">
        <v>80</v>
      </c>
    </row>
    <row r="29" spans="1:5" ht="13.8" x14ac:dyDescent="0.25">
      <c r="A29" s="57" t="s">
        <v>0</v>
      </c>
      <c r="B29" s="57" t="s">
        <v>81</v>
      </c>
      <c r="C29" s="57" t="s">
        <v>82</v>
      </c>
      <c r="D29" s="57" t="s">
        <v>83</v>
      </c>
      <c r="E29" s="57" t="s">
        <v>24</v>
      </c>
    </row>
    <row r="30" spans="1:5" x14ac:dyDescent="0.25">
      <c r="A30" s="54" t="s">
        <v>42</v>
      </c>
      <c r="B30" s="5" t="s">
        <v>80</v>
      </c>
      <c r="C30" s="5" t="s">
        <v>84</v>
      </c>
      <c r="D30" s="5" t="s">
        <v>489</v>
      </c>
      <c r="E30" s="58" t="s">
        <v>589</v>
      </c>
    </row>
    <row r="33" spans="1:5" ht="15.6" x14ac:dyDescent="0.3">
      <c r="A33" s="52" t="s">
        <v>110</v>
      </c>
      <c r="B33" s="53"/>
    </row>
    <row r="34" spans="1:5" ht="14.4" x14ac:dyDescent="0.3">
      <c r="A34" s="55"/>
      <c r="B34" s="56" t="s">
        <v>80</v>
      </c>
    </row>
    <row r="35" spans="1:5" ht="13.8" x14ac:dyDescent="0.25">
      <c r="A35" s="57" t="s">
        <v>0</v>
      </c>
      <c r="B35" s="57" t="s">
        <v>81</v>
      </c>
      <c r="C35" s="57" t="s">
        <v>82</v>
      </c>
      <c r="D35" s="57" t="s">
        <v>83</v>
      </c>
      <c r="E35" s="57" t="s">
        <v>24</v>
      </c>
    </row>
    <row r="36" spans="1:5" x14ac:dyDescent="0.25">
      <c r="A36" s="54" t="s">
        <v>235</v>
      </c>
      <c r="B36" s="5" t="s">
        <v>80</v>
      </c>
      <c r="C36" s="5" t="s">
        <v>216</v>
      </c>
      <c r="D36" s="5" t="s">
        <v>579</v>
      </c>
      <c r="E36" s="58" t="s">
        <v>590</v>
      </c>
    </row>
    <row r="37" spans="1:5" x14ac:dyDescent="0.25">
      <c r="A37" s="54" t="s">
        <v>580</v>
      </c>
      <c r="B37" s="5" t="s">
        <v>80</v>
      </c>
      <c r="C37" s="5" t="s">
        <v>216</v>
      </c>
      <c r="D37" s="5" t="s">
        <v>578</v>
      </c>
      <c r="E37" s="58" t="s">
        <v>591</v>
      </c>
    </row>
    <row r="39" spans="1:5" ht="14.4" x14ac:dyDescent="0.3">
      <c r="A39" s="55"/>
      <c r="B39" s="56" t="s">
        <v>93</v>
      </c>
    </row>
    <row r="40" spans="1:5" ht="13.8" x14ac:dyDescent="0.25">
      <c r="A40" s="57" t="s">
        <v>0</v>
      </c>
      <c r="B40" s="57" t="s">
        <v>81</v>
      </c>
      <c r="C40" s="57" t="s">
        <v>82</v>
      </c>
      <c r="D40" s="57" t="s">
        <v>83</v>
      </c>
      <c r="E40" s="57" t="s">
        <v>24</v>
      </c>
    </row>
    <row r="41" spans="1:5" x14ac:dyDescent="0.25">
      <c r="A41" s="54" t="s">
        <v>160</v>
      </c>
      <c r="B41" s="5" t="s">
        <v>223</v>
      </c>
      <c r="C41" s="5" t="s">
        <v>218</v>
      </c>
      <c r="D41" s="5" t="s">
        <v>176</v>
      </c>
      <c r="E41" s="58" t="s">
        <v>592</v>
      </c>
    </row>
    <row r="42" spans="1:5" x14ac:dyDescent="0.25">
      <c r="A42" s="54" t="s">
        <v>585</v>
      </c>
      <c r="B42" s="5" t="s">
        <v>221</v>
      </c>
      <c r="C42" s="5" t="s">
        <v>111</v>
      </c>
      <c r="D42" s="5" t="s">
        <v>293</v>
      </c>
      <c r="E42" s="58" t="s">
        <v>593</v>
      </c>
    </row>
  </sheetData>
  <mergeCells count="15">
    <mergeCell ref="A15:L15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1" width="5.77734375" style="4" bestFit="1" customWidth="1"/>
    <col min="12" max="12" width="4.1093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576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5">
      <c r="A5" s="4"/>
      <c r="E5" s="4"/>
      <c r="F5" s="4"/>
      <c r="K5" s="4"/>
      <c r="M5" s="4"/>
    </row>
    <row r="6" spans="1:13" s="5" customFormat="1" ht="15" x14ac:dyDescent="0.25">
      <c r="A6" s="4"/>
      <c r="E6" s="34" t="s">
        <v>15</v>
      </c>
      <c r="F6" s="4"/>
      <c r="K6" s="4"/>
      <c r="M6" s="4"/>
    </row>
    <row r="7" spans="1:13" s="5" customFormat="1" ht="15" x14ac:dyDescent="0.25">
      <c r="A7" s="4"/>
      <c r="E7" s="34" t="s">
        <v>16</v>
      </c>
      <c r="F7" s="4"/>
      <c r="K7" s="4"/>
      <c r="M7" s="4"/>
    </row>
    <row r="8" spans="1:13" ht="15" x14ac:dyDescent="0.25">
      <c r="E8" s="34" t="s">
        <v>17</v>
      </c>
    </row>
    <row r="9" spans="1:13" x14ac:dyDescent="0.25">
      <c r="E9" s="4" t="s">
        <v>18</v>
      </c>
    </row>
    <row r="10" spans="1:13" x14ac:dyDescent="0.25">
      <c r="E10" s="4" t="s">
        <v>19</v>
      </c>
    </row>
    <row r="11" spans="1:13" x14ac:dyDescent="0.25">
      <c r="E11" s="4" t="s">
        <v>20</v>
      </c>
    </row>
    <row r="14" spans="1:13" ht="17.399999999999999" x14ac:dyDescent="0.3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10" sqref="F10"/>
    </sheetView>
  </sheetViews>
  <sheetFormatPr defaultColWidth="9.109375" defaultRowHeight="13.2" x14ac:dyDescent="0.25"/>
  <cols>
    <col min="1" max="1" width="24.88671875" style="4" bestFit="1" customWidth="1"/>
    <col min="2" max="2" width="26.55468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13.88671875" style="4" bestFit="1" customWidth="1"/>
    <col min="7" max="7" width="4.5546875" style="5" bestFit="1" customWidth="1"/>
    <col min="8" max="8" width="4.5546875" style="69" bestFit="1" customWidth="1"/>
    <col min="9" max="9" width="5.77734375" style="4" bestFit="1" customWidth="1"/>
    <col min="10" max="10" width="8.5546875" style="5" bestFit="1" customWidth="1"/>
    <col min="11" max="11" width="7.109375" style="4" bestFit="1" customWidth="1"/>
    <col min="12" max="16384" width="9.109375" style="3"/>
  </cols>
  <sheetData>
    <row r="1" spans="1:11" s="2" customFormat="1" ht="28.95" customHeight="1" x14ac:dyDescent="0.25">
      <c r="A1" s="35" t="s">
        <v>751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718</v>
      </c>
      <c r="H3" s="26"/>
      <c r="I3" s="41" t="s">
        <v>233</v>
      </c>
      <c r="J3" s="26" t="s">
        <v>7</v>
      </c>
      <c r="K3" s="27" t="s">
        <v>6</v>
      </c>
    </row>
    <row r="4" spans="1:11" s="1" customFormat="1" ht="23.25" customHeight="1" thickBot="1" x14ac:dyDescent="0.3">
      <c r="A4" s="28"/>
      <c r="B4" s="30"/>
      <c r="C4" s="30"/>
      <c r="D4" s="30"/>
      <c r="E4" s="30"/>
      <c r="F4" s="33"/>
      <c r="G4" s="12" t="s">
        <v>715</v>
      </c>
      <c r="H4" s="68" t="s">
        <v>716</v>
      </c>
      <c r="I4" s="42"/>
      <c r="J4" s="30"/>
      <c r="K4" s="31"/>
    </row>
    <row r="5" spans="1:11" s="5" customFormat="1" ht="15.6" x14ac:dyDescent="0.3">
      <c r="A5" s="45" t="s">
        <v>117</v>
      </c>
      <c r="B5" s="49"/>
      <c r="C5" s="49"/>
      <c r="D5" s="49"/>
      <c r="E5" s="49"/>
      <c r="F5" s="49"/>
      <c r="G5" s="49"/>
      <c r="H5" s="49"/>
      <c r="I5" s="49"/>
      <c r="J5" s="49"/>
      <c r="K5" s="4"/>
    </row>
    <row r="6" spans="1:11" s="5" customFormat="1" x14ac:dyDescent="0.25">
      <c r="A6" s="46" t="s">
        <v>753</v>
      </c>
      <c r="B6" s="47" t="s">
        <v>754</v>
      </c>
      <c r="C6" s="47" t="s">
        <v>755</v>
      </c>
      <c r="D6" s="47" t="str">
        <f>"0,9608"</f>
        <v>0,9608</v>
      </c>
      <c r="E6" s="46" t="s">
        <v>30</v>
      </c>
      <c r="F6" s="46" t="s">
        <v>104</v>
      </c>
      <c r="G6" s="47" t="s">
        <v>756</v>
      </c>
      <c r="H6" s="70" t="s">
        <v>757</v>
      </c>
      <c r="I6" s="46" t="str">
        <f>"325,0"</f>
        <v>325,0</v>
      </c>
      <c r="J6" s="47" t="str">
        <f>"312,2600"</f>
        <v>312,2600</v>
      </c>
      <c r="K6" s="46"/>
    </row>
    <row r="7" spans="1:11" s="5" customFormat="1" x14ac:dyDescent="0.25">
      <c r="A7" s="4"/>
      <c r="E7" s="4"/>
      <c r="F7" s="4"/>
      <c r="H7" s="69"/>
      <c r="I7" s="4"/>
      <c r="K7" s="4"/>
    </row>
    <row r="8" spans="1:11" ht="15" x14ac:dyDescent="0.25">
      <c r="E8" s="34" t="s">
        <v>15</v>
      </c>
    </row>
    <row r="9" spans="1:11" ht="15" x14ac:dyDescent="0.25">
      <c r="E9" s="34" t="s">
        <v>16</v>
      </c>
    </row>
    <row r="10" spans="1:11" ht="15" x14ac:dyDescent="0.25">
      <c r="E10" s="34" t="s">
        <v>17</v>
      </c>
    </row>
    <row r="11" spans="1:11" x14ac:dyDescent="0.25">
      <c r="E11" s="4" t="s">
        <v>18</v>
      </c>
    </row>
    <row r="12" spans="1:11" x14ac:dyDescent="0.25">
      <c r="E12" s="4" t="s">
        <v>19</v>
      </c>
    </row>
    <row r="13" spans="1:11" x14ac:dyDescent="0.25">
      <c r="E13" s="4" t="s">
        <v>20</v>
      </c>
    </row>
    <row r="16" spans="1:11" ht="17.399999999999999" x14ac:dyDescent="0.3">
      <c r="A16" s="43" t="s">
        <v>21</v>
      </c>
      <c r="B16" s="44"/>
    </row>
    <row r="17" spans="1:5" ht="15.6" x14ac:dyDescent="0.3">
      <c r="A17" s="52" t="s">
        <v>79</v>
      </c>
      <c r="B17" s="53"/>
    </row>
    <row r="18" spans="1:5" ht="14.4" x14ac:dyDescent="0.3">
      <c r="A18" s="55"/>
      <c r="B18" s="56" t="s">
        <v>93</v>
      </c>
    </row>
    <row r="19" spans="1:5" ht="13.8" x14ac:dyDescent="0.25">
      <c r="A19" s="57" t="s">
        <v>0</v>
      </c>
      <c r="B19" s="57" t="s">
        <v>81</v>
      </c>
      <c r="C19" s="57" t="s">
        <v>82</v>
      </c>
      <c r="D19" s="57" t="s">
        <v>83</v>
      </c>
      <c r="E19" s="57" t="s">
        <v>24</v>
      </c>
    </row>
    <row r="20" spans="1:5" x14ac:dyDescent="0.25">
      <c r="A20" s="54" t="s">
        <v>752</v>
      </c>
      <c r="B20" s="5" t="s">
        <v>744</v>
      </c>
      <c r="C20" s="5" t="s">
        <v>205</v>
      </c>
      <c r="D20" s="5" t="s">
        <v>758</v>
      </c>
      <c r="E20" s="58" t="s">
        <v>759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6.55468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23.21875" style="4" bestFit="1" customWidth="1"/>
    <col min="7" max="9" width="5.5546875" style="5" bestFit="1" customWidth="1"/>
    <col min="10" max="10" width="4.77734375" style="5" bestFit="1" customWidth="1"/>
    <col min="11" max="11" width="5.77734375" style="4" bestFit="1" customWidth="1"/>
    <col min="12" max="12" width="8.55468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569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.6" x14ac:dyDescent="0.3">
      <c r="A5" s="45" t="s">
        <v>54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5">
      <c r="A6" s="46" t="s">
        <v>571</v>
      </c>
      <c r="B6" s="47" t="s">
        <v>572</v>
      </c>
      <c r="C6" s="47" t="s">
        <v>573</v>
      </c>
      <c r="D6" s="47" t="str">
        <f>"0,9969"</f>
        <v>0,9969</v>
      </c>
      <c r="E6" s="46" t="s">
        <v>30</v>
      </c>
      <c r="F6" s="46" t="s">
        <v>104</v>
      </c>
      <c r="G6" s="47" t="s">
        <v>49</v>
      </c>
      <c r="H6" s="47" t="s">
        <v>50</v>
      </c>
      <c r="I6" s="48" t="s">
        <v>123</v>
      </c>
      <c r="J6" s="48"/>
      <c r="K6" s="46" t="str">
        <f>"75,0"</f>
        <v>75,0</v>
      </c>
      <c r="L6" s="47" t="str">
        <f>"74,7712"</f>
        <v>74,7712</v>
      </c>
      <c r="M6" s="46"/>
    </row>
    <row r="7" spans="1:13" s="5" customFormat="1" x14ac:dyDescent="0.25">
      <c r="A7" s="4"/>
      <c r="E7" s="4"/>
      <c r="F7" s="4"/>
      <c r="K7" s="4"/>
      <c r="M7" s="4"/>
    </row>
    <row r="8" spans="1:13" ht="15.6" x14ac:dyDescent="0.3">
      <c r="A8" s="50" t="s">
        <v>170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5">
      <c r="A9" s="46" t="s">
        <v>296</v>
      </c>
      <c r="B9" s="47" t="s">
        <v>300</v>
      </c>
      <c r="C9" s="47" t="s">
        <v>298</v>
      </c>
      <c r="D9" s="47" t="str">
        <f>"0,5853"</f>
        <v>0,5853</v>
      </c>
      <c r="E9" s="46" t="s">
        <v>30</v>
      </c>
      <c r="F9" s="46" t="s">
        <v>299</v>
      </c>
      <c r="G9" s="47" t="s">
        <v>71</v>
      </c>
      <c r="H9" s="47" t="s">
        <v>64</v>
      </c>
      <c r="I9" s="47" t="s">
        <v>73</v>
      </c>
      <c r="J9" s="48"/>
      <c r="K9" s="46" t="str">
        <f>"160,0"</f>
        <v>160,0</v>
      </c>
      <c r="L9" s="47" t="str">
        <f>"133,0852"</f>
        <v>133,0852</v>
      </c>
      <c r="M9" s="46"/>
    </row>
    <row r="11" spans="1:13" ht="15" x14ac:dyDescent="0.25">
      <c r="E11" s="34" t="s">
        <v>15</v>
      </c>
    </row>
    <row r="12" spans="1:13" ht="15" x14ac:dyDescent="0.25">
      <c r="E12" s="34" t="s">
        <v>16</v>
      </c>
    </row>
    <row r="13" spans="1:13" ht="15" x14ac:dyDescent="0.25">
      <c r="E13" s="34" t="s">
        <v>17</v>
      </c>
    </row>
    <row r="14" spans="1:13" x14ac:dyDescent="0.25">
      <c r="E14" s="4" t="s">
        <v>18</v>
      </c>
    </row>
    <row r="15" spans="1:13" x14ac:dyDescent="0.25">
      <c r="E15" s="4" t="s">
        <v>19</v>
      </c>
    </row>
    <row r="16" spans="1:13" x14ac:dyDescent="0.25">
      <c r="E16" s="4" t="s">
        <v>20</v>
      </c>
    </row>
    <row r="19" spans="1:5" ht="17.399999999999999" x14ac:dyDescent="0.3">
      <c r="A19" s="43" t="s">
        <v>21</v>
      </c>
      <c r="B19" s="44"/>
    </row>
    <row r="20" spans="1:5" ht="15.6" x14ac:dyDescent="0.3">
      <c r="A20" s="52" t="s">
        <v>79</v>
      </c>
      <c r="B20" s="53"/>
    </row>
    <row r="21" spans="1:5" ht="14.4" x14ac:dyDescent="0.3">
      <c r="A21" s="55"/>
      <c r="B21" s="56" t="s">
        <v>211</v>
      </c>
    </row>
    <row r="22" spans="1:5" ht="13.8" x14ac:dyDescent="0.25">
      <c r="A22" s="57" t="s">
        <v>0</v>
      </c>
      <c r="B22" s="57" t="s">
        <v>81</v>
      </c>
      <c r="C22" s="57" t="s">
        <v>82</v>
      </c>
      <c r="D22" s="57" t="s">
        <v>83</v>
      </c>
      <c r="E22" s="57" t="s">
        <v>24</v>
      </c>
    </row>
    <row r="23" spans="1:5" x14ac:dyDescent="0.25">
      <c r="A23" s="54" t="s">
        <v>570</v>
      </c>
      <c r="B23" s="5" t="s">
        <v>517</v>
      </c>
      <c r="C23" s="5" t="s">
        <v>95</v>
      </c>
      <c r="D23" s="5" t="s">
        <v>50</v>
      </c>
      <c r="E23" s="58" t="s">
        <v>574</v>
      </c>
    </row>
    <row r="26" spans="1:5" ht="15.6" x14ac:dyDescent="0.3">
      <c r="A26" s="52" t="s">
        <v>110</v>
      </c>
      <c r="B26" s="53"/>
    </row>
    <row r="27" spans="1:5" ht="14.4" x14ac:dyDescent="0.3">
      <c r="A27" s="55"/>
      <c r="B27" s="56" t="s">
        <v>93</v>
      </c>
    </row>
    <row r="28" spans="1:5" ht="13.8" x14ac:dyDescent="0.25">
      <c r="A28" s="57" t="s">
        <v>0</v>
      </c>
      <c r="B28" s="57" t="s">
        <v>81</v>
      </c>
      <c r="C28" s="57" t="s">
        <v>82</v>
      </c>
      <c r="D28" s="57" t="s">
        <v>83</v>
      </c>
      <c r="E28" s="57" t="s">
        <v>24</v>
      </c>
    </row>
    <row r="29" spans="1:5" x14ac:dyDescent="0.25">
      <c r="A29" s="54" t="s">
        <v>295</v>
      </c>
      <c r="B29" s="5" t="s">
        <v>221</v>
      </c>
      <c r="C29" s="5" t="s">
        <v>216</v>
      </c>
      <c r="D29" s="5" t="s">
        <v>73</v>
      </c>
      <c r="E29" s="58" t="s">
        <v>575</v>
      </c>
    </row>
  </sheetData>
  <mergeCells count="13">
    <mergeCell ref="K3:K4"/>
    <mergeCell ref="L3:L4"/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1" width="5.77734375" style="4" bestFit="1" customWidth="1"/>
    <col min="12" max="12" width="4.1093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568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5">
      <c r="A5" s="4"/>
      <c r="E5" s="4"/>
      <c r="F5" s="4"/>
      <c r="K5" s="4"/>
      <c r="M5" s="4"/>
    </row>
    <row r="6" spans="1:13" s="5" customFormat="1" ht="15" x14ac:dyDescent="0.25">
      <c r="A6" s="4"/>
      <c r="E6" s="34" t="s">
        <v>15</v>
      </c>
      <c r="F6" s="4"/>
      <c r="K6" s="4"/>
      <c r="M6" s="4"/>
    </row>
    <row r="7" spans="1:13" s="5" customFormat="1" ht="15" x14ac:dyDescent="0.25">
      <c r="A7" s="4"/>
      <c r="E7" s="34" t="s">
        <v>16</v>
      </c>
      <c r="F7" s="4"/>
      <c r="K7" s="4"/>
      <c r="M7" s="4"/>
    </row>
    <row r="8" spans="1:13" ht="15" x14ac:dyDescent="0.25">
      <c r="E8" s="34" t="s">
        <v>17</v>
      </c>
    </row>
    <row r="9" spans="1:13" x14ac:dyDescent="0.25">
      <c r="E9" s="4" t="s">
        <v>18</v>
      </c>
    </row>
    <row r="10" spans="1:13" x14ac:dyDescent="0.25">
      <c r="E10" s="4" t="s">
        <v>19</v>
      </c>
    </row>
    <row r="11" spans="1:13" x14ac:dyDescent="0.25">
      <c r="E11" s="4" t="s">
        <v>20</v>
      </c>
    </row>
    <row r="14" spans="1:13" ht="17.399999999999999" x14ac:dyDescent="0.3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9.1093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28.44140625" style="4" bestFit="1" customWidth="1"/>
    <col min="7" max="9" width="5.5546875" style="5" bestFit="1" customWidth="1"/>
    <col min="10" max="10" width="4.77734375" style="5" bestFit="1" customWidth="1"/>
    <col min="11" max="11" width="5.77734375" style="4" bestFit="1" customWidth="1"/>
    <col min="12" max="12" width="8.55468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551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.6" x14ac:dyDescent="0.3">
      <c r="A5" s="45" t="s">
        <v>150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5">
      <c r="A6" s="46" t="s">
        <v>553</v>
      </c>
      <c r="B6" s="47" t="s">
        <v>554</v>
      </c>
      <c r="C6" s="47" t="s">
        <v>555</v>
      </c>
      <c r="D6" s="47" t="str">
        <f>"0,6545"</f>
        <v>0,6545</v>
      </c>
      <c r="E6" s="46" t="s">
        <v>30</v>
      </c>
      <c r="F6" s="46" t="s">
        <v>104</v>
      </c>
      <c r="G6" s="47" t="s">
        <v>39</v>
      </c>
      <c r="H6" s="48" t="s">
        <v>59</v>
      </c>
      <c r="I6" s="48" t="s">
        <v>59</v>
      </c>
      <c r="J6" s="48"/>
      <c r="K6" s="46" t="str">
        <f>"120,0"</f>
        <v>120,0</v>
      </c>
      <c r="L6" s="47" t="str">
        <f>"78,5400"</f>
        <v>78,5400</v>
      </c>
      <c r="M6" s="46"/>
    </row>
    <row r="7" spans="1:13" s="5" customFormat="1" x14ac:dyDescent="0.25">
      <c r="A7" s="4"/>
      <c r="E7" s="4"/>
      <c r="F7" s="4"/>
      <c r="K7" s="4"/>
      <c r="M7" s="4"/>
    </row>
    <row r="8" spans="1:13" ht="15.6" x14ac:dyDescent="0.3">
      <c r="A8" s="50" t="s">
        <v>170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5">
      <c r="A9" s="59" t="s">
        <v>557</v>
      </c>
      <c r="B9" s="60" t="s">
        <v>558</v>
      </c>
      <c r="C9" s="60" t="s">
        <v>559</v>
      </c>
      <c r="D9" s="60" t="str">
        <f>"0,5813"</f>
        <v>0,5813</v>
      </c>
      <c r="E9" s="59" t="s">
        <v>30</v>
      </c>
      <c r="F9" s="59" t="s">
        <v>244</v>
      </c>
      <c r="G9" s="60" t="s">
        <v>176</v>
      </c>
      <c r="H9" s="60" t="s">
        <v>76</v>
      </c>
      <c r="I9" s="60" t="s">
        <v>560</v>
      </c>
      <c r="J9" s="61"/>
      <c r="K9" s="59" t="str">
        <f>"187,5"</f>
        <v>187,5</v>
      </c>
      <c r="L9" s="60" t="str">
        <f>"108,9938"</f>
        <v>108,9938</v>
      </c>
      <c r="M9" s="59"/>
    </row>
    <row r="10" spans="1:13" x14ac:dyDescent="0.25">
      <c r="A10" s="62" t="s">
        <v>562</v>
      </c>
      <c r="B10" s="63" t="s">
        <v>563</v>
      </c>
      <c r="C10" s="63" t="s">
        <v>564</v>
      </c>
      <c r="D10" s="63" t="str">
        <f>"0,5835"</f>
        <v>0,5835</v>
      </c>
      <c r="E10" s="62" t="s">
        <v>30</v>
      </c>
      <c r="F10" s="62" t="s">
        <v>104</v>
      </c>
      <c r="G10" s="64" t="s">
        <v>65</v>
      </c>
      <c r="H10" s="63" t="s">
        <v>65</v>
      </c>
      <c r="I10" s="63" t="s">
        <v>176</v>
      </c>
      <c r="J10" s="64"/>
      <c r="K10" s="62" t="str">
        <f>"170,0"</f>
        <v>170,0</v>
      </c>
      <c r="L10" s="63" t="str">
        <f>"99,2035"</f>
        <v>99,2035</v>
      </c>
      <c r="M10" s="62"/>
    </row>
    <row r="12" spans="1:13" ht="15" x14ac:dyDescent="0.25">
      <c r="E12" s="34" t="s">
        <v>15</v>
      </c>
    </row>
    <row r="13" spans="1:13" ht="15" x14ac:dyDescent="0.25">
      <c r="E13" s="34" t="s">
        <v>16</v>
      </c>
    </row>
    <row r="14" spans="1:13" ht="15" x14ac:dyDescent="0.25">
      <c r="E14" s="34" t="s">
        <v>17</v>
      </c>
    </row>
    <row r="15" spans="1:13" x14ac:dyDescent="0.25">
      <c r="E15" s="4" t="s">
        <v>18</v>
      </c>
    </row>
    <row r="16" spans="1:13" x14ac:dyDescent="0.25">
      <c r="E16" s="4" t="s">
        <v>19</v>
      </c>
    </row>
    <row r="17" spans="1:5" x14ac:dyDescent="0.25">
      <c r="E17" s="4" t="s">
        <v>20</v>
      </c>
    </row>
    <row r="20" spans="1:5" ht="17.399999999999999" x14ac:dyDescent="0.3">
      <c r="A20" s="43" t="s">
        <v>21</v>
      </c>
      <c r="B20" s="44"/>
    </row>
    <row r="21" spans="1:5" ht="15.6" x14ac:dyDescent="0.3">
      <c r="A21" s="52" t="s">
        <v>110</v>
      </c>
      <c r="B21" s="53"/>
    </row>
    <row r="22" spans="1:5" ht="14.4" x14ac:dyDescent="0.3">
      <c r="A22" s="55"/>
      <c r="B22" s="56" t="s">
        <v>80</v>
      </c>
    </row>
    <row r="23" spans="1:5" ht="13.8" x14ac:dyDescent="0.25">
      <c r="A23" s="57" t="s">
        <v>0</v>
      </c>
      <c r="B23" s="57" t="s">
        <v>81</v>
      </c>
      <c r="C23" s="57" t="s">
        <v>82</v>
      </c>
      <c r="D23" s="57" t="s">
        <v>83</v>
      </c>
      <c r="E23" s="57" t="s">
        <v>24</v>
      </c>
    </row>
    <row r="24" spans="1:5" x14ac:dyDescent="0.25">
      <c r="A24" s="54" t="s">
        <v>556</v>
      </c>
      <c r="B24" s="5" t="s">
        <v>80</v>
      </c>
      <c r="C24" s="5" t="s">
        <v>216</v>
      </c>
      <c r="D24" s="5" t="s">
        <v>560</v>
      </c>
      <c r="E24" s="58" t="s">
        <v>565</v>
      </c>
    </row>
    <row r="25" spans="1:5" x14ac:dyDescent="0.25">
      <c r="A25" s="54" t="s">
        <v>561</v>
      </c>
      <c r="B25" s="5" t="s">
        <v>80</v>
      </c>
      <c r="C25" s="5" t="s">
        <v>216</v>
      </c>
      <c r="D25" s="5" t="s">
        <v>176</v>
      </c>
      <c r="E25" s="58" t="s">
        <v>566</v>
      </c>
    </row>
    <row r="26" spans="1:5" x14ac:dyDescent="0.25">
      <c r="A26" s="54" t="s">
        <v>552</v>
      </c>
      <c r="B26" s="5" t="s">
        <v>80</v>
      </c>
      <c r="C26" s="5" t="s">
        <v>218</v>
      </c>
      <c r="D26" s="5" t="s">
        <v>39</v>
      </c>
      <c r="E26" s="58" t="s">
        <v>567</v>
      </c>
    </row>
  </sheetData>
  <mergeCells count="13">
    <mergeCell ref="K3:K4"/>
    <mergeCell ref="L3:L4"/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1" width="5.77734375" style="4" bestFit="1" customWidth="1"/>
    <col min="12" max="12" width="4.1093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550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5">
      <c r="A5" s="4"/>
      <c r="E5" s="4"/>
      <c r="F5" s="4"/>
      <c r="K5" s="4"/>
      <c r="M5" s="4"/>
    </row>
    <row r="6" spans="1:13" s="5" customFormat="1" ht="15" x14ac:dyDescent="0.25">
      <c r="A6" s="4"/>
      <c r="E6" s="34" t="s">
        <v>15</v>
      </c>
      <c r="F6" s="4"/>
      <c r="K6" s="4"/>
      <c r="M6" s="4"/>
    </row>
    <row r="7" spans="1:13" s="5" customFormat="1" ht="15" x14ac:dyDescent="0.25">
      <c r="A7" s="4"/>
      <c r="E7" s="34" t="s">
        <v>16</v>
      </c>
      <c r="F7" s="4"/>
      <c r="K7" s="4"/>
      <c r="M7" s="4"/>
    </row>
    <row r="8" spans="1:13" ht="15" x14ac:dyDescent="0.25">
      <c r="E8" s="34" t="s">
        <v>17</v>
      </c>
    </row>
    <row r="9" spans="1:13" x14ac:dyDescent="0.25">
      <c r="E9" s="4" t="s">
        <v>18</v>
      </c>
    </row>
    <row r="10" spans="1:13" x14ac:dyDescent="0.25">
      <c r="E10" s="4" t="s">
        <v>19</v>
      </c>
    </row>
    <row r="11" spans="1:13" x14ac:dyDescent="0.25">
      <c r="E11" s="4" t="s">
        <v>20</v>
      </c>
    </row>
    <row r="14" spans="1:13" ht="17.399999999999999" x14ac:dyDescent="0.3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1" width="5.77734375" style="4" bestFit="1" customWidth="1"/>
    <col min="12" max="12" width="4.1093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549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5">
      <c r="A5" s="4"/>
      <c r="E5" s="4"/>
      <c r="F5" s="4"/>
      <c r="K5" s="4"/>
      <c r="M5" s="4"/>
    </row>
    <row r="6" spans="1:13" s="5" customFormat="1" ht="15" x14ac:dyDescent="0.25">
      <c r="A6" s="4"/>
      <c r="E6" s="34" t="s">
        <v>15</v>
      </c>
      <c r="F6" s="4"/>
      <c r="K6" s="4"/>
      <c r="M6" s="4"/>
    </row>
    <row r="7" spans="1:13" s="5" customFormat="1" ht="15" x14ac:dyDescent="0.25">
      <c r="A7" s="4"/>
      <c r="E7" s="34" t="s">
        <v>16</v>
      </c>
      <c r="F7" s="4"/>
      <c r="K7" s="4"/>
      <c r="M7" s="4"/>
    </row>
    <row r="8" spans="1:13" ht="15" x14ac:dyDescent="0.25">
      <c r="E8" s="34" t="s">
        <v>17</v>
      </c>
    </row>
    <row r="9" spans="1:13" x14ac:dyDescent="0.25">
      <c r="E9" s="4" t="s">
        <v>18</v>
      </c>
    </row>
    <row r="10" spans="1:13" x14ac:dyDescent="0.25">
      <c r="E10" s="4" t="s">
        <v>19</v>
      </c>
    </row>
    <row r="11" spans="1:13" x14ac:dyDescent="0.25">
      <c r="E11" s="4" t="s">
        <v>20</v>
      </c>
    </row>
    <row r="14" spans="1:13" ht="17.399999999999999" x14ac:dyDescent="0.3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6.55468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30.33203125" style="4" bestFit="1" customWidth="1"/>
    <col min="7" max="9" width="5.5546875" style="5" bestFit="1" customWidth="1"/>
    <col min="10" max="10" width="4.77734375" style="5" bestFit="1" customWidth="1"/>
    <col min="11" max="11" width="5.77734375" style="4" bestFit="1" customWidth="1"/>
    <col min="12" max="12" width="8.5546875" style="5" bestFit="1" customWidth="1"/>
    <col min="13" max="13" width="12.33203125" style="4" bestFit="1" customWidth="1"/>
    <col min="14" max="16384" width="9.109375" style="3"/>
  </cols>
  <sheetData>
    <row r="1" spans="1:13" s="2" customFormat="1" ht="28.95" customHeight="1" x14ac:dyDescent="0.25">
      <c r="A1" s="35" t="s">
        <v>317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.6" x14ac:dyDescent="0.3">
      <c r="A5" s="45" t="s">
        <v>41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5">
      <c r="A6" s="46" t="s">
        <v>319</v>
      </c>
      <c r="B6" s="47" t="s">
        <v>320</v>
      </c>
      <c r="C6" s="47" t="s">
        <v>321</v>
      </c>
      <c r="D6" s="47" t="str">
        <f>"1,0764"</f>
        <v>1,0764</v>
      </c>
      <c r="E6" s="46" t="s">
        <v>30</v>
      </c>
      <c r="F6" s="46" t="s">
        <v>104</v>
      </c>
      <c r="G6" s="47" t="s">
        <v>322</v>
      </c>
      <c r="H6" s="48" t="s">
        <v>281</v>
      </c>
      <c r="I6" s="48" t="s">
        <v>281</v>
      </c>
      <c r="J6" s="48"/>
      <c r="K6" s="46" t="str">
        <f>"37,5"</f>
        <v>37,5</v>
      </c>
      <c r="L6" s="47" t="str">
        <f>"40,3650"</f>
        <v>40,3650</v>
      </c>
      <c r="M6" s="46" t="s">
        <v>323</v>
      </c>
    </row>
    <row r="7" spans="1:13" s="5" customFormat="1" x14ac:dyDescent="0.25">
      <c r="A7" s="4"/>
      <c r="E7" s="4"/>
      <c r="F7" s="4"/>
      <c r="K7" s="4"/>
      <c r="M7" s="4"/>
    </row>
    <row r="8" spans="1:13" ht="15.6" x14ac:dyDescent="0.3">
      <c r="A8" s="50" t="s">
        <v>54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5">
      <c r="A9" s="59" t="s">
        <v>325</v>
      </c>
      <c r="B9" s="60" t="s">
        <v>326</v>
      </c>
      <c r="C9" s="60" t="s">
        <v>327</v>
      </c>
      <c r="D9" s="60" t="str">
        <f>"1,0120"</f>
        <v>1,0120</v>
      </c>
      <c r="E9" s="59" t="s">
        <v>30</v>
      </c>
      <c r="F9" s="59" t="s">
        <v>328</v>
      </c>
      <c r="G9" s="60" t="s">
        <v>281</v>
      </c>
      <c r="H9" s="61" t="s">
        <v>36</v>
      </c>
      <c r="I9" s="61" t="s">
        <v>37</v>
      </c>
      <c r="J9" s="61"/>
      <c r="K9" s="59" t="str">
        <f>"40,0"</f>
        <v>40,0</v>
      </c>
      <c r="L9" s="60" t="str">
        <f>"40,4800"</f>
        <v>40,4800</v>
      </c>
      <c r="M9" s="59"/>
    </row>
    <row r="10" spans="1:13" x14ac:dyDescent="0.25">
      <c r="A10" s="66" t="s">
        <v>330</v>
      </c>
      <c r="B10" s="65" t="s">
        <v>331</v>
      </c>
      <c r="C10" s="65" t="s">
        <v>332</v>
      </c>
      <c r="D10" s="65" t="str">
        <f>"1,0149"</f>
        <v>1,0149</v>
      </c>
      <c r="E10" s="66" t="s">
        <v>30</v>
      </c>
      <c r="F10" s="66" t="s">
        <v>104</v>
      </c>
      <c r="G10" s="65" t="s">
        <v>275</v>
      </c>
      <c r="H10" s="65" t="s">
        <v>333</v>
      </c>
      <c r="I10" s="67" t="s">
        <v>287</v>
      </c>
      <c r="J10" s="67"/>
      <c r="K10" s="66" t="str">
        <f>"65,0"</f>
        <v>65,0</v>
      </c>
      <c r="L10" s="65" t="str">
        <f>"65,9685"</f>
        <v>65,9685</v>
      </c>
      <c r="M10" s="66"/>
    </row>
    <row r="11" spans="1:13" x14ac:dyDescent="0.25">
      <c r="A11" s="66" t="s">
        <v>335</v>
      </c>
      <c r="B11" s="65" t="s">
        <v>336</v>
      </c>
      <c r="C11" s="65" t="s">
        <v>337</v>
      </c>
      <c r="D11" s="65" t="str">
        <f>"0,9930"</f>
        <v>0,9930</v>
      </c>
      <c r="E11" s="66" t="s">
        <v>30</v>
      </c>
      <c r="F11" s="66" t="s">
        <v>328</v>
      </c>
      <c r="G11" s="65" t="s">
        <v>36</v>
      </c>
      <c r="H11" s="67" t="s">
        <v>267</v>
      </c>
      <c r="I11" s="67" t="s">
        <v>267</v>
      </c>
      <c r="J11" s="67"/>
      <c r="K11" s="66" t="str">
        <f>"45,0"</f>
        <v>45,0</v>
      </c>
      <c r="L11" s="65" t="str">
        <f>"44,6828"</f>
        <v>44,6828</v>
      </c>
      <c r="M11" s="66"/>
    </row>
    <row r="12" spans="1:13" x14ac:dyDescent="0.25">
      <c r="A12" s="62" t="s">
        <v>339</v>
      </c>
      <c r="B12" s="63" t="s">
        <v>340</v>
      </c>
      <c r="C12" s="63" t="s">
        <v>341</v>
      </c>
      <c r="D12" s="63" t="str">
        <f>"0,9903"</f>
        <v>0,9903</v>
      </c>
      <c r="E12" s="62" t="s">
        <v>30</v>
      </c>
      <c r="F12" s="62" t="s">
        <v>342</v>
      </c>
      <c r="G12" s="63" t="s">
        <v>343</v>
      </c>
      <c r="H12" s="63" t="s">
        <v>268</v>
      </c>
      <c r="I12" s="63" t="s">
        <v>269</v>
      </c>
      <c r="J12" s="64"/>
      <c r="K12" s="62" t="str">
        <f>"60,0"</f>
        <v>60,0</v>
      </c>
      <c r="L12" s="63" t="str">
        <f>"59,4180"</f>
        <v>59,4180</v>
      </c>
      <c r="M12" s="62"/>
    </row>
    <row r="14" spans="1:13" ht="15.6" x14ac:dyDescent="0.3">
      <c r="A14" s="50" t="s">
        <v>117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3" x14ac:dyDescent="0.25">
      <c r="A15" s="59" t="s">
        <v>345</v>
      </c>
      <c r="B15" s="60" t="s">
        <v>346</v>
      </c>
      <c r="C15" s="60" t="s">
        <v>347</v>
      </c>
      <c r="D15" s="60" t="str">
        <f>"0,9759"</f>
        <v>0,9759</v>
      </c>
      <c r="E15" s="59" t="s">
        <v>30</v>
      </c>
      <c r="F15" s="59" t="s">
        <v>348</v>
      </c>
      <c r="G15" s="61" t="s">
        <v>333</v>
      </c>
      <c r="H15" s="60" t="s">
        <v>333</v>
      </c>
      <c r="I15" s="61" t="s">
        <v>50</v>
      </c>
      <c r="J15" s="61"/>
      <c r="K15" s="59" t="str">
        <f>"65,0"</f>
        <v>65,0</v>
      </c>
      <c r="L15" s="60" t="str">
        <f>"63,4335"</f>
        <v>63,4335</v>
      </c>
      <c r="M15" s="59"/>
    </row>
    <row r="16" spans="1:13" x14ac:dyDescent="0.25">
      <c r="A16" s="62" t="s">
        <v>350</v>
      </c>
      <c r="B16" s="63" t="s">
        <v>351</v>
      </c>
      <c r="C16" s="63" t="s">
        <v>352</v>
      </c>
      <c r="D16" s="63" t="str">
        <f>"0,9255"</f>
        <v>0,9255</v>
      </c>
      <c r="E16" s="62" t="s">
        <v>30</v>
      </c>
      <c r="F16" s="62" t="s">
        <v>328</v>
      </c>
      <c r="G16" s="63" t="s">
        <v>281</v>
      </c>
      <c r="H16" s="63" t="s">
        <v>35</v>
      </c>
      <c r="I16" s="64" t="s">
        <v>36</v>
      </c>
      <c r="J16" s="64"/>
      <c r="K16" s="62" t="str">
        <f>"42,5"</f>
        <v>42,5</v>
      </c>
      <c r="L16" s="63" t="str">
        <f>"39,3337"</f>
        <v>39,3337</v>
      </c>
      <c r="M16" s="62"/>
    </row>
    <row r="18" spans="1:13" ht="15.6" x14ac:dyDescent="0.3">
      <c r="A18" s="50" t="s">
        <v>66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3" x14ac:dyDescent="0.25">
      <c r="A19" s="46" t="s">
        <v>354</v>
      </c>
      <c r="B19" s="47" t="s">
        <v>355</v>
      </c>
      <c r="C19" s="47" t="s">
        <v>356</v>
      </c>
      <c r="D19" s="47" t="str">
        <f>"0,8361"</f>
        <v>0,8361</v>
      </c>
      <c r="E19" s="46" t="s">
        <v>30</v>
      </c>
      <c r="F19" s="46" t="s">
        <v>128</v>
      </c>
      <c r="G19" s="47" t="s">
        <v>36</v>
      </c>
      <c r="H19" s="47" t="s">
        <v>37</v>
      </c>
      <c r="I19" s="48" t="s">
        <v>357</v>
      </c>
      <c r="J19" s="48"/>
      <c r="K19" s="46" t="str">
        <f>"47,5"</f>
        <v>47,5</v>
      </c>
      <c r="L19" s="47" t="str">
        <f>"39,7147"</f>
        <v>39,7147</v>
      </c>
      <c r="M19" s="46"/>
    </row>
    <row r="21" spans="1:13" ht="15.6" x14ac:dyDescent="0.3">
      <c r="A21" s="50" t="s">
        <v>358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3" x14ac:dyDescent="0.25">
      <c r="A22" s="46" t="s">
        <v>360</v>
      </c>
      <c r="B22" s="47" t="s">
        <v>361</v>
      </c>
      <c r="C22" s="47" t="s">
        <v>362</v>
      </c>
      <c r="D22" s="47" t="str">
        <f>"0,9706"</f>
        <v>0,9706</v>
      </c>
      <c r="E22" s="46" t="s">
        <v>30</v>
      </c>
      <c r="F22" s="46" t="s">
        <v>142</v>
      </c>
      <c r="G22" s="47" t="s">
        <v>363</v>
      </c>
      <c r="H22" s="47" t="s">
        <v>62</v>
      </c>
      <c r="I22" s="47" t="s">
        <v>33</v>
      </c>
      <c r="J22" s="48" t="s">
        <v>63</v>
      </c>
      <c r="K22" s="46" t="str">
        <f>"90,0"</f>
        <v>90,0</v>
      </c>
      <c r="L22" s="47" t="str">
        <f>"87,3495"</f>
        <v>87,3495</v>
      </c>
      <c r="M22" s="46"/>
    </row>
    <row r="24" spans="1:13" ht="15.6" x14ac:dyDescent="0.3">
      <c r="A24" s="50" t="s">
        <v>117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3" x14ac:dyDescent="0.25">
      <c r="A25" s="59" t="s">
        <v>365</v>
      </c>
      <c r="B25" s="60" t="s">
        <v>366</v>
      </c>
      <c r="C25" s="60" t="s">
        <v>367</v>
      </c>
      <c r="D25" s="60" t="str">
        <f>"0,8012"</f>
        <v>0,8012</v>
      </c>
      <c r="E25" s="59" t="s">
        <v>30</v>
      </c>
      <c r="F25" s="59" t="s">
        <v>342</v>
      </c>
      <c r="G25" s="60" t="s">
        <v>287</v>
      </c>
      <c r="H25" s="60" t="s">
        <v>368</v>
      </c>
      <c r="I25" s="61" t="s">
        <v>50</v>
      </c>
      <c r="J25" s="61"/>
      <c r="K25" s="59" t="str">
        <f>"72,5"</f>
        <v>72,5</v>
      </c>
      <c r="L25" s="60" t="str">
        <f>"58,0906"</f>
        <v>58,0906</v>
      </c>
      <c r="M25" s="59" t="s">
        <v>369</v>
      </c>
    </row>
    <row r="26" spans="1:13" x14ac:dyDescent="0.25">
      <c r="A26" s="66" t="s">
        <v>371</v>
      </c>
      <c r="B26" s="65" t="s">
        <v>372</v>
      </c>
      <c r="C26" s="65" t="s">
        <v>373</v>
      </c>
      <c r="D26" s="65" t="str">
        <f>"0,7513"</f>
        <v>0,7513</v>
      </c>
      <c r="E26" s="66" t="s">
        <v>30</v>
      </c>
      <c r="F26" s="66" t="s">
        <v>104</v>
      </c>
      <c r="G26" s="65" t="s">
        <v>39</v>
      </c>
      <c r="H26" s="65" t="s">
        <v>40</v>
      </c>
      <c r="I26" s="65" t="s">
        <v>47</v>
      </c>
      <c r="J26" s="67"/>
      <c r="K26" s="66" t="str">
        <f>"132,5"</f>
        <v>132,5</v>
      </c>
      <c r="L26" s="65" t="str">
        <f>"99,5406"</f>
        <v>99,5406</v>
      </c>
      <c r="M26" s="66"/>
    </row>
    <row r="27" spans="1:13" x14ac:dyDescent="0.25">
      <c r="A27" s="66" t="s">
        <v>375</v>
      </c>
      <c r="B27" s="65" t="s">
        <v>376</v>
      </c>
      <c r="C27" s="65" t="s">
        <v>141</v>
      </c>
      <c r="D27" s="65" t="str">
        <f>"0,7541"</f>
        <v>0,7541</v>
      </c>
      <c r="E27" s="66" t="s">
        <v>30</v>
      </c>
      <c r="F27" s="66" t="s">
        <v>104</v>
      </c>
      <c r="G27" s="65" t="s">
        <v>75</v>
      </c>
      <c r="H27" s="65" t="s">
        <v>40</v>
      </c>
      <c r="I27" s="67" t="s">
        <v>60</v>
      </c>
      <c r="J27" s="67"/>
      <c r="K27" s="66" t="str">
        <f>"125,0"</f>
        <v>125,0</v>
      </c>
      <c r="L27" s="65" t="str">
        <f>"94,2687"</f>
        <v>94,2687</v>
      </c>
      <c r="M27" s="66"/>
    </row>
    <row r="28" spans="1:13" x14ac:dyDescent="0.25">
      <c r="A28" s="66" t="s">
        <v>371</v>
      </c>
      <c r="B28" s="65" t="s">
        <v>377</v>
      </c>
      <c r="C28" s="65" t="s">
        <v>373</v>
      </c>
      <c r="D28" s="65" t="str">
        <f>"0,7513"</f>
        <v>0,7513</v>
      </c>
      <c r="E28" s="66" t="s">
        <v>30</v>
      </c>
      <c r="F28" s="66" t="s">
        <v>104</v>
      </c>
      <c r="G28" s="65" t="s">
        <v>39</v>
      </c>
      <c r="H28" s="65" t="s">
        <v>40</v>
      </c>
      <c r="I28" s="65" t="s">
        <v>47</v>
      </c>
      <c r="J28" s="67"/>
      <c r="K28" s="66" t="str">
        <f>"132,5"</f>
        <v>132,5</v>
      </c>
      <c r="L28" s="65" t="str">
        <f>"99,5406"</f>
        <v>99,5406</v>
      </c>
      <c r="M28" s="66"/>
    </row>
    <row r="29" spans="1:13" x14ac:dyDescent="0.25">
      <c r="A29" s="62" t="s">
        <v>379</v>
      </c>
      <c r="B29" s="63" t="s">
        <v>380</v>
      </c>
      <c r="C29" s="63" t="s">
        <v>381</v>
      </c>
      <c r="D29" s="63" t="str">
        <f>"0,7551"</f>
        <v>0,7551</v>
      </c>
      <c r="E29" s="62" t="s">
        <v>30</v>
      </c>
      <c r="F29" s="62" t="s">
        <v>104</v>
      </c>
      <c r="G29" s="63" t="s">
        <v>38</v>
      </c>
      <c r="H29" s="63" t="s">
        <v>75</v>
      </c>
      <c r="I29" s="63" t="s">
        <v>276</v>
      </c>
      <c r="J29" s="64"/>
      <c r="K29" s="62" t="str">
        <f>"117,5"</f>
        <v>117,5</v>
      </c>
      <c r="L29" s="63" t="str">
        <f>"88,7243"</f>
        <v>88,7243</v>
      </c>
      <c r="M29" s="62"/>
    </row>
    <row r="31" spans="1:13" ht="15.6" x14ac:dyDescent="0.3">
      <c r="A31" s="50" t="s">
        <v>66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3" x14ac:dyDescent="0.25">
      <c r="A32" s="59" t="s">
        <v>383</v>
      </c>
      <c r="B32" s="60" t="s">
        <v>384</v>
      </c>
      <c r="C32" s="60" t="s">
        <v>385</v>
      </c>
      <c r="D32" s="60" t="str">
        <f>"0,7181"</f>
        <v>0,7181</v>
      </c>
      <c r="E32" s="59" t="s">
        <v>30</v>
      </c>
      <c r="F32" s="59" t="s">
        <v>265</v>
      </c>
      <c r="G32" s="60" t="s">
        <v>51</v>
      </c>
      <c r="H32" s="60" t="s">
        <v>386</v>
      </c>
      <c r="I32" s="60" t="s">
        <v>32</v>
      </c>
      <c r="J32" s="61"/>
      <c r="K32" s="59" t="str">
        <f>"85,0"</f>
        <v>85,0</v>
      </c>
      <c r="L32" s="60" t="str">
        <f>"61,0343"</f>
        <v>61,0343</v>
      </c>
      <c r="M32" s="59"/>
    </row>
    <row r="33" spans="1:13" x14ac:dyDescent="0.25">
      <c r="A33" s="66" t="s">
        <v>388</v>
      </c>
      <c r="B33" s="65" t="s">
        <v>389</v>
      </c>
      <c r="C33" s="65" t="s">
        <v>390</v>
      </c>
      <c r="D33" s="65" t="str">
        <f>"0,7157"</f>
        <v>0,7157</v>
      </c>
      <c r="E33" s="66" t="s">
        <v>30</v>
      </c>
      <c r="F33" s="66" t="s">
        <v>391</v>
      </c>
      <c r="G33" s="65" t="s">
        <v>276</v>
      </c>
      <c r="H33" s="67" t="s">
        <v>40</v>
      </c>
      <c r="I33" s="65" t="s">
        <v>40</v>
      </c>
      <c r="J33" s="67"/>
      <c r="K33" s="66" t="str">
        <f>"125,0"</f>
        <v>125,0</v>
      </c>
      <c r="L33" s="65" t="str">
        <f>"89,4563"</f>
        <v>89,4563</v>
      </c>
      <c r="M33" s="66"/>
    </row>
    <row r="34" spans="1:13" x14ac:dyDescent="0.25">
      <c r="A34" s="62" t="s">
        <v>393</v>
      </c>
      <c r="B34" s="63" t="s">
        <v>394</v>
      </c>
      <c r="C34" s="63" t="s">
        <v>291</v>
      </c>
      <c r="D34" s="63" t="str">
        <f>"0,6906"</f>
        <v>0,6906</v>
      </c>
      <c r="E34" s="62" t="s">
        <v>30</v>
      </c>
      <c r="F34" s="62" t="s">
        <v>104</v>
      </c>
      <c r="G34" s="63" t="s">
        <v>59</v>
      </c>
      <c r="H34" s="63" t="s">
        <v>60</v>
      </c>
      <c r="I34" s="63" t="s">
        <v>48</v>
      </c>
      <c r="J34" s="64"/>
      <c r="K34" s="62" t="str">
        <f>"137,5"</f>
        <v>137,5</v>
      </c>
      <c r="L34" s="63" t="str">
        <f>"99,0407"</f>
        <v>99,0407</v>
      </c>
      <c r="M34" s="62"/>
    </row>
    <row r="36" spans="1:13" ht="15.6" x14ac:dyDescent="0.3">
      <c r="A36" s="50" t="s">
        <v>150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3" x14ac:dyDescent="0.25">
      <c r="A37" s="59" t="s">
        <v>396</v>
      </c>
      <c r="B37" s="60" t="s">
        <v>397</v>
      </c>
      <c r="C37" s="60" t="s">
        <v>398</v>
      </c>
      <c r="D37" s="60" t="str">
        <f>"0,6718"</f>
        <v>0,6718</v>
      </c>
      <c r="E37" s="59" t="s">
        <v>30</v>
      </c>
      <c r="F37" s="59" t="s">
        <v>399</v>
      </c>
      <c r="G37" s="61" t="s">
        <v>400</v>
      </c>
      <c r="H37" s="60" t="s">
        <v>400</v>
      </c>
      <c r="I37" s="60" t="s">
        <v>59</v>
      </c>
      <c r="J37" s="61"/>
      <c r="K37" s="59" t="str">
        <f>"130,0"</f>
        <v>130,0</v>
      </c>
      <c r="L37" s="60" t="str">
        <f>"87,3340"</f>
        <v>87,3340</v>
      </c>
      <c r="M37" s="59"/>
    </row>
    <row r="38" spans="1:13" x14ac:dyDescent="0.25">
      <c r="A38" s="66" t="s">
        <v>402</v>
      </c>
      <c r="B38" s="65" t="s">
        <v>403</v>
      </c>
      <c r="C38" s="65" t="s">
        <v>404</v>
      </c>
      <c r="D38" s="65" t="str">
        <f>"0,6456"</f>
        <v>0,6456</v>
      </c>
      <c r="E38" s="66" t="s">
        <v>30</v>
      </c>
      <c r="F38" s="66" t="s">
        <v>104</v>
      </c>
      <c r="G38" s="67" t="s">
        <v>61</v>
      </c>
      <c r="H38" s="65" t="s">
        <v>61</v>
      </c>
      <c r="I38" s="67" t="s">
        <v>71</v>
      </c>
      <c r="J38" s="67"/>
      <c r="K38" s="66" t="str">
        <f>"140,0"</f>
        <v>140,0</v>
      </c>
      <c r="L38" s="65" t="str">
        <f>"90,3840"</f>
        <v>90,3840</v>
      </c>
      <c r="M38" s="66"/>
    </row>
    <row r="39" spans="1:13" x14ac:dyDescent="0.25">
      <c r="A39" s="62" t="s">
        <v>406</v>
      </c>
      <c r="B39" s="63" t="s">
        <v>407</v>
      </c>
      <c r="C39" s="63" t="s">
        <v>408</v>
      </c>
      <c r="D39" s="63" t="str">
        <f>"0,6706"</f>
        <v>0,6706</v>
      </c>
      <c r="E39" s="62" t="s">
        <v>30</v>
      </c>
      <c r="F39" s="62" t="s">
        <v>244</v>
      </c>
      <c r="G39" s="63" t="s">
        <v>149</v>
      </c>
      <c r="H39" s="63" t="s">
        <v>74</v>
      </c>
      <c r="I39" s="64" t="s">
        <v>75</v>
      </c>
      <c r="J39" s="64"/>
      <c r="K39" s="62" t="str">
        <f>"110,0"</f>
        <v>110,0</v>
      </c>
      <c r="L39" s="63" t="str">
        <f>"84,6096"</f>
        <v>84,6096</v>
      </c>
      <c r="M39" s="62"/>
    </row>
    <row r="41" spans="1:13" ht="15.6" x14ac:dyDescent="0.3">
      <c r="A41" s="50" t="s">
        <v>165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3" x14ac:dyDescent="0.25">
      <c r="A42" s="59" t="s">
        <v>410</v>
      </c>
      <c r="B42" s="60" t="s">
        <v>411</v>
      </c>
      <c r="C42" s="60" t="s">
        <v>412</v>
      </c>
      <c r="D42" s="60" t="str">
        <f>"0,6137"</f>
        <v>0,6137</v>
      </c>
      <c r="E42" s="59" t="s">
        <v>30</v>
      </c>
      <c r="F42" s="59" t="s">
        <v>413</v>
      </c>
      <c r="G42" s="60" t="s">
        <v>175</v>
      </c>
      <c r="H42" s="60" t="s">
        <v>191</v>
      </c>
      <c r="I42" s="60" t="s">
        <v>76</v>
      </c>
      <c r="J42" s="61"/>
      <c r="K42" s="59" t="str">
        <f>"180,0"</f>
        <v>180,0</v>
      </c>
      <c r="L42" s="60" t="str">
        <f>"110,4750"</f>
        <v>110,4750</v>
      </c>
      <c r="M42" s="59"/>
    </row>
    <row r="43" spans="1:13" x14ac:dyDescent="0.25">
      <c r="A43" s="66" t="s">
        <v>415</v>
      </c>
      <c r="B43" s="65" t="s">
        <v>416</v>
      </c>
      <c r="C43" s="65" t="s">
        <v>417</v>
      </c>
      <c r="D43" s="65" t="str">
        <f>"0,6161"</f>
        <v>0,6161</v>
      </c>
      <c r="E43" s="66" t="s">
        <v>30</v>
      </c>
      <c r="F43" s="66" t="s">
        <v>104</v>
      </c>
      <c r="G43" s="65" t="s">
        <v>191</v>
      </c>
      <c r="H43" s="65" t="s">
        <v>76</v>
      </c>
      <c r="I43" s="67" t="s">
        <v>418</v>
      </c>
      <c r="J43" s="67"/>
      <c r="K43" s="66" t="str">
        <f>"180,0"</f>
        <v>180,0</v>
      </c>
      <c r="L43" s="65" t="str">
        <f>"110,8890"</f>
        <v>110,8890</v>
      </c>
      <c r="M43" s="66"/>
    </row>
    <row r="44" spans="1:13" x14ac:dyDescent="0.25">
      <c r="A44" s="66" t="s">
        <v>420</v>
      </c>
      <c r="B44" s="65" t="s">
        <v>421</v>
      </c>
      <c r="C44" s="65" t="s">
        <v>422</v>
      </c>
      <c r="D44" s="65" t="str">
        <f>"0,6269"</f>
        <v>0,6269</v>
      </c>
      <c r="E44" s="66" t="s">
        <v>30</v>
      </c>
      <c r="F44" s="66" t="s">
        <v>423</v>
      </c>
      <c r="G44" s="65" t="s">
        <v>72</v>
      </c>
      <c r="H44" s="65" t="s">
        <v>73</v>
      </c>
      <c r="I44" s="67" t="s">
        <v>65</v>
      </c>
      <c r="J44" s="67"/>
      <c r="K44" s="66" t="str">
        <f>"160,0"</f>
        <v>160,0</v>
      </c>
      <c r="L44" s="65" t="str">
        <f>"100,2960"</f>
        <v>100,2960</v>
      </c>
      <c r="M44" s="66"/>
    </row>
    <row r="45" spans="1:13" x14ac:dyDescent="0.25">
      <c r="A45" s="66" t="s">
        <v>425</v>
      </c>
      <c r="B45" s="65" t="s">
        <v>426</v>
      </c>
      <c r="C45" s="65" t="s">
        <v>427</v>
      </c>
      <c r="D45" s="65" t="str">
        <f>"0,6184"</f>
        <v>0,6184</v>
      </c>
      <c r="E45" s="66" t="s">
        <v>30</v>
      </c>
      <c r="F45" s="66" t="s">
        <v>428</v>
      </c>
      <c r="G45" s="67" t="s">
        <v>61</v>
      </c>
      <c r="H45" s="67" t="s">
        <v>61</v>
      </c>
      <c r="I45" s="65" t="s">
        <v>71</v>
      </c>
      <c r="J45" s="67"/>
      <c r="K45" s="66" t="str">
        <f>"145,0"</f>
        <v>145,0</v>
      </c>
      <c r="L45" s="65" t="str">
        <f>"89,6752"</f>
        <v>89,6752</v>
      </c>
      <c r="M45" s="66"/>
    </row>
    <row r="46" spans="1:13" x14ac:dyDescent="0.25">
      <c r="A46" s="66" t="s">
        <v>430</v>
      </c>
      <c r="B46" s="65" t="s">
        <v>431</v>
      </c>
      <c r="C46" s="65" t="s">
        <v>432</v>
      </c>
      <c r="D46" s="65" t="str">
        <f>"0,6205"</f>
        <v>0,6205</v>
      </c>
      <c r="E46" s="66" t="s">
        <v>30</v>
      </c>
      <c r="F46" s="66" t="s">
        <v>391</v>
      </c>
      <c r="G46" s="67" t="s">
        <v>47</v>
      </c>
      <c r="H46" s="65" t="s">
        <v>47</v>
      </c>
      <c r="I46" s="65" t="s">
        <v>61</v>
      </c>
      <c r="J46" s="67"/>
      <c r="K46" s="66" t="str">
        <f>"140,0"</f>
        <v>140,0</v>
      </c>
      <c r="L46" s="65" t="str">
        <f>"86,8700"</f>
        <v>86,8700</v>
      </c>
      <c r="M46" s="66"/>
    </row>
    <row r="47" spans="1:13" x14ac:dyDescent="0.25">
      <c r="A47" s="62" t="s">
        <v>434</v>
      </c>
      <c r="B47" s="63" t="s">
        <v>435</v>
      </c>
      <c r="C47" s="63" t="s">
        <v>417</v>
      </c>
      <c r="D47" s="63" t="str">
        <f>"0,6161"</f>
        <v>0,6161</v>
      </c>
      <c r="E47" s="62" t="s">
        <v>30</v>
      </c>
      <c r="F47" s="62" t="s">
        <v>328</v>
      </c>
      <c r="G47" s="63" t="s">
        <v>71</v>
      </c>
      <c r="H47" s="63" t="s">
        <v>72</v>
      </c>
      <c r="I47" s="63" t="s">
        <v>107</v>
      </c>
      <c r="J47" s="64"/>
      <c r="K47" s="62" t="str">
        <f>"157,5"</f>
        <v>157,5</v>
      </c>
      <c r="L47" s="63" t="str">
        <f>"109,6415"</f>
        <v>109,6415</v>
      </c>
      <c r="M47" s="62"/>
    </row>
    <row r="49" spans="1:13" ht="15.6" x14ac:dyDescent="0.3">
      <c r="A49" s="50" t="s">
        <v>170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3" x14ac:dyDescent="0.25">
      <c r="A50" s="59" t="s">
        <v>437</v>
      </c>
      <c r="B50" s="60" t="s">
        <v>438</v>
      </c>
      <c r="C50" s="60" t="s">
        <v>439</v>
      </c>
      <c r="D50" s="60" t="str">
        <f>"0,5843"</f>
        <v>0,5843</v>
      </c>
      <c r="E50" s="59" t="s">
        <v>30</v>
      </c>
      <c r="F50" s="59" t="s">
        <v>391</v>
      </c>
      <c r="G50" s="60" t="s">
        <v>61</v>
      </c>
      <c r="H50" s="60" t="s">
        <v>71</v>
      </c>
      <c r="I50" s="60" t="s">
        <v>440</v>
      </c>
      <c r="J50" s="61"/>
      <c r="K50" s="59" t="str">
        <f>"147,5"</f>
        <v>147,5</v>
      </c>
      <c r="L50" s="60" t="str">
        <f>"86,1842"</f>
        <v>86,1842</v>
      </c>
      <c r="M50" s="59"/>
    </row>
    <row r="51" spans="1:13" x14ac:dyDescent="0.25">
      <c r="A51" s="66" t="s">
        <v>442</v>
      </c>
      <c r="B51" s="65" t="s">
        <v>443</v>
      </c>
      <c r="C51" s="65" t="s">
        <v>444</v>
      </c>
      <c r="D51" s="65" t="str">
        <f>"0,6100"</f>
        <v>0,6100</v>
      </c>
      <c r="E51" s="66" t="s">
        <v>30</v>
      </c>
      <c r="F51" s="66" t="s">
        <v>104</v>
      </c>
      <c r="G51" s="65" t="s">
        <v>61</v>
      </c>
      <c r="H51" s="67" t="s">
        <v>65</v>
      </c>
      <c r="I51" s="67"/>
      <c r="J51" s="67"/>
      <c r="K51" s="66" t="str">
        <f>"140,0"</f>
        <v>140,0</v>
      </c>
      <c r="L51" s="65" t="str">
        <f>"85,4000"</f>
        <v>85,4000</v>
      </c>
      <c r="M51" s="66"/>
    </row>
    <row r="52" spans="1:13" x14ac:dyDescent="0.25">
      <c r="A52" s="66" t="s">
        <v>446</v>
      </c>
      <c r="B52" s="65" t="s">
        <v>447</v>
      </c>
      <c r="C52" s="65" t="s">
        <v>448</v>
      </c>
      <c r="D52" s="65" t="str">
        <f>"0,5885"</f>
        <v>0,5885</v>
      </c>
      <c r="E52" s="66" t="s">
        <v>30</v>
      </c>
      <c r="F52" s="66" t="s">
        <v>342</v>
      </c>
      <c r="G52" s="65" t="s">
        <v>176</v>
      </c>
      <c r="H52" s="65" t="s">
        <v>76</v>
      </c>
      <c r="I52" s="67" t="s">
        <v>292</v>
      </c>
      <c r="J52" s="67"/>
      <c r="K52" s="66" t="str">
        <f>"180,0"</f>
        <v>180,0</v>
      </c>
      <c r="L52" s="65" t="str">
        <f>"116,2151"</f>
        <v>116,2151</v>
      </c>
      <c r="M52" s="66"/>
    </row>
    <row r="53" spans="1:13" x14ac:dyDescent="0.25">
      <c r="A53" s="66" t="s">
        <v>450</v>
      </c>
      <c r="B53" s="65" t="s">
        <v>451</v>
      </c>
      <c r="C53" s="65" t="s">
        <v>452</v>
      </c>
      <c r="D53" s="65" t="str">
        <f>"0,5867"</f>
        <v>0,5867</v>
      </c>
      <c r="E53" s="66" t="s">
        <v>30</v>
      </c>
      <c r="F53" s="66" t="s">
        <v>453</v>
      </c>
      <c r="G53" s="65" t="s">
        <v>181</v>
      </c>
      <c r="H53" s="67" t="s">
        <v>293</v>
      </c>
      <c r="I53" s="67" t="s">
        <v>293</v>
      </c>
      <c r="J53" s="67"/>
      <c r="K53" s="66" t="str">
        <f>"185,0"</f>
        <v>185,0</v>
      </c>
      <c r="L53" s="65" t="str">
        <f>"128,4998"</f>
        <v>128,4998</v>
      </c>
      <c r="M53" s="66"/>
    </row>
    <row r="54" spans="1:13" x14ac:dyDescent="0.25">
      <c r="A54" s="62" t="s">
        <v>455</v>
      </c>
      <c r="B54" s="63" t="s">
        <v>456</v>
      </c>
      <c r="C54" s="63" t="s">
        <v>457</v>
      </c>
      <c r="D54" s="63" t="str">
        <f>"0,6029"</f>
        <v>0,6029</v>
      </c>
      <c r="E54" s="62" t="s">
        <v>30</v>
      </c>
      <c r="F54" s="62" t="s">
        <v>104</v>
      </c>
      <c r="G54" s="64" t="s">
        <v>276</v>
      </c>
      <c r="H54" s="63" t="s">
        <v>276</v>
      </c>
      <c r="I54" s="64" t="s">
        <v>39</v>
      </c>
      <c r="J54" s="64"/>
      <c r="K54" s="62" t="str">
        <f>"117,5"</f>
        <v>117,5</v>
      </c>
      <c r="L54" s="63" t="str">
        <f>"98,6893"</f>
        <v>98,6893</v>
      </c>
      <c r="M54" s="62"/>
    </row>
    <row r="56" spans="1:13" ht="15.6" x14ac:dyDescent="0.3">
      <c r="A56" s="50" t="s">
        <v>182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3" x14ac:dyDescent="0.25">
      <c r="A57" s="59" t="s">
        <v>459</v>
      </c>
      <c r="B57" s="60" t="s">
        <v>460</v>
      </c>
      <c r="C57" s="60" t="s">
        <v>461</v>
      </c>
      <c r="D57" s="60" t="str">
        <f>"0,5666"</f>
        <v>0,5666</v>
      </c>
      <c r="E57" s="59" t="s">
        <v>30</v>
      </c>
      <c r="F57" s="59" t="s">
        <v>462</v>
      </c>
      <c r="G57" s="60" t="s">
        <v>73</v>
      </c>
      <c r="H57" s="60" t="s">
        <v>463</v>
      </c>
      <c r="I57" s="60" t="s">
        <v>191</v>
      </c>
      <c r="J57" s="61"/>
      <c r="K57" s="59" t="str">
        <f>"175,0"</f>
        <v>175,0</v>
      </c>
      <c r="L57" s="60" t="str">
        <f>"99,1637"</f>
        <v>99,1637</v>
      </c>
      <c r="M57" s="59"/>
    </row>
    <row r="58" spans="1:13" x14ac:dyDescent="0.25">
      <c r="A58" s="66" t="s">
        <v>465</v>
      </c>
      <c r="B58" s="65" t="s">
        <v>466</v>
      </c>
      <c r="C58" s="65" t="s">
        <v>467</v>
      </c>
      <c r="D58" s="65" t="str">
        <f>"0,5647"</f>
        <v>0,5647</v>
      </c>
      <c r="E58" s="66" t="s">
        <v>30</v>
      </c>
      <c r="F58" s="66" t="s">
        <v>104</v>
      </c>
      <c r="G58" s="65" t="s">
        <v>286</v>
      </c>
      <c r="H58" s="67" t="s">
        <v>440</v>
      </c>
      <c r="I58" s="65" t="s">
        <v>440</v>
      </c>
      <c r="J58" s="67"/>
      <c r="K58" s="66" t="str">
        <f>"147,5"</f>
        <v>147,5</v>
      </c>
      <c r="L58" s="65" t="str">
        <f>"86,8749"</f>
        <v>86,8749</v>
      </c>
      <c r="M58" s="66"/>
    </row>
    <row r="59" spans="1:13" x14ac:dyDescent="0.25">
      <c r="A59" s="66" t="s">
        <v>469</v>
      </c>
      <c r="B59" s="65" t="s">
        <v>470</v>
      </c>
      <c r="C59" s="65" t="s">
        <v>471</v>
      </c>
      <c r="D59" s="65" t="str">
        <f>"0,5683"</f>
        <v>0,5683</v>
      </c>
      <c r="E59" s="66" t="s">
        <v>30</v>
      </c>
      <c r="F59" s="66" t="s">
        <v>453</v>
      </c>
      <c r="G59" s="65" t="s">
        <v>76</v>
      </c>
      <c r="H59" s="65" t="s">
        <v>181</v>
      </c>
      <c r="I59" s="67" t="s">
        <v>293</v>
      </c>
      <c r="J59" s="67"/>
      <c r="K59" s="66" t="str">
        <f>"185,0"</f>
        <v>185,0</v>
      </c>
      <c r="L59" s="65" t="str">
        <f>"113,7566"</f>
        <v>113,7566</v>
      </c>
      <c r="M59" s="66"/>
    </row>
    <row r="60" spans="1:13" x14ac:dyDescent="0.25">
      <c r="A60" s="66" t="s">
        <v>473</v>
      </c>
      <c r="B60" s="65" t="s">
        <v>474</v>
      </c>
      <c r="C60" s="65" t="s">
        <v>475</v>
      </c>
      <c r="D60" s="65" t="str">
        <f>"0,5694"</f>
        <v>0,5694</v>
      </c>
      <c r="E60" s="66" t="s">
        <v>30</v>
      </c>
      <c r="F60" s="66" t="s">
        <v>104</v>
      </c>
      <c r="G60" s="67" t="s">
        <v>40</v>
      </c>
      <c r="H60" s="67" t="s">
        <v>40</v>
      </c>
      <c r="I60" s="67" t="s">
        <v>40</v>
      </c>
      <c r="J60" s="67"/>
      <c r="K60" s="66" t="str">
        <f>"0.00"</f>
        <v>0.00</v>
      </c>
      <c r="L60" s="65" t="str">
        <f>"0,0000"</f>
        <v>0,0000</v>
      </c>
      <c r="M60" s="66"/>
    </row>
    <row r="61" spans="1:13" x14ac:dyDescent="0.25">
      <c r="A61" s="62" t="s">
        <v>477</v>
      </c>
      <c r="B61" s="63" t="s">
        <v>478</v>
      </c>
      <c r="C61" s="63" t="s">
        <v>479</v>
      </c>
      <c r="D61" s="63" t="str">
        <f>"0,5631"</f>
        <v>0,5631</v>
      </c>
      <c r="E61" s="62" t="s">
        <v>30</v>
      </c>
      <c r="F61" s="62" t="s">
        <v>480</v>
      </c>
      <c r="G61" s="64" t="s">
        <v>59</v>
      </c>
      <c r="H61" s="63" t="s">
        <v>59</v>
      </c>
      <c r="I61" s="63" t="s">
        <v>61</v>
      </c>
      <c r="J61" s="64"/>
      <c r="K61" s="62" t="str">
        <f>"140,0"</f>
        <v>140,0</v>
      </c>
      <c r="L61" s="63" t="str">
        <f>"107,6872"</f>
        <v>107,6872</v>
      </c>
      <c r="M61" s="62"/>
    </row>
    <row r="63" spans="1:13" ht="15.6" x14ac:dyDescent="0.3">
      <c r="A63" s="50" t="s">
        <v>99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</row>
    <row r="64" spans="1:13" x14ac:dyDescent="0.25">
      <c r="A64" s="59" t="s">
        <v>482</v>
      </c>
      <c r="B64" s="60" t="s">
        <v>483</v>
      </c>
      <c r="C64" s="60" t="s">
        <v>484</v>
      </c>
      <c r="D64" s="60" t="str">
        <f>"0,5566"</f>
        <v>0,5566</v>
      </c>
      <c r="E64" s="59" t="s">
        <v>30</v>
      </c>
      <c r="F64" s="59" t="s">
        <v>462</v>
      </c>
      <c r="G64" s="61" t="s">
        <v>61</v>
      </c>
      <c r="H64" s="60" t="s">
        <v>71</v>
      </c>
      <c r="I64" s="60" t="s">
        <v>72</v>
      </c>
      <c r="J64" s="61"/>
      <c r="K64" s="59" t="str">
        <f>"152,5"</f>
        <v>152,5</v>
      </c>
      <c r="L64" s="60" t="str">
        <f>"84,8739"</f>
        <v>84,8739</v>
      </c>
      <c r="M64" s="59"/>
    </row>
    <row r="65" spans="1:13" x14ac:dyDescent="0.25">
      <c r="A65" s="66" t="s">
        <v>486</v>
      </c>
      <c r="B65" s="65" t="s">
        <v>487</v>
      </c>
      <c r="C65" s="65" t="s">
        <v>488</v>
      </c>
      <c r="D65" s="65" t="str">
        <f>"0,5551"</f>
        <v>0,5551</v>
      </c>
      <c r="E65" s="66" t="s">
        <v>30</v>
      </c>
      <c r="F65" s="66" t="s">
        <v>104</v>
      </c>
      <c r="G65" s="65" t="s">
        <v>175</v>
      </c>
      <c r="H65" s="65" t="s">
        <v>489</v>
      </c>
      <c r="I65" s="67" t="s">
        <v>52</v>
      </c>
      <c r="J65" s="67"/>
      <c r="K65" s="66" t="str">
        <f>"172,5"</f>
        <v>172,5</v>
      </c>
      <c r="L65" s="65" t="str">
        <f>"95,7548"</f>
        <v>95,7548</v>
      </c>
      <c r="M65" s="66"/>
    </row>
    <row r="66" spans="1:13" x14ac:dyDescent="0.25">
      <c r="A66" s="66" t="s">
        <v>491</v>
      </c>
      <c r="B66" s="65" t="s">
        <v>492</v>
      </c>
      <c r="C66" s="65" t="s">
        <v>493</v>
      </c>
      <c r="D66" s="65" t="str">
        <f>"0,5534"</f>
        <v>0,5534</v>
      </c>
      <c r="E66" s="66" t="s">
        <v>30</v>
      </c>
      <c r="F66" s="66" t="s">
        <v>494</v>
      </c>
      <c r="G66" s="65" t="s">
        <v>61</v>
      </c>
      <c r="H66" s="65" t="s">
        <v>203</v>
      </c>
      <c r="I66" s="65" t="s">
        <v>64</v>
      </c>
      <c r="J66" s="67"/>
      <c r="K66" s="66" t="str">
        <f>"155,0"</f>
        <v>155,0</v>
      </c>
      <c r="L66" s="65" t="str">
        <f>"92,8107"</f>
        <v>92,8107</v>
      </c>
      <c r="M66" s="66"/>
    </row>
    <row r="67" spans="1:13" x14ac:dyDescent="0.25">
      <c r="A67" s="66" t="s">
        <v>496</v>
      </c>
      <c r="B67" s="65" t="s">
        <v>497</v>
      </c>
      <c r="C67" s="65" t="s">
        <v>498</v>
      </c>
      <c r="D67" s="65" t="str">
        <f>"0,5466"</f>
        <v>0,5466</v>
      </c>
      <c r="E67" s="66" t="s">
        <v>30</v>
      </c>
      <c r="F67" s="66" t="s">
        <v>104</v>
      </c>
      <c r="G67" s="65" t="s">
        <v>293</v>
      </c>
      <c r="H67" s="65" t="s">
        <v>499</v>
      </c>
      <c r="I67" s="67" t="s">
        <v>500</v>
      </c>
      <c r="J67" s="67"/>
      <c r="K67" s="66" t="str">
        <f>"205,0"</f>
        <v>205,0</v>
      </c>
      <c r="L67" s="65" t="str">
        <f>"126,6199"</f>
        <v>126,6199</v>
      </c>
      <c r="M67" s="66"/>
    </row>
    <row r="68" spans="1:13" x14ac:dyDescent="0.25">
      <c r="A68" s="62" t="s">
        <v>502</v>
      </c>
      <c r="B68" s="63" t="s">
        <v>503</v>
      </c>
      <c r="C68" s="63" t="s">
        <v>504</v>
      </c>
      <c r="D68" s="63" t="str">
        <f>"0,5513"</f>
        <v>0,5513</v>
      </c>
      <c r="E68" s="62" t="s">
        <v>30</v>
      </c>
      <c r="F68" s="62" t="s">
        <v>104</v>
      </c>
      <c r="G68" s="63" t="s">
        <v>176</v>
      </c>
      <c r="H68" s="64" t="s">
        <v>191</v>
      </c>
      <c r="I68" s="64" t="s">
        <v>191</v>
      </c>
      <c r="J68" s="64"/>
      <c r="K68" s="62" t="str">
        <f>"170,0"</f>
        <v>170,0</v>
      </c>
      <c r="L68" s="63" t="str">
        <f>"105,9047"</f>
        <v>105,9047</v>
      </c>
      <c r="M68" s="62"/>
    </row>
    <row r="70" spans="1:13" ht="15" x14ac:dyDescent="0.25">
      <c r="E70" s="34" t="s">
        <v>15</v>
      </c>
    </row>
    <row r="71" spans="1:13" ht="15" x14ac:dyDescent="0.25">
      <c r="E71" s="34" t="s">
        <v>16</v>
      </c>
    </row>
    <row r="72" spans="1:13" ht="15" x14ac:dyDescent="0.25">
      <c r="E72" s="34" t="s">
        <v>17</v>
      </c>
    </row>
    <row r="73" spans="1:13" x14ac:dyDescent="0.25">
      <c r="E73" s="4" t="s">
        <v>18</v>
      </c>
    </row>
    <row r="74" spans="1:13" x14ac:dyDescent="0.25">
      <c r="E74" s="4" t="s">
        <v>19</v>
      </c>
    </row>
    <row r="75" spans="1:13" x14ac:dyDescent="0.25">
      <c r="E75" s="4" t="s">
        <v>20</v>
      </c>
    </row>
    <row r="78" spans="1:13" ht="17.399999999999999" x14ac:dyDescent="0.3">
      <c r="A78" s="43" t="s">
        <v>21</v>
      </c>
      <c r="B78" s="44"/>
    </row>
    <row r="79" spans="1:13" ht="15.6" x14ac:dyDescent="0.3">
      <c r="A79" s="52" t="s">
        <v>79</v>
      </c>
      <c r="B79" s="53"/>
    </row>
    <row r="80" spans="1:13" ht="14.4" x14ac:dyDescent="0.3">
      <c r="A80" s="55"/>
      <c r="B80" s="56" t="s">
        <v>211</v>
      </c>
    </row>
    <row r="81" spans="1:5" ht="13.8" x14ac:dyDescent="0.25">
      <c r="A81" s="57" t="s">
        <v>0</v>
      </c>
      <c r="B81" s="57" t="s">
        <v>81</v>
      </c>
      <c r="C81" s="57" t="s">
        <v>82</v>
      </c>
      <c r="D81" s="57" t="s">
        <v>83</v>
      </c>
      <c r="E81" s="57" t="s">
        <v>24</v>
      </c>
    </row>
    <row r="82" spans="1:5" x14ac:dyDescent="0.25">
      <c r="A82" s="54" t="s">
        <v>324</v>
      </c>
      <c r="B82" s="5" t="s">
        <v>505</v>
      </c>
      <c r="C82" s="5" t="s">
        <v>95</v>
      </c>
      <c r="D82" s="5" t="s">
        <v>281</v>
      </c>
      <c r="E82" s="58" t="s">
        <v>506</v>
      </c>
    </row>
    <row r="84" spans="1:5" ht="14.4" x14ac:dyDescent="0.3">
      <c r="A84" s="55"/>
      <c r="B84" s="56" t="s">
        <v>507</v>
      </c>
    </row>
    <row r="85" spans="1:5" ht="13.8" x14ac:dyDescent="0.25">
      <c r="A85" s="57" t="s">
        <v>0</v>
      </c>
      <c r="B85" s="57" t="s">
        <v>81</v>
      </c>
      <c r="C85" s="57" t="s">
        <v>82</v>
      </c>
      <c r="D85" s="57" t="s">
        <v>83</v>
      </c>
      <c r="E85" s="57" t="s">
        <v>24</v>
      </c>
    </row>
    <row r="86" spans="1:5" x14ac:dyDescent="0.25">
      <c r="A86" s="54" t="s">
        <v>344</v>
      </c>
      <c r="B86" s="5" t="s">
        <v>508</v>
      </c>
      <c r="C86" s="5" t="s">
        <v>205</v>
      </c>
      <c r="D86" s="5" t="s">
        <v>333</v>
      </c>
      <c r="E86" s="58" t="s">
        <v>509</v>
      </c>
    </row>
    <row r="88" spans="1:5" ht="14.4" x14ac:dyDescent="0.3">
      <c r="A88" s="55"/>
      <c r="B88" s="56" t="s">
        <v>80</v>
      </c>
    </row>
    <row r="89" spans="1:5" ht="13.8" x14ac:dyDescent="0.25">
      <c r="A89" s="57" t="s">
        <v>0</v>
      </c>
      <c r="B89" s="57" t="s">
        <v>81</v>
      </c>
      <c r="C89" s="57" t="s">
        <v>82</v>
      </c>
      <c r="D89" s="57" t="s">
        <v>83</v>
      </c>
      <c r="E89" s="57" t="s">
        <v>24</v>
      </c>
    </row>
    <row r="90" spans="1:5" x14ac:dyDescent="0.25">
      <c r="A90" s="54" t="s">
        <v>329</v>
      </c>
      <c r="B90" s="5" t="s">
        <v>80</v>
      </c>
      <c r="C90" s="5" t="s">
        <v>95</v>
      </c>
      <c r="D90" s="5" t="s">
        <v>333</v>
      </c>
      <c r="E90" s="58" t="s">
        <v>510</v>
      </c>
    </row>
    <row r="91" spans="1:5" x14ac:dyDescent="0.25">
      <c r="A91" s="54" t="s">
        <v>334</v>
      </c>
      <c r="B91" s="5" t="s">
        <v>80</v>
      </c>
      <c r="C91" s="5" t="s">
        <v>95</v>
      </c>
      <c r="D91" s="5" t="s">
        <v>36</v>
      </c>
      <c r="E91" s="58" t="s">
        <v>511</v>
      </c>
    </row>
    <row r="92" spans="1:5" x14ac:dyDescent="0.25">
      <c r="A92" s="54" t="s">
        <v>318</v>
      </c>
      <c r="B92" s="5" t="s">
        <v>80</v>
      </c>
      <c r="C92" s="5" t="s">
        <v>84</v>
      </c>
      <c r="D92" s="5" t="s">
        <v>322</v>
      </c>
      <c r="E92" s="58" t="s">
        <v>512</v>
      </c>
    </row>
    <row r="93" spans="1:5" x14ac:dyDescent="0.25">
      <c r="A93" s="54" t="s">
        <v>353</v>
      </c>
      <c r="B93" s="5" t="s">
        <v>80</v>
      </c>
      <c r="C93" s="5" t="s">
        <v>87</v>
      </c>
      <c r="D93" s="5" t="s">
        <v>37</v>
      </c>
      <c r="E93" s="58" t="s">
        <v>513</v>
      </c>
    </row>
    <row r="95" spans="1:5" ht="14.4" x14ac:dyDescent="0.3">
      <c r="A95" s="55"/>
      <c r="B95" s="56" t="s">
        <v>93</v>
      </c>
    </row>
    <row r="96" spans="1:5" ht="13.8" x14ac:dyDescent="0.25">
      <c r="A96" s="57" t="s">
        <v>0</v>
      </c>
      <c r="B96" s="57" t="s">
        <v>81</v>
      </c>
      <c r="C96" s="57" t="s">
        <v>82</v>
      </c>
      <c r="D96" s="57" t="s">
        <v>83</v>
      </c>
      <c r="E96" s="57" t="s">
        <v>24</v>
      </c>
    </row>
    <row r="97" spans="1:5" x14ac:dyDescent="0.25">
      <c r="A97" s="54" t="s">
        <v>338</v>
      </c>
      <c r="B97" s="5" t="s">
        <v>94</v>
      </c>
      <c r="C97" s="5" t="s">
        <v>95</v>
      </c>
      <c r="D97" s="5" t="s">
        <v>269</v>
      </c>
      <c r="E97" s="58" t="s">
        <v>514</v>
      </c>
    </row>
    <row r="98" spans="1:5" x14ac:dyDescent="0.25">
      <c r="A98" s="54" t="s">
        <v>349</v>
      </c>
      <c r="B98" s="5" t="s">
        <v>94</v>
      </c>
      <c r="C98" s="5" t="s">
        <v>205</v>
      </c>
      <c r="D98" s="5" t="s">
        <v>35</v>
      </c>
      <c r="E98" s="58" t="s">
        <v>515</v>
      </c>
    </row>
    <row r="101" spans="1:5" ht="15.6" x14ac:dyDescent="0.3">
      <c r="A101" s="52" t="s">
        <v>110</v>
      </c>
      <c r="B101" s="53"/>
    </row>
    <row r="102" spans="1:5" ht="14.4" x14ac:dyDescent="0.3">
      <c r="A102" s="55"/>
      <c r="B102" s="56" t="s">
        <v>211</v>
      </c>
    </row>
    <row r="103" spans="1:5" ht="13.8" x14ac:dyDescent="0.25">
      <c r="A103" s="57" t="s">
        <v>0</v>
      </c>
      <c r="B103" s="57" t="s">
        <v>81</v>
      </c>
      <c r="C103" s="57" t="s">
        <v>82</v>
      </c>
      <c r="D103" s="57" t="s">
        <v>83</v>
      </c>
      <c r="E103" s="57" t="s">
        <v>24</v>
      </c>
    </row>
    <row r="104" spans="1:5" x14ac:dyDescent="0.25">
      <c r="A104" s="54" t="s">
        <v>409</v>
      </c>
      <c r="B104" s="5" t="s">
        <v>505</v>
      </c>
      <c r="C104" s="5" t="s">
        <v>225</v>
      </c>
      <c r="D104" s="5" t="s">
        <v>76</v>
      </c>
      <c r="E104" s="58" t="s">
        <v>516</v>
      </c>
    </row>
    <row r="105" spans="1:5" x14ac:dyDescent="0.25">
      <c r="A105" s="54" t="s">
        <v>370</v>
      </c>
      <c r="B105" s="5" t="s">
        <v>517</v>
      </c>
      <c r="C105" s="5" t="s">
        <v>205</v>
      </c>
      <c r="D105" s="5" t="s">
        <v>47</v>
      </c>
      <c r="E105" s="58" t="s">
        <v>518</v>
      </c>
    </row>
    <row r="106" spans="1:5" x14ac:dyDescent="0.25">
      <c r="A106" s="54" t="s">
        <v>359</v>
      </c>
      <c r="B106" s="5" t="s">
        <v>505</v>
      </c>
      <c r="C106" s="5" t="s">
        <v>519</v>
      </c>
      <c r="D106" s="5" t="s">
        <v>33</v>
      </c>
      <c r="E106" s="58" t="s">
        <v>520</v>
      </c>
    </row>
    <row r="107" spans="1:5" x14ac:dyDescent="0.25">
      <c r="A107" s="54" t="s">
        <v>395</v>
      </c>
      <c r="B107" s="5" t="s">
        <v>505</v>
      </c>
      <c r="C107" s="5" t="s">
        <v>218</v>
      </c>
      <c r="D107" s="5" t="s">
        <v>59</v>
      </c>
      <c r="E107" s="58" t="s">
        <v>521</v>
      </c>
    </row>
    <row r="108" spans="1:5" x14ac:dyDescent="0.25">
      <c r="A108" s="54" t="s">
        <v>481</v>
      </c>
      <c r="B108" s="5" t="s">
        <v>517</v>
      </c>
      <c r="C108" s="5" t="s">
        <v>111</v>
      </c>
      <c r="D108" s="5" t="s">
        <v>72</v>
      </c>
      <c r="E108" s="58" t="s">
        <v>522</v>
      </c>
    </row>
    <row r="109" spans="1:5" x14ac:dyDescent="0.25">
      <c r="A109" s="54" t="s">
        <v>382</v>
      </c>
      <c r="B109" s="5" t="s">
        <v>212</v>
      </c>
      <c r="C109" s="5" t="s">
        <v>87</v>
      </c>
      <c r="D109" s="5" t="s">
        <v>32</v>
      </c>
      <c r="E109" s="58" t="s">
        <v>523</v>
      </c>
    </row>
    <row r="110" spans="1:5" x14ac:dyDescent="0.25">
      <c r="A110" s="54" t="s">
        <v>364</v>
      </c>
      <c r="B110" s="5" t="s">
        <v>212</v>
      </c>
      <c r="C110" s="5" t="s">
        <v>205</v>
      </c>
      <c r="D110" s="5" t="s">
        <v>368</v>
      </c>
      <c r="E110" s="58" t="s">
        <v>524</v>
      </c>
    </row>
    <row r="112" spans="1:5" ht="14.4" x14ac:dyDescent="0.3">
      <c r="A112" s="55"/>
      <c r="B112" s="56" t="s">
        <v>507</v>
      </c>
    </row>
    <row r="113" spans="1:5" ht="13.8" x14ac:dyDescent="0.25">
      <c r="A113" s="57" t="s">
        <v>0</v>
      </c>
      <c r="B113" s="57" t="s">
        <v>81</v>
      </c>
      <c r="C113" s="57" t="s">
        <v>82</v>
      </c>
      <c r="D113" s="57" t="s">
        <v>83</v>
      </c>
      <c r="E113" s="57" t="s">
        <v>24</v>
      </c>
    </row>
    <row r="114" spans="1:5" x14ac:dyDescent="0.25">
      <c r="A114" s="54" t="s">
        <v>374</v>
      </c>
      <c r="B114" s="5" t="s">
        <v>508</v>
      </c>
      <c r="C114" s="5" t="s">
        <v>205</v>
      </c>
      <c r="D114" s="5" t="s">
        <v>40</v>
      </c>
      <c r="E114" s="58" t="s">
        <v>525</v>
      </c>
    </row>
    <row r="115" spans="1:5" x14ac:dyDescent="0.25">
      <c r="A115" s="54" t="s">
        <v>387</v>
      </c>
      <c r="B115" s="5" t="s">
        <v>508</v>
      </c>
      <c r="C115" s="5" t="s">
        <v>87</v>
      </c>
      <c r="D115" s="5" t="s">
        <v>40</v>
      </c>
      <c r="E115" s="58" t="s">
        <v>526</v>
      </c>
    </row>
    <row r="116" spans="1:5" x14ac:dyDescent="0.25">
      <c r="A116" s="54" t="s">
        <v>436</v>
      </c>
      <c r="B116" s="5" t="s">
        <v>508</v>
      </c>
      <c r="C116" s="5" t="s">
        <v>216</v>
      </c>
      <c r="D116" s="5" t="s">
        <v>440</v>
      </c>
      <c r="E116" s="58" t="s">
        <v>527</v>
      </c>
    </row>
    <row r="118" spans="1:5" ht="14.4" x14ac:dyDescent="0.3">
      <c r="A118" s="55"/>
      <c r="B118" s="56" t="s">
        <v>80</v>
      </c>
    </row>
    <row r="119" spans="1:5" ht="13.8" x14ac:dyDescent="0.25">
      <c r="A119" s="57" t="s">
        <v>0</v>
      </c>
      <c r="B119" s="57" t="s">
        <v>81</v>
      </c>
      <c r="C119" s="57" t="s">
        <v>82</v>
      </c>
      <c r="D119" s="57" t="s">
        <v>83</v>
      </c>
      <c r="E119" s="57" t="s">
        <v>24</v>
      </c>
    </row>
    <row r="120" spans="1:5" x14ac:dyDescent="0.25">
      <c r="A120" s="54" t="s">
        <v>414</v>
      </c>
      <c r="B120" s="5" t="s">
        <v>80</v>
      </c>
      <c r="C120" s="5" t="s">
        <v>225</v>
      </c>
      <c r="D120" s="5" t="s">
        <v>76</v>
      </c>
      <c r="E120" s="58" t="s">
        <v>528</v>
      </c>
    </row>
    <row r="121" spans="1:5" x14ac:dyDescent="0.25">
      <c r="A121" s="54" t="s">
        <v>419</v>
      </c>
      <c r="B121" s="5" t="s">
        <v>80</v>
      </c>
      <c r="C121" s="5" t="s">
        <v>225</v>
      </c>
      <c r="D121" s="5" t="s">
        <v>73</v>
      </c>
      <c r="E121" s="58" t="s">
        <v>529</v>
      </c>
    </row>
    <row r="122" spans="1:5" x14ac:dyDescent="0.25">
      <c r="A122" s="54" t="s">
        <v>370</v>
      </c>
      <c r="B122" s="5" t="s">
        <v>80</v>
      </c>
      <c r="C122" s="5" t="s">
        <v>205</v>
      </c>
      <c r="D122" s="5" t="s">
        <v>47</v>
      </c>
      <c r="E122" s="58" t="s">
        <v>518</v>
      </c>
    </row>
    <row r="123" spans="1:5" x14ac:dyDescent="0.25">
      <c r="A123" s="54" t="s">
        <v>458</v>
      </c>
      <c r="B123" s="5" t="s">
        <v>80</v>
      </c>
      <c r="C123" s="5" t="s">
        <v>213</v>
      </c>
      <c r="D123" s="5" t="s">
        <v>191</v>
      </c>
      <c r="E123" s="58" t="s">
        <v>530</v>
      </c>
    </row>
    <row r="124" spans="1:5" x14ac:dyDescent="0.25">
      <c r="A124" s="54" t="s">
        <v>485</v>
      </c>
      <c r="B124" s="5" t="s">
        <v>80</v>
      </c>
      <c r="C124" s="5" t="s">
        <v>111</v>
      </c>
      <c r="D124" s="5" t="s">
        <v>489</v>
      </c>
      <c r="E124" s="58" t="s">
        <v>531</v>
      </c>
    </row>
    <row r="125" spans="1:5" x14ac:dyDescent="0.25">
      <c r="A125" s="54" t="s">
        <v>401</v>
      </c>
      <c r="B125" s="5" t="s">
        <v>80</v>
      </c>
      <c r="C125" s="5" t="s">
        <v>218</v>
      </c>
      <c r="D125" s="5" t="s">
        <v>61</v>
      </c>
      <c r="E125" s="58" t="s">
        <v>532</v>
      </c>
    </row>
    <row r="126" spans="1:5" x14ac:dyDescent="0.25">
      <c r="A126" s="54" t="s">
        <v>424</v>
      </c>
      <c r="B126" s="5" t="s">
        <v>80</v>
      </c>
      <c r="C126" s="5" t="s">
        <v>225</v>
      </c>
      <c r="D126" s="5" t="s">
        <v>71</v>
      </c>
      <c r="E126" s="58" t="s">
        <v>533</v>
      </c>
    </row>
    <row r="127" spans="1:5" x14ac:dyDescent="0.25">
      <c r="A127" s="54" t="s">
        <v>378</v>
      </c>
      <c r="B127" s="5" t="s">
        <v>80</v>
      </c>
      <c r="C127" s="5" t="s">
        <v>205</v>
      </c>
      <c r="D127" s="5" t="s">
        <v>276</v>
      </c>
      <c r="E127" s="58" t="s">
        <v>534</v>
      </c>
    </row>
    <row r="128" spans="1:5" x14ac:dyDescent="0.25">
      <c r="A128" s="54" t="s">
        <v>429</v>
      </c>
      <c r="B128" s="5" t="s">
        <v>80</v>
      </c>
      <c r="C128" s="5" t="s">
        <v>225</v>
      </c>
      <c r="D128" s="5" t="s">
        <v>61</v>
      </c>
      <c r="E128" s="58" t="s">
        <v>535</v>
      </c>
    </row>
    <row r="129" spans="1:5" x14ac:dyDescent="0.25">
      <c r="A129" s="54" t="s">
        <v>441</v>
      </c>
      <c r="B129" s="5" t="s">
        <v>80</v>
      </c>
      <c r="C129" s="5" t="s">
        <v>216</v>
      </c>
      <c r="D129" s="5" t="s">
        <v>61</v>
      </c>
      <c r="E129" s="58" t="s">
        <v>536</v>
      </c>
    </row>
    <row r="131" spans="1:5" ht="14.4" x14ac:dyDescent="0.3">
      <c r="A131" s="55"/>
      <c r="B131" s="56" t="s">
        <v>93</v>
      </c>
    </row>
    <row r="132" spans="1:5" ht="13.8" x14ac:dyDescent="0.25">
      <c r="A132" s="57" t="s">
        <v>0</v>
      </c>
      <c r="B132" s="57" t="s">
        <v>81</v>
      </c>
      <c r="C132" s="57" t="s">
        <v>82</v>
      </c>
      <c r="D132" s="57" t="s">
        <v>83</v>
      </c>
      <c r="E132" s="57" t="s">
        <v>24</v>
      </c>
    </row>
    <row r="133" spans="1:5" x14ac:dyDescent="0.25">
      <c r="A133" s="54" t="s">
        <v>449</v>
      </c>
      <c r="B133" s="5" t="s">
        <v>227</v>
      </c>
      <c r="C133" s="5" t="s">
        <v>216</v>
      </c>
      <c r="D133" s="5" t="s">
        <v>181</v>
      </c>
      <c r="E133" s="58" t="s">
        <v>537</v>
      </c>
    </row>
    <row r="134" spans="1:5" x14ac:dyDescent="0.25">
      <c r="A134" s="54" t="s">
        <v>495</v>
      </c>
      <c r="B134" s="5" t="s">
        <v>227</v>
      </c>
      <c r="C134" s="5" t="s">
        <v>111</v>
      </c>
      <c r="D134" s="5" t="s">
        <v>499</v>
      </c>
      <c r="E134" s="58" t="s">
        <v>538</v>
      </c>
    </row>
    <row r="135" spans="1:5" x14ac:dyDescent="0.25">
      <c r="A135" s="54" t="s">
        <v>445</v>
      </c>
      <c r="B135" s="5" t="s">
        <v>307</v>
      </c>
      <c r="C135" s="5" t="s">
        <v>216</v>
      </c>
      <c r="D135" s="5" t="s">
        <v>76</v>
      </c>
      <c r="E135" s="58" t="s">
        <v>539</v>
      </c>
    </row>
    <row r="136" spans="1:5" x14ac:dyDescent="0.25">
      <c r="A136" s="54" t="s">
        <v>468</v>
      </c>
      <c r="B136" s="5" t="s">
        <v>307</v>
      </c>
      <c r="C136" s="5" t="s">
        <v>213</v>
      </c>
      <c r="D136" s="5" t="s">
        <v>181</v>
      </c>
      <c r="E136" s="58" t="s">
        <v>540</v>
      </c>
    </row>
    <row r="137" spans="1:5" x14ac:dyDescent="0.25">
      <c r="A137" s="54" t="s">
        <v>433</v>
      </c>
      <c r="B137" s="5" t="s">
        <v>227</v>
      </c>
      <c r="C137" s="5" t="s">
        <v>225</v>
      </c>
      <c r="D137" s="5" t="s">
        <v>107</v>
      </c>
      <c r="E137" s="58" t="s">
        <v>541</v>
      </c>
    </row>
    <row r="138" spans="1:5" x14ac:dyDescent="0.25">
      <c r="A138" s="54" t="s">
        <v>476</v>
      </c>
      <c r="B138" s="5" t="s">
        <v>221</v>
      </c>
      <c r="C138" s="5" t="s">
        <v>213</v>
      </c>
      <c r="D138" s="5" t="s">
        <v>61</v>
      </c>
      <c r="E138" s="58" t="s">
        <v>542</v>
      </c>
    </row>
    <row r="139" spans="1:5" x14ac:dyDescent="0.25">
      <c r="A139" s="54" t="s">
        <v>501</v>
      </c>
      <c r="B139" s="5" t="s">
        <v>227</v>
      </c>
      <c r="C139" s="5" t="s">
        <v>111</v>
      </c>
      <c r="D139" s="5" t="s">
        <v>176</v>
      </c>
      <c r="E139" s="58" t="s">
        <v>543</v>
      </c>
    </row>
    <row r="140" spans="1:5" x14ac:dyDescent="0.25">
      <c r="A140" s="54" t="s">
        <v>392</v>
      </c>
      <c r="B140" s="5" t="s">
        <v>94</v>
      </c>
      <c r="C140" s="5" t="s">
        <v>87</v>
      </c>
      <c r="D140" s="5" t="s">
        <v>48</v>
      </c>
      <c r="E140" s="58" t="s">
        <v>544</v>
      </c>
    </row>
    <row r="141" spans="1:5" x14ac:dyDescent="0.25">
      <c r="A141" s="54" t="s">
        <v>454</v>
      </c>
      <c r="B141" s="5" t="s">
        <v>221</v>
      </c>
      <c r="C141" s="5" t="s">
        <v>216</v>
      </c>
      <c r="D141" s="5" t="s">
        <v>276</v>
      </c>
      <c r="E141" s="58" t="s">
        <v>545</v>
      </c>
    </row>
    <row r="142" spans="1:5" x14ac:dyDescent="0.25">
      <c r="A142" s="54" t="s">
        <v>490</v>
      </c>
      <c r="B142" s="5" t="s">
        <v>307</v>
      </c>
      <c r="C142" s="5" t="s">
        <v>111</v>
      </c>
      <c r="D142" s="5" t="s">
        <v>64</v>
      </c>
      <c r="E142" s="58" t="s">
        <v>546</v>
      </c>
    </row>
    <row r="143" spans="1:5" x14ac:dyDescent="0.25">
      <c r="A143" s="54" t="s">
        <v>464</v>
      </c>
      <c r="B143" s="5" t="s">
        <v>94</v>
      </c>
      <c r="C143" s="5" t="s">
        <v>213</v>
      </c>
      <c r="D143" s="5" t="s">
        <v>440</v>
      </c>
      <c r="E143" s="58" t="s">
        <v>547</v>
      </c>
    </row>
    <row r="144" spans="1:5" x14ac:dyDescent="0.25">
      <c r="A144" s="54" t="s">
        <v>405</v>
      </c>
      <c r="B144" s="5" t="s">
        <v>227</v>
      </c>
      <c r="C144" s="5" t="s">
        <v>218</v>
      </c>
      <c r="D144" s="5" t="s">
        <v>74</v>
      </c>
      <c r="E144" s="58" t="s">
        <v>548</v>
      </c>
    </row>
  </sheetData>
  <mergeCells count="23">
    <mergeCell ref="A49:L49"/>
    <mergeCell ref="A56:L56"/>
    <mergeCell ref="A63:L63"/>
    <mergeCell ref="A18:L18"/>
    <mergeCell ref="A21:L21"/>
    <mergeCell ref="A24:L24"/>
    <mergeCell ref="A31:L31"/>
    <mergeCell ref="A36:L36"/>
    <mergeCell ref="A41:L41"/>
    <mergeCell ref="K3:K4"/>
    <mergeCell ref="L3:L4"/>
    <mergeCell ref="M3:M4"/>
    <mergeCell ref="A5:L5"/>
    <mergeCell ref="A8:L8"/>
    <mergeCell ref="A14:L1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3" width="2.109375" style="5" bestFit="1" customWidth="1"/>
    <col min="14" max="14" width="4.77734375" style="5" bestFit="1" customWidth="1"/>
    <col min="15" max="17" width="2.109375" style="5" bestFit="1" customWidth="1"/>
    <col min="18" max="18" width="4.77734375" style="5" bestFit="1" customWidth="1"/>
    <col min="19" max="19" width="5.77734375" style="4" bestFit="1" customWidth="1"/>
    <col min="20" max="20" width="4.109375" style="5" bestFit="1" customWidth="1"/>
    <col min="21" max="21" width="7.109375" style="4" bestFit="1" customWidth="1"/>
    <col min="22" max="16384" width="9.109375" style="3"/>
  </cols>
  <sheetData>
    <row r="1" spans="1:21" s="2" customFormat="1" ht="28.95" customHeight="1" x14ac:dyDescent="0.25">
      <c r="A1" s="35" t="s">
        <v>316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5">
      <c r="A5" s="4"/>
      <c r="E5" s="4"/>
      <c r="F5" s="4"/>
      <c r="S5" s="4"/>
      <c r="U5" s="4"/>
    </row>
    <row r="6" spans="1:21" s="5" customFormat="1" ht="15" x14ac:dyDescent="0.25">
      <c r="A6" s="4"/>
      <c r="E6" s="34" t="s">
        <v>15</v>
      </c>
      <c r="F6" s="4"/>
      <c r="S6" s="4"/>
      <c r="U6" s="4"/>
    </row>
    <row r="7" spans="1:21" s="5" customFormat="1" ht="15" x14ac:dyDescent="0.25">
      <c r="A7" s="4"/>
      <c r="E7" s="34" t="s">
        <v>16</v>
      </c>
      <c r="F7" s="4"/>
      <c r="S7" s="4"/>
      <c r="U7" s="4"/>
    </row>
    <row r="8" spans="1:21" ht="15" x14ac:dyDescent="0.25">
      <c r="E8" s="34" t="s">
        <v>17</v>
      </c>
    </row>
    <row r="9" spans="1:21" x14ac:dyDescent="0.25">
      <c r="E9" s="4" t="s">
        <v>18</v>
      </c>
    </row>
    <row r="10" spans="1:21" x14ac:dyDescent="0.25">
      <c r="E10" s="4" t="s">
        <v>19</v>
      </c>
    </row>
    <row r="11" spans="1:21" x14ac:dyDescent="0.25">
      <c r="E11" s="4" t="s">
        <v>20</v>
      </c>
    </row>
    <row r="14" spans="1:21" ht="17.399999999999999" x14ac:dyDescent="0.3">
      <c r="A14" s="43" t="s">
        <v>21</v>
      </c>
      <c r="B14" s="4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3" width="2.109375" style="5" bestFit="1" customWidth="1"/>
    <col min="14" max="14" width="4.77734375" style="5" bestFit="1" customWidth="1"/>
    <col min="15" max="17" width="2.109375" style="5" bestFit="1" customWidth="1"/>
    <col min="18" max="18" width="4.77734375" style="5" bestFit="1" customWidth="1"/>
    <col min="19" max="19" width="5.77734375" style="4" bestFit="1" customWidth="1"/>
    <col min="20" max="20" width="4.109375" style="5" bestFit="1" customWidth="1"/>
    <col min="21" max="21" width="7.109375" style="4" bestFit="1" customWidth="1"/>
    <col min="22" max="16384" width="9.109375" style="3"/>
  </cols>
  <sheetData>
    <row r="1" spans="1:21" s="2" customFormat="1" ht="28.95" customHeight="1" x14ac:dyDescent="0.25">
      <c r="A1" s="35" t="s">
        <v>315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5">
      <c r="A5" s="4"/>
      <c r="E5" s="4"/>
      <c r="F5" s="4"/>
      <c r="S5" s="4"/>
      <c r="U5" s="4"/>
    </row>
    <row r="6" spans="1:21" s="5" customFormat="1" ht="15" x14ac:dyDescent="0.25">
      <c r="A6" s="4"/>
      <c r="E6" s="34" t="s">
        <v>15</v>
      </c>
      <c r="F6" s="4"/>
      <c r="S6" s="4"/>
      <c r="U6" s="4"/>
    </row>
    <row r="7" spans="1:21" s="5" customFormat="1" ht="15" x14ac:dyDescent="0.25">
      <c r="A7" s="4"/>
      <c r="E7" s="34" t="s">
        <v>16</v>
      </c>
      <c r="F7" s="4"/>
      <c r="S7" s="4"/>
      <c r="U7" s="4"/>
    </row>
    <row r="8" spans="1:21" ht="15" x14ac:dyDescent="0.25">
      <c r="E8" s="34" t="s">
        <v>17</v>
      </c>
    </row>
    <row r="9" spans="1:21" x14ac:dyDescent="0.25">
      <c r="E9" s="4" t="s">
        <v>18</v>
      </c>
    </row>
    <row r="10" spans="1:21" x14ac:dyDescent="0.25">
      <c r="E10" s="4" t="s">
        <v>19</v>
      </c>
    </row>
    <row r="11" spans="1:21" x14ac:dyDescent="0.25">
      <c r="E11" s="4" t="s">
        <v>20</v>
      </c>
    </row>
    <row r="14" spans="1:21" ht="17.399999999999999" x14ac:dyDescent="0.3">
      <c r="A14" s="43" t="s">
        <v>21</v>
      </c>
      <c r="B14" s="4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6.55468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23.21875" style="4" bestFit="1" customWidth="1"/>
    <col min="7" max="9" width="5.5546875" style="5" bestFit="1" customWidth="1"/>
    <col min="10" max="10" width="4.77734375" style="5" bestFit="1" customWidth="1"/>
    <col min="11" max="13" width="5.5546875" style="5" bestFit="1" customWidth="1"/>
    <col min="14" max="14" width="4.77734375" style="5" bestFit="1" customWidth="1"/>
    <col min="15" max="17" width="5.5546875" style="5" bestFit="1" customWidth="1"/>
    <col min="18" max="18" width="4.77734375" style="5" bestFit="1" customWidth="1"/>
    <col min="19" max="19" width="5.77734375" style="4" bestFit="1" customWidth="1"/>
    <col min="20" max="20" width="8.5546875" style="5" bestFit="1" customWidth="1"/>
    <col min="21" max="21" width="7.109375" style="4" bestFit="1" customWidth="1"/>
    <col min="22" max="16384" width="9.109375" style="3"/>
  </cols>
  <sheetData>
    <row r="1" spans="1:21" s="2" customFormat="1" ht="28.95" customHeight="1" x14ac:dyDescent="0.25">
      <c r="A1" s="35" t="s">
        <v>260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ht="15.6" x14ac:dyDescent="0.3">
      <c r="A5" s="45" t="s">
        <v>54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"/>
    </row>
    <row r="6" spans="1:21" s="5" customFormat="1" x14ac:dyDescent="0.25">
      <c r="A6" s="46" t="s">
        <v>262</v>
      </c>
      <c r="B6" s="47" t="s">
        <v>263</v>
      </c>
      <c r="C6" s="47" t="s">
        <v>264</v>
      </c>
      <c r="D6" s="47" t="str">
        <f>"1,0024"</f>
        <v>1,0024</v>
      </c>
      <c r="E6" s="46" t="s">
        <v>30</v>
      </c>
      <c r="F6" s="46" t="s">
        <v>265</v>
      </c>
      <c r="G6" s="47" t="s">
        <v>266</v>
      </c>
      <c r="H6" s="47" t="s">
        <v>149</v>
      </c>
      <c r="I6" s="48" t="s">
        <v>136</v>
      </c>
      <c r="J6" s="48"/>
      <c r="K6" s="47" t="s">
        <v>267</v>
      </c>
      <c r="L6" s="47" t="s">
        <v>268</v>
      </c>
      <c r="M6" s="47" t="s">
        <v>269</v>
      </c>
      <c r="N6" s="48"/>
      <c r="O6" s="47" t="s">
        <v>270</v>
      </c>
      <c r="P6" s="47" t="s">
        <v>74</v>
      </c>
      <c r="Q6" s="47" t="s">
        <v>75</v>
      </c>
      <c r="R6" s="48"/>
      <c r="S6" s="46" t="str">
        <f>"280,0"</f>
        <v>280,0</v>
      </c>
      <c r="T6" s="47" t="str">
        <f>"280,6720"</f>
        <v>280,6720</v>
      </c>
      <c r="U6" s="46"/>
    </row>
    <row r="7" spans="1:21" s="5" customFormat="1" x14ac:dyDescent="0.25">
      <c r="A7" s="4"/>
      <c r="E7" s="4"/>
      <c r="F7" s="4"/>
      <c r="S7" s="4"/>
      <c r="U7" s="4"/>
    </row>
    <row r="8" spans="1:21" ht="15.6" x14ac:dyDescent="0.3">
      <c r="A8" s="50" t="s">
        <v>117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1" x14ac:dyDescent="0.25">
      <c r="A9" s="46" t="s">
        <v>272</v>
      </c>
      <c r="B9" s="47" t="s">
        <v>273</v>
      </c>
      <c r="C9" s="47" t="s">
        <v>274</v>
      </c>
      <c r="D9" s="47" t="str">
        <f>"0,9123"</f>
        <v>0,9123</v>
      </c>
      <c r="E9" s="46" t="s">
        <v>30</v>
      </c>
      <c r="F9" s="46" t="s">
        <v>265</v>
      </c>
      <c r="G9" s="48" t="s">
        <v>63</v>
      </c>
      <c r="H9" s="47" t="s">
        <v>63</v>
      </c>
      <c r="I9" s="47" t="s">
        <v>266</v>
      </c>
      <c r="J9" s="48"/>
      <c r="K9" s="47" t="s">
        <v>267</v>
      </c>
      <c r="L9" s="47" t="s">
        <v>268</v>
      </c>
      <c r="M9" s="48" t="s">
        <v>275</v>
      </c>
      <c r="N9" s="48"/>
      <c r="O9" s="47" t="s">
        <v>148</v>
      </c>
      <c r="P9" s="47" t="s">
        <v>74</v>
      </c>
      <c r="Q9" s="47" t="s">
        <v>276</v>
      </c>
      <c r="R9" s="48"/>
      <c r="S9" s="46" t="str">
        <f>"272,5"</f>
        <v>272,5</v>
      </c>
      <c r="T9" s="47" t="str">
        <f>"248,6154"</f>
        <v>248,6154</v>
      </c>
      <c r="U9" s="46"/>
    </row>
    <row r="11" spans="1:21" ht="15.6" x14ac:dyDescent="0.3">
      <c r="A11" s="50" t="s">
        <v>66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1" x14ac:dyDescent="0.25">
      <c r="A12" s="46" t="s">
        <v>278</v>
      </c>
      <c r="B12" s="47" t="s">
        <v>279</v>
      </c>
      <c r="C12" s="47" t="s">
        <v>280</v>
      </c>
      <c r="D12" s="47" t="str">
        <f>"0,8483"</f>
        <v>0,8483</v>
      </c>
      <c r="E12" s="46" t="s">
        <v>30</v>
      </c>
      <c r="F12" s="46" t="s">
        <v>104</v>
      </c>
      <c r="G12" s="47" t="s">
        <v>49</v>
      </c>
      <c r="H12" s="47" t="s">
        <v>50</v>
      </c>
      <c r="I12" s="47" t="s">
        <v>123</v>
      </c>
      <c r="J12" s="48"/>
      <c r="K12" s="47" t="s">
        <v>281</v>
      </c>
      <c r="L12" s="47" t="s">
        <v>35</v>
      </c>
      <c r="M12" s="47" t="s">
        <v>36</v>
      </c>
      <c r="N12" s="48"/>
      <c r="O12" s="47" t="s">
        <v>33</v>
      </c>
      <c r="P12" s="47" t="s">
        <v>34</v>
      </c>
      <c r="Q12" s="47" t="s">
        <v>148</v>
      </c>
      <c r="R12" s="48"/>
      <c r="S12" s="46" t="str">
        <f>"225,0"</f>
        <v>225,0</v>
      </c>
      <c r="T12" s="47" t="str">
        <f>"201,3771"</f>
        <v>201,3771</v>
      </c>
      <c r="U12" s="46"/>
    </row>
    <row r="14" spans="1:21" ht="15.6" x14ac:dyDescent="0.3">
      <c r="A14" s="50" t="s">
        <v>165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1" x14ac:dyDescent="0.25">
      <c r="A15" s="46" t="s">
        <v>283</v>
      </c>
      <c r="B15" s="47" t="s">
        <v>284</v>
      </c>
      <c r="C15" s="47" t="s">
        <v>285</v>
      </c>
      <c r="D15" s="47" t="str">
        <f>"0,7550"</f>
        <v>0,7550</v>
      </c>
      <c r="E15" s="46" t="s">
        <v>30</v>
      </c>
      <c r="F15" s="46" t="s">
        <v>104</v>
      </c>
      <c r="G15" s="47" t="s">
        <v>47</v>
      </c>
      <c r="H15" s="47" t="s">
        <v>48</v>
      </c>
      <c r="I15" s="47" t="s">
        <v>286</v>
      </c>
      <c r="J15" s="48"/>
      <c r="K15" s="48" t="s">
        <v>275</v>
      </c>
      <c r="L15" s="47" t="s">
        <v>287</v>
      </c>
      <c r="M15" s="48" t="s">
        <v>49</v>
      </c>
      <c r="N15" s="48"/>
      <c r="O15" s="47" t="s">
        <v>72</v>
      </c>
      <c r="P15" s="48" t="s">
        <v>73</v>
      </c>
      <c r="Q15" s="48" t="s">
        <v>73</v>
      </c>
      <c r="R15" s="48"/>
      <c r="S15" s="46" t="str">
        <f>"362,5"</f>
        <v>362,5</v>
      </c>
      <c r="T15" s="47" t="str">
        <f>"273,6875"</f>
        <v>273,6875</v>
      </c>
      <c r="U15" s="46"/>
    </row>
    <row r="17" spans="1:21" ht="15.6" x14ac:dyDescent="0.3">
      <c r="A17" s="50" t="s">
        <v>66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spans="1:21" x14ac:dyDescent="0.25">
      <c r="A18" s="46" t="s">
        <v>289</v>
      </c>
      <c r="B18" s="47" t="s">
        <v>290</v>
      </c>
      <c r="C18" s="47" t="s">
        <v>291</v>
      </c>
      <c r="D18" s="47" t="str">
        <f>"0,6906"</f>
        <v>0,6906</v>
      </c>
      <c r="E18" s="46" t="s">
        <v>30</v>
      </c>
      <c r="F18" s="46" t="s">
        <v>104</v>
      </c>
      <c r="G18" s="47" t="s">
        <v>76</v>
      </c>
      <c r="H18" s="47" t="s">
        <v>292</v>
      </c>
      <c r="I18" s="47" t="s">
        <v>193</v>
      </c>
      <c r="J18" s="48"/>
      <c r="K18" s="47" t="s">
        <v>40</v>
      </c>
      <c r="L18" s="47" t="s">
        <v>60</v>
      </c>
      <c r="M18" s="48" t="s">
        <v>61</v>
      </c>
      <c r="N18" s="48"/>
      <c r="O18" s="47" t="s">
        <v>293</v>
      </c>
      <c r="P18" s="47" t="s">
        <v>105</v>
      </c>
      <c r="Q18" s="47" t="s">
        <v>294</v>
      </c>
      <c r="R18" s="48"/>
      <c r="S18" s="46" t="str">
        <f>"552,5"</f>
        <v>552,5</v>
      </c>
      <c r="T18" s="47" t="str">
        <f>"381,5565"</f>
        <v>381,5565</v>
      </c>
      <c r="U18" s="46"/>
    </row>
    <row r="20" spans="1:21" ht="15.6" x14ac:dyDescent="0.3">
      <c r="A20" s="50" t="s">
        <v>170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1" x14ac:dyDescent="0.25">
      <c r="A21" s="59" t="s">
        <v>296</v>
      </c>
      <c r="B21" s="60" t="s">
        <v>297</v>
      </c>
      <c r="C21" s="60" t="s">
        <v>298</v>
      </c>
      <c r="D21" s="60" t="str">
        <f>"0,5853"</f>
        <v>0,5853</v>
      </c>
      <c r="E21" s="59" t="s">
        <v>30</v>
      </c>
      <c r="F21" s="59" t="s">
        <v>299</v>
      </c>
      <c r="G21" s="60" t="s">
        <v>293</v>
      </c>
      <c r="H21" s="60" t="s">
        <v>193</v>
      </c>
      <c r="I21" s="60" t="s">
        <v>105</v>
      </c>
      <c r="J21" s="61"/>
      <c r="K21" s="60" t="s">
        <v>148</v>
      </c>
      <c r="L21" s="60" t="s">
        <v>74</v>
      </c>
      <c r="M21" s="61" t="s">
        <v>75</v>
      </c>
      <c r="N21" s="61"/>
      <c r="O21" s="60" t="s">
        <v>78</v>
      </c>
      <c r="P21" s="60" t="s">
        <v>106</v>
      </c>
      <c r="Q21" s="60" t="s">
        <v>239</v>
      </c>
      <c r="R21" s="61"/>
      <c r="S21" s="59" t="str">
        <f>"550,0"</f>
        <v>550,0</v>
      </c>
      <c r="T21" s="60" t="str">
        <f>"321,9425"</f>
        <v>321,9425</v>
      </c>
      <c r="U21" s="59"/>
    </row>
    <row r="22" spans="1:21" x14ac:dyDescent="0.25">
      <c r="A22" s="62" t="s">
        <v>296</v>
      </c>
      <c r="B22" s="63" t="s">
        <v>300</v>
      </c>
      <c r="C22" s="63" t="s">
        <v>298</v>
      </c>
      <c r="D22" s="63" t="str">
        <f>"0,5853"</f>
        <v>0,5853</v>
      </c>
      <c r="E22" s="62" t="s">
        <v>30</v>
      </c>
      <c r="F22" s="62" t="s">
        <v>299</v>
      </c>
      <c r="G22" s="63" t="s">
        <v>293</v>
      </c>
      <c r="H22" s="63" t="s">
        <v>193</v>
      </c>
      <c r="I22" s="63" t="s">
        <v>105</v>
      </c>
      <c r="J22" s="64"/>
      <c r="K22" s="63" t="s">
        <v>148</v>
      </c>
      <c r="L22" s="63" t="s">
        <v>74</v>
      </c>
      <c r="M22" s="64" t="s">
        <v>75</v>
      </c>
      <c r="N22" s="64"/>
      <c r="O22" s="63" t="s">
        <v>78</v>
      </c>
      <c r="P22" s="63" t="s">
        <v>106</v>
      </c>
      <c r="Q22" s="63" t="s">
        <v>239</v>
      </c>
      <c r="R22" s="64"/>
      <c r="S22" s="62" t="str">
        <f>"550,0"</f>
        <v>550,0</v>
      </c>
      <c r="T22" s="63" t="str">
        <f>"457,4803"</f>
        <v>457,4803</v>
      </c>
      <c r="U22" s="62"/>
    </row>
    <row r="24" spans="1:21" ht="15" x14ac:dyDescent="0.25">
      <c r="E24" s="34" t="s">
        <v>15</v>
      </c>
    </row>
    <row r="25" spans="1:21" ht="15" x14ac:dyDescent="0.25">
      <c r="E25" s="34" t="s">
        <v>16</v>
      </c>
    </row>
    <row r="26" spans="1:21" ht="15" x14ac:dyDescent="0.25">
      <c r="E26" s="34" t="s">
        <v>17</v>
      </c>
    </row>
    <row r="27" spans="1:21" x14ac:dyDescent="0.25">
      <c r="E27" s="4" t="s">
        <v>18</v>
      </c>
    </row>
    <row r="28" spans="1:21" x14ac:dyDescent="0.25">
      <c r="E28" s="4" t="s">
        <v>19</v>
      </c>
    </row>
    <row r="29" spans="1:21" x14ac:dyDescent="0.25">
      <c r="E29" s="4" t="s">
        <v>20</v>
      </c>
    </row>
    <row r="32" spans="1:21" ht="17.399999999999999" x14ac:dyDescent="0.3">
      <c r="A32" s="43" t="s">
        <v>21</v>
      </c>
      <c r="B32" s="44"/>
    </row>
    <row r="33" spans="1:5" ht="15.6" x14ac:dyDescent="0.3">
      <c r="A33" s="52" t="s">
        <v>79</v>
      </c>
      <c r="B33" s="53"/>
    </row>
    <row r="34" spans="1:5" ht="14.4" x14ac:dyDescent="0.3">
      <c r="A34" s="55"/>
      <c r="B34" s="56" t="s">
        <v>80</v>
      </c>
    </row>
    <row r="35" spans="1:5" ht="13.8" x14ac:dyDescent="0.25">
      <c r="A35" s="57" t="s">
        <v>0</v>
      </c>
      <c r="B35" s="57" t="s">
        <v>81</v>
      </c>
      <c r="C35" s="57" t="s">
        <v>82</v>
      </c>
      <c r="D35" s="57" t="s">
        <v>83</v>
      </c>
      <c r="E35" s="57" t="s">
        <v>24</v>
      </c>
    </row>
    <row r="36" spans="1:5" x14ac:dyDescent="0.25">
      <c r="A36" s="54" t="s">
        <v>261</v>
      </c>
      <c r="B36" s="5" t="s">
        <v>80</v>
      </c>
      <c r="C36" s="5" t="s">
        <v>95</v>
      </c>
      <c r="D36" s="5" t="s">
        <v>301</v>
      </c>
      <c r="E36" s="58" t="s">
        <v>302</v>
      </c>
    </row>
    <row r="37" spans="1:5" x14ac:dyDescent="0.25">
      <c r="A37" s="54" t="s">
        <v>282</v>
      </c>
      <c r="B37" s="5" t="s">
        <v>80</v>
      </c>
      <c r="C37" s="5" t="s">
        <v>225</v>
      </c>
      <c r="D37" s="5" t="s">
        <v>303</v>
      </c>
      <c r="E37" s="58" t="s">
        <v>304</v>
      </c>
    </row>
    <row r="39" spans="1:5" ht="14.4" x14ac:dyDescent="0.3">
      <c r="A39" s="55"/>
      <c r="B39" s="56" t="s">
        <v>93</v>
      </c>
    </row>
    <row r="40" spans="1:5" ht="13.8" x14ac:dyDescent="0.25">
      <c r="A40" s="57" t="s">
        <v>0</v>
      </c>
      <c r="B40" s="57" t="s">
        <v>81</v>
      </c>
      <c r="C40" s="57" t="s">
        <v>82</v>
      </c>
      <c r="D40" s="57" t="s">
        <v>83</v>
      </c>
      <c r="E40" s="57" t="s">
        <v>24</v>
      </c>
    </row>
    <row r="41" spans="1:5" x14ac:dyDescent="0.25">
      <c r="A41" s="54" t="s">
        <v>271</v>
      </c>
      <c r="B41" s="5" t="s">
        <v>94</v>
      </c>
      <c r="C41" s="5" t="s">
        <v>205</v>
      </c>
      <c r="D41" s="5" t="s">
        <v>305</v>
      </c>
      <c r="E41" s="58" t="s">
        <v>306</v>
      </c>
    </row>
    <row r="42" spans="1:5" x14ac:dyDescent="0.25">
      <c r="A42" s="54" t="s">
        <v>277</v>
      </c>
      <c r="B42" s="5" t="s">
        <v>307</v>
      </c>
      <c r="C42" s="5" t="s">
        <v>87</v>
      </c>
      <c r="D42" s="5" t="s">
        <v>308</v>
      </c>
      <c r="E42" s="58" t="s">
        <v>309</v>
      </c>
    </row>
    <row r="45" spans="1:5" ht="15.6" x14ac:dyDescent="0.3">
      <c r="A45" s="52" t="s">
        <v>110</v>
      </c>
      <c r="B45" s="53"/>
    </row>
    <row r="46" spans="1:5" ht="14.4" x14ac:dyDescent="0.3">
      <c r="A46" s="55"/>
      <c r="B46" s="56" t="s">
        <v>80</v>
      </c>
    </row>
    <row r="47" spans="1:5" ht="13.8" x14ac:dyDescent="0.25">
      <c r="A47" s="57" t="s">
        <v>0</v>
      </c>
      <c r="B47" s="57" t="s">
        <v>81</v>
      </c>
      <c r="C47" s="57" t="s">
        <v>82</v>
      </c>
      <c r="D47" s="57" t="s">
        <v>83</v>
      </c>
      <c r="E47" s="57" t="s">
        <v>24</v>
      </c>
    </row>
    <row r="48" spans="1:5" x14ac:dyDescent="0.25">
      <c r="A48" s="54" t="s">
        <v>288</v>
      </c>
      <c r="B48" s="5" t="s">
        <v>80</v>
      </c>
      <c r="C48" s="5" t="s">
        <v>87</v>
      </c>
      <c r="D48" s="5" t="s">
        <v>310</v>
      </c>
      <c r="E48" s="58" t="s">
        <v>311</v>
      </c>
    </row>
    <row r="49" spans="1:5" x14ac:dyDescent="0.25">
      <c r="A49" s="54" t="s">
        <v>295</v>
      </c>
      <c r="B49" s="5" t="s">
        <v>80</v>
      </c>
      <c r="C49" s="5" t="s">
        <v>216</v>
      </c>
      <c r="D49" s="5" t="s">
        <v>312</v>
      </c>
      <c r="E49" s="58" t="s">
        <v>313</v>
      </c>
    </row>
    <row r="51" spans="1:5" ht="14.4" x14ac:dyDescent="0.3">
      <c r="A51" s="55"/>
      <c r="B51" s="56" t="s">
        <v>93</v>
      </c>
    </row>
    <row r="52" spans="1:5" ht="13.8" x14ac:dyDescent="0.25">
      <c r="A52" s="57" t="s">
        <v>0</v>
      </c>
      <c r="B52" s="57" t="s">
        <v>81</v>
      </c>
      <c r="C52" s="57" t="s">
        <v>82</v>
      </c>
      <c r="D52" s="57" t="s">
        <v>83</v>
      </c>
      <c r="E52" s="57" t="s">
        <v>24</v>
      </c>
    </row>
    <row r="53" spans="1:5" x14ac:dyDescent="0.25">
      <c r="A53" s="54" t="s">
        <v>295</v>
      </c>
      <c r="B53" s="5" t="s">
        <v>221</v>
      </c>
      <c r="C53" s="5" t="s">
        <v>216</v>
      </c>
      <c r="D53" s="5" t="s">
        <v>312</v>
      </c>
      <c r="E53" s="58" t="s">
        <v>314</v>
      </c>
    </row>
  </sheetData>
  <mergeCells count="19">
    <mergeCell ref="A14:T14"/>
    <mergeCell ref="A17:T17"/>
    <mergeCell ref="A20:T20"/>
    <mergeCell ref="S3:S4"/>
    <mergeCell ref="T3:T4"/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3" width="2.109375" style="5" bestFit="1" customWidth="1"/>
    <col min="14" max="14" width="4.77734375" style="5" bestFit="1" customWidth="1"/>
    <col min="15" max="17" width="2.109375" style="5" bestFit="1" customWidth="1"/>
    <col min="18" max="18" width="4.77734375" style="5" bestFit="1" customWidth="1"/>
    <col min="19" max="19" width="5.77734375" style="4" bestFit="1" customWidth="1"/>
    <col min="20" max="20" width="4.109375" style="5" bestFit="1" customWidth="1"/>
    <col min="21" max="21" width="7.109375" style="4" bestFit="1" customWidth="1"/>
    <col min="22" max="16384" width="9.109375" style="3"/>
  </cols>
  <sheetData>
    <row r="1" spans="1:21" s="2" customFormat="1" ht="28.95" customHeight="1" x14ac:dyDescent="0.25">
      <c r="A1" s="35" t="s">
        <v>259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5">
      <c r="A5" s="4"/>
      <c r="E5" s="4"/>
      <c r="F5" s="4"/>
      <c r="S5" s="4"/>
      <c r="U5" s="4"/>
    </row>
    <row r="6" spans="1:21" s="5" customFormat="1" ht="15" x14ac:dyDescent="0.25">
      <c r="A6" s="4"/>
      <c r="E6" s="34" t="s">
        <v>15</v>
      </c>
      <c r="F6" s="4"/>
      <c r="S6" s="4"/>
      <c r="U6" s="4"/>
    </row>
    <row r="7" spans="1:21" s="5" customFormat="1" ht="15" x14ac:dyDescent="0.25">
      <c r="A7" s="4"/>
      <c r="E7" s="34" t="s">
        <v>16</v>
      </c>
      <c r="F7" s="4"/>
      <c r="S7" s="4"/>
      <c r="U7" s="4"/>
    </row>
    <row r="8" spans="1:21" ht="15" x14ac:dyDescent="0.25">
      <c r="E8" s="34" t="s">
        <v>17</v>
      </c>
    </row>
    <row r="9" spans="1:21" x14ac:dyDescent="0.25">
      <c r="E9" s="4" t="s">
        <v>18</v>
      </c>
    </row>
    <row r="10" spans="1:21" x14ac:dyDescent="0.25">
      <c r="E10" s="4" t="s">
        <v>19</v>
      </c>
    </row>
    <row r="11" spans="1:21" x14ac:dyDescent="0.25">
      <c r="E11" s="4" t="s">
        <v>20</v>
      </c>
    </row>
    <row r="14" spans="1:21" ht="17.399999999999999" x14ac:dyDescent="0.3">
      <c r="A14" s="43" t="s">
        <v>21</v>
      </c>
      <c r="B14" s="4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7" width="2.109375" style="5" bestFit="1" customWidth="1"/>
    <col min="8" max="8" width="2.109375" style="69" bestFit="1" customWidth="1"/>
    <col min="9" max="9" width="5.77734375" style="4" bestFit="1" customWidth="1"/>
    <col min="10" max="10" width="4.109375" style="5" bestFit="1" customWidth="1"/>
    <col min="11" max="11" width="7.109375" style="4" bestFit="1" customWidth="1"/>
    <col min="12" max="16384" width="9.109375" style="3"/>
  </cols>
  <sheetData>
    <row r="1" spans="1:11" s="2" customFormat="1" ht="28.95" customHeight="1" x14ac:dyDescent="0.25">
      <c r="A1" s="35" t="s">
        <v>750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41" t="s">
        <v>233</v>
      </c>
      <c r="J3" s="26" t="s">
        <v>7</v>
      </c>
      <c r="K3" s="27" t="s">
        <v>6</v>
      </c>
    </row>
    <row r="4" spans="1:11" s="1" customFormat="1" ht="23.25" customHeight="1" thickBot="1" x14ac:dyDescent="0.3">
      <c r="A4" s="28"/>
      <c r="B4" s="30"/>
      <c r="C4" s="30"/>
      <c r="D4" s="30"/>
      <c r="E4" s="30"/>
      <c r="F4" s="33"/>
      <c r="G4" s="12" t="s">
        <v>715</v>
      </c>
      <c r="H4" s="68" t="s">
        <v>716</v>
      </c>
      <c r="I4" s="42"/>
      <c r="J4" s="30"/>
      <c r="K4" s="31"/>
    </row>
    <row r="5" spans="1:11" s="5" customFormat="1" x14ac:dyDescent="0.25">
      <c r="A5" s="4"/>
      <c r="E5" s="4"/>
      <c r="F5" s="4"/>
      <c r="H5" s="69"/>
      <c r="I5" s="4"/>
      <c r="K5" s="4"/>
    </row>
    <row r="6" spans="1:11" s="5" customFormat="1" ht="15" x14ac:dyDescent="0.25">
      <c r="A6" s="4"/>
      <c r="E6" s="34" t="s">
        <v>15</v>
      </c>
      <c r="F6" s="4"/>
      <c r="H6" s="69"/>
      <c r="I6" s="4"/>
      <c r="K6" s="4"/>
    </row>
    <row r="7" spans="1:11" s="5" customFormat="1" ht="15" x14ac:dyDescent="0.25">
      <c r="A7" s="4"/>
      <c r="E7" s="34" t="s">
        <v>16</v>
      </c>
      <c r="F7" s="4"/>
      <c r="H7" s="69"/>
      <c r="I7" s="4"/>
      <c r="K7" s="4"/>
    </row>
    <row r="8" spans="1:11" ht="15" x14ac:dyDescent="0.25">
      <c r="E8" s="34" t="s">
        <v>17</v>
      </c>
    </row>
    <row r="9" spans="1:11" x14ac:dyDescent="0.25">
      <c r="E9" s="4" t="s">
        <v>18</v>
      </c>
    </row>
    <row r="10" spans="1:11" x14ac:dyDescent="0.25">
      <c r="E10" s="4" t="s">
        <v>19</v>
      </c>
    </row>
    <row r="11" spans="1:11" x14ac:dyDescent="0.25">
      <c r="E11" s="4" t="s">
        <v>20</v>
      </c>
    </row>
    <row r="14" spans="1:11" ht="17.399999999999999" x14ac:dyDescent="0.3">
      <c r="A14" s="43" t="s">
        <v>21</v>
      </c>
      <c r="B14" s="44"/>
    </row>
  </sheetData>
  <mergeCells count="11">
    <mergeCell ref="I3:I4"/>
    <mergeCell ref="J3:J4"/>
    <mergeCell ref="K3:K4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1" width="5.77734375" style="4" bestFit="1" customWidth="1"/>
    <col min="12" max="12" width="4.1093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258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5">
      <c r="A5" s="4"/>
      <c r="E5" s="4"/>
      <c r="F5" s="4"/>
      <c r="K5" s="4"/>
      <c r="M5" s="4"/>
    </row>
    <row r="6" spans="1:13" s="5" customFormat="1" ht="15" x14ac:dyDescent="0.25">
      <c r="A6" s="4"/>
      <c r="E6" s="34" t="s">
        <v>15</v>
      </c>
      <c r="F6" s="4"/>
      <c r="K6" s="4"/>
      <c r="M6" s="4"/>
    </row>
    <row r="7" spans="1:13" s="5" customFormat="1" ht="15" x14ac:dyDescent="0.25">
      <c r="A7" s="4"/>
      <c r="E7" s="34" t="s">
        <v>16</v>
      </c>
      <c r="F7" s="4"/>
      <c r="K7" s="4"/>
      <c r="M7" s="4"/>
    </row>
    <row r="8" spans="1:13" ht="15" x14ac:dyDescent="0.25">
      <c r="E8" s="34" t="s">
        <v>17</v>
      </c>
    </row>
    <row r="9" spans="1:13" x14ac:dyDescent="0.25">
      <c r="E9" s="4" t="s">
        <v>18</v>
      </c>
    </row>
    <row r="10" spans="1:13" x14ac:dyDescent="0.25">
      <c r="E10" s="4" t="s">
        <v>19</v>
      </c>
    </row>
    <row r="11" spans="1:13" x14ac:dyDescent="0.25">
      <c r="E11" s="4" t="s">
        <v>20</v>
      </c>
    </row>
    <row r="14" spans="1:13" ht="17.399999999999999" x14ac:dyDescent="0.3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1" width="5.77734375" style="4" bestFit="1" customWidth="1"/>
    <col min="12" max="12" width="4.1093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257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5">
      <c r="A5" s="4"/>
      <c r="E5" s="4"/>
      <c r="F5" s="4"/>
      <c r="K5" s="4"/>
      <c r="M5" s="4"/>
    </row>
    <row r="6" spans="1:13" s="5" customFormat="1" ht="15" x14ac:dyDescent="0.25">
      <c r="A6" s="4"/>
      <c r="E6" s="34" t="s">
        <v>15</v>
      </c>
      <c r="F6" s="4"/>
      <c r="K6" s="4"/>
      <c r="M6" s="4"/>
    </row>
    <row r="7" spans="1:13" s="5" customFormat="1" ht="15" x14ac:dyDescent="0.25">
      <c r="A7" s="4"/>
      <c r="E7" s="34" t="s">
        <v>16</v>
      </c>
      <c r="F7" s="4"/>
      <c r="K7" s="4"/>
      <c r="M7" s="4"/>
    </row>
    <row r="8" spans="1:13" ht="15" x14ac:dyDescent="0.25">
      <c r="E8" s="34" t="s">
        <v>17</v>
      </c>
    </row>
    <row r="9" spans="1:13" x14ac:dyDescent="0.25">
      <c r="E9" s="4" t="s">
        <v>18</v>
      </c>
    </row>
    <row r="10" spans="1:13" x14ac:dyDescent="0.25">
      <c r="E10" s="4" t="s">
        <v>19</v>
      </c>
    </row>
    <row r="11" spans="1:13" x14ac:dyDescent="0.25">
      <c r="E11" s="4" t="s">
        <v>20</v>
      </c>
    </row>
    <row r="14" spans="1:13" ht="17.399999999999999" x14ac:dyDescent="0.3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1" width="5.77734375" style="4" bestFit="1" customWidth="1"/>
    <col min="12" max="12" width="4.1093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256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5">
      <c r="A5" s="4"/>
      <c r="E5" s="4"/>
      <c r="F5" s="4"/>
      <c r="K5" s="4"/>
      <c r="M5" s="4"/>
    </row>
    <row r="6" spans="1:13" s="5" customFormat="1" ht="15" x14ac:dyDescent="0.25">
      <c r="A6" s="4"/>
      <c r="E6" s="34" t="s">
        <v>15</v>
      </c>
      <c r="F6" s="4"/>
      <c r="K6" s="4"/>
      <c r="M6" s="4"/>
    </row>
    <row r="7" spans="1:13" s="5" customFormat="1" ht="15" x14ac:dyDescent="0.25">
      <c r="A7" s="4"/>
      <c r="E7" s="34" t="s">
        <v>16</v>
      </c>
      <c r="F7" s="4"/>
      <c r="K7" s="4"/>
      <c r="M7" s="4"/>
    </row>
    <row r="8" spans="1:13" ht="15" x14ac:dyDescent="0.25">
      <c r="E8" s="34" t="s">
        <v>17</v>
      </c>
    </row>
    <row r="9" spans="1:13" x14ac:dyDescent="0.25">
      <c r="E9" s="4" t="s">
        <v>18</v>
      </c>
    </row>
    <row r="10" spans="1:13" x14ac:dyDescent="0.25">
      <c r="E10" s="4" t="s">
        <v>19</v>
      </c>
    </row>
    <row r="11" spans="1:13" x14ac:dyDescent="0.25">
      <c r="E11" s="4" t="s">
        <v>20</v>
      </c>
    </row>
    <row r="14" spans="1:13" ht="17.399999999999999" x14ac:dyDescent="0.3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6.55468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28.44140625" style="4" bestFit="1" customWidth="1"/>
    <col min="7" max="9" width="5.5546875" style="5" bestFit="1" customWidth="1"/>
    <col min="10" max="10" width="4.77734375" style="5" bestFit="1" customWidth="1"/>
    <col min="11" max="11" width="5.77734375" style="4" bestFit="1" customWidth="1"/>
    <col min="12" max="12" width="8.55468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234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.6" x14ac:dyDescent="0.3">
      <c r="A5" s="45" t="s">
        <v>170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5">
      <c r="A6" s="46" t="s">
        <v>236</v>
      </c>
      <c r="B6" s="47" t="s">
        <v>237</v>
      </c>
      <c r="C6" s="47" t="s">
        <v>238</v>
      </c>
      <c r="D6" s="47" t="str">
        <f>"0,5871"</f>
        <v>0,5871</v>
      </c>
      <c r="E6" s="46" t="s">
        <v>30</v>
      </c>
      <c r="F6" s="46" t="s">
        <v>155</v>
      </c>
      <c r="G6" s="47" t="s">
        <v>106</v>
      </c>
      <c r="H6" s="47" t="s">
        <v>239</v>
      </c>
      <c r="I6" s="48" t="s">
        <v>108</v>
      </c>
      <c r="J6" s="48"/>
      <c r="K6" s="46" t="str">
        <f>"230,0"</f>
        <v>230,0</v>
      </c>
      <c r="L6" s="47" t="str">
        <f>"135,0445"</f>
        <v>135,0445</v>
      </c>
      <c r="M6" s="46"/>
    </row>
    <row r="7" spans="1:13" s="5" customFormat="1" x14ac:dyDescent="0.25">
      <c r="A7" s="4"/>
      <c r="E7" s="4"/>
      <c r="F7" s="4"/>
      <c r="K7" s="4"/>
      <c r="M7" s="4"/>
    </row>
    <row r="8" spans="1:13" ht="15.6" x14ac:dyDescent="0.3">
      <c r="A8" s="50" t="s">
        <v>182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5">
      <c r="A9" s="46" t="s">
        <v>241</v>
      </c>
      <c r="B9" s="47" t="s">
        <v>242</v>
      </c>
      <c r="C9" s="47" t="s">
        <v>243</v>
      </c>
      <c r="D9" s="47" t="str">
        <f>"0,5781"</f>
        <v>0,5781</v>
      </c>
      <c r="E9" s="46" t="s">
        <v>30</v>
      </c>
      <c r="F9" s="46" t="s">
        <v>244</v>
      </c>
      <c r="G9" s="47" t="s">
        <v>78</v>
      </c>
      <c r="H9" s="47" t="s">
        <v>105</v>
      </c>
      <c r="I9" s="47" t="s">
        <v>106</v>
      </c>
      <c r="J9" s="48"/>
      <c r="K9" s="46" t="str">
        <f>"220,0"</f>
        <v>220,0</v>
      </c>
      <c r="L9" s="47" t="str">
        <f>"127,1710"</f>
        <v>127,1710</v>
      </c>
      <c r="M9" s="46"/>
    </row>
    <row r="11" spans="1:13" ht="15.6" x14ac:dyDescent="0.3">
      <c r="A11" s="50" t="s">
        <v>99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3" x14ac:dyDescent="0.25">
      <c r="A12" s="59" t="s">
        <v>246</v>
      </c>
      <c r="B12" s="60" t="s">
        <v>247</v>
      </c>
      <c r="C12" s="60" t="s">
        <v>248</v>
      </c>
      <c r="D12" s="60" t="str">
        <f>"0,5570"</f>
        <v>0,5570</v>
      </c>
      <c r="E12" s="59" t="s">
        <v>30</v>
      </c>
      <c r="F12" s="59" t="s">
        <v>244</v>
      </c>
      <c r="G12" s="60" t="s">
        <v>249</v>
      </c>
      <c r="H12" s="61" t="s">
        <v>250</v>
      </c>
      <c r="I12" s="61"/>
      <c r="J12" s="61"/>
      <c r="K12" s="59" t="str">
        <f>"300,0"</f>
        <v>300,0</v>
      </c>
      <c r="L12" s="60" t="str">
        <f>"167,1000"</f>
        <v>167,1000</v>
      </c>
      <c r="M12" s="59"/>
    </row>
    <row r="13" spans="1:13" x14ac:dyDescent="0.25">
      <c r="A13" s="62" t="s">
        <v>246</v>
      </c>
      <c r="B13" s="63" t="s">
        <v>251</v>
      </c>
      <c r="C13" s="63" t="s">
        <v>248</v>
      </c>
      <c r="D13" s="63" t="str">
        <f>"0,5570"</f>
        <v>0,5570</v>
      </c>
      <c r="E13" s="62" t="s">
        <v>30</v>
      </c>
      <c r="F13" s="62" t="s">
        <v>244</v>
      </c>
      <c r="G13" s="63" t="s">
        <v>249</v>
      </c>
      <c r="H13" s="64" t="s">
        <v>250</v>
      </c>
      <c r="I13" s="64"/>
      <c r="J13" s="64"/>
      <c r="K13" s="62" t="str">
        <f>"300,0"</f>
        <v>300,0</v>
      </c>
      <c r="L13" s="63" t="str">
        <f>"188,8230"</f>
        <v>188,8230</v>
      </c>
      <c r="M13" s="62"/>
    </row>
    <row r="15" spans="1:13" ht="15" x14ac:dyDescent="0.25">
      <c r="E15" s="34" t="s">
        <v>15</v>
      </c>
    </row>
    <row r="16" spans="1:13" ht="15" x14ac:dyDescent="0.25">
      <c r="E16" s="34" t="s">
        <v>16</v>
      </c>
    </row>
    <row r="17" spans="1:5" ht="15" x14ac:dyDescent="0.25">
      <c r="E17" s="34" t="s">
        <v>17</v>
      </c>
    </row>
    <row r="18" spans="1:5" x14ac:dyDescent="0.25">
      <c r="E18" s="4" t="s">
        <v>18</v>
      </c>
    </row>
    <row r="19" spans="1:5" x14ac:dyDescent="0.25">
      <c r="E19" s="4" t="s">
        <v>19</v>
      </c>
    </row>
    <row r="20" spans="1:5" x14ac:dyDescent="0.25">
      <c r="E20" s="4" t="s">
        <v>20</v>
      </c>
    </row>
    <row r="23" spans="1:5" ht="17.399999999999999" x14ac:dyDescent="0.3">
      <c r="A23" s="43" t="s">
        <v>21</v>
      </c>
      <c r="B23" s="44"/>
    </row>
    <row r="24" spans="1:5" ht="15.6" x14ac:dyDescent="0.3">
      <c r="A24" s="52" t="s">
        <v>110</v>
      </c>
      <c r="B24" s="53"/>
    </row>
    <row r="25" spans="1:5" ht="14.4" x14ac:dyDescent="0.3">
      <c r="A25" s="55"/>
      <c r="B25" s="56" t="s">
        <v>80</v>
      </c>
    </row>
    <row r="26" spans="1:5" ht="13.8" x14ac:dyDescent="0.25">
      <c r="A26" s="57" t="s">
        <v>0</v>
      </c>
      <c r="B26" s="57" t="s">
        <v>81</v>
      </c>
      <c r="C26" s="57" t="s">
        <v>82</v>
      </c>
      <c r="D26" s="57" t="s">
        <v>83</v>
      </c>
      <c r="E26" s="57" t="s">
        <v>24</v>
      </c>
    </row>
    <row r="27" spans="1:5" x14ac:dyDescent="0.25">
      <c r="A27" s="54" t="s">
        <v>245</v>
      </c>
      <c r="B27" s="5" t="s">
        <v>80</v>
      </c>
      <c r="C27" s="5" t="s">
        <v>111</v>
      </c>
      <c r="D27" s="5" t="s">
        <v>249</v>
      </c>
      <c r="E27" s="58" t="s">
        <v>252</v>
      </c>
    </row>
    <row r="28" spans="1:5" x14ac:dyDescent="0.25">
      <c r="A28" s="54" t="s">
        <v>235</v>
      </c>
      <c r="B28" s="5" t="s">
        <v>80</v>
      </c>
      <c r="C28" s="5" t="s">
        <v>216</v>
      </c>
      <c r="D28" s="5" t="s">
        <v>239</v>
      </c>
      <c r="E28" s="58" t="s">
        <v>253</v>
      </c>
    </row>
    <row r="29" spans="1:5" x14ac:dyDescent="0.25">
      <c r="A29" s="54" t="s">
        <v>240</v>
      </c>
      <c r="B29" s="5" t="s">
        <v>80</v>
      </c>
      <c r="C29" s="5" t="s">
        <v>213</v>
      </c>
      <c r="D29" s="5" t="s">
        <v>106</v>
      </c>
      <c r="E29" s="58" t="s">
        <v>254</v>
      </c>
    </row>
    <row r="31" spans="1:5" ht="14.4" x14ac:dyDescent="0.3">
      <c r="A31" s="55"/>
      <c r="B31" s="56" t="s">
        <v>93</v>
      </c>
    </row>
    <row r="32" spans="1:5" ht="13.8" x14ac:dyDescent="0.25">
      <c r="A32" s="57" t="s">
        <v>0</v>
      </c>
      <c r="B32" s="57" t="s">
        <v>81</v>
      </c>
      <c r="C32" s="57" t="s">
        <v>82</v>
      </c>
      <c r="D32" s="57" t="s">
        <v>83</v>
      </c>
      <c r="E32" s="57" t="s">
        <v>24</v>
      </c>
    </row>
    <row r="33" spans="1:5" x14ac:dyDescent="0.25">
      <c r="A33" s="54" t="s">
        <v>245</v>
      </c>
      <c r="B33" s="5" t="s">
        <v>227</v>
      </c>
      <c r="C33" s="5" t="s">
        <v>111</v>
      </c>
      <c r="D33" s="5" t="s">
        <v>249</v>
      </c>
      <c r="E33" s="58" t="s">
        <v>255</v>
      </c>
    </row>
  </sheetData>
  <mergeCells count="14"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6.55468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28.5546875" style="4" bestFit="1" customWidth="1"/>
    <col min="7" max="9" width="5.5546875" style="5" bestFit="1" customWidth="1"/>
    <col min="10" max="10" width="4.77734375" style="5" bestFit="1" customWidth="1"/>
    <col min="11" max="11" width="5.77734375" style="4" bestFit="1" customWidth="1"/>
    <col min="12" max="12" width="8.5546875" style="5" bestFit="1" customWidth="1"/>
    <col min="13" max="13" width="7.109375" style="4" bestFit="1" customWidth="1"/>
    <col min="14" max="16384" width="9.109375" style="3"/>
  </cols>
  <sheetData>
    <row r="1" spans="1:13" s="2" customFormat="1" ht="28.95" customHeight="1" x14ac:dyDescent="0.25">
      <c r="A1" s="35" t="s">
        <v>116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233</v>
      </c>
      <c r="L3" s="26" t="s">
        <v>7</v>
      </c>
      <c r="M3" s="27" t="s">
        <v>6</v>
      </c>
    </row>
    <row r="4" spans="1:13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.6" x14ac:dyDescent="0.3">
      <c r="A5" s="45" t="s">
        <v>117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5">
      <c r="A6" s="59" t="s">
        <v>119</v>
      </c>
      <c r="B6" s="60" t="s">
        <v>120</v>
      </c>
      <c r="C6" s="60" t="s">
        <v>121</v>
      </c>
      <c r="D6" s="60" t="str">
        <f>"0,9102"</f>
        <v>0,9102</v>
      </c>
      <c r="E6" s="59" t="s">
        <v>30</v>
      </c>
      <c r="F6" s="59" t="s">
        <v>122</v>
      </c>
      <c r="G6" s="60" t="s">
        <v>123</v>
      </c>
      <c r="H6" s="60" t="s">
        <v>32</v>
      </c>
      <c r="I6" s="61" t="s">
        <v>33</v>
      </c>
      <c r="J6" s="61"/>
      <c r="K6" s="59" t="str">
        <f>"85,0"</f>
        <v>85,0</v>
      </c>
      <c r="L6" s="60" t="str">
        <f>"77,3670"</f>
        <v>77,3670</v>
      </c>
      <c r="M6" s="59"/>
    </row>
    <row r="7" spans="1:13" s="5" customFormat="1" x14ac:dyDescent="0.25">
      <c r="A7" s="62" t="s">
        <v>125</v>
      </c>
      <c r="B7" s="63" t="s">
        <v>126</v>
      </c>
      <c r="C7" s="63" t="s">
        <v>127</v>
      </c>
      <c r="D7" s="63" t="str">
        <f>"0,9189"</f>
        <v>0,9189</v>
      </c>
      <c r="E7" s="62" t="s">
        <v>30</v>
      </c>
      <c r="F7" s="62" t="s">
        <v>128</v>
      </c>
      <c r="G7" s="63" t="s">
        <v>129</v>
      </c>
      <c r="H7" s="63" t="s">
        <v>130</v>
      </c>
      <c r="I7" s="64" t="s">
        <v>131</v>
      </c>
      <c r="J7" s="64"/>
      <c r="K7" s="62" t="str">
        <f>"35,0"</f>
        <v>35,0</v>
      </c>
      <c r="L7" s="63" t="str">
        <f>"60,3317"</f>
        <v>60,3317</v>
      </c>
      <c r="M7" s="62"/>
    </row>
    <row r="9" spans="1:13" ht="15.6" x14ac:dyDescent="0.3">
      <c r="A9" s="50" t="s">
        <v>66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3" x14ac:dyDescent="0.25">
      <c r="A10" s="59" t="s">
        <v>133</v>
      </c>
      <c r="B10" s="60" t="s">
        <v>134</v>
      </c>
      <c r="C10" s="60" t="s">
        <v>135</v>
      </c>
      <c r="D10" s="60" t="str">
        <f>"0,8507"</f>
        <v>0,8507</v>
      </c>
      <c r="E10" s="59" t="s">
        <v>30</v>
      </c>
      <c r="F10" s="59" t="s">
        <v>104</v>
      </c>
      <c r="G10" s="60" t="s">
        <v>136</v>
      </c>
      <c r="H10" s="61" t="s">
        <v>74</v>
      </c>
      <c r="I10" s="60" t="s">
        <v>74</v>
      </c>
      <c r="J10" s="61"/>
      <c r="K10" s="59" t="str">
        <f>"110,0"</f>
        <v>110,0</v>
      </c>
      <c r="L10" s="60" t="str">
        <f>"93,5770"</f>
        <v>93,5770</v>
      </c>
      <c r="M10" s="59"/>
    </row>
    <row r="11" spans="1:13" x14ac:dyDescent="0.25">
      <c r="A11" s="62" t="s">
        <v>133</v>
      </c>
      <c r="B11" s="63" t="s">
        <v>137</v>
      </c>
      <c r="C11" s="63" t="s">
        <v>135</v>
      </c>
      <c r="D11" s="63" t="str">
        <f>"0,8507"</f>
        <v>0,8507</v>
      </c>
      <c r="E11" s="62" t="s">
        <v>30</v>
      </c>
      <c r="F11" s="62" t="s">
        <v>104</v>
      </c>
      <c r="G11" s="63" t="s">
        <v>136</v>
      </c>
      <c r="H11" s="64" t="s">
        <v>74</v>
      </c>
      <c r="I11" s="63" t="s">
        <v>74</v>
      </c>
      <c r="J11" s="64"/>
      <c r="K11" s="62" t="str">
        <f>"110,0"</f>
        <v>110,0</v>
      </c>
      <c r="L11" s="63" t="str">
        <f>"116,5969"</f>
        <v>116,5969</v>
      </c>
      <c r="M11" s="62"/>
    </row>
    <row r="13" spans="1:13" ht="15.6" x14ac:dyDescent="0.3">
      <c r="A13" s="50" t="s">
        <v>117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3" x14ac:dyDescent="0.25">
      <c r="A14" s="46" t="s">
        <v>139</v>
      </c>
      <c r="B14" s="47" t="s">
        <v>140</v>
      </c>
      <c r="C14" s="47" t="s">
        <v>141</v>
      </c>
      <c r="D14" s="47" t="str">
        <f>"0,7541"</f>
        <v>0,7541</v>
      </c>
      <c r="E14" s="46" t="s">
        <v>30</v>
      </c>
      <c r="F14" s="46" t="s">
        <v>142</v>
      </c>
      <c r="G14" s="47" t="s">
        <v>123</v>
      </c>
      <c r="H14" s="47" t="s">
        <v>32</v>
      </c>
      <c r="I14" s="47" t="s">
        <v>62</v>
      </c>
      <c r="J14" s="48"/>
      <c r="K14" s="46" t="str">
        <f>"87,5"</f>
        <v>87,5</v>
      </c>
      <c r="L14" s="47" t="str">
        <f>"82,2212"</f>
        <v>82,2212</v>
      </c>
      <c r="M14" s="46"/>
    </row>
    <row r="16" spans="1:13" ht="15.6" x14ac:dyDescent="0.3">
      <c r="A16" s="50" t="s">
        <v>66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3" x14ac:dyDescent="0.25">
      <c r="A17" s="46" t="s">
        <v>144</v>
      </c>
      <c r="B17" s="47" t="s">
        <v>145</v>
      </c>
      <c r="C17" s="47" t="s">
        <v>146</v>
      </c>
      <c r="D17" s="47" t="str">
        <f>"0,7297"</f>
        <v>0,7297</v>
      </c>
      <c r="E17" s="46" t="s">
        <v>30</v>
      </c>
      <c r="F17" s="46" t="s">
        <v>147</v>
      </c>
      <c r="G17" s="47" t="s">
        <v>148</v>
      </c>
      <c r="H17" s="48" t="s">
        <v>149</v>
      </c>
      <c r="I17" s="48" t="s">
        <v>149</v>
      </c>
      <c r="J17" s="48"/>
      <c r="K17" s="46" t="str">
        <f>"100,0"</f>
        <v>100,0</v>
      </c>
      <c r="L17" s="47" t="str">
        <f>"72,9650"</f>
        <v>72,9650</v>
      </c>
      <c r="M17" s="46"/>
    </row>
    <row r="19" spans="1:13" ht="15.6" x14ac:dyDescent="0.3">
      <c r="A19" s="50" t="s">
        <v>150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1:13" x14ac:dyDescent="0.25">
      <c r="A20" s="59" t="s">
        <v>152</v>
      </c>
      <c r="B20" s="60" t="s">
        <v>153</v>
      </c>
      <c r="C20" s="60" t="s">
        <v>154</v>
      </c>
      <c r="D20" s="60" t="str">
        <f>"0,6623"</f>
        <v>0,6623</v>
      </c>
      <c r="E20" s="59" t="s">
        <v>30</v>
      </c>
      <c r="F20" s="59" t="s">
        <v>155</v>
      </c>
      <c r="G20" s="60" t="s">
        <v>75</v>
      </c>
      <c r="H20" s="60" t="s">
        <v>39</v>
      </c>
      <c r="I20" s="61" t="s">
        <v>40</v>
      </c>
      <c r="J20" s="61"/>
      <c r="K20" s="59" t="str">
        <f>"120,0"</f>
        <v>120,0</v>
      </c>
      <c r="L20" s="60" t="str">
        <f>"79,4820"</f>
        <v>79,4820</v>
      </c>
      <c r="M20" s="59"/>
    </row>
    <row r="21" spans="1:13" x14ac:dyDescent="0.25">
      <c r="A21" s="66" t="s">
        <v>157</v>
      </c>
      <c r="B21" s="65" t="s">
        <v>158</v>
      </c>
      <c r="C21" s="65" t="s">
        <v>159</v>
      </c>
      <c r="D21" s="65" t="str">
        <f>"0,6712"</f>
        <v>0,6712</v>
      </c>
      <c r="E21" s="66" t="s">
        <v>30</v>
      </c>
      <c r="F21" s="66" t="s">
        <v>104</v>
      </c>
      <c r="G21" s="65" t="s">
        <v>39</v>
      </c>
      <c r="H21" s="67" t="s">
        <v>59</v>
      </c>
      <c r="I21" s="67" t="s">
        <v>59</v>
      </c>
      <c r="J21" s="67"/>
      <c r="K21" s="66" t="str">
        <f>"120,0"</f>
        <v>120,0</v>
      </c>
      <c r="L21" s="65" t="str">
        <f>"83,0409"</f>
        <v>83,0409</v>
      </c>
      <c r="M21" s="66"/>
    </row>
    <row r="22" spans="1:13" x14ac:dyDescent="0.25">
      <c r="A22" s="62" t="s">
        <v>161</v>
      </c>
      <c r="B22" s="63" t="s">
        <v>162</v>
      </c>
      <c r="C22" s="63" t="s">
        <v>163</v>
      </c>
      <c r="D22" s="63" t="str">
        <f>"0,6561"</f>
        <v>0,6561</v>
      </c>
      <c r="E22" s="62" t="s">
        <v>30</v>
      </c>
      <c r="F22" s="62" t="s">
        <v>164</v>
      </c>
      <c r="G22" s="63" t="s">
        <v>33</v>
      </c>
      <c r="H22" s="64" t="s">
        <v>148</v>
      </c>
      <c r="I22" s="64" t="s">
        <v>148</v>
      </c>
      <c r="J22" s="64"/>
      <c r="K22" s="62" t="str">
        <f>"90,0"</f>
        <v>90,0</v>
      </c>
      <c r="L22" s="63" t="str">
        <f>"103,6979"</f>
        <v>103,6979</v>
      </c>
      <c r="M22" s="62"/>
    </row>
    <row r="24" spans="1:13" ht="15.6" x14ac:dyDescent="0.3">
      <c r="A24" s="50" t="s">
        <v>165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3" x14ac:dyDescent="0.25">
      <c r="A25" s="46" t="s">
        <v>167</v>
      </c>
      <c r="B25" s="47" t="s">
        <v>168</v>
      </c>
      <c r="C25" s="47" t="s">
        <v>169</v>
      </c>
      <c r="D25" s="47" t="str">
        <f>"0,6308"</f>
        <v>0,6308</v>
      </c>
      <c r="E25" s="46" t="s">
        <v>30</v>
      </c>
      <c r="F25" s="46" t="s">
        <v>128</v>
      </c>
      <c r="G25" s="48" t="s">
        <v>75</v>
      </c>
      <c r="H25" s="47" t="s">
        <v>39</v>
      </c>
      <c r="I25" s="47" t="s">
        <v>40</v>
      </c>
      <c r="J25" s="48"/>
      <c r="K25" s="46" t="str">
        <f>"125,0"</f>
        <v>125,0</v>
      </c>
      <c r="L25" s="47" t="str">
        <f>"96,5913"</f>
        <v>96,5913</v>
      </c>
      <c r="M25" s="46"/>
    </row>
    <row r="27" spans="1:13" ht="15.6" x14ac:dyDescent="0.3">
      <c r="A27" s="50" t="s">
        <v>170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3" x14ac:dyDescent="0.25">
      <c r="A28" s="59" t="s">
        <v>172</v>
      </c>
      <c r="B28" s="60" t="s">
        <v>173</v>
      </c>
      <c r="C28" s="60" t="s">
        <v>174</v>
      </c>
      <c r="D28" s="60" t="str">
        <f>"0,5917"</f>
        <v>0,5917</v>
      </c>
      <c r="E28" s="59" t="s">
        <v>30</v>
      </c>
      <c r="F28" s="59" t="s">
        <v>104</v>
      </c>
      <c r="G28" s="60" t="s">
        <v>64</v>
      </c>
      <c r="H28" s="60" t="s">
        <v>175</v>
      </c>
      <c r="I28" s="61" t="s">
        <v>176</v>
      </c>
      <c r="J28" s="61"/>
      <c r="K28" s="59" t="str">
        <f>"165,0"</f>
        <v>165,0</v>
      </c>
      <c r="L28" s="60" t="str">
        <f>"97,6223"</f>
        <v>97,6223</v>
      </c>
      <c r="M28" s="59"/>
    </row>
    <row r="29" spans="1:13" x14ac:dyDescent="0.25">
      <c r="A29" s="62" t="s">
        <v>178</v>
      </c>
      <c r="B29" s="63" t="s">
        <v>179</v>
      </c>
      <c r="C29" s="63" t="s">
        <v>180</v>
      </c>
      <c r="D29" s="63" t="str">
        <f>"0,5974"</f>
        <v>0,5974</v>
      </c>
      <c r="E29" s="62" t="s">
        <v>30</v>
      </c>
      <c r="F29" s="62" t="s">
        <v>128</v>
      </c>
      <c r="G29" s="63" t="s">
        <v>176</v>
      </c>
      <c r="H29" s="63" t="s">
        <v>76</v>
      </c>
      <c r="I29" s="64" t="s">
        <v>181</v>
      </c>
      <c r="J29" s="64"/>
      <c r="K29" s="62" t="str">
        <f>"180,0"</f>
        <v>180,0</v>
      </c>
      <c r="L29" s="63" t="str">
        <f>"144,0929"</f>
        <v>144,0929</v>
      </c>
      <c r="M29" s="62"/>
    </row>
    <row r="31" spans="1:13" ht="15.6" x14ac:dyDescent="0.3">
      <c r="A31" s="50" t="s">
        <v>182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3" x14ac:dyDescent="0.25">
      <c r="A32" s="59" t="s">
        <v>184</v>
      </c>
      <c r="B32" s="60" t="s">
        <v>185</v>
      </c>
      <c r="C32" s="60" t="s">
        <v>186</v>
      </c>
      <c r="D32" s="60" t="str">
        <f>"0,5670"</f>
        <v>0,5670</v>
      </c>
      <c r="E32" s="59" t="s">
        <v>30</v>
      </c>
      <c r="F32" s="59" t="s">
        <v>104</v>
      </c>
      <c r="G32" s="60" t="s">
        <v>33</v>
      </c>
      <c r="H32" s="60" t="s">
        <v>34</v>
      </c>
      <c r="I32" s="61" t="s">
        <v>148</v>
      </c>
      <c r="J32" s="61"/>
      <c r="K32" s="59" t="str">
        <f>"95,0"</f>
        <v>95,0</v>
      </c>
      <c r="L32" s="60" t="str">
        <f>"53,8603"</f>
        <v>53,8603</v>
      </c>
      <c r="M32" s="59"/>
    </row>
    <row r="33" spans="1:13" x14ac:dyDescent="0.25">
      <c r="A33" s="62" t="s">
        <v>188</v>
      </c>
      <c r="B33" s="63" t="s">
        <v>189</v>
      </c>
      <c r="C33" s="63" t="s">
        <v>190</v>
      </c>
      <c r="D33" s="63" t="str">
        <f>"0,5658"</f>
        <v>0,5658</v>
      </c>
      <c r="E33" s="62" t="s">
        <v>30</v>
      </c>
      <c r="F33" s="62" t="s">
        <v>104</v>
      </c>
      <c r="G33" s="63" t="s">
        <v>191</v>
      </c>
      <c r="H33" s="63" t="s">
        <v>192</v>
      </c>
      <c r="I33" s="64" t="s">
        <v>193</v>
      </c>
      <c r="J33" s="64"/>
      <c r="K33" s="62" t="str">
        <f>"197,5"</f>
        <v>197,5</v>
      </c>
      <c r="L33" s="63" t="str">
        <f>"111,7455"</f>
        <v>111,7455</v>
      </c>
      <c r="M33" s="62"/>
    </row>
    <row r="35" spans="1:13" ht="15.6" x14ac:dyDescent="0.3">
      <c r="A35" s="50" t="s">
        <v>99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3" x14ac:dyDescent="0.25">
      <c r="A36" s="46" t="s">
        <v>195</v>
      </c>
      <c r="B36" s="47" t="s">
        <v>196</v>
      </c>
      <c r="C36" s="47" t="s">
        <v>197</v>
      </c>
      <c r="D36" s="47" t="str">
        <f>"0,5599"</f>
        <v>0,5599</v>
      </c>
      <c r="E36" s="46" t="s">
        <v>30</v>
      </c>
      <c r="F36" s="46" t="s">
        <v>128</v>
      </c>
      <c r="G36" s="47" t="s">
        <v>148</v>
      </c>
      <c r="H36" s="47" t="s">
        <v>149</v>
      </c>
      <c r="I36" s="48" t="s">
        <v>74</v>
      </c>
      <c r="J36" s="48"/>
      <c r="K36" s="46" t="str">
        <f>"105,0"</f>
        <v>105,0</v>
      </c>
      <c r="L36" s="47" t="str">
        <f>"73,2517"</f>
        <v>73,2517</v>
      </c>
      <c r="M36" s="46"/>
    </row>
    <row r="38" spans="1:13" ht="15.6" x14ac:dyDescent="0.3">
      <c r="A38" s="50" t="s">
        <v>198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3" x14ac:dyDescent="0.25">
      <c r="A39" s="46" t="s">
        <v>200</v>
      </c>
      <c r="B39" s="47" t="s">
        <v>201</v>
      </c>
      <c r="C39" s="47" t="s">
        <v>202</v>
      </c>
      <c r="D39" s="47" t="str">
        <f>"0,5413"</f>
        <v>0,5413</v>
      </c>
      <c r="E39" s="46" t="s">
        <v>30</v>
      </c>
      <c r="F39" s="46" t="s">
        <v>128</v>
      </c>
      <c r="G39" s="47" t="s">
        <v>60</v>
      </c>
      <c r="H39" s="47" t="s">
        <v>71</v>
      </c>
      <c r="I39" s="48" t="s">
        <v>203</v>
      </c>
      <c r="J39" s="48"/>
      <c r="K39" s="46" t="str">
        <f>"145,0"</f>
        <v>145,0</v>
      </c>
      <c r="L39" s="47" t="str">
        <f>"88,6953"</f>
        <v>88,6953</v>
      </c>
      <c r="M39" s="46"/>
    </row>
    <row r="41" spans="1:13" ht="15" x14ac:dyDescent="0.25">
      <c r="E41" s="34" t="s">
        <v>15</v>
      </c>
    </row>
    <row r="42" spans="1:13" ht="15" x14ac:dyDescent="0.25">
      <c r="E42" s="34" t="s">
        <v>16</v>
      </c>
    </row>
    <row r="43" spans="1:13" ht="15" x14ac:dyDescent="0.25">
      <c r="E43" s="34" t="s">
        <v>17</v>
      </c>
    </row>
    <row r="44" spans="1:13" x14ac:dyDescent="0.25">
      <c r="E44" s="4" t="s">
        <v>18</v>
      </c>
    </row>
    <row r="45" spans="1:13" x14ac:dyDescent="0.25">
      <c r="E45" s="4" t="s">
        <v>19</v>
      </c>
    </row>
    <row r="46" spans="1:13" x14ac:dyDescent="0.25">
      <c r="E46" s="4" t="s">
        <v>20</v>
      </c>
    </row>
    <row r="49" spans="1:5" ht="17.399999999999999" x14ac:dyDescent="0.3">
      <c r="A49" s="43" t="s">
        <v>21</v>
      </c>
      <c r="B49" s="44"/>
    </row>
    <row r="50" spans="1:5" ht="15.6" x14ac:dyDescent="0.3">
      <c r="A50" s="52" t="s">
        <v>79</v>
      </c>
      <c r="B50" s="53"/>
    </row>
    <row r="51" spans="1:5" ht="14.4" x14ac:dyDescent="0.3">
      <c r="A51" s="55"/>
      <c r="B51" s="56" t="s">
        <v>80</v>
      </c>
    </row>
    <row r="52" spans="1:5" ht="13.8" x14ac:dyDescent="0.25">
      <c r="A52" s="57" t="s">
        <v>0</v>
      </c>
      <c r="B52" s="57" t="s">
        <v>81</v>
      </c>
      <c r="C52" s="57" t="s">
        <v>82</v>
      </c>
      <c r="D52" s="57" t="s">
        <v>83</v>
      </c>
      <c r="E52" s="57" t="s">
        <v>24</v>
      </c>
    </row>
    <row r="53" spans="1:5" x14ac:dyDescent="0.25">
      <c r="A53" s="54" t="s">
        <v>132</v>
      </c>
      <c r="B53" s="5" t="s">
        <v>80</v>
      </c>
      <c r="C53" s="5" t="s">
        <v>87</v>
      </c>
      <c r="D53" s="5" t="s">
        <v>74</v>
      </c>
      <c r="E53" s="58" t="s">
        <v>204</v>
      </c>
    </row>
    <row r="54" spans="1:5" x14ac:dyDescent="0.25">
      <c r="A54" s="54" t="s">
        <v>118</v>
      </c>
      <c r="B54" s="5" t="s">
        <v>80</v>
      </c>
      <c r="C54" s="5" t="s">
        <v>205</v>
      </c>
      <c r="D54" s="5" t="s">
        <v>32</v>
      </c>
      <c r="E54" s="58" t="s">
        <v>206</v>
      </c>
    </row>
    <row r="56" spans="1:5" ht="14.4" x14ac:dyDescent="0.3">
      <c r="A56" s="55"/>
      <c r="B56" s="56" t="s">
        <v>93</v>
      </c>
    </row>
    <row r="57" spans="1:5" ht="13.8" x14ac:dyDescent="0.25">
      <c r="A57" s="57" t="s">
        <v>0</v>
      </c>
      <c r="B57" s="57" t="s">
        <v>81</v>
      </c>
      <c r="C57" s="57" t="s">
        <v>82</v>
      </c>
      <c r="D57" s="57" t="s">
        <v>83</v>
      </c>
      <c r="E57" s="57" t="s">
        <v>24</v>
      </c>
    </row>
    <row r="58" spans="1:5" x14ac:dyDescent="0.25">
      <c r="A58" s="54" t="s">
        <v>132</v>
      </c>
      <c r="B58" s="5" t="s">
        <v>207</v>
      </c>
      <c r="C58" s="5" t="s">
        <v>87</v>
      </c>
      <c r="D58" s="5" t="s">
        <v>74</v>
      </c>
      <c r="E58" s="58" t="s">
        <v>208</v>
      </c>
    </row>
    <row r="59" spans="1:5" x14ac:dyDescent="0.25">
      <c r="A59" s="54" t="s">
        <v>124</v>
      </c>
      <c r="B59" s="5" t="s">
        <v>209</v>
      </c>
      <c r="C59" s="5" t="s">
        <v>205</v>
      </c>
      <c r="D59" s="5" t="s">
        <v>130</v>
      </c>
      <c r="E59" s="58" t="s">
        <v>210</v>
      </c>
    </row>
    <row r="62" spans="1:5" ht="15.6" x14ac:dyDescent="0.3">
      <c r="A62" s="52" t="s">
        <v>110</v>
      </c>
      <c r="B62" s="53"/>
    </row>
    <row r="63" spans="1:5" ht="14.4" x14ac:dyDescent="0.3">
      <c r="A63" s="55"/>
      <c r="B63" s="56" t="s">
        <v>211</v>
      </c>
    </row>
    <row r="64" spans="1:5" ht="13.8" x14ac:dyDescent="0.25">
      <c r="A64" s="57" t="s">
        <v>0</v>
      </c>
      <c r="B64" s="57" t="s">
        <v>81</v>
      </c>
      <c r="C64" s="57" t="s">
        <v>82</v>
      </c>
      <c r="D64" s="57" t="s">
        <v>83</v>
      </c>
      <c r="E64" s="57" t="s">
        <v>24</v>
      </c>
    </row>
    <row r="65" spans="1:5" x14ac:dyDescent="0.25">
      <c r="A65" s="54" t="s">
        <v>183</v>
      </c>
      <c r="B65" s="5" t="s">
        <v>212</v>
      </c>
      <c r="C65" s="5" t="s">
        <v>213</v>
      </c>
      <c r="D65" s="5" t="s">
        <v>34</v>
      </c>
      <c r="E65" s="58" t="s">
        <v>214</v>
      </c>
    </row>
    <row r="67" spans="1:5" ht="14.4" x14ac:dyDescent="0.3">
      <c r="A67" s="55"/>
      <c r="B67" s="56" t="s">
        <v>80</v>
      </c>
    </row>
    <row r="68" spans="1:5" ht="13.8" x14ac:dyDescent="0.25">
      <c r="A68" s="57" t="s">
        <v>0</v>
      </c>
      <c r="B68" s="57" t="s">
        <v>81</v>
      </c>
      <c r="C68" s="57" t="s">
        <v>82</v>
      </c>
      <c r="D68" s="57" t="s">
        <v>83</v>
      </c>
      <c r="E68" s="57" t="s">
        <v>24</v>
      </c>
    </row>
    <row r="69" spans="1:5" x14ac:dyDescent="0.25">
      <c r="A69" s="54" t="s">
        <v>187</v>
      </c>
      <c r="B69" s="5" t="s">
        <v>80</v>
      </c>
      <c r="C69" s="5" t="s">
        <v>213</v>
      </c>
      <c r="D69" s="5" t="s">
        <v>192</v>
      </c>
      <c r="E69" s="58" t="s">
        <v>215</v>
      </c>
    </row>
    <row r="70" spans="1:5" x14ac:dyDescent="0.25">
      <c r="A70" s="54" t="s">
        <v>171</v>
      </c>
      <c r="B70" s="5" t="s">
        <v>80</v>
      </c>
      <c r="C70" s="5" t="s">
        <v>216</v>
      </c>
      <c r="D70" s="5" t="s">
        <v>175</v>
      </c>
      <c r="E70" s="58" t="s">
        <v>217</v>
      </c>
    </row>
    <row r="71" spans="1:5" x14ac:dyDescent="0.25">
      <c r="A71" s="54" t="s">
        <v>151</v>
      </c>
      <c r="B71" s="5" t="s">
        <v>80</v>
      </c>
      <c r="C71" s="5" t="s">
        <v>218</v>
      </c>
      <c r="D71" s="5" t="s">
        <v>39</v>
      </c>
      <c r="E71" s="58" t="s">
        <v>219</v>
      </c>
    </row>
    <row r="72" spans="1:5" x14ac:dyDescent="0.25">
      <c r="A72" s="54" t="s">
        <v>143</v>
      </c>
      <c r="B72" s="5" t="s">
        <v>80</v>
      </c>
      <c r="C72" s="5" t="s">
        <v>87</v>
      </c>
      <c r="D72" s="5" t="s">
        <v>148</v>
      </c>
      <c r="E72" s="58" t="s">
        <v>220</v>
      </c>
    </row>
    <row r="74" spans="1:5" ht="14.4" x14ac:dyDescent="0.3">
      <c r="A74" s="55"/>
      <c r="B74" s="56" t="s">
        <v>93</v>
      </c>
    </row>
    <row r="75" spans="1:5" ht="13.8" x14ac:dyDescent="0.25">
      <c r="A75" s="57" t="s">
        <v>0</v>
      </c>
      <c r="B75" s="57" t="s">
        <v>81</v>
      </c>
      <c r="C75" s="57" t="s">
        <v>82</v>
      </c>
      <c r="D75" s="57" t="s">
        <v>83</v>
      </c>
      <c r="E75" s="57" t="s">
        <v>24</v>
      </c>
    </row>
    <row r="76" spans="1:5" x14ac:dyDescent="0.25">
      <c r="A76" s="54" t="s">
        <v>177</v>
      </c>
      <c r="B76" s="5" t="s">
        <v>221</v>
      </c>
      <c r="C76" s="5" t="s">
        <v>216</v>
      </c>
      <c r="D76" s="5" t="s">
        <v>76</v>
      </c>
      <c r="E76" s="58" t="s">
        <v>222</v>
      </c>
    </row>
    <row r="77" spans="1:5" x14ac:dyDescent="0.25">
      <c r="A77" s="54" t="s">
        <v>160</v>
      </c>
      <c r="B77" s="5" t="s">
        <v>223</v>
      </c>
      <c r="C77" s="5" t="s">
        <v>218</v>
      </c>
      <c r="D77" s="5" t="s">
        <v>33</v>
      </c>
      <c r="E77" s="58" t="s">
        <v>224</v>
      </c>
    </row>
    <row r="78" spans="1:5" x14ac:dyDescent="0.25">
      <c r="A78" s="54" t="s">
        <v>166</v>
      </c>
      <c r="B78" s="5" t="s">
        <v>207</v>
      </c>
      <c r="C78" s="5" t="s">
        <v>225</v>
      </c>
      <c r="D78" s="5" t="s">
        <v>40</v>
      </c>
      <c r="E78" s="58" t="s">
        <v>226</v>
      </c>
    </row>
    <row r="79" spans="1:5" x14ac:dyDescent="0.25">
      <c r="A79" s="54" t="s">
        <v>199</v>
      </c>
      <c r="B79" s="5" t="s">
        <v>227</v>
      </c>
      <c r="C79" s="5" t="s">
        <v>228</v>
      </c>
      <c r="D79" s="5" t="s">
        <v>71</v>
      </c>
      <c r="E79" s="58" t="s">
        <v>229</v>
      </c>
    </row>
    <row r="80" spans="1:5" x14ac:dyDescent="0.25">
      <c r="A80" s="54" t="s">
        <v>156</v>
      </c>
      <c r="B80" s="5" t="s">
        <v>94</v>
      </c>
      <c r="C80" s="5" t="s">
        <v>218</v>
      </c>
      <c r="D80" s="5" t="s">
        <v>39</v>
      </c>
      <c r="E80" s="58" t="s">
        <v>230</v>
      </c>
    </row>
    <row r="81" spans="1:5" x14ac:dyDescent="0.25">
      <c r="A81" s="54" t="s">
        <v>138</v>
      </c>
      <c r="B81" s="5" t="s">
        <v>207</v>
      </c>
      <c r="C81" s="5" t="s">
        <v>205</v>
      </c>
      <c r="D81" s="5" t="s">
        <v>62</v>
      </c>
      <c r="E81" s="58" t="s">
        <v>231</v>
      </c>
    </row>
    <row r="82" spans="1:5" x14ac:dyDescent="0.25">
      <c r="A82" s="54" t="s">
        <v>194</v>
      </c>
      <c r="B82" s="5" t="s">
        <v>207</v>
      </c>
      <c r="C82" s="5" t="s">
        <v>111</v>
      </c>
      <c r="D82" s="5" t="s">
        <v>149</v>
      </c>
      <c r="E82" s="58" t="s">
        <v>232</v>
      </c>
    </row>
  </sheetData>
  <mergeCells count="21">
    <mergeCell ref="A38:L38"/>
    <mergeCell ref="A16:L16"/>
    <mergeCell ref="A19:L19"/>
    <mergeCell ref="A24:L24"/>
    <mergeCell ref="A27:L27"/>
    <mergeCell ref="A31:L31"/>
    <mergeCell ref="A35:L35"/>
    <mergeCell ref="K3:K4"/>
    <mergeCell ref="L3:L4"/>
    <mergeCell ref="M3:M4"/>
    <mergeCell ref="A5:L5"/>
    <mergeCell ref="A9:L9"/>
    <mergeCell ref="A13:L13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3" width="2.109375" style="5" bestFit="1" customWidth="1"/>
    <col min="14" max="14" width="4.77734375" style="5" bestFit="1" customWidth="1"/>
    <col min="15" max="17" width="2.109375" style="5" bestFit="1" customWidth="1"/>
    <col min="18" max="18" width="4.77734375" style="5" bestFit="1" customWidth="1"/>
    <col min="19" max="19" width="5.77734375" style="4" bestFit="1" customWidth="1"/>
    <col min="20" max="20" width="4.109375" style="5" bestFit="1" customWidth="1"/>
    <col min="21" max="21" width="7.109375" style="4" bestFit="1" customWidth="1"/>
    <col min="22" max="16384" width="9.109375" style="3"/>
  </cols>
  <sheetData>
    <row r="1" spans="1:21" s="2" customFormat="1" ht="28.95" customHeight="1" x14ac:dyDescent="0.25">
      <c r="A1" s="35" t="s">
        <v>115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5">
      <c r="A5" s="4"/>
      <c r="E5" s="4"/>
      <c r="F5" s="4"/>
      <c r="S5" s="4"/>
      <c r="U5" s="4"/>
    </row>
    <row r="6" spans="1:21" s="5" customFormat="1" ht="15" x14ac:dyDescent="0.25">
      <c r="A6" s="4"/>
      <c r="E6" s="34" t="s">
        <v>15</v>
      </c>
      <c r="F6" s="4"/>
      <c r="S6" s="4"/>
      <c r="U6" s="4"/>
    </row>
    <row r="7" spans="1:21" s="5" customFormat="1" ht="15" x14ac:dyDescent="0.25">
      <c r="A7" s="4"/>
      <c r="E7" s="34" t="s">
        <v>16</v>
      </c>
      <c r="F7" s="4"/>
      <c r="S7" s="4"/>
      <c r="U7" s="4"/>
    </row>
    <row r="8" spans="1:21" ht="15" x14ac:dyDescent="0.25">
      <c r="E8" s="34" t="s">
        <v>17</v>
      </c>
    </row>
    <row r="9" spans="1:21" x14ac:dyDescent="0.25">
      <c r="E9" s="4" t="s">
        <v>18</v>
      </c>
    </row>
    <row r="10" spans="1:21" x14ac:dyDescent="0.25">
      <c r="E10" s="4" t="s">
        <v>19</v>
      </c>
    </row>
    <row r="11" spans="1:21" x14ac:dyDescent="0.25">
      <c r="E11" s="4" t="s">
        <v>20</v>
      </c>
    </row>
    <row r="14" spans="1:21" ht="17.399999999999999" x14ac:dyDescent="0.3">
      <c r="A14" s="43" t="s">
        <v>21</v>
      </c>
      <c r="B14" s="4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3" width="2.109375" style="5" bestFit="1" customWidth="1"/>
    <col min="14" max="14" width="4.77734375" style="5" bestFit="1" customWidth="1"/>
    <col min="15" max="17" width="2.109375" style="5" bestFit="1" customWidth="1"/>
    <col min="18" max="18" width="4.77734375" style="5" bestFit="1" customWidth="1"/>
    <col min="19" max="19" width="5.77734375" style="4" bestFit="1" customWidth="1"/>
    <col min="20" max="20" width="4.109375" style="5" bestFit="1" customWidth="1"/>
    <col min="21" max="21" width="7.109375" style="4" bestFit="1" customWidth="1"/>
    <col min="22" max="16384" width="9.109375" style="3"/>
  </cols>
  <sheetData>
    <row r="1" spans="1:21" s="2" customFormat="1" ht="28.95" customHeight="1" x14ac:dyDescent="0.25">
      <c r="A1" s="35" t="s">
        <v>114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5">
      <c r="A5" s="4"/>
      <c r="E5" s="4"/>
      <c r="F5" s="4"/>
      <c r="S5" s="4"/>
      <c r="U5" s="4"/>
    </row>
    <row r="6" spans="1:21" s="5" customFormat="1" ht="15" x14ac:dyDescent="0.25">
      <c r="A6" s="4"/>
      <c r="E6" s="34" t="s">
        <v>15</v>
      </c>
      <c r="F6" s="4"/>
      <c r="S6" s="4"/>
      <c r="U6" s="4"/>
    </row>
    <row r="7" spans="1:21" s="5" customFormat="1" ht="15" x14ac:dyDescent="0.25">
      <c r="A7" s="4"/>
      <c r="E7" s="34" t="s">
        <v>16</v>
      </c>
      <c r="F7" s="4"/>
      <c r="S7" s="4"/>
      <c r="U7" s="4"/>
    </row>
    <row r="8" spans="1:21" ht="15" x14ac:dyDescent="0.25">
      <c r="E8" s="34" t="s">
        <v>17</v>
      </c>
    </row>
    <row r="9" spans="1:21" x14ac:dyDescent="0.25">
      <c r="E9" s="4" t="s">
        <v>18</v>
      </c>
    </row>
    <row r="10" spans="1:21" x14ac:dyDescent="0.25">
      <c r="E10" s="4" t="s">
        <v>19</v>
      </c>
    </row>
    <row r="11" spans="1:21" x14ac:dyDescent="0.25">
      <c r="E11" s="4" t="s">
        <v>20</v>
      </c>
    </row>
    <row r="14" spans="1:21" ht="17.399999999999999" x14ac:dyDescent="0.3">
      <c r="A14" s="43" t="s">
        <v>21</v>
      </c>
      <c r="B14" s="4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9.1093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13.88671875" style="4" bestFit="1" customWidth="1"/>
    <col min="7" max="9" width="5.5546875" style="5" bestFit="1" customWidth="1"/>
    <col min="10" max="10" width="4.77734375" style="5" bestFit="1" customWidth="1"/>
    <col min="11" max="12" width="5.5546875" style="5" bestFit="1" customWidth="1"/>
    <col min="13" max="13" width="2.109375" style="5" bestFit="1" customWidth="1"/>
    <col min="14" max="14" width="4.77734375" style="5" bestFit="1" customWidth="1"/>
    <col min="15" max="17" width="5.5546875" style="5" bestFit="1" customWidth="1"/>
    <col min="18" max="18" width="4.77734375" style="5" bestFit="1" customWidth="1"/>
    <col min="19" max="19" width="5.77734375" style="4" bestFit="1" customWidth="1"/>
    <col min="20" max="20" width="8.5546875" style="5" bestFit="1" customWidth="1"/>
    <col min="21" max="21" width="7.109375" style="4" bestFit="1" customWidth="1"/>
    <col min="22" max="16384" width="9.109375" style="3"/>
  </cols>
  <sheetData>
    <row r="1" spans="1:21" s="2" customFormat="1" ht="28.95" customHeight="1" x14ac:dyDescent="0.25">
      <c r="A1" s="35" t="s">
        <v>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ht="15.6" x14ac:dyDescent="0.3">
      <c r="A5" s="45" t="s">
        <v>99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"/>
    </row>
    <row r="6" spans="1:21" s="5" customFormat="1" x14ac:dyDescent="0.25">
      <c r="A6" s="46" t="s">
        <v>101</v>
      </c>
      <c r="B6" s="47" t="s">
        <v>102</v>
      </c>
      <c r="C6" s="47" t="s">
        <v>103</v>
      </c>
      <c r="D6" s="47" t="str">
        <f>"0,5547"</f>
        <v>0,5547</v>
      </c>
      <c r="E6" s="46" t="s">
        <v>30</v>
      </c>
      <c r="F6" s="46" t="s">
        <v>104</v>
      </c>
      <c r="G6" s="47" t="s">
        <v>78</v>
      </c>
      <c r="H6" s="47" t="s">
        <v>105</v>
      </c>
      <c r="I6" s="47" t="s">
        <v>106</v>
      </c>
      <c r="J6" s="48"/>
      <c r="K6" s="47" t="s">
        <v>107</v>
      </c>
      <c r="L6" s="48" t="s">
        <v>73</v>
      </c>
      <c r="M6" s="48"/>
      <c r="N6" s="48"/>
      <c r="O6" s="47" t="s">
        <v>108</v>
      </c>
      <c r="P6" s="47" t="s">
        <v>91</v>
      </c>
      <c r="Q6" s="47" t="s">
        <v>109</v>
      </c>
      <c r="R6" s="48"/>
      <c r="S6" s="46" t="str">
        <f>"642,5"</f>
        <v>642,5</v>
      </c>
      <c r="T6" s="47" t="str">
        <f>"356,3948"</f>
        <v>356,3948</v>
      </c>
      <c r="U6" s="46"/>
    </row>
    <row r="7" spans="1:21" s="5" customFormat="1" x14ac:dyDescent="0.25">
      <c r="A7" s="4"/>
      <c r="E7" s="4"/>
      <c r="F7" s="4"/>
      <c r="S7" s="4"/>
      <c r="U7" s="4"/>
    </row>
    <row r="8" spans="1:21" ht="15" x14ac:dyDescent="0.25">
      <c r="E8" s="34" t="s">
        <v>15</v>
      </c>
    </row>
    <row r="9" spans="1:21" ht="15" x14ac:dyDescent="0.25">
      <c r="E9" s="34" t="s">
        <v>16</v>
      </c>
    </row>
    <row r="10" spans="1:21" ht="15" x14ac:dyDescent="0.25">
      <c r="E10" s="34" t="s">
        <v>17</v>
      </c>
    </row>
    <row r="11" spans="1:21" x14ac:dyDescent="0.25">
      <c r="E11" s="4" t="s">
        <v>18</v>
      </c>
    </row>
    <row r="12" spans="1:21" x14ac:dyDescent="0.25">
      <c r="E12" s="4" t="s">
        <v>19</v>
      </c>
    </row>
    <row r="13" spans="1:21" x14ac:dyDescent="0.25">
      <c r="E13" s="4" t="s">
        <v>20</v>
      </c>
    </row>
    <row r="16" spans="1:21" ht="17.399999999999999" x14ac:dyDescent="0.3">
      <c r="A16" s="43" t="s">
        <v>21</v>
      </c>
      <c r="B16" s="44"/>
    </row>
    <row r="17" spans="1:5" ht="15.6" x14ac:dyDescent="0.3">
      <c r="A17" s="52" t="s">
        <v>110</v>
      </c>
      <c r="B17" s="53"/>
    </row>
    <row r="18" spans="1:5" ht="14.4" x14ac:dyDescent="0.3">
      <c r="A18" s="55"/>
      <c r="B18" s="56" t="s">
        <v>80</v>
      </c>
    </row>
    <row r="19" spans="1:5" ht="13.8" x14ac:dyDescent="0.25">
      <c r="A19" s="57" t="s">
        <v>0</v>
      </c>
      <c r="B19" s="57" t="s">
        <v>81</v>
      </c>
      <c r="C19" s="57" t="s">
        <v>82</v>
      </c>
      <c r="D19" s="57" t="s">
        <v>83</v>
      </c>
      <c r="E19" s="57" t="s">
        <v>24</v>
      </c>
    </row>
    <row r="20" spans="1:5" x14ac:dyDescent="0.25">
      <c r="A20" s="54" t="s">
        <v>100</v>
      </c>
      <c r="B20" s="5" t="s">
        <v>80</v>
      </c>
      <c r="C20" s="5" t="s">
        <v>111</v>
      </c>
      <c r="D20" s="5" t="s">
        <v>112</v>
      </c>
      <c r="E20" s="58" t="s">
        <v>113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6.55468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30.109375" style="4" bestFit="1" customWidth="1"/>
    <col min="7" max="9" width="5.5546875" style="5" bestFit="1" customWidth="1"/>
    <col min="10" max="10" width="4.77734375" style="5" bestFit="1" customWidth="1"/>
    <col min="11" max="13" width="5.5546875" style="5" bestFit="1" customWidth="1"/>
    <col min="14" max="14" width="4.77734375" style="5" bestFit="1" customWidth="1"/>
    <col min="15" max="17" width="5.5546875" style="5" bestFit="1" customWidth="1"/>
    <col min="18" max="18" width="4.77734375" style="5" bestFit="1" customWidth="1"/>
    <col min="19" max="19" width="5.77734375" style="4" bestFit="1" customWidth="1"/>
    <col min="20" max="20" width="8.5546875" style="5" bestFit="1" customWidth="1"/>
    <col min="21" max="21" width="7.109375" style="4" bestFit="1" customWidth="1"/>
    <col min="22" max="16384" width="9.109375" style="3"/>
  </cols>
  <sheetData>
    <row r="1" spans="1:21" s="2" customFormat="1" ht="28.95" customHeight="1" x14ac:dyDescent="0.25">
      <c r="A1" s="35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ht="15.6" x14ac:dyDescent="0.3">
      <c r="A5" s="45" t="s">
        <v>25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"/>
    </row>
    <row r="6" spans="1:21" s="5" customFormat="1" x14ac:dyDescent="0.25">
      <c r="A6" s="46" t="s">
        <v>27</v>
      </c>
      <c r="B6" s="47" t="s">
        <v>28</v>
      </c>
      <c r="C6" s="47" t="s">
        <v>29</v>
      </c>
      <c r="D6" s="47" t="str">
        <f>"1,1922"</f>
        <v>1,1922</v>
      </c>
      <c r="E6" s="46" t="s">
        <v>30</v>
      </c>
      <c r="F6" s="46" t="s">
        <v>31</v>
      </c>
      <c r="G6" s="47" t="s">
        <v>32</v>
      </c>
      <c r="H6" s="47" t="s">
        <v>33</v>
      </c>
      <c r="I6" s="48" t="s">
        <v>34</v>
      </c>
      <c r="J6" s="48"/>
      <c r="K6" s="47" t="s">
        <v>35</v>
      </c>
      <c r="L6" s="47" t="s">
        <v>36</v>
      </c>
      <c r="M6" s="48" t="s">
        <v>37</v>
      </c>
      <c r="N6" s="48"/>
      <c r="O6" s="47" t="s">
        <v>38</v>
      </c>
      <c r="P6" s="47" t="s">
        <v>39</v>
      </c>
      <c r="Q6" s="48" t="s">
        <v>40</v>
      </c>
      <c r="R6" s="48"/>
      <c r="S6" s="46" t="str">
        <f>"255,0"</f>
        <v>255,0</v>
      </c>
      <c r="T6" s="47" t="str">
        <f>"304,0110"</f>
        <v>304,0110</v>
      </c>
      <c r="U6" s="46"/>
    </row>
    <row r="7" spans="1:21" s="5" customFormat="1" x14ac:dyDescent="0.25">
      <c r="A7" s="4"/>
      <c r="E7" s="4"/>
      <c r="F7" s="4"/>
      <c r="S7" s="4"/>
      <c r="U7" s="4"/>
    </row>
    <row r="8" spans="1:21" ht="15.6" x14ac:dyDescent="0.3">
      <c r="A8" s="50" t="s">
        <v>41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1" x14ac:dyDescent="0.25">
      <c r="A9" s="46" t="s">
        <v>43</v>
      </c>
      <c r="B9" s="47" t="s">
        <v>44</v>
      </c>
      <c r="C9" s="47" t="s">
        <v>45</v>
      </c>
      <c r="D9" s="47" t="str">
        <f>"1,0575"</f>
        <v>1,0575</v>
      </c>
      <c r="E9" s="46" t="s">
        <v>30</v>
      </c>
      <c r="F9" s="46" t="s">
        <v>46</v>
      </c>
      <c r="G9" s="48" t="s">
        <v>47</v>
      </c>
      <c r="H9" s="47" t="s">
        <v>47</v>
      </c>
      <c r="I9" s="48" t="s">
        <v>48</v>
      </c>
      <c r="J9" s="48"/>
      <c r="K9" s="47" t="s">
        <v>49</v>
      </c>
      <c r="L9" s="47" t="s">
        <v>50</v>
      </c>
      <c r="M9" s="47" t="s">
        <v>51</v>
      </c>
      <c r="N9" s="48"/>
      <c r="O9" s="47" t="s">
        <v>52</v>
      </c>
      <c r="P9" s="48" t="s">
        <v>53</v>
      </c>
      <c r="Q9" s="48"/>
      <c r="R9" s="48"/>
      <c r="S9" s="46" t="str">
        <f>"387,5"</f>
        <v>387,5</v>
      </c>
      <c r="T9" s="47" t="str">
        <f>"409,7813"</f>
        <v>409,7813</v>
      </c>
      <c r="U9" s="46"/>
    </row>
    <row r="11" spans="1:21" ht="15.6" x14ac:dyDescent="0.3">
      <c r="A11" s="50" t="s">
        <v>54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1" x14ac:dyDescent="0.25">
      <c r="A12" s="46" t="s">
        <v>56</v>
      </c>
      <c r="B12" s="47" t="s">
        <v>57</v>
      </c>
      <c r="C12" s="47" t="s">
        <v>58</v>
      </c>
      <c r="D12" s="47" t="str">
        <f>"1,0051"</f>
        <v>1,0051</v>
      </c>
      <c r="E12" s="46" t="s">
        <v>30</v>
      </c>
      <c r="F12" s="46" t="s">
        <v>31</v>
      </c>
      <c r="G12" s="47" t="s">
        <v>59</v>
      </c>
      <c r="H12" s="47" t="s">
        <v>60</v>
      </c>
      <c r="I12" s="48" t="s">
        <v>61</v>
      </c>
      <c r="J12" s="48"/>
      <c r="K12" s="47" t="s">
        <v>62</v>
      </c>
      <c r="L12" s="47" t="s">
        <v>63</v>
      </c>
      <c r="M12" s="48" t="s">
        <v>34</v>
      </c>
      <c r="N12" s="48"/>
      <c r="O12" s="47" t="s">
        <v>64</v>
      </c>
      <c r="P12" s="48" t="s">
        <v>65</v>
      </c>
      <c r="Q12" s="48" t="s">
        <v>65</v>
      </c>
      <c r="R12" s="48"/>
      <c r="S12" s="46" t="str">
        <f>"382,5"</f>
        <v>382,5</v>
      </c>
      <c r="T12" s="47" t="str">
        <f>"384,4508"</f>
        <v>384,4508</v>
      </c>
      <c r="U12" s="46"/>
    </row>
    <row r="14" spans="1:21" ht="15.6" x14ac:dyDescent="0.3">
      <c r="A14" s="50" t="s">
        <v>66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1" x14ac:dyDescent="0.25">
      <c r="A15" s="46" t="s">
        <v>68</v>
      </c>
      <c r="B15" s="47" t="s">
        <v>69</v>
      </c>
      <c r="C15" s="47" t="s">
        <v>70</v>
      </c>
      <c r="D15" s="47" t="str">
        <f>"0,8391"</f>
        <v>0,8391</v>
      </c>
      <c r="E15" s="46" t="s">
        <v>30</v>
      </c>
      <c r="F15" s="46" t="s">
        <v>31</v>
      </c>
      <c r="G15" s="47" t="s">
        <v>71</v>
      </c>
      <c r="H15" s="47" t="s">
        <v>72</v>
      </c>
      <c r="I15" s="47" t="s">
        <v>73</v>
      </c>
      <c r="J15" s="48"/>
      <c r="K15" s="47" t="s">
        <v>74</v>
      </c>
      <c r="L15" s="47" t="s">
        <v>75</v>
      </c>
      <c r="M15" s="48" t="s">
        <v>39</v>
      </c>
      <c r="N15" s="48"/>
      <c r="O15" s="47" t="s">
        <v>76</v>
      </c>
      <c r="P15" s="47" t="s">
        <v>77</v>
      </c>
      <c r="Q15" s="47" t="s">
        <v>78</v>
      </c>
      <c r="R15" s="48"/>
      <c r="S15" s="46" t="str">
        <f>"475,0"</f>
        <v>475,0</v>
      </c>
      <c r="T15" s="47" t="str">
        <f>"398,5725"</f>
        <v>398,5725</v>
      </c>
      <c r="U15" s="46"/>
    </row>
    <row r="17" spans="1:5" ht="15" x14ac:dyDescent="0.25">
      <c r="E17" s="34" t="s">
        <v>15</v>
      </c>
    </row>
    <row r="18" spans="1:5" ht="15" x14ac:dyDescent="0.25">
      <c r="E18" s="34" t="s">
        <v>16</v>
      </c>
    </row>
    <row r="19" spans="1:5" ht="15" x14ac:dyDescent="0.25">
      <c r="E19" s="34" t="s">
        <v>17</v>
      </c>
    </row>
    <row r="20" spans="1:5" x14ac:dyDescent="0.25">
      <c r="E20" s="4" t="s">
        <v>18</v>
      </c>
    </row>
    <row r="21" spans="1:5" x14ac:dyDescent="0.25">
      <c r="E21" s="4" t="s">
        <v>19</v>
      </c>
    </row>
    <row r="22" spans="1:5" x14ac:dyDescent="0.25">
      <c r="E22" s="4" t="s">
        <v>20</v>
      </c>
    </row>
    <row r="25" spans="1:5" ht="17.399999999999999" x14ac:dyDescent="0.3">
      <c r="A25" s="43" t="s">
        <v>21</v>
      </c>
      <c r="B25" s="44"/>
    </row>
    <row r="26" spans="1:5" ht="15.6" x14ac:dyDescent="0.3">
      <c r="A26" s="52" t="s">
        <v>79</v>
      </c>
      <c r="B26" s="53"/>
    </row>
    <row r="27" spans="1:5" ht="14.4" x14ac:dyDescent="0.3">
      <c r="A27" s="55"/>
      <c r="B27" s="56" t="s">
        <v>80</v>
      </c>
    </row>
    <row r="28" spans="1:5" ht="13.8" x14ac:dyDescent="0.25">
      <c r="A28" s="57" t="s">
        <v>0</v>
      </c>
      <c r="B28" s="57" t="s">
        <v>81</v>
      </c>
      <c r="C28" s="57" t="s">
        <v>82</v>
      </c>
      <c r="D28" s="57" t="s">
        <v>83</v>
      </c>
      <c r="E28" s="57" t="s">
        <v>24</v>
      </c>
    </row>
    <row r="29" spans="1:5" x14ac:dyDescent="0.25">
      <c r="A29" s="54" t="s">
        <v>42</v>
      </c>
      <c r="B29" s="5" t="s">
        <v>80</v>
      </c>
      <c r="C29" s="5" t="s">
        <v>84</v>
      </c>
      <c r="D29" s="5" t="s">
        <v>85</v>
      </c>
      <c r="E29" s="58" t="s">
        <v>86</v>
      </c>
    </row>
    <row r="30" spans="1:5" x14ac:dyDescent="0.25">
      <c r="A30" s="54" t="s">
        <v>67</v>
      </c>
      <c r="B30" s="5" t="s">
        <v>80</v>
      </c>
      <c r="C30" s="5" t="s">
        <v>87</v>
      </c>
      <c r="D30" s="5" t="s">
        <v>88</v>
      </c>
      <c r="E30" s="58" t="s">
        <v>89</v>
      </c>
    </row>
    <row r="31" spans="1:5" x14ac:dyDescent="0.25">
      <c r="A31" s="54" t="s">
        <v>26</v>
      </c>
      <c r="B31" s="5" t="s">
        <v>80</v>
      </c>
      <c r="C31" s="5" t="s">
        <v>90</v>
      </c>
      <c r="D31" s="5" t="s">
        <v>91</v>
      </c>
      <c r="E31" s="58" t="s">
        <v>92</v>
      </c>
    </row>
    <row r="33" spans="1:5" ht="14.4" x14ac:dyDescent="0.3">
      <c r="A33" s="55"/>
      <c r="B33" s="56" t="s">
        <v>93</v>
      </c>
    </row>
    <row r="34" spans="1:5" ht="13.8" x14ac:dyDescent="0.25">
      <c r="A34" s="57" t="s">
        <v>0</v>
      </c>
      <c r="B34" s="57" t="s">
        <v>81</v>
      </c>
      <c r="C34" s="57" t="s">
        <v>82</v>
      </c>
      <c r="D34" s="57" t="s">
        <v>83</v>
      </c>
      <c r="E34" s="57" t="s">
        <v>24</v>
      </c>
    </row>
    <row r="35" spans="1:5" x14ac:dyDescent="0.25">
      <c r="A35" s="54" t="s">
        <v>55</v>
      </c>
      <c r="B35" s="5" t="s">
        <v>94</v>
      </c>
      <c r="C35" s="5" t="s">
        <v>95</v>
      </c>
      <c r="D35" s="5" t="s">
        <v>96</v>
      </c>
      <c r="E35" s="58" t="s">
        <v>97</v>
      </c>
    </row>
  </sheetData>
  <mergeCells count="17">
    <mergeCell ref="A14:T14"/>
    <mergeCell ref="S3:S4"/>
    <mergeCell ref="T3:T4"/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3" width="2.109375" style="5" bestFit="1" customWidth="1"/>
    <col min="14" max="14" width="4.77734375" style="5" bestFit="1" customWidth="1"/>
    <col min="15" max="17" width="2.109375" style="5" bestFit="1" customWidth="1"/>
    <col min="18" max="18" width="4.77734375" style="5" bestFit="1" customWidth="1"/>
    <col min="19" max="19" width="5.77734375" style="4" bestFit="1" customWidth="1"/>
    <col min="20" max="20" width="4.109375" style="5" bestFit="1" customWidth="1"/>
    <col min="21" max="21" width="7.109375" style="4" bestFit="1" customWidth="1"/>
    <col min="22" max="16384" width="9.109375" style="3"/>
  </cols>
  <sheetData>
    <row r="1" spans="1:21" s="2" customFormat="1" ht="28.95" customHeight="1" x14ac:dyDescent="0.25">
      <c r="A1" s="35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5">
      <c r="A5" s="4"/>
      <c r="E5" s="4"/>
      <c r="F5" s="4"/>
      <c r="S5" s="4"/>
      <c r="U5" s="4"/>
    </row>
    <row r="6" spans="1:21" s="5" customFormat="1" ht="15" x14ac:dyDescent="0.25">
      <c r="A6" s="4"/>
      <c r="E6" s="34" t="s">
        <v>15</v>
      </c>
      <c r="F6" s="4"/>
      <c r="S6" s="4"/>
      <c r="U6" s="4"/>
    </row>
    <row r="7" spans="1:21" s="5" customFormat="1" ht="15" x14ac:dyDescent="0.25">
      <c r="A7" s="4"/>
      <c r="E7" s="34" t="s">
        <v>16</v>
      </c>
      <c r="F7" s="4"/>
      <c r="S7" s="4"/>
      <c r="U7" s="4"/>
    </row>
    <row r="8" spans="1:21" ht="15" x14ac:dyDescent="0.25">
      <c r="E8" s="34" t="s">
        <v>17</v>
      </c>
    </row>
    <row r="9" spans="1:21" x14ac:dyDescent="0.25">
      <c r="E9" s="4" t="s">
        <v>18</v>
      </c>
    </row>
    <row r="10" spans="1:21" x14ac:dyDescent="0.25">
      <c r="E10" s="4" t="s">
        <v>19</v>
      </c>
    </row>
    <row r="11" spans="1:21" x14ac:dyDescent="0.25">
      <c r="E11" s="4" t="s">
        <v>20</v>
      </c>
    </row>
    <row r="14" spans="1:21" ht="17.399999999999999" x14ac:dyDescent="0.3">
      <c r="A14" s="43" t="s">
        <v>21</v>
      </c>
      <c r="B14" s="4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6.5546875" style="5" bestFit="1" customWidth="1"/>
    <col min="3" max="3" width="7.5546875" style="5" bestFit="1" customWidth="1"/>
    <col min="4" max="4" width="6.5546875" style="5" bestFit="1" customWidth="1"/>
    <col min="5" max="5" width="17" style="4" bestFit="1" customWidth="1"/>
    <col min="6" max="6" width="24.109375" style="4" bestFit="1" customWidth="1"/>
    <col min="7" max="7" width="5.5546875" style="5" bestFit="1" customWidth="1"/>
    <col min="8" max="8" width="4.5546875" style="69" bestFit="1" customWidth="1"/>
    <col min="9" max="9" width="6.5546875" style="4" bestFit="1" customWidth="1"/>
    <col min="10" max="10" width="9.5546875" style="5" bestFit="1" customWidth="1"/>
    <col min="11" max="11" width="7.109375" style="4" bestFit="1" customWidth="1"/>
    <col min="12" max="16384" width="9.109375" style="3"/>
  </cols>
  <sheetData>
    <row r="1" spans="1:11" s="2" customFormat="1" ht="28.95" customHeight="1" x14ac:dyDescent="0.25">
      <c r="A1" s="35" t="s">
        <v>717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718</v>
      </c>
      <c r="H3" s="26"/>
      <c r="I3" s="41" t="s">
        <v>233</v>
      </c>
      <c r="J3" s="26" t="s">
        <v>7</v>
      </c>
      <c r="K3" s="27" t="s">
        <v>6</v>
      </c>
    </row>
    <row r="4" spans="1:11" s="1" customFormat="1" ht="23.25" customHeight="1" thickBot="1" x14ac:dyDescent="0.3">
      <c r="A4" s="28"/>
      <c r="B4" s="30"/>
      <c r="C4" s="30"/>
      <c r="D4" s="30"/>
      <c r="E4" s="30"/>
      <c r="F4" s="33"/>
      <c r="G4" s="12" t="s">
        <v>715</v>
      </c>
      <c r="H4" s="68" t="s">
        <v>716</v>
      </c>
      <c r="I4" s="42"/>
      <c r="J4" s="30"/>
      <c r="K4" s="31"/>
    </row>
    <row r="5" spans="1:11" s="5" customFormat="1" ht="15.6" x14ac:dyDescent="0.3">
      <c r="A5" s="45" t="s">
        <v>117</v>
      </c>
      <c r="B5" s="49"/>
      <c r="C5" s="49"/>
      <c r="D5" s="49"/>
      <c r="E5" s="49"/>
      <c r="F5" s="49"/>
      <c r="G5" s="49"/>
      <c r="H5" s="49"/>
      <c r="I5" s="49"/>
      <c r="J5" s="49"/>
      <c r="K5" s="4"/>
    </row>
    <row r="6" spans="1:11" s="5" customFormat="1" x14ac:dyDescent="0.25">
      <c r="A6" s="46" t="s">
        <v>719</v>
      </c>
      <c r="B6" s="47" t="s">
        <v>380</v>
      </c>
      <c r="C6" s="47" t="s">
        <v>381</v>
      </c>
      <c r="D6" s="47" t="str">
        <f>"0,7551"</f>
        <v>0,7551</v>
      </c>
      <c r="E6" s="46" t="s">
        <v>30</v>
      </c>
      <c r="F6" s="46" t="s">
        <v>104</v>
      </c>
      <c r="G6" s="47" t="s">
        <v>287</v>
      </c>
      <c r="H6" s="70" t="s">
        <v>720</v>
      </c>
      <c r="I6" s="46" t="str">
        <f>"2295,0"</f>
        <v>2295,0</v>
      </c>
      <c r="J6" s="47" t="str">
        <f>"1732,9545"</f>
        <v>1732,9545</v>
      </c>
      <c r="K6" s="46"/>
    </row>
    <row r="7" spans="1:11" s="5" customFormat="1" x14ac:dyDescent="0.25">
      <c r="A7" s="4"/>
      <c r="E7" s="4"/>
      <c r="F7" s="4"/>
      <c r="H7" s="69"/>
      <c r="I7" s="4"/>
      <c r="K7" s="4"/>
    </row>
    <row r="8" spans="1:11" ht="15.6" x14ac:dyDescent="0.3">
      <c r="A8" s="50" t="s">
        <v>165</v>
      </c>
      <c r="B8" s="51"/>
      <c r="C8" s="51"/>
      <c r="D8" s="51"/>
      <c r="E8" s="51"/>
      <c r="F8" s="51"/>
      <c r="G8" s="51"/>
      <c r="H8" s="51"/>
      <c r="I8" s="51"/>
      <c r="J8" s="51"/>
    </row>
    <row r="9" spans="1:11" x14ac:dyDescent="0.25">
      <c r="A9" s="59" t="s">
        <v>415</v>
      </c>
      <c r="B9" s="60" t="s">
        <v>416</v>
      </c>
      <c r="C9" s="60" t="s">
        <v>417</v>
      </c>
      <c r="D9" s="60" t="str">
        <f>"0,6161"</f>
        <v>0,6161</v>
      </c>
      <c r="E9" s="59" t="s">
        <v>30</v>
      </c>
      <c r="F9" s="59" t="s">
        <v>104</v>
      </c>
      <c r="G9" s="60" t="s">
        <v>33</v>
      </c>
      <c r="H9" s="71" t="s">
        <v>721</v>
      </c>
      <c r="I9" s="59" t="str">
        <f>"2520,0"</f>
        <v>2520,0</v>
      </c>
      <c r="J9" s="60" t="str">
        <f>"1552,4460"</f>
        <v>1552,4460</v>
      </c>
      <c r="K9" s="59"/>
    </row>
    <row r="10" spans="1:11" x14ac:dyDescent="0.25">
      <c r="A10" s="62" t="s">
        <v>723</v>
      </c>
      <c r="B10" s="63" t="s">
        <v>724</v>
      </c>
      <c r="C10" s="63" t="s">
        <v>725</v>
      </c>
      <c r="D10" s="63" t="str">
        <f>"0,6426"</f>
        <v>0,6426</v>
      </c>
      <c r="E10" s="62" t="s">
        <v>30</v>
      </c>
      <c r="F10" s="62" t="s">
        <v>104</v>
      </c>
      <c r="G10" s="63" t="s">
        <v>32</v>
      </c>
      <c r="H10" s="72" t="s">
        <v>726</v>
      </c>
      <c r="I10" s="62" t="str">
        <f>"2040,0"</f>
        <v>2040,0</v>
      </c>
      <c r="J10" s="63" t="str">
        <f>"1310,9040"</f>
        <v>1310,9040</v>
      </c>
      <c r="K10" s="62"/>
    </row>
    <row r="12" spans="1:11" ht="15.6" x14ac:dyDescent="0.3">
      <c r="A12" s="50" t="s">
        <v>170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1" x14ac:dyDescent="0.25">
      <c r="A13" s="59" t="s">
        <v>442</v>
      </c>
      <c r="B13" s="60" t="s">
        <v>443</v>
      </c>
      <c r="C13" s="60" t="s">
        <v>444</v>
      </c>
      <c r="D13" s="60" t="str">
        <f>"0,6100"</f>
        <v>0,6100</v>
      </c>
      <c r="E13" s="59" t="s">
        <v>30</v>
      </c>
      <c r="F13" s="59" t="s">
        <v>104</v>
      </c>
      <c r="G13" s="60" t="s">
        <v>63</v>
      </c>
      <c r="H13" s="71" t="s">
        <v>727</v>
      </c>
      <c r="I13" s="59" t="str">
        <f>"2127,5"</f>
        <v>2127,5</v>
      </c>
      <c r="J13" s="60" t="str">
        <f>"1297,7750"</f>
        <v>1297,7750</v>
      </c>
      <c r="K13" s="59"/>
    </row>
    <row r="14" spans="1:11" x14ac:dyDescent="0.25">
      <c r="A14" s="66" t="s">
        <v>450</v>
      </c>
      <c r="B14" s="65" t="s">
        <v>728</v>
      </c>
      <c r="C14" s="65" t="s">
        <v>452</v>
      </c>
      <c r="D14" s="65" t="str">
        <f>"0,5867"</f>
        <v>0,5867</v>
      </c>
      <c r="E14" s="66" t="s">
        <v>30</v>
      </c>
      <c r="F14" s="66" t="s">
        <v>453</v>
      </c>
      <c r="G14" s="65" t="s">
        <v>148</v>
      </c>
      <c r="H14" s="73" t="s">
        <v>129</v>
      </c>
      <c r="I14" s="66" t="str">
        <f>"3000,0"</f>
        <v>3000,0</v>
      </c>
      <c r="J14" s="65" t="str">
        <f>"2083,7808"</f>
        <v>2083,7808</v>
      </c>
      <c r="K14" s="66"/>
    </row>
    <row r="15" spans="1:11" x14ac:dyDescent="0.25">
      <c r="A15" s="62" t="s">
        <v>455</v>
      </c>
      <c r="B15" s="63" t="s">
        <v>729</v>
      </c>
      <c r="C15" s="63" t="s">
        <v>457</v>
      </c>
      <c r="D15" s="63" t="str">
        <f>"0,6029"</f>
        <v>0,6029</v>
      </c>
      <c r="E15" s="62" t="s">
        <v>30</v>
      </c>
      <c r="F15" s="62" t="s">
        <v>104</v>
      </c>
      <c r="G15" s="63" t="s">
        <v>63</v>
      </c>
      <c r="H15" s="72" t="s">
        <v>730</v>
      </c>
      <c r="I15" s="62" t="str">
        <f>"740,0"</f>
        <v>740,0</v>
      </c>
      <c r="J15" s="63" t="str">
        <f>"621,5329"</f>
        <v>621,5329</v>
      </c>
      <c r="K15" s="62"/>
    </row>
    <row r="17" spans="1:11" ht="15.6" x14ac:dyDescent="0.3">
      <c r="A17" s="50" t="s">
        <v>182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1" x14ac:dyDescent="0.25">
      <c r="A18" s="46" t="s">
        <v>469</v>
      </c>
      <c r="B18" s="47" t="s">
        <v>731</v>
      </c>
      <c r="C18" s="47" t="s">
        <v>471</v>
      </c>
      <c r="D18" s="47" t="str">
        <f>"0,5683"</f>
        <v>0,5683</v>
      </c>
      <c r="E18" s="46" t="s">
        <v>30</v>
      </c>
      <c r="F18" s="46" t="s">
        <v>453</v>
      </c>
      <c r="G18" s="47" t="s">
        <v>136</v>
      </c>
      <c r="H18" s="70" t="s">
        <v>732</v>
      </c>
      <c r="I18" s="46" t="str">
        <f>"2687,5"</f>
        <v>2687,5</v>
      </c>
      <c r="J18" s="47" t="str">
        <f>"1652,5454"</f>
        <v>1652,5454</v>
      </c>
      <c r="K18" s="46"/>
    </row>
    <row r="20" spans="1:11" ht="15" x14ac:dyDescent="0.25">
      <c r="E20" s="34" t="s">
        <v>15</v>
      </c>
    </row>
    <row r="21" spans="1:11" ht="15" x14ac:dyDescent="0.25">
      <c r="E21" s="34" t="s">
        <v>16</v>
      </c>
    </row>
    <row r="22" spans="1:11" ht="15" x14ac:dyDescent="0.25">
      <c r="E22" s="34" t="s">
        <v>17</v>
      </c>
    </row>
    <row r="23" spans="1:11" x14ac:dyDescent="0.25">
      <c r="E23" s="4" t="s">
        <v>18</v>
      </c>
    </row>
    <row r="24" spans="1:11" x14ac:dyDescent="0.25">
      <c r="E24" s="4" t="s">
        <v>19</v>
      </c>
    </row>
    <row r="25" spans="1:11" x14ac:dyDescent="0.25">
      <c r="E25" s="4" t="s">
        <v>20</v>
      </c>
    </row>
    <row r="28" spans="1:11" ht="17.399999999999999" x14ac:dyDescent="0.3">
      <c r="A28" s="43" t="s">
        <v>21</v>
      </c>
      <c r="B28" s="44"/>
    </row>
    <row r="29" spans="1:11" ht="15.6" x14ac:dyDescent="0.3">
      <c r="A29" s="52" t="s">
        <v>110</v>
      </c>
      <c r="B29" s="53"/>
    </row>
    <row r="30" spans="1:11" ht="14.4" x14ac:dyDescent="0.3">
      <c r="A30" s="55"/>
      <c r="B30" s="56" t="s">
        <v>80</v>
      </c>
    </row>
    <row r="31" spans="1:11" ht="13.8" x14ac:dyDescent="0.25">
      <c r="A31" s="57" t="s">
        <v>0</v>
      </c>
      <c r="B31" s="57" t="s">
        <v>81</v>
      </c>
      <c r="C31" s="57" t="s">
        <v>82</v>
      </c>
      <c r="D31" s="57" t="s">
        <v>83</v>
      </c>
      <c r="E31" s="57" t="s">
        <v>24</v>
      </c>
    </row>
    <row r="32" spans="1:11" x14ac:dyDescent="0.25">
      <c r="A32" s="54" t="s">
        <v>378</v>
      </c>
      <c r="B32" s="5" t="s">
        <v>80</v>
      </c>
      <c r="C32" s="5" t="s">
        <v>205</v>
      </c>
      <c r="D32" s="5" t="s">
        <v>733</v>
      </c>
      <c r="E32" s="58" t="s">
        <v>734</v>
      </c>
    </row>
    <row r="33" spans="1:5" x14ac:dyDescent="0.25">
      <c r="A33" s="54" t="s">
        <v>414</v>
      </c>
      <c r="B33" s="5" t="s">
        <v>80</v>
      </c>
      <c r="C33" s="5" t="s">
        <v>225</v>
      </c>
      <c r="D33" s="5" t="s">
        <v>735</v>
      </c>
      <c r="E33" s="58" t="s">
        <v>736</v>
      </c>
    </row>
    <row r="34" spans="1:5" x14ac:dyDescent="0.25">
      <c r="A34" s="54" t="s">
        <v>722</v>
      </c>
      <c r="B34" s="5" t="s">
        <v>80</v>
      </c>
      <c r="C34" s="5" t="s">
        <v>225</v>
      </c>
      <c r="D34" s="5" t="s">
        <v>737</v>
      </c>
      <c r="E34" s="58" t="s">
        <v>738</v>
      </c>
    </row>
    <row r="35" spans="1:5" x14ac:dyDescent="0.25">
      <c r="A35" s="54" t="s">
        <v>441</v>
      </c>
      <c r="B35" s="5" t="s">
        <v>80</v>
      </c>
      <c r="C35" s="5" t="s">
        <v>216</v>
      </c>
      <c r="D35" s="5" t="s">
        <v>739</v>
      </c>
      <c r="E35" s="58" t="s">
        <v>740</v>
      </c>
    </row>
    <row r="37" spans="1:5" ht="14.4" x14ac:dyDescent="0.3">
      <c r="A37" s="55"/>
      <c r="B37" s="56" t="s">
        <v>93</v>
      </c>
    </row>
    <row r="38" spans="1:5" ht="13.8" x14ac:dyDescent="0.25">
      <c r="A38" s="57" t="s">
        <v>0</v>
      </c>
      <c r="B38" s="57" t="s">
        <v>81</v>
      </c>
      <c r="C38" s="57" t="s">
        <v>82</v>
      </c>
      <c r="D38" s="57" t="s">
        <v>83</v>
      </c>
      <c r="E38" s="57" t="s">
        <v>24</v>
      </c>
    </row>
    <row r="39" spans="1:5" x14ac:dyDescent="0.25">
      <c r="A39" s="54" t="s">
        <v>449</v>
      </c>
      <c r="B39" s="5" t="s">
        <v>741</v>
      </c>
      <c r="C39" s="5" t="s">
        <v>216</v>
      </c>
      <c r="D39" s="5" t="s">
        <v>742</v>
      </c>
      <c r="E39" s="58" t="s">
        <v>743</v>
      </c>
    </row>
    <row r="40" spans="1:5" x14ac:dyDescent="0.25">
      <c r="A40" s="54" t="s">
        <v>468</v>
      </c>
      <c r="B40" s="5" t="s">
        <v>744</v>
      </c>
      <c r="C40" s="5" t="s">
        <v>213</v>
      </c>
      <c r="D40" s="5" t="s">
        <v>745</v>
      </c>
      <c r="E40" s="58" t="s">
        <v>746</v>
      </c>
    </row>
    <row r="41" spans="1:5" x14ac:dyDescent="0.25">
      <c r="A41" s="54" t="s">
        <v>454</v>
      </c>
      <c r="B41" s="5" t="s">
        <v>747</v>
      </c>
      <c r="C41" s="5" t="s">
        <v>216</v>
      </c>
      <c r="D41" s="5" t="s">
        <v>748</v>
      </c>
      <c r="E41" s="58" t="s">
        <v>749</v>
      </c>
    </row>
  </sheetData>
  <mergeCells count="15">
    <mergeCell ref="A17:J17"/>
    <mergeCell ref="I3:I4"/>
    <mergeCell ref="J3:J4"/>
    <mergeCell ref="K3:K4"/>
    <mergeCell ref="A5:J5"/>
    <mergeCell ref="A8:J8"/>
    <mergeCell ref="A12:J12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14"/>
  <sheetViews>
    <sheetView zoomScaleNormal="100"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9" width="2.109375" style="5" bestFit="1" customWidth="1"/>
    <col min="10" max="10" width="4.77734375" style="5" bestFit="1" customWidth="1"/>
    <col min="11" max="13" width="2.109375" style="5" bestFit="1" customWidth="1"/>
    <col min="14" max="14" width="4.77734375" style="5" bestFit="1" customWidth="1"/>
    <col min="15" max="17" width="2.109375" style="5" bestFit="1" customWidth="1"/>
    <col min="18" max="18" width="4.77734375" style="5" bestFit="1" customWidth="1"/>
    <col min="19" max="19" width="5.77734375" style="4" bestFit="1" customWidth="1"/>
    <col min="20" max="20" width="4.109375" style="5" bestFit="1" customWidth="1"/>
    <col min="21" max="21" width="7.109375" style="4" bestFit="1" customWidth="1"/>
    <col min="22" max="16384" width="9.109375" style="3"/>
  </cols>
  <sheetData>
    <row r="1" spans="1:21" s="2" customFormat="1" ht="28.95" customHeight="1" x14ac:dyDescent="0.25">
      <c r="A1" s="35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3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5">
      <c r="A5" s="4"/>
      <c r="E5" s="4"/>
      <c r="F5" s="4"/>
      <c r="S5" s="4"/>
      <c r="U5" s="4"/>
    </row>
    <row r="6" spans="1:21" s="5" customFormat="1" ht="15" x14ac:dyDescent="0.25">
      <c r="A6" s="4"/>
      <c r="E6" s="34" t="s">
        <v>15</v>
      </c>
      <c r="F6" s="4"/>
      <c r="S6" s="4"/>
      <c r="U6" s="4"/>
    </row>
    <row r="7" spans="1:21" s="5" customFormat="1" ht="15" x14ac:dyDescent="0.25">
      <c r="A7" s="4"/>
      <c r="E7" s="34" t="s">
        <v>16</v>
      </c>
      <c r="F7" s="4"/>
      <c r="S7" s="4"/>
      <c r="U7" s="4"/>
    </row>
    <row r="8" spans="1:21" ht="15" x14ac:dyDescent="0.25">
      <c r="E8" s="34" t="s">
        <v>17</v>
      </c>
    </row>
    <row r="9" spans="1:21" x14ac:dyDescent="0.25">
      <c r="E9" s="4" t="s">
        <v>18</v>
      </c>
    </row>
    <row r="10" spans="1:21" x14ac:dyDescent="0.25">
      <c r="E10" s="4" t="s">
        <v>19</v>
      </c>
    </row>
    <row r="11" spans="1:21" x14ac:dyDescent="0.25">
      <c r="E11" s="4" t="s">
        <v>20</v>
      </c>
    </row>
    <row r="14" spans="1:21" ht="17.399999999999999" x14ac:dyDescent="0.3">
      <c r="A14" s="43" t="s">
        <v>21</v>
      </c>
      <c r="B14" s="44"/>
    </row>
  </sheetData>
  <mergeCells count="13"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7.33203125" style="5" customWidth="1"/>
    <col min="5" max="5" width="17" style="4" bestFit="1" customWidth="1"/>
    <col min="6" max="6" width="13.88671875" style="4" bestFit="1" customWidth="1"/>
    <col min="7" max="7" width="2.109375" style="5" bestFit="1" customWidth="1"/>
    <col min="8" max="8" width="2.109375" style="69" bestFit="1" customWidth="1"/>
    <col min="9" max="9" width="5.77734375" style="4" bestFit="1" customWidth="1"/>
    <col min="10" max="10" width="4.109375" style="5" bestFit="1" customWidth="1"/>
    <col min="11" max="11" width="7.109375" style="4" bestFit="1" customWidth="1"/>
    <col min="12" max="16384" width="9.109375" style="3"/>
  </cols>
  <sheetData>
    <row r="1" spans="1:11" s="2" customFormat="1" ht="28.95" customHeight="1" x14ac:dyDescent="0.25">
      <c r="A1" s="35" t="s">
        <v>714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" customFormat="1" ht="12.75" customHeight="1" x14ac:dyDescent="0.25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41" t="s">
        <v>233</v>
      </c>
      <c r="J3" s="26" t="s">
        <v>7</v>
      </c>
      <c r="K3" s="27" t="s">
        <v>6</v>
      </c>
    </row>
    <row r="4" spans="1:11" s="1" customFormat="1" ht="23.25" customHeight="1" thickBot="1" x14ac:dyDescent="0.3">
      <c r="A4" s="28"/>
      <c r="B4" s="30"/>
      <c r="C4" s="30"/>
      <c r="D4" s="30"/>
      <c r="E4" s="30"/>
      <c r="F4" s="33"/>
      <c r="G4" s="12" t="s">
        <v>715</v>
      </c>
      <c r="H4" s="68" t="s">
        <v>716</v>
      </c>
      <c r="I4" s="42"/>
      <c r="J4" s="30"/>
      <c r="K4" s="31"/>
    </row>
    <row r="5" spans="1:11" s="5" customFormat="1" x14ac:dyDescent="0.25">
      <c r="A5" s="4"/>
      <c r="E5" s="4"/>
      <c r="F5" s="4"/>
      <c r="H5" s="69"/>
      <c r="I5" s="4"/>
      <c r="K5" s="4"/>
    </row>
    <row r="6" spans="1:11" s="5" customFormat="1" ht="15" x14ac:dyDescent="0.25">
      <c r="A6" s="4"/>
      <c r="E6" s="34" t="s">
        <v>15</v>
      </c>
      <c r="F6" s="4"/>
      <c r="H6" s="69"/>
      <c r="I6" s="4"/>
      <c r="K6" s="4"/>
    </row>
    <row r="7" spans="1:11" s="5" customFormat="1" ht="15" x14ac:dyDescent="0.25">
      <c r="A7" s="4"/>
      <c r="E7" s="34" t="s">
        <v>16</v>
      </c>
      <c r="F7" s="4"/>
      <c r="H7" s="69"/>
      <c r="I7" s="4"/>
      <c r="K7" s="4"/>
    </row>
    <row r="8" spans="1:11" ht="15" x14ac:dyDescent="0.25">
      <c r="E8" s="34" t="s">
        <v>17</v>
      </c>
    </row>
    <row r="9" spans="1:11" x14ac:dyDescent="0.25">
      <c r="E9" s="4" t="s">
        <v>18</v>
      </c>
    </row>
    <row r="10" spans="1:11" x14ac:dyDescent="0.25">
      <c r="E10" s="4" t="s">
        <v>19</v>
      </c>
    </row>
    <row r="11" spans="1:11" x14ac:dyDescent="0.25">
      <c r="E11" s="4" t="s">
        <v>20</v>
      </c>
    </row>
    <row r="14" spans="1:11" ht="17.399999999999999" x14ac:dyDescent="0.3">
      <c r="A14" s="43" t="s">
        <v>21</v>
      </c>
      <c r="B14" s="44"/>
    </row>
  </sheetData>
  <mergeCells count="11">
    <mergeCell ref="I3:I4"/>
    <mergeCell ref="J3:J4"/>
    <mergeCell ref="K3:K4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4" style="5" bestFit="1" customWidth="1"/>
    <col min="3" max="3" width="7.5546875" style="5" bestFit="1" customWidth="1"/>
    <col min="4" max="4" width="17" style="4" bestFit="1" customWidth="1"/>
    <col min="5" max="5" width="24.77734375" style="4" bestFit="1" customWidth="1"/>
    <col min="6" max="8" width="4.5546875" style="5" bestFit="1" customWidth="1"/>
    <col min="9" max="9" width="4.77734375" style="5" bestFit="1" customWidth="1"/>
    <col min="10" max="12" width="2.109375" style="5" bestFit="1" customWidth="1"/>
    <col min="13" max="13" width="4.77734375" style="5" bestFit="1" customWidth="1"/>
    <col min="14" max="16" width="2.109375" style="5" bestFit="1" customWidth="1"/>
    <col min="17" max="17" width="4.77734375" style="5" bestFit="1" customWidth="1"/>
    <col min="18" max="18" width="5.77734375" style="4" bestFit="1" customWidth="1"/>
    <col min="19" max="19" width="7.109375" style="4" bestFit="1" customWidth="1"/>
    <col min="20" max="16384" width="9.109375" style="3"/>
  </cols>
  <sheetData>
    <row r="1" spans="1:19" s="2" customFormat="1" ht="28.95" customHeight="1" x14ac:dyDescent="0.25">
      <c r="A1" s="35" t="s">
        <v>711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</row>
    <row r="2" spans="1:19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19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1</v>
      </c>
      <c r="E3" s="32" t="s">
        <v>14</v>
      </c>
      <c r="F3" s="25" t="s">
        <v>663</v>
      </c>
      <c r="G3" s="26"/>
      <c r="H3" s="26"/>
      <c r="I3" s="27"/>
      <c r="J3" s="25" t="s">
        <v>4</v>
      </c>
      <c r="K3" s="26"/>
      <c r="L3" s="26"/>
      <c r="M3" s="27"/>
      <c r="N3" s="25" t="s">
        <v>5</v>
      </c>
      <c r="O3" s="26"/>
      <c r="P3" s="26"/>
      <c r="Q3" s="27"/>
      <c r="R3" s="41" t="s">
        <v>11</v>
      </c>
      <c r="S3" s="27" t="s">
        <v>6</v>
      </c>
    </row>
    <row r="4" spans="1:19" s="1" customFormat="1" ht="23.25" customHeight="1" thickBot="1" x14ac:dyDescent="0.3">
      <c r="A4" s="28"/>
      <c r="B4" s="30"/>
      <c r="C4" s="30"/>
      <c r="D4" s="30"/>
      <c r="E4" s="33"/>
      <c r="F4" s="12">
        <v>1</v>
      </c>
      <c r="G4" s="13">
        <v>2</v>
      </c>
      <c r="H4" s="13">
        <v>3</v>
      </c>
      <c r="I4" s="14" t="s">
        <v>8</v>
      </c>
      <c r="J4" s="12">
        <v>1</v>
      </c>
      <c r="K4" s="13">
        <v>2</v>
      </c>
      <c r="L4" s="13">
        <v>3</v>
      </c>
      <c r="M4" s="14" t="s">
        <v>8</v>
      </c>
      <c r="N4" s="12">
        <v>1</v>
      </c>
      <c r="O4" s="13">
        <v>2</v>
      </c>
      <c r="P4" s="13">
        <v>3</v>
      </c>
      <c r="Q4" s="14" t="s">
        <v>8</v>
      </c>
      <c r="R4" s="42"/>
      <c r="S4" s="31"/>
    </row>
    <row r="5" spans="1:19" s="5" customFormat="1" ht="15.6" x14ac:dyDescent="0.3">
      <c r="A5" s="45" t="s">
        <v>182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"/>
    </row>
    <row r="6" spans="1:19" s="5" customFormat="1" x14ac:dyDescent="0.25">
      <c r="A6" s="46" t="s">
        <v>690</v>
      </c>
      <c r="B6" s="47" t="s">
        <v>691</v>
      </c>
      <c r="C6" s="47" t="s">
        <v>692</v>
      </c>
      <c r="D6" s="46" t="s">
        <v>30</v>
      </c>
      <c r="E6" s="46" t="s">
        <v>693</v>
      </c>
      <c r="F6" s="47" t="s">
        <v>50</v>
      </c>
      <c r="G6" s="47" t="s">
        <v>32</v>
      </c>
      <c r="H6" s="48" t="s">
        <v>34</v>
      </c>
      <c r="I6" s="48"/>
      <c r="J6" s="48"/>
      <c r="K6" s="48"/>
      <c r="L6" s="48"/>
      <c r="M6" s="48"/>
      <c r="N6" s="48"/>
      <c r="O6" s="48"/>
      <c r="P6" s="48"/>
      <c r="Q6" s="48"/>
      <c r="R6" s="46" t="str">
        <f>"85,0"</f>
        <v>85,0</v>
      </c>
      <c r="S6" s="46"/>
    </row>
    <row r="7" spans="1:19" s="5" customFormat="1" x14ac:dyDescent="0.25">
      <c r="A7" s="4"/>
      <c r="D7" s="4"/>
      <c r="E7" s="4"/>
      <c r="R7" s="4"/>
      <c r="S7" s="4"/>
    </row>
    <row r="8" spans="1:19" ht="15.6" x14ac:dyDescent="0.3">
      <c r="A8" s="50" t="s">
        <v>99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19" x14ac:dyDescent="0.25">
      <c r="A9" s="46" t="s">
        <v>586</v>
      </c>
      <c r="B9" s="47" t="s">
        <v>675</v>
      </c>
      <c r="C9" s="47" t="s">
        <v>588</v>
      </c>
      <c r="D9" s="46" t="s">
        <v>30</v>
      </c>
      <c r="E9" s="46" t="s">
        <v>104</v>
      </c>
      <c r="F9" s="47" t="s">
        <v>49</v>
      </c>
      <c r="G9" s="48" t="s">
        <v>123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6" t="str">
        <f>"70,0"</f>
        <v>70,0</v>
      </c>
      <c r="S9" s="46"/>
    </row>
    <row r="11" spans="1:19" ht="15" x14ac:dyDescent="0.25">
      <c r="D11" s="34" t="s">
        <v>15</v>
      </c>
    </row>
    <row r="12" spans="1:19" ht="15" x14ac:dyDescent="0.25">
      <c r="D12" s="34" t="s">
        <v>16</v>
      </c>
    </row>
    <row r="13" spans="1:19" ht="15" x14ac:dyDescent="0.25">
      <c r="D13" s="34" t="s">
        <v>17</v>
      </c>
    </row>
    <row r="14" spans="1:19" x14ac:dyDescent="0.25">
      <c r="D14" s="4" t="s">
        <v>18</v>
      </c>
    </row>
    <row r="15" spans="1:19" x14ac:dyDescent="0.25">
      <c r="D15" s="4" t="s">
        <v>19</v>
      </c>
    </row>
    <row r="16" spans="1:19" x14ac:dyDescent="0.25">
      <c r="D16" s="4" t="s">
        <v>20</v>
      </c>
    </row>
    <row r="19" spans="1:4" ht="17.399999999999999" x14ac:dyDescent="0.3">
      <c r="A19" s="43" t="s">
        <v>21</v>
      </c>
      <c r="B19" s="44"/>
    </row>
    <row r="20" spans="1:4" ht="15.6" x14ac:dyDescent="0.3">
      <c r="A20" s="52" t="s">
        <v>110</v>
      </c>
      <c r="B20" s="53"/>
    </row>
    <row r="21" spans="1:4" ht="14.4" x14ac:dyDescent="0.3">
      <c r="A21" s="55"/>
      <c r="B21" s="56" t="s">
        <v>80</v>
      </c>
    </row>
    <row r="22" spans="1:4" ht="13.8" x14ac:dyDescent="0.25">
      <c r="A22" s="57" t="s">
        <v>0</v>
      </c>
      <c r="B22" s="57" t="s">
        <v>81</v>
      </c>
      <c r="C22" s="57" t="s">
        <v>82</v>
      </c>
      <c r="D22" s="57" t="s">
        <v>24</v>
      </c>
    </row>
    <row r="23" spans="1:4" x14ac:dyDescent="0.25">
      <c r="A23" s="54" t="s">
        <v>689</v>
      </c>
      <c r="B23" s="5" t="s">
        <v>80</v>
      </c>
      <c r="C23" s="5" t="s">
        <v>213</v>
      </c>
      <c r="D23" s="58" t="s">
        <v>712</v>
      </c>
    </row>
    <row r="25" spans="1:4" ht="14.4" x14ac:dyDescent="0.3">
      <c r="A25" s="55"/>
      <c r="B25" s="56" t="s">
        <v>681</v>
      </c>
    </row>
    <row r="26" spans="1:4" ht="13.8" x14ac:dyDescent="0.25">
      <c r="A26" s="57" t="s">
        <v>0</v>
      </c>
      <c r="B26" s="57" t="s">
        <v>81</v>
      </c>
      <c r="C26" s="57" t="s">
        <v>82</v>
      </c>
      <c r="D26" s="57" t="s">
        <v>24</v>
      </c>
    </row>
    <row r="27" spans="1:4" x14ac:dyDescent="0.25">
      <c r="A27" s="54" t="s">
        <v>585</v>
      </c>
      <c r="B27" s="5" t="s">
        <v>682</v>
      </c>
      <c r="C27" s="5" t="s">
        <v>111</v>
      </c>
      <c r="D27" s="58" t="s">
        <v>713</v>
      </c>
    </row>
  </sheetData>
  <mergeCells count="13">
    <mergeCell ref="R3:R4"/>
    <mergeCell ref="S3:S4"/>
    <mergeCell ref="A5:R5"/>
    <mergeCell ref="A8:R8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24" style="5" bestFit="1" customWidth="1"/>
    <col min="3" max="3" width="7.5546875" style="5" bestFit="1" customWidth="1"/>
    <col min="4" max="4" width="17" style="4" bestFit="1" customWidth="1"/>
    <col min="5" max="5" width="16.88671875" style="4" bestFit="1" customWidth="1"/>
    <col min="6" max="8" width="4.5546875" style="5" bestFit="1" customWidth="1"/>
    <col min="9" max="9" width="4.77734375" style="5" bestFit="1" customWidth="1"/>
    <col min="10" max="12" width="2.109375" style="5" bestFit="1" customWidth="1"/>
    <col min="13" max="13" width="4.77734375" style="5" bestFit="1" customWidth="1"/>
    <col min="14" max="16" width="2.109375" style="5" bestFit="1" customWidth="1"/>
    <col min="17" max="17" width="4.77734375" style="5" bestFit="1" customWidth="1"/>
    <col min="18" max="18" width="5.77734375" style="4" bestFit="1" customWidth="1"/>
    <col min="19" max="19" width="7.109375" style="4" bestFit="1" customWidth="1"/>
    <col min="20" max="16384" width="9.109375" style="3"/>
  </cols>
  <sheetData>
    <row r="1" spans="1:19" s="2" customFormat="1" ht="28.95" customHeight="1" x14ac:dyDescent="0.25">
      <c r="A1" s="35" t="s">
        <v>703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</row>
    <row r="2" spans="1:19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19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1</v>
      </c>
      <c r="E3" s="32" t="s">
        <v>14</v>
      </c>
      <c r="F3" s="25" t="s">
        <v>663</v>
      </c>
      <c r="G3" s="26"/>
      <c r="H3" s="26"/>
      <c r="I3" s="27"/>
      <c r="J3" s="25" t="s">
        <v>4</v>
      </c>
      <c r="K3" s="26"/>
      <c r="L3" s="26"/>
      <c r="M3" s="27"/>
      <c r="N3" s="25" t="s">
        <v>5</v>
      </c>
      <c r="O3" s="26"/>
      <c r="P3" s="26"/>
      <c r="Q3" s="27"/>
      <c r="R3" s="41" t="s">
        <v>11</v>
      </c>
      <c r="S3" s="27" t="s">
        <v>6</v>
      </c>
    </row>
    <row r="4" spans="1:19" s="1" customFormat="1" ht="23.25" customHeight="1" thickBot="1" x14ac:dyDescent="0.3">
      <c r="A4" s="28"/>
      <c r="B4" s="30"/>
      <c r="C4" s="30"/>
      <c r="D4" s="30"/>
      <c r="E4" s="33"/>
      <c r="F4" s="12">
        <v>1</v>
      </c>
      <c r="G4" s="13">
        <v>2</v>
      </c>
      <c r="H4" s="13">
        <v>3</v>
      </c>
      <c r="I4" s="14" t="s">
        <v>8</v>
      </c>
      <c r="J4" s="12">
        <v>1</v>
      </c>
      <c r="K4" s="13">
        <v>2</v>
      </c>
      <c r="L4" s="13">
        <v>3</v>
      </c>
      <c r="M4" s="14" t="s">
        <v>8</v>
      </c>
      <c r="N4" s="12">
        <v>1</v>
      </c>
      <c r="O4" s="13">
        <v>2</v>
      </c>
      <c r="P4" s="13">
        <v>3</v>
      </c>
      <c r="Q4" s="14" t="s">
        <v>8</v>
      </c>
      <c r="R4" s="42"/>
      <c r="S4" s="31"/>
    </row>
    <row r="5" spans="1:19" s="5" customFormat="1" ht="15.6" x14ac:dyDescent="0.3">
      <c r="A5" s="45" t="s">
        <v>170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"/>
    </row>
    <row r="6" spans="1:19" s="5" customFormat="1" x14ac:dyDescent="0.25">
      <c r="A6" s="46" t="s">
        <v>686</v>
      </c>
      <c r="B6" s="47" t="s">
        <v>687</v>
      </c>
      <c r="C6" s="47" t="s">
        <v>688</v>
      </c>
      <c r="D6" s="46" t="s">
        <v>30</v>
      </c>
      <c r="E6" s="46" t="s">
        <v>423</v>
      </c>
      <c r="F6" s="47" t="s">
        <v>704</v>
      </c>
      <c r="G6" s="47" t="s">
        <v>705</v>
      </c>
      <c r="H6" s="47" t="s">
        <v>706</v>
      </c>
      <c r="I6" s="48" t="s">
        <v>707</v>
      </c>
      <c r="J6" s="48"/>
      <c r="K6" s="48"/>
      <c r="L6" s="48"/>
      <c r="M6" s="48"/>
      <c r="N6" s="48"/>
      <c r="O6" s="48"/>
      <c r="P6" s="48"/>
      <c r="Q6" s="48"/>
      <c r="R6" s="46" t="str">
        <f>"54,0"</f>
        <v>54,0</v>
      </c>
      <c r="S6" s="46"/>
    </row>
    <row r="7" spans="1:19" s="5" customFormat="1" x14ac:dyDescent="0.25">
      <c r="A7" s="4"/>
      <c r="D7" s="4"/>
      <c r="E7" s="4"/>
      <c r="R7" s="4"/>
      <c r="S7" s="4"/>
    </row>
    <row r="8" spans="1:19" ht="15.6" x14ac:dyDescent="0.3">
      <c r="A8" s="50" t="s">
        <v>99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19" x14ac:dyDescent="0.25">
      <c r="A9" s="46" t="s">
        <v>586</v>
      </c>
      <c r="B9" s="47" t="s">
        <v>675</v>
      </c>
      <c r="C9" s="47" t="s">
        <v>588</v>
      </c>
      <c r="D9" s="46" t="s">
        <v>30</v>
      </c>
      <c r="E9" s="46" t="s">
        <v>104</v>
      </c>
      <c r="F9" s="47" t="s">
        <v>708</v>
      </c>
      <c r="G9" s="47" t="s">
        <v>704</v>
      </c>
      <c r="H9" s="47" t="s">
        <v>706</v>
      </c>
      <c r="I9" s="48"/>
      <c r="J9" s="48"/>
      <c r="K9" s="48"/>
      <c r="L9" s="48"/>
      <c r="M9" s="48"/>
      <c r="N9" s="48"/>
      <c r="O9" s="48"/>
      <c r="P9" s="48"/>
      <c r="Q9" s="48"/>
      <c r="R9" s="46" t="str">
        <f>"54,0"</f>
        <v>54,0</v>
      </c>
      <c r="S9" s="46"/>
    </row>
    <row r="11" spans="1:19" ht="15" x14ac:dyDescent="0.25">
      <c r="D11" s="34" t="s">
        <v>15</v>
      </c>
    </row>
    <row r="12" spans="1:19" ht="15" x14ac:dyDescent="0.25">
      <c r="D12" s="34" t="s">
        <v>16</v>
      </c>
    </row>
    <row r="13" spans="1:19" ht="15" x14ac:dyDescent="0.25">
      <c r="D13" s="34" t="s">
        <v>17</v>
      </c>
    </row>
    <row r="14" spans="1:19" x14ac:dyDescent="0.25">
      <c r="D14" s="4" t="s">
        <v>18</v>
      </c>
    </row>
    <row r="15" spans="1:19" x14ac:dyDescent="0.25">
      <c r="D15" s="4" t="s">
        <v>19</v>
      </c>
    </row>
    <row r="16" spans="1:19" x14ac:dyDescent="0.25">
      <c r="D16" s="4" t="s">
        <v>20</v>
      </c>
    </row>
    <row r="19" spans="1:4" ht="17.399999999999999" x14ac:dyDescent="0.3">
      <c r="A19" s="43" t="s">
        <v>21</v>
      </c>
      <c r="B19" s="44"/>
    </row>
    <row r="20" spans="1:4" ht="15.6" x14ac:dyDescent="0.3">
      <c r="A20" s="52" t="s">
        <v>110</v>
      </c>
      <c r="B20" s="53"/>
    </row>
    <row r="21" spans="1:4" ht="14.4" x14ac:dyDescent="0.3">
      <c r="A21" s="55"/>
      <c r="B21" s="56" t="s">
        <v>80</v>
      </c>
    </row>
    <row r="22" spans="1:4" ht="13.8" x14ac:dyDescent="0.25">
      <c r="A22" s="57" t="s">
        <v>0</v>
      </c>
      <c r="B22" s="57" t="s">
        <v>81</v>
      </c>
      <c r="C22" s="57" t="s">
        <v>82</v>
      </c>
      <c r="D22" s="57" t="s">
        <v>24</v>
      </c>
    </row>
    <row r="23" spans="1:4" x14ac:dyDescent="0.25">
      <c r="A23" s="54" t="s">
        <v>685</v>
      </c>
      <c r="B23" s="5" t="s">
        <v>80</v>
      </c>
      <c r="C23" s="5" t="s">
        <v>216</v>
      </c>
      <c r="D23" s="58" t="s">
        <v>709</v>
      </c>
    </row>
    <row r="25" spans="1:4" ht="14.4" x14ac:dyDescent="0.3">
      <c r="A25" s="55"/>
      <c r="B25" s="56" t="s">
        <v>681</v>
      </c>
    </row>
    <row r="26" spans="1:4" ht="13.8" x14ac:dyDescent="0.25">
      <c r="A26" s="57" t="s">
        <v>0</v>
      </c>
      <c r="B26" s="57" t="s">
        <v>81</v>
      </c>
      <c r="C26" s="57" t="s">
        <v>82</v>
      </c>
      <c r="D26" s="57" t="s">
        <v>24</v>
      </c>
    </row>
    <row r="27" spans="1:4" x14ac:dyDescent="0.25">
      <c r="A27" s="54" t="s">
        <v>585</v>
      </c>
      <c r="B27" s="5" t="s">
        <v>682</v>
      </c>
      <c r="C27" s="5" t="s">
        <v>111</v>
      </c>
      <c r="D27" s="58" t="s">
        <v>710</v>
      </c>
    </row>
  </sheetData>
  <mergeCells count="13">
    <mergeCell ref="R3:R4"/>
    <mergeCell ref="S3:S4"/>
    <mergeCell ref="A5:R5"/>
    <mergeCell ref="A8:R8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4.21875" style="5" bestFit="1" customWidth="1"/>
    <col min="3" max="3" width="7.5546875" style="5" bestFit="1" customWidth="1"/>
    <col min="4" max="4" width="17" style="4" bestFit="1" customWidth="1"/>
    <col min="5" max="5" width="13.88671875" style="4" bestFit="1" customWidth="1"/>
    <col min="6" max="8" width="2.109375" style="5" bestFit="1" customWidth="1"/>
    <col min="9" max="9" width="4.77734375" style="5" bestFit="1" customWidth="1"/>
    <col min="10" max="12" width="2.109375" style="5" bestFit="1" customWidth="1"/>
    <col min="13" max="13" width="4.77734375" style="5" bestFit="1" customWidth="1"/>
    <col min="14" max="16" width="2.109375" style="5" bestFit="1" customWidth="1"/>
    <col min="17" max="17" width="4.77734375" style="5" bestFit="1" customWidth="1"/>
    <col min="18" max="18" width="5.77734375" style="4" bestFit="1" customWidth="1"/>
    <col min="19" max="19" width="7.109375" style="4" bestFit="1" customWidth="1"/>
    <col min="20" max="16384" width="9.109375" style="3"/>
  </cols>
  <sheetData>
    <row r="1" spans="1:19" s="2" customFormat="1" ht="28.95" customHeight="1" x14ac:dyDescent="0.25">
      <c r="A1" s="35" t="s">
        <v>702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</row>
    <row r="2" spans="1:19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19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1</v>
      </c>
      <c r="E3" s="32" t="s">
        <v>14</v>
      </c>
      <c r="F3" s="25" t="s">
        <v>3</v>
      </c>
      <c r="G3" s="26"/>
      <c r="H3" s="26"/>
      <c r="I3" s="27"/>
      <c r="J3" s="25" t="s">
        <v>4</v>
      </c>
      <c r="K3" s="26"/>
      <c r="L3" s="26"/>
      <c r="M3" s="27"/>
      <c r="N3" s="25" t="s">
        <v>5</v>
      </c>
      <c r="O3" s="26"/>
      <c r="P3" s="26"/>
      <c r="Q3" s="27"/>
      <c r="R3" s="41" t="s">
        <v>11</v>
      </c>
      <c r="S3" s="27" t="s">
        <v>6</v>
      </c>
    </row>
    <row r="4" spans="1:19" s="1" customFormat="1" ht="23.25" customHeight="1" thickBot="1" x14ac:dyDescent="0.3">
      <c r="A4" s="28"/>
      <c r="B4" s="30"/>
      <c r="C4" s="30"/>
      <c r="D4" s="30"/>
      <c r="E4" s="33"/>
      <c r="F4" s="12">
        <v>1</v>
      </c>
      <c r="G4" s="13">
        <v>2</v>
      </c>
      <c r="H4" s="13">
        <v>3</v>
      </c>
      <c r="I4" s="14" t="s">
        <v>8</v>
      </c>
      <c r="J4" s="12">
        <v>1</v>
      </c>
      <c r="K4" s="13">
        <v>2</v>
      </c>
      <c r="L4" s="13">
        <v>3</v>
      </c>
      <c r="M4" s="14" t="s">
        <v>8</v>
      </c>
      <c r="N4" s="12">
        <v>1</v>
      </c>
      <c r="O4" s="13">
        <v>2</v>
      </c>
      <c r="P4" s="13">
        <v>3</v>
      </c>
      <c r="Q4" s="14" t="s">
        <v>8</v>
      </c>
      <c r="R4" s="42"/>
      <c r="S4" s="31"/>
    </row>
    <row r="5" spans="1:19" s="5" customFormat="1" x14ac:dyDescent="0.25">
      <c r="A5" s="4"/>
      <c r="D5" s="4"/>
      <c r="E5" s="4"/>
      <c r="R5" s="4"/>
      <c r="S5" s="4"/>
    </row>
    <row r="6" spans="1:19" s="5" customFormat="1" ht="15" x14ac:dyDescent="0.25">
      <c r="A6" s="4"/>
      <c r="D6" s="34" t="s">
        <v>15</v>
      </c>
      <c r="E6" s="4"/>
      <c r="R6" s="4"/>
      <c r="S6" s="4"/>
    </row>
    <row r="7" spans="1:19" s="5" customFormat="1" ht="15" x14ac:dyDescent="0.25">
      <c r="A7" s="4"/>
      <c r="D7" s="34" t="s">
        <v>16</v>
      </c>
      <c r="E7" s="4"/>
      <c r="R7" s="4"/>
      <c r="S7" s="4"/>
    </row>
    <row r="8" spans="1:19" ht="15" x14ac:dyDescent="0.25">
      <c r="D8" s="34" t="s">
        <v>17</v>
      </c>
    </row>
    <row r="9" spans="1:19" x14ac:dyDescent="0.25">
      <c r="D9" s="4" t="s">
        <v>18</v>
      </c>
    </row>
    <row r="10" spans="1:19" x14ac:dyDescent="0.25">
      <c r="D10" s="4" t="s">
        <v>19</v>
      </c>
    </row>
    <row r="11" spans="1:19" x14ac:dyDescent="0.25">
      <c r="D11" s="4" t="s">
        <v>20</v>
      </c>
    </row>
    <row r="14" spans="1:19" ht="17.399999999999999" x14ac:dyDescent="0.3">
      <c r="A14" s="43" t="s">
        <v>21</v>
      </c>
      <c r="B14" s="44"/>
    </row>
  </sheetData>
  <mergeCells count="11">
    <mergeCell ref="R3:R4"/>
    <mergeCell ref="S3:S4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sqref="A1:U2"/>
    </sheetView>
  </sheetViews>
  <sheetFormatPr defaultColWidth="9.109375" defaultRowHeight="13.2" x14ac:dyDescent="0.25"/>
  <cols>
    <col min="1" max="1" width="24.88671875" style="4" bestFit="1" customWidth="1"/>
    <col min="2" max="2" width="19.109375" style="5" bestFit="1" customWidth="1"/>
    <col min="3" max="3" width="7.5546875" style="5" bestFit="1" customWidth="1"/>
    <col min="4" max="4" width="17" style="4" bestFit="1" customWidth="1"/>
    <col min="5" max="5" width="28.21875" style="4" bestFit="1" customWidth="1"/>
    <col min="6" max="9" width="5.5546875" style="5" bestFit="1" customWidth="1"/>
    <col min="10" max="12" width="2.109375" style="5" bestFit="1" customWidth="1"/>
    <col min="13" max="13" width="4.77734375" style="5" bestFit="1" customWidth="1"/>
    <col min="14" max="16" width="2.109375" style="5" bestFit="1" customWidth="1"/>
    <col min="17" max="17" width="4.77734375" style="5" bestFit="1" customWidth="1"/>
    <col min="18" max="18" width="5.77734375" style="4" bestFit="1" customWidth="1"/>
    <col min="19" max="19" width="7.109375" style="4" bestFit="1" customWidth="1"/>
    <col min="20" max="16384" width="9.109375" style="3"/>
  </cols>
  <sheetData>
    <row r="1" spans="1:19" s="2" customFormat="1" ht="28.95" customHeight="1" x14ac:dyDescent="0.25">
      <c r="A1" s="35" t="s">
        <v>684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</row>
    <row r="2" spans="1:19" s="2" customFormat="1" ht="61.9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19" s="1" customFormat="1" ht="12.75" customHeight="1" x14ac:dyDescent="0.25">
      <c r="A3" s="25" t="s">
        <v>0</v>
      </c>
      <c r="B3" s="29" t="s">
        <v>12</v>
      </c>
      <c r="C3" s="29" t="s">
        <v>9</v>
      </c>
      <c r="D3" s="26" t="s">
        <v>1</v>
      </c>
      <c r="E3" s="32" t="s">
        <v>14</v>
      </c>
      <c r="F3" s="25" t="s">
        <v>663</v>
      </c>
      <c r="G3" s="26"/>
      <c r="H3" s="26"/>
      <c r="I3" s="27"/>
      <c r="J3" s="25" t="s">
        <v>4</v>
      </c>
      <c r="K3" s="26"/>
      <c r="L3" s="26"/>
      <c r="M3" s="27"/>
      <c r="N3" s="25" t="s">
        <v>5</v>
      </c>
      <c r="O3" s="26"/>
      <c r="P3" s="26"/>
      <c r="Q3" s="27"/>
      <c r="R3" s="41" t="s">
        <v>11</v>
      </c>
      <c r="S3" s="27" t="s">
        <v>6</v>
      </c>
    </row>
    <row r="4" spans="1:19" s="1" customFormat="1" ht="23.25" customHeight="1" thickBot="1" x14ac:dyDescent="0.3">
      <c r="A4" s="28"/>
      <c r="B4" s="30"/>
      <c r="C4" s="30"/>
      <c r="D4" s="30"/>
      <c r="E4" s="33"/>
      <c r="F4" s="12">
        <v>1</v>
      </c>
      <c r="G4" s="13">
        <v>2</v>
      </c>
      <c r="H4" s="13">
        <v>3</v>
      </c>
      <c r="I4" s="14" t="s">
        <v>8</v>
      </c>
      <c r="J4" s="12">
        <v>1</v>
      </c>
      <c r="K4" s="13">
        <v>2</v>
      </c>
      <c r="L4" s="13">
        <v>3</v>
      </c>
      <c r="M4" s="14" t="s">
        <v>8</v>
      </c>
      <c r="N4" s="12">
        <v>1</v>
      </c>
      <c r="O4" s="13">
        <v>2</v>
      </c>
      <c r="P4" s="13">
        <v>3</v>
      </c>
      <c r="Q4" s="14" t="s">
        <v>8</v>
      </c>
      <c r="R4" s="42"/>
      <c r="S4" s="31"/>
    </row>
    <row r="5" spans="1:19" s="5" customFormat="1" ht="15.6" x14ac:dyDescent="0.3">
      <c r="A5" s="45" t="s">
        <v>165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"/>
    </row>
    <row r="6" spans="1:19" s="5" customFormat="1" x14ac:dyDescent="0.25">
      <c r="A6" s="46" t="s">
        <v>672</v>
      </c>
      <c r="B6" s="47" t="s">
        <v>421</v>
      </c>
      <c r="C6" s="47" t="s">
        <v>422</v>
      </c>
      <c r="D6" s="46" t="s">
        <v>30</v>
      </c>
      <c r="E6" s="46" t="s">
        <v>423</v>
      </c>
      <c r="F6" s="47" t="s">
        <v>59</v>
      </c>
      <c r="G6" s="47" t="s">
        <v>61</v>
      </c>
      <c r="H6" s="47" t="s">
        <v>203</v>
      </c>
      <c r="I6" s="47" t="s">
        <v>175</v>
      </c>
      <c r="J6" s="48"/>
      <c r="K6" s="48"/>
      <c r="L6" s="48"/>
      <c r="M6" s="48"/>
      <c r="N6" s="48"/>
      <c r="O6" s="48"/>
      <c r="P6" s="48"/>
      <c r="Q6" s="48"/>
      <c r="R6" s="46" t="str">
        <f>"165,0"</f>
        <v>165,0</v>
      </c>
      <c r="S6" s="46"/>
    </row>
    <row r="7" spans="1:19" s="5" customFormat="1" x14ac:dyDescent="0.25">
      <c r="A7" s="4"/>
      <c r="D7" s="4"/>
      <c r="E7" s="4"/>
      <c r="R7" s="4"/>
      <c r="S7" s="4"/>
    </row>
    <row r="8" spans="1:19" ht="15.6" x14ac:dyDescent="0.3">
      <c r="A8" s="50" t="s">
        <v>170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19" x14ac:dyDescent="0.25">
      <c r="A9" s="46" t="s">
        <v>686</v>
      </c>
      <c r="B9" s="47" t="s">
        <v>687</v>
      </c>
      <c r="C9" s="47" t="s">
        <v>688</v>
      </c>
      <c r="D9" s="46" t="s">
        <v>30</v>
      </c>
      <c r="E9" s="46" t="s">
        <v>423</v>
      </c>
      <c r="F9" s="47" t="s">
        <v>148</v>
      </c>
      <c r="G9" s="47" t="s">
        <v>74</v>
      </c>
      <c r="H9" s="48" t="s">
        <v>39</v>
      </c>
      <c r="I9" s="48"/>
      <c r="J9" s="48"/>
      <c r="K9" s="48"/>
      <c r="L9" s="48"/>
      <c r="M9" s="48"/>
      <c r="N9" s="48"/>
      <c r="O9" s="48"/>
      <c r="P9" s="48"/>
      <c r="Q9" s="48"/>
      <c r="R9" s="46" t="str">
        <f>"110,0"</f>
        <v>110,0</v>
      </c>
      <c r="S9" s="46"/>
    </row>
    <row r="11" spans="1:19" ht="15.6" x14ac:dyDescent="0.3">
      <c r="A11" s="50" t="s">
        <v>182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9" x14ac:dyDescent="0.25">
      <c r="A12" s="46" t="s">
        <v>690</v>
      </c>
      <c r="B12" s="47" t="s">
        <v>691</v>
      </c>
      <c r="C12" s="47" t="s">
        <v>692</v>
      </c>
      <c r="D12" s="46" t="s">
        <v>30</v>
      </c>
      <c r="E12" s="46" t="s">
        <v>693</v>
      </c>
      <c r="F12" s="47" t="s">
        <v>59</v>
      </c>
      <c r="G12" s="47" t="s">
        <v>71</v>
      </c>
      <c r="H12" s="47" t="s">
        <v>64</v>
      </c>
      <c r="I12" s="48" t="s">
        <v>175</v>
      </c>
      <c r="J12" s="48"/>
      <c r="K12" s="48"/>
      <c r="L12" s="48"/>
      <c r="M12" s="48"/>
      <c r="N12" s="48"/>
      <c r="O12" s="48"/>
      <c r="P12" s="48"/>
      <c r="Q12" s="48"/>
      <c r="R12" s="46" t="str">
        <f>"155,0"</f>
        <v>155,0</v>
      </c>
      <c r="S12" s="46"/>
    </row>
    <row r="14" spans="1:19" ht="15.6" x14ac:dyDescent="0.3">
      <c r="A14" s="50" t="s">
        <v>99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19" x14ac:dyDescent="0.25">
      <c r="A15" s="46" t="s">
        <v>695</v>
      </c>
      <c r="B15" s="47" t="s">
        <v>696</v>
      </c>
      <c r="C15" s="47" t="s">
        <v>697</v>
      </c>
      <c r="D15" s="46" t="s">
        <v>30</v>
      </c>
      <c r="E15" s="46" t="s">
        <v>669</v>
      </c>
      <c r="F15" s="47" t="s">
        <v>39</v>
      </c>
      <c r="G15" s="48" t="s">
        <v>59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6" t="str">
        <f>"120,0"</f>
        <v>120,0</v>
      </c>
      <c r="S15" s="46"/>
    </row>
    <row r="17" spans="1:4" ht="15" x14ac:dyDescent="0.25">
      <c r="D17" s="34" t="s">
        <v>15</v>
      </c>
    </row>
    <row r="18" spans="1:4" ht="15" x14ac:dyDescent="0.25">
      <c r="D18" s="34" t="s">
        <v>16</v>
      </c>
    </row>
    <row r="19" spans="1:4" ht="15" x14ac:dyDescent="0.25">
      <c r="D19" s="34" t="s">
        <v>17</v>
      </c>
    </row>
    <row r="20" spans="1:4" x14ac:dyDescent="0.25">
      <c r="D20" s="4" t="s">
        <v>18</v>
      </c>
    </row>
    <row r="21" spans="1:4" x14ac:dyDescent="0.25">
      <c r="D21" s="4" t="s">
        <v>19</v>
      </c>
    </row>
    <row r="22" spans="1:4" x14ac:dyDescent="0.25">
      <c r="D22" s="4" t="s">
        <v>20</v>
      </c>
    </row>
    <row r="25" spans="1:4" ht="17.399999999999999" x14ac:dyDescent="0.3">
      <c r="A25" s="43" t="s">
        <v>21</v>
      </c>
      <c r="B25" s="44"/>
    </row>
    <row r="26" spans="1:4" ht="15.6" x14ac:dyDescent="0.3">
      <c r="A26" s="52" t="s">
        <v>110</v>
      </c>
      <c r="B26" s="53"/>
    </row>
    <row r="27" spans="1:4" ht="14.4" x14ac:dyDescent="0.3">
      <c r="A27" s="55"/>
      <c r="B27" s="56" t="s">
        <v>80</v>
      </c>
    </row>
    <row r="28" spans="1:4" ht="13.8" x14ac:dyDescent="0.25">
      <c r="A28" s="57" t="s">
        <v>0</v>
      </c>
      <c r="B28" s="57" t="s">
        <v>81</v>
      </c>
      <c r="C28" s="57" t="s">
        <v>82</v>
      </c>
      <c r="D28" s="57" t="s">
        <v>24</v>
      </c>
    </row>
    <row r="29" spans="1:4" x14ac:dyDescent="0.25">
      <c r="A29" s="54" t="s">
        <v>419</v>
      </c>
      <c r="B29" s="5" t="s">
        <v>80</v>
      </c>
      <c r="C29" s="5" t="s">
        <v>225</v>
      </c>
      <c r="D29" s="58" t="s">
        <v>698</v>
      </c>
    </row>
    <row r="30" spans="1:4" x14ac:dyDescent="0.25">
      <c r="A30" s="54" t="s">
        <v>689</v>
      </c>
      <c r="B30" s="5" t="s">
        <v>80</v>
      </c>
      <c r="C30" s="5" t="s">
        <v>213</v>
      </c>
      <c r="D30" s="58" t="s">
        <v>699</v>
      </c>
    </row>
    <row r="31" spans="1:4" x14ac:dyDescent="0.25">
      <c r="A31" s="54" t="s">
        <v>694</v>
      </c>
      <c r="B31" s="5" t="s">
        <v>80</v>
      </c>
      <c r="C31" s="5" t="s">
        <v>111</v>
      </c>
      <c r="D31" s="58" t="s">
        <v>700</v>
      </c>
    </row>
    <row r="32" spans="1:4" x14ac:dyDescent="0.25">
      <c r="A32" s="54" t="s">
        <v>685</v>
      </c>
      <c r="B32" s="5" t="s">
        <v>80</v>
      </c>
      <c r="C32" s="5" t="s">
        <v>216</v>
      </c>
      <c r="D32" s="58" t="s">
        <v>701</v>
      </c>
    </row>
  </sheetData>
  <mergeCells count="15">
    <mergeCell ref="A14:R14"/>
    <mergeCell ref="R3:R4"/>
    <mergeCell ref="S3:S4"/>
    <mergeCell ref="A5:R5"/>
    <mergeCell ref="A8:R8"/>
    <mergeCell ref="A11:R11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40</vt:i4>
      </vt:variant>
    </vt:vector>
  </HeadingPairs>
  <TitlesOfParts>
    <vt:vector size="40" baseType="lpstr">
      <vt:lpstr>Лист39</vt:lpstr>
      <vt:lpstr>MR BP 1_2 bw. AWPC</vt:lpstr>
      <vt:lpstr>MR BP 1_2 bw. WPC</vt:lpstr>
      <vt:lpstr>MR BP 1 bw. AWPC</vt:lpstr>
      <vt:lpstr>MR BP 1 bw. WPC</vt:lpstr>
      <vt:lpstr>«Excalibur»</vt:lpstr>
      <vt:lpstr>«Rus brick»</vt:lpstr>
      <vt:lpstr>«Rus HUB»</vt:lpstr>
      <vt:lpstr>«Rus Axle»</vt:lpstr>
      <vt:lpstr>«Russian Roullette»</vt:lpstr>
      <vt:lpstr>WPC SC</vt:lpstr>
      <vt:lpstr>AWPC SC</vt:lpstr>
      <vt:lpstr>AWPC m.ply DL</vt:lpstr>
      <vt:lpstr>AWPC s.ply DL</vt:lpstr>
      <vt:lpstr>AWPC raw DL</vt:lpstr>
      <vt:lpstr>WPC m.ply DL</vt:lpstr>
      <vt:lpstr>WPC s.ply DL</vt:lpstr>
      <vt:lpstr>WPC raw DL</vt:lpstr>
      <vt:lpstr>12-18-29AWPC MP soft eq. BP</vt:lpstr>
      <vt:lpstr>AWPC MP soft eq. BP</vt:lpstr>
      <vt:lpstr>AWPC m.ply BP</vt:lpstr>
      <vt:lpstr>AWPC s.ply BP</vt:lpstr>
      <vt:lpstr>WPC OB</vt:lpstr>
      <vt:lpstr>AWPC OB</vt:lpstr>
      <vt:lpstr>AWPC raw BP</vt:lpstr>
      <vt:lpstr>AWPC m.ply PL</vt:lpstr>
      <vt:lpstr>AWPC s.ply PL</vt:lpstr>
      <vt:lpstr>AWPC Classic RAW PL</vt:lpstr>
      <vt:lpstr>AWPC raw PL</vt:lpstr>
      <vt:lpstr>WPC MP soft eq. BP</vt:lpstr>
      <vt:lpstr>WPC soft eq. BP</vt:lpstr>
      <vt:lpstr>WPC m.ply BP</vt:lpstr>
      <vt:lpstr>WPC s.ply BP</vt:lpstr>
      <vt:lpstr>WPC raw BP</vt:lpstr>
      <vt:lpstr>WPC m.ply PL</vt:lpstr>
      <vt:lpstr>WPC s.ply PL</vt:lpstr>
      <vt:lpstr>WPC Classic RAW PL</vt:lpstr>
      <vt:lpstr>WPC raw PL</vt:lpstr>
      <vt:lpstr>AWPC soft PL</vt:lpstr>
      <vt:lpstr>WPC soft 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User</cp:lastModifiedBy>
  <cp:lastPrinted>2008-02-22T21:19:54Z</cp:lastPrinted>
  <dcterms:created xsi:type="dcterms:W3CDTF">2002-06-16T13:36:44Z</dcterms:created>
  <dcterms:modified xsi:type="dcterms:W3CDTF">2020-09-02T08:20:37Z</dcterms:modified>
</cp:coreProperties>
</file>