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Август/"/>
    </mc:Choice>
  </mc:AlternateContent>
  <xr:revisionPtr revIDLastSave="0" documentId="13_ncr:1_{8443906F-1A01-F54F-8661-000F617E7F97}" xr6:coauthVersionLast="45" xr6:coauthVersionMax="45" xr10:uidLastSave="{00000000-0000-0000-0000-000000000000}"/>
  <bookViews>
    <workbookView xWindow="0" yWindow="460" windowWidth="27520" windowHeight="15100" firstSheet="8" activeTab="12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18" r:id="rId5"/>
    <sheet name="WRPF Двоеборье без экип" sheetId="17" r:id="rId6"/>
    <sheet name="WRPF Жим лежа без экип ДК" sheetId="11" r:id="rId7"/>
    <sheet name="WRPF Жим лежа без экип" sheetId="10" r:id="rId8"/>
    <sheet name="WEPF Жим софт однопетельная ДК" sheetId="12" r:id="rId9"/>
    <sheet name="WEPF Жим софт однопетельная" sheetId="9" r:id="rId10"/>
    <sheet name="WRPF Тяга без экипировки ДК" sheetId="16" r:id="rId11"/>
    <sheet name="WRPF Тяга без экипировки" sheetId="15" r:id="rId12"/>
    <sheet name="WRPF Подъем на бицепс" sheetId="23" r:id="rId13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4" i="23" l="1"/>
  <c r="K34" i="23"/>
  <c r="L33" i="23"/>
  <c r="K33" i="23"/>
  <c r="L30" i="23"/>
  <c r="K30" i="23"/>
  <c r="L29" i="23"/>
  <c r="K29" i="23"/>
  <c r="L28" i="23"/>
  <c r="K28" i="23"/>
  <c r="L25" i="23"/>
  <c r="K25" i="23"/>
  <c r="L22" i="23"/>
  <c r="K22" i="23"/>
  <c r="L21" i="23"/>
  <c r="K21" i="23"/>
  <c r="L18" i="23"/>
  <c r="K18" i="23"/>
  <c r="L17" i="23"/>
  <c r="K17" i="23"/>
  <c r="L14" i="23"/>
  <c r="K14" i="23"/>
  <c r="L13" i="23"/>
  <c r="K13" i="23"/>
  <c r="L10" i="23"/>
  <c r="K10" i="23"/>
  <c r="L9" i="23"/>
  <c r="K9" i="23"/>
  <c r="L6" i="23"/>
  <c r="K6" i="23"/>
  <c r="P16" i="18"/>
  <c r="O16" i="18"/>
  <c r="P13" i="18"/>
  <c r="O13" i="18"/>
  <c r="P12" i="18"/>
  <c r="O12" i="18"/>
  <c r="P9" i="18"/>
  <c r="O9" i="18"/>
  <c r="P6" i="18"/>
  <c r="O6" i="18"/>
  <c r="P6" i="17"/>
  <c r="O6" i="17"/>
  <c r="L32" i="16"/>
  <c r="K32" i="16"/>
  <c r="L29" i="16"/>
  <c r="K29" i="16"/>
  <c r="L28" i="16"/>
  <c r="K28" i="16"/>
  <c r="L25" i="16"/>
  <c r="K25" i="16"/>
  <c r="L24" i="16"/>
  <c r="K24" i="16"/>
  <c r="L21" i="16"/>
  <c r="K21" i="16"/>
  <c r="L20" i="16"/>
  <c r="K20" i="16"/>
  <c r="L17" i="16"/>
  <c r="K17" i="16"/>
  <c r="L16" i="16"/>
  <c r="K16" i="16"/>
  <c r="L15" i="16"/>
  <c r="K15" i="16"/>
  <c r="L12" i="16"/>
  <c r="K12" i="16"/>
  <c r="L9" i="16"/>
  <c r="K9" i="16"/>
  <c r="L6" i="16"/>
  <c r="K6" i="16"/>
  <c r="L16" i="15"/>
  <c r="K16" i="15"/>
  <c r="L13" i="15"/>
  <c r="K13" i="15"/>
  <c r="L10" i="15"/>
  <c r="K10" i="15"/>
  <c r="L9" i="15"/>
  <c r="K9" i="15"/>
  <c r="L6" i="15"/>
  <c r="K6" i="15"/>
  <c r="L9" i="12"/>
  <c r="K9" i="12"/>
  <c r="L6" i="12"/>
  <c r="K6" i="12"/>
  <c r="L53" i="11"/>
  <c r="K53" i="11"/>
  <c r="L52" i="11"/>
  <c r="K52" i="11"/>
  <c r="L51" i="11"/>
  <c r="K51" i="11"/>
  <c r="L50" i="11"/>
  <c r="K50" i="11"/>
  <c r="L47" i="11"/>
  <c r="K47" i="11"/>
  <c r="L46" i="11"/>
  <c r="K46" i="11"/>
  <c r="L45" i="11"/>
  <c r="K45" i="11"/>
  <c r="L42" i="11"/>
  <c r="K42" i="11"/>
  <c r="L41" i="11"/>
  <c r="K41" i="11"/>
  <c r="L40" i="11"/>
  <c r="K40" i="11"/>
  <c r="L39" i="11"/>
  <c r="K39" i="11"/>
  <c r="L38" i="11"/>
  <c r="K38" i="11"/>
  <c r="L37" i="11"/>
  <c r="K37" i="11"/>
  <c r="L34" i="11"/>
  <c r="K34" i="11"/>
  <c r="L33" i="11"/>
  <c r="K33" i="11"/>
  <c r="L32" i="11"/>
  <c r="K32" i="11"/>
  <c r="L31" i="11"/>
  <c r="K31" i="11"/>
  <c r="L28" i="11"/>
  <c r="K28" i="11"/>
  <c r="L27" i="11"/>
  <c r="K27" i="11"/>
  <c r="L24" i="11"/>
  <c r="K24" i="11"/>
  <c r="L21" i="11"/>
  <c r="K21" i="11"/>
  <c r="L18" i="11"/>
  <c r="K18" i="11"/>
  <c r="L17" i="11"/>
  <c r="K17" i="11"/>
  <c r="L16" i="11"/>
  <c r="K16" i="11"/>
  <c r="L13" i="11"/>
  <c r="K13" i="11"/>
  <c r="L12" i="11"/>
  <c r="K12" i="11"/>
  <c r="L9" i="11"/>
  <c r="K9" i="11"/>
  <c r="L6" i="11"/>
  <c r="K6" i="11"/>
  <c r="L34" i="10"/>
  <c r="K34" i="10"/>
  <c r="L31" i="10"/>
  <c r="K31" i="10"/>
  <c r="L28" i="10"/>
  <c r="K28" i="10"/>
  <c r="L27" i="10"/>
  <c r="K27" i="10"/>
  <c r="L24" i="10"/>
  <c r="K24" i="10"/>
  <c r="L23" i="10"/>
  <c r="K23" i="10"/>
  <c r="L20" i="10"/>
  <c r="K20" i="10"/>
  <c r="L19" i="10"/>
  <c r="K19" i="10"/>
  <c r="L16" i="10"/>
  <c r="K16" i="10"/>
  <c r="L13" i="10"/>
  <c r="K13" i="10"/>
  <c r="L10" i="10"/>
  <c r="K10" i="10"/>
  <c r="L7" i="10"/>
  <c r="K7" i="10"/>
  <c r="L6" i="10"/>
  <c r="K6" i="10"/>
  <c r="L9" i="9"/>
  <c r="K9" i="9"/>
  <c r="L6" i="9"/>
  <c r="K6" i="9"/>
  <c r="T39" i="8"/>
  <c r="T36" i="8"/>
  <c r="T35" i="8"/>
  <c r="S35" i="8"/>
  <c r="T32" i="8"/>
  <c r="S32" i="8"/>
  <c r="T31" i="8"/>
  <c r="S31" i="8"/>
  <c r="T30" i="8"/>
  <c r="S30" i="8"/>
  <c r="T27" i="8"/>
  <c r="T26" i="8"/>
  <c r="S26" i="8"/>
  <c r="T25" i="8"/>
  <c r="S25" i="8"/>
  <c r="T22" i="8"/>
  <c r="S22" i="8"/>
  <c r="T21" i="8"/>
  <c r="S21" i="8"/>
  <c r="T18" i="8"/>
  <c r="S18" i="8"/>
  <c r="T15" i="8"/>
  <c r="S15" i="8"/>
  <c r="T14" i="8"/>
  <c r="S14" i="8"/>
  <c r="T11" i="8"/>
  <c r="S11" i="8"/>
  <c r="T8" i="8"/>
  <c r="S8" i="8"/>
  <c r="T7" i="8"/>
  <c r="S7" i="8"/>
  <c r="T6" i="8"/>
  <c r="S6" i="8"/>
  <c r="T27" i="7"/>
  <c r="S27" i="7"/>
  <c r="T24" i="7"/>
  <c r="S24" i="7"/>
  <c r="T23" i="7"/>
  <c r="S23" i="7"/>
  <c r="T22" i="7"/>
  <c r="S22" i="7"/>
  <c r="T21" i="7"/>
  <c r="S21" i="7"/>
  <c r="T18" i="7"/>
  <c r="S18" i="7"/>
  <c r="T17" i="7"/>
  <c r="S17" i="7"/>
  <c r="T14" i="7"/>
  <c r="S14" i="7"/>
  <c r="T11" i="7"/>
  <c r="S11" i="7"/>
  <c r="T10" i="7"/>
  <c r="S10" i="7"/>
  <c r="T9" i="7"/>
  <c r="S9" i="7"/>
  <c r="T6" i="7"/>
  <c r="S6" i="7"/>
  <c r="T15" i="6"/>
  <c r="T12" i="6"/>
  <c r="S12" i="6"/>
  <c r="T9" i="6"/>
  <c r="S9" i="6"/>
  <c r="T6" i="6"/>
  <c r="S6" i="6"/>
  <c r="T19" i="5"/>
  <c r="S19" i="5"/>
  <c r="T16" i="5"/>
  <c r="S16" i="5"/>
  <c r="T13" i="5"/>
  <c r="S13" i="5"/>
  <c r="T12" i="5"/>
  <c r="S12" i="5"/>
  <c r="T9" i="5"/>
  <c r="S9" i="5"/>
  <c r="T6" i="5"/>
  <c r="S6" i="5"/>
</calcChain>
</file>

<file path=xl/sharedStrings.xml><?xml version="1.0" encoding="utf-8"?>
<sst xmlns="http://schemas.openxmlformats.org/spreadsheetml/2006/main" count="1933" uniqueCount="590">
  <si>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</si>
  <si>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</si>
  <si>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</si>
  <si>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</si>
  <si>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</si>
  <si>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</si>
  <si>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</si>
  <si>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</si>
  <si>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</si>
  <si>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</si>
  <si>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</si>
  <si>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Венгер Александр</t>
  </si>
  <si>
    <t>Открытая (22.02.1988)/33</t>
  </si>
  <si>
    <t>88,80</t>
  </si>
  <si>
    <t xml:space="preserve">Владимир/Владимирская область </t>
  </si>
  <si>
    <t>250,0</t>
  </si>
  <si>
    <t>270,0</t>
  </si>
  <si>
    <t>150,0</t>
  </si>
  <si>
    <t>167,5</t>
  </si>
  <si>
    <t>170,0</t>
  </si>
  <si>
    <t>240,0</t>
  </si>
  <si>
    <t>ВЕСОВАЯ КАТЕГОРИЯ   100</t>
  </si>
  <si>
    <t>Хлебников Егор</t>
  </si>
  <si>
    <t>Открытая (28.06.1995)/26</t>
  </si>
  <si>
    <t>97,00</t>
  </si>
  <si>
    <t xml:space="preserve">Киров/Калужская область </t>
  </si>
  <si>
    <t>180,0</t>
  </si>
  <si>
    <t>190,0</t>
  </si>
  <si>
    <t>200,0</t>
  </si>
  <si>
    <t>120,0</t>
  </si>
  <si>
    <t>130,0</t>
  </si>
  <si>
    <t>135,0</t>
  </si>
  <si>
    <t>210,0</t>
  </si>
  <si>
    <t>220,0</t>
  </si>
  <si>
    <t>225,0</t>
  </si>
  <si>
    <t xml:space="preserve">Гончаров А. </t>
  </si>
  <si>
    <t>ВЕСОВАЯ КАТЕГОРИЯ   110</t>
  </si>
  <si>
    <t>Ахлестин Сергей</t>
  </si>
  <si>
    <t>Открытая (15.09.1989)/31</t>
  </si>
  <si>
    <t>109,60</t>
  </si>
  <si>
    <t xml:space="preserve">Москва </t>
  </si>
  <si>
    <t>355,0</t>
  </si>
  <si>
    <t>375,0</t>
  </si>
  <si>
    <t>395,0</t>
  </si>
  <si>
    <t>212,5</t>
  </si>
  <si>
    <t>360,0</t>
  </si>
  <si>
    <t>380,0</t>
  </si>
  <si>
    <t xml:space="preserve">Андреев В. </t>
  </si>
  <si>
    <t>Разудалов Сергей</t>
  </si>
  <si>
    <t>Открытая (11.06.1990)/31</t>
  </si>
  <si>
    <t>110,00</t>
  </si>
  <si>
    <t xml:space="preserve">Пенза/Пензенская область </t>
  </si>
  <si>
    <t>320,0</t>
  </si>
  <si>
    <t>310,0</t>
  </si>
  <si>
    <t>ВЕСОВАЯ КАТЕГОРИЯ   140</t>
  </si>
  <si>
    <t>Осокин Илья</t>
  </si>
  <si>
    <t>Открытая (21.04.1992)/29</t>
  </si>
  <si>
    <t>136,70</t>
  </si>
  <si>
    <t xml:space="preserve">Воронеж/Воронежская область </t>
  </si>
  <si>
    <t>280,0</t>
  </si>
  <si>
    <t>290,0</t>
  </si>
  <si>
    <t>175,0</t>
  </si>
  <si>
    <t>182,5</t>
  </si>
  <si>
    <t>185,0</t>
  </si>
  <si>
    <t>275,0</t>
  </si>
  <si>
    <t xml:space="preserve">Суслов Н. </t>
  </si>
  <si>
    <t>ВЕСОВАЯ КАТЕГОРИЯ   140+</t>
  </si>
  <si>
    <t>Луговой Александр</t>
  </si>
  <si>
    <t>Открытая (28.10.1995)/25</t>
  </si>
  <si>
    <t>146,50</t>
  </si>
  <si>
    <t xml:space="preserve">Тольятти/Самарская область </t>
  </si>
  <si>
    <t>405,0</t>
  </si>
  <si>
    <t>420,0</t>
  </si>
  <si>
    <t>370,0</t>
  </si>
  <si>
    <t>390,0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</si>
  <si>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</si>
  <si>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</si>
  <si>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</si>
  <si>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</si>
  <si>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</si>
  <si>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</si>
  <si>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</si>
  <si>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</si>
  <si>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140+</t>
  </si>
  <si>
    <t>1020,0</t>
  </si>
  <si>
    <t>566,2020</t>
  </si>
  <si>
    <t>110</t>
  </si>
  <si>
    <t>945,0</t>
  </si>
  <si>
    <t>556,7940</t>
  </si>
  <si>
    <t>870,0</t>
  </si>
  <si>
    <t>511,9950</t>
  </si>
  <si>
    <t>1</t>
  </si>
  <si>
    <t/>
  </si>
  <si>
    <t>2</t>
  </si>
  <si>
    <t>ВЕСОВАЯ КАТЕГОРИЯ   48</t>
  </si>
  <si>
    <t>Гусева Ксения</t>
  </si>
  <si>
    <t>Открытая (26.06.2000)/21</t>
  </si>
  <si>
    <t>47,60</t>
  </si>
  <si>
    <t>85,0</t>
  </si>
  <si>
    <t>92,5</t>
  </si>
  <si>
    <t>100,0</t>
  </si>
  <si>
    <t>42,5</t>
  </si>
  <si>
    <t>47,5</t>
  </si>
  <si>
    <t>97,5</t>
  </si>
  <si>
    <t xml:space="preserve">Румянцев С. </t>
  </si>
  <si>
    <t>ВЕСОВАЯ КАТЕГОРИЯ   67.5</t>
  </si>
  <si>
    <t>Буторина Наталья</t>
  </si>
  <si>
    <t>Открытая (27.02.1985)/36</t>
  </si>
  <si>
    <t>66,50</t>
  </si>
  <si>
    <t xml:space="preserve">Киров/Кировская область </t>
  </si>
  <si>
    <t>110,0</t>
  </si>
  <si>
    <t>60,0</t>
  </si>
  <si>
    <t>62,5</t>
  </si>
  <si>
    <t>65,0</t>
  </si>
  <si>
    <t>117,5</t>
  </si>
  <si>
    <t xml:space="preserve">Обухов Ф. </t>
  </si>
  <si>
    <t>ВЕСОВАЯ КАТЕГОРИЯ   75</t>
  </si>
  <si>
    <t>Семыкина Дарья</t>
  </si>
  <si>
    <t>Открытая (03.03.2001)/20</t>
  </si>
  <si>
    <t>68,60</t>
  </si>
  <si>
    <t>140,0</t>
  </si>
  <si>
    <t>70,0</t>
  </si>
  <si>
    <t>75,0</t>
  </si>
  <si>
    <t>77,5</t>
  </si>
  <si>
    <t>Майоров Дмитрий</t>
  </si>
  <si>
    <t>Открытая (04.09.1992)/28</t>
  </si>
  <si>
    <t>89,20</t>
  </si>
  <si>
    <t xml:space="preserve">Гусь-Хрустальный/Владимирская область </t>
  </si>
  <si>
    <t>260,0</t>
  </si>
  <si>
    <t>265,0</t>
  </si>
  <si>
    <t>155,0</t>
  </si>
  <si>
    <t>160,0</t>
  </si>
  <si>
    <t>300,0</t>
  </si>
  <si>
    <t xml:space="preserve">Женщины </t>
  </si>
  <si>
    <t>75</t>
  </si>
  <si>
    <t>335,0</t>
  </si>
  <si>
    <t>67.5</t>
  </si>
  <si>
    <t>-</t>
  </si>
  <si>
    <t>ВЕСОВАЯ КАТЕГОРИЯ   52</t>
  </si>
  <si>
    <t>Дегтярева Юлия</t>
  </si>
  <si>
    <t>Открытая (08.09.1990)/30</t>
  </si>
  <si>
    <t>48,60</t>
  </si>
  <si>
    <t xml:space="preserve">Зеленоград/Московская область </t>
  </si>
  <si>
    <t>115,0</t>
  </si>
  <si>
    <t>125,0</t>
  </si>
  <si>
    <t>67,5</t>
  </si>
  <si>
    <t xml:space="preserve">Сакович О. </t>
  </si>
  <si>
    <t>ВЕСОВАЯ КАТЕГОРИЯ   56</t>
  </si>
  <si>
    <t>Самарина Ульяна</t>
  </si>
  <si>
    <t>Девушки 14-16 (08.10.2007)/13</t>
  </si>
  <si>
    <t>55,90</t>
  </si>
  <si>
    <t>90,0</t>
  </si>
  <si>
    <t>95,0</t>
  </si>
  <si>
    <t>80,0</t>
  </si>
  <si>
    <t>105,0</t>
  </si>
  <si>
    <t>107,5</t>
  </si>
  <si>
    <t xml:space="preserve">Самарина Н. </t>
  </si>
  <si>
    <t>Балякина Евгения</t>
  </si>
  <si>
    <t>Открытая (15.12.1990)/30</t>
  </si>
  <si>
    <t>53,60</t>
  </si>
  <si>
    <t>162,5</t>
  </si>
  <si>
    <t>Мамонт Анна</t>
  </si>
  <si>
    <t>Открытая (11.06.1993)/28</t>
  </si>
  <si>
    <t>53,30</t>
  </si>
  <si>
    <t>102,5</t>
  </si>
  <si>
    <t>127,5</t>
  </si>
  <si>
    <t xml:space="preserve">Тимофеев Д. </t>
  </si>
  <si>
    <t>Минаев Александр</t>
  </si>
  <si>
    <t>Открытая (01.08.1993)/28</t>
  </si>
  <si>
    <t>75,00</t>
  </si>
  <si>
    <t xml:space="preserve">Раменское/Московская область </t>
  </si>
  <si>
    <t>205,0</t>
  </si>
  <si>
    <t>Тимофеев Дмитрий</t>
  </si>
  <si>
    <t>Открытая (21.02.1987)/34</t>
  </si>
  <si>
    <t>96,90</t>
  </si>
  <si>
    <t>192,5</t>
  </si>
  <si>
    <t>325,0</t>
  </si>
  <si>
    <t>Лукьянов Евгений</t>
  </si>
  <si>
    <t>Открытая (06.02.1981)/40</t>
  </si>
  <si>
    <t>96,10</t>
  </si>
  <si>
    <t>215,0</t>
  </si>
  <si>
    <t>137,5</t>
  </si>
  <si>
    <t>145,0</t>
  </si>
  <si>
    <t>217,5</t>
  </si>
  <si>
    <t>Салахетдинов Эльдар</t>
  </si>
  <si>
    <t>Юниоры (22.08.1998)/23</t>
  </si>
  <si>
    <t>109,40</t>
  </si>
  <si>
    <t>197,5</t>
  </si>
  <si>
    <t>202,5</t>
  </si>
  <si>
    <t>Открытая (22.08.1998)/23</t>
  </si>
  <si>
    <t>Ухоботов Владимир</t>
  </si>
  <si>
    <t>Открытая (18.06.1978)/43</t>
  </si>
  <si>
    <t>106,40</t>
  </si>
  <si>
    <t xml:space="preserve">Краснодар/Краснодарский край </t>
  </si>
  <si>
    <t>Мастера 40-49 (18.06.1978)/43</t>
  </si>
  <si>
    <t>Мельников Максим</t>
  </si>
  <si>
    <t>Юниоры (21.02.2000)/21</t>
  </si>
  <si>
    <t>137,80</t>
  </si>
  <si>
    <t>56</t>
  </si>
  <si>
    <t>52</t>
  </si>
  <si>
    <t>352,5</t>
  </si>
  <si>
    <t>462,5857</t>
  </si>
  <si>
    <t>407,8960</t>
  </si>
  <si>
    <t>792,5</t>
  </si>
  <si>
    <t>467,1788</t>
  </si>
  <si>
    <t>100</t>
  </si>
  <si>
    <t>795,0</t>
  </si>
  <si>
    <t>490,1970</t>
  </si>
  <si>
    <t>590,0</t>
  </si>
  <si>
    <t>420,4340</t>
  </si>
  <si>
    <t>Соловьева Мария</t>
  </si>
  <si>
    <t>Открытая (22.11.1988)/32</t>
  </si>
  <si>
    <t>51,60</t>
  </si>
  <si>
    <t xml:space="preserve">Пермь/Пермский край </t>
  </si>
  <si>
    <t>112,5</t>
  </si>
  <si>
    <t>52,5</t>
  </si>
  <si>
    <t>55,0</t>
  </si>
  <si>
    <t>57,5</t>
  </si>
  <si>
    <t>Вихорькова Светлана</t>
  </si>
  <si>
    <t>Открытая (18.02.2004)/17</t>
  </si>
  <si>
    <t>50,20</t>
  </si>
  <si>
    <t>50,0</t>
  </si>
  <si>
    <t>82,5</t>
  </si>
  <si>
    <t xml:space="preserve">Ефанов А. </t>
  </si>
  <si>
    <t>ВЕСОВАЯ КАТЕГОРИЯ   60</t>
  </si>
  <si>
    <t>Абрамова Елена</t>
  </si>
  <si>
    <t>Открытая (28.06.1993)/28</t>
  </si>
  <si>
    <t>60,00</t>
  </si>
  <si>
    <t xml:space="preserve">Щёкино/Тульская область </t>
  </si>
  <si>
    <t>Бочарова Анна</t>
  </si>
  <si>
    <t>Открытая (03.11.1995)/25</t>
  </si>
  <si>
    <t>58,10</t>
  </si>
  <si>
    <t xml:space="preserve">Электросталь/Московская область </t>
  </si>
  <si>
    <t>45,0</t>
  </si>
  <si>
    <t xml:space="preserve">Курдюков С. </t>
  </si>
  <si>
    <t>Тумашова Наталья</t>
  </si>
  <si>
    <t>Открытая (30.06.1986)/35</t>
  </si>
  <si>
    <t>64,60</t>
  </si>
  <si>
    <t xml:space="preserve">Смоленск/Смоленская область </t>
  </si>
  <si>
    <t>40,0</t>
  </si>
  <si>
    <t xml:space="preserve">Смирнов И. </t>
  </si>
  <si>
    <t>Саидов Магомед</t>
  </si>
  <si>
    <t>Юниоры (20.10.1998)/22</t>
  </si>
  <si>
    <t>71,70</t>
  </si>
  <si>
    <t xml:space="preserve">Самойлов М. </t>
  </si>
  <si>
    <t>Калинин Даниил</t>
  </si>
  <si>
    <t>Открытая (12.06.1988)/33</t>
  </si>
  <si>
    <t>74,70</t>
  </si>
  <si>
    <t xml:space="preserve">Рязань/Рязанская область </t>
  </si>
  <si>
    <t>157,5</t>
  </si>
  <si>
    <t>165,0</t>
  </si>
  <si>
    <t xml:space="preserve">Щенников А. </t>
  </si>
  <si>
    <t>Гагнидзе Георгий</t>
  </si>
  <si>
    <t>Юноши 17-19 (23.10.2002)/18</t>
  </si>
  <si>
    <t>89,10</t>
  </si>
  <si>
    <t>122,5</t>
  </si>
  <si>
    <t>Пронин Денис</t>
  </si>
  <si>
    <t>Юноши 17-19 (27.08.2003)/18</t>
  </si>
  <si>
    <t>86,60</t>
  </si>
  <si>
    <t>Кудрин Николай</t>
  </si>
  <si>
    <t>Открытая (30.01.1996)/25</t>
  </si>
  <si>
    <t>88,50</t>
  </si>
  <si>
    <t>152,5</t>
  </si>
  <si>
    <t>Васильев Максим</t>
  </si>
  <si>
    <t>Открытая (13.10.1989)/31</t>
  </si>
  <si>
    <t>94,00</t>
  </si>
  <si>
    <t xml:space="preserve">Кубинка/Московская область </t>
  </si>
  <si>
    <t>230,0</t>
  </si>
  <si>
    <t>247,5</t>
  </si>
  <si>
    <t xml:space="preserve">Рябинников О. </t>
  </si>
  <si>
    <t>Каменский Дмитрий</t>
  </si>
  <si>
    <t>Открытая (10.05.1990)/31</t>
  </si>
  <si>
    <t>95,80</t>
  </si>
  <si>
    <t>195,0</t>
  </si>
  <si>
    <t>Панкрушин Максим</t>
  </si>
  <si>
    <t>Открытая (13.10.1986)/34</t>
  </si>
  <si>
    <t>91,00</t>
  </si>
  <si>
    <t>Ломов Дмитрий</t>
  </si>
  <si>
    <t>Открытая (04.10.1984)/36</t>
  </si>
  <si>
    <t>103,10</t>
  </si>
  <si>
    <t>Камоцкий Руслан</t>
  </si>
  <si>
    <t>Мастера 40-49 (13.10.1979)/41</t>
  </si>
  <si>
    <t>108,00</t>
  </si>
  <si>
    <t>ВЕСОВАЯ КАТЕГОРИЯ   125</t>
  </si>
  <si>
    <t>Москвин Алексей</t>
  </si>
  <si>
    <t>Открытая (03.06.1985)/36</t>
  </si>
  <si>
    <t>123,20</t>
  </si>
  <si>
    <t xml:space="preserve">Тула/Тульская область </t>
  </si>
  <si>
    <t>351,1480</t>
  </si>
  <si>
    <t>612,5</t>
  </si>
  <si>
    <t>382,8125</t>
  </si>
  <si>
    <t>585,0</t>
  </si>
  <si>
    <t>362,5245</t>
  </si>
  <si>
    <t>482,5</t>
  </si>
  <si>
    <t>344,7945</t>
  </si>
  <si>
    <t>3</t>
  </si>
  <si>
    <t>Тукаев Антон</t>
  </si>
  <si>
    <t>Открытая (03.07.1990)/31</t>
  </si>
  <si>
    <t>84,40</t>
  </si>
  <si>
    <t>Лукин Сергей</t>
  </si>
  <si>
    <t>Мастера 40-49 (13.01.1978)/43</t>
  </si>
  <si>
    <t>146,00</t>
  </si>
  <si>
    <t xml:space="preserve">Касимов/Рязанская область </t>
  </si>
  <si>
    <t xml:space="preserve">Денисова Е. </t>
  </si>
  <si>
    <t xml:space="preserve">Результат </t>
  </si>
  <si>
    <t xml:space="preserve">Gloss </t>
  </si>
  <si>
    <t>Результат</t>
  </si>
  <si>
    <t>Астанина Элеонора</t>
  </si>
  <si>
    <t>Открытая (14.09.1991)/29</t>
  </si>
  <si>
    <t>55,30</t>
  </si>
  <si>
    <t>Бака Елена</t>
  </si>
  <si>
    <t>Открытая (08.04.1994)/27</t>
  </si>
  <si>
    <t>54,50</t>
  </si>
  <si>
    <t xml:space="preserve">Антрацит/Луганская область </t>
  </si>
  <si>
    <t>Осипов Владимир</t>
  </si>
  <si>
    <t>Открытая (27.10.1985)/35</t>
  </si>
  <si>
    <t>65,80</t>
  </si>
  <si>
    <t xml:space="preserve">Няндома/Архангельская область </t>
  </si>
  <si>
    <t>Чунихин Андрей</t>
  </si>
  <si>
    <t>Юниоры (19.06.2001)/20</t>
  </si>
  <si>
    <t>ВЕСОВАЯ КАТЕГОРИЯ   82.5</t>
  </si>
  <si>
    <t>Скворцов Дмитрий</t>
  </si>
  <si>
    <t>Открытая (05.07.1988)/33</t>
  </si>
  <si>
    <t>82,50</t>
  </si>
  <si>
    <t>Синюхин Алексей</t>
  </si>
  <si>
    <t>Открытая (22.07.1993)/28</t>
  </si>
  <si>
    <t>89,00</t>
  </si>
  <si>
    <t>Синицын Василий</t>
  </si>
  <si>
    <t>Открытая (20.03.1984)/37</t>
  </si>
  <si>
    <t>83,50</t>
  </si>
  <si>
    <t>177,5</t>
  </si>
  <si>
    <t xml:space="preserve">Синицына М. </t>
  </si>
  <si>
    <t>Сущенко Алексей</t>
  </si>
  <si>
    <t>Открытая (21.10.1980)/40</t>
  </si>
  <si>
    <t>97,90</t>
  </si>
  <si>
    <t>187,5</t>
  </si>
  <si>
    <t>Ионичев Артур</t>
  </si>
  <si>
    <t>Открытая (03.12.1982)/38</t>
  </si>
  <si>
    <t>97,10</t>
  </si>
  <si>
    <t>Зутиков Геннадий</t>
  </si>
  <si>
    <t>Юноши 17-19 (20.11.2003)/17</t>
  </si>
  <si>
    <t>108,40</t>
  </si>
  <si>
    <t xml:space="preserve">Осокин И. </t>
  </si>
  <si>
    <t>Леонов Павел</t>
  </si>
  <si>
    <t>Открытая (08.11.1983)/37</t>
  </si>
  <si>
    <t>103,90</t>
  </si>
  <si>
    <t xml:space="preserve">Лосино-Петровский/Московская область </t>
  </si>
  <si>
    <t>Романов Дмитрий</t>
  </si>
  <si>
    <t>Открытая (16.06.1987)/34</t>
  </si>
  <si>
    <t>122,50</t>
  </si>
  <si>
    <t xml:space="preserve">Чибисов С. </t>
  </si>
  <si>
    <t>Марченко Владимир</t>
  </si>
  <si>
    <t>Открытая (19.10.1984)/36</t>
  </si>
  <si>
    <t>126,80</t>
  </si>
  <si>
    <t>207,5</t>
  </si>
  <si>
    <t xml:space="preserve">Смирнов Д. </t>
  </si>
  <si>
    <t>137,9540</t>
  </si>
  <si>
    <t>118,1758</t>
  </si>
  <si>
    <t>118,0800</t>
  </si>
  <si>
    <t>Бурова Злата</t>
  </si>
  <si>
    <t>Открытая (13.12.1994)/26</t>
  </si>
  <si>
    <t>51,30</t>
  </si>
  <si>
    <t xml:space="preserve">Кулебаки/Нижегородская область </t>
  </si>
  <si>
    <t xml:space="preserve">Буров В. </t>
  </si>
  <si>
    <t>Алексеева Татьяна</t>
  </si>
  <si>
    <t>Мастера 40-49 (10.12.1980)/40</t>
  </si>
  <si>
    <t>54,30</t>
  </si>
  <si>
    <t xml:space="preserve">Орёл/Орловская область </t>
  </si>
  <si>
    <t xml:space="preserve">Волков Н. </t>
  </si>
  <si>
    <t>Калякина Наталья</t>
  </si>
  <si>
    <t>Открытая (15.08.1983)/38</t>
  </si>
  <si>
    <t>58,30</t>
  </si>
  <si>
    <t>Досхоева Марет</t>
  </si>
  <si>
    <t>Юниорки (03.12.1999)/21</t>
  </si>
  <si>
    <t>66,60</t>
  </si>
  <si>
    <t xml:space="preserve">Котельнич/Кировская область </t>
  </si>
  <si>
    <t>Открытая (03.12.1999)/21</t>
  </si>
  <si>
    <t>Коробчук Оксана</t>
  </si>
  <si>
    <t>Открытая (22.11.1983)/37</t>
  </si>
  <si>
    <t>70,50</t>
  </si>
  <si>
    <t>ВЕСОВАЯ КАТЕГОРИЯ   90+</t>
  </si>
  <si>
    <t>Князева Анастасия</t>
  </si>
  <si>
    <t>Юниорки (14.06.2000)/21</t>
  </si>
  <si>
    <t>112,00</t>
  </si>
  <si>
    <t>Жирухин Никита</t>
  </si>
  <si>
    <t>Юниоры (23.04.1998)/23</t>
  </si>
  <si>
    <t>73,50</t>
  </si>
  <si>
    <t xml:space="preserve">Наторкин М. </t>
  </si>
  <si>
    <t>Ламин Максим</t>
  </si>
  <si>
    <t>Открытая (07.08.1993)/28</t>
  </si>
  <si>
    <t>80,30</t>
  </si>
  <si>
    <t xml:space="preserve">Спасск/Пензенская область </t>
  </si>
  <si>
    <t>Жук Денис</t>
  </si>
  <si>
    <t>Открытая (05.02.1987)/34</t>
  </si>
  <si>
    <t>79,90</t>
  </si>
  <si>
    <t>Пронишев Евгений</t>
  </si>
  <si>
    <t>Мастера 40-49 (26.04.1978)/43</t>
  </si>
  <si>
    <t>80,80</t>
  </si>
  <si>
    <t xml:space="preserve">Монино/Московская область </t>
  </si>
  <si>
    <t xml:space="preserve">Леонов П. </t>
  </si>
  <si>
    <t>Журавлев Роман</t>
  </si>
  <si>
    <t>Мастера 40-49 (22.02.1979)/42</t>
  </si>
  <si>
    <t>82,30</t>
  </si>
  <si>
    <t>Кашпар Константин</t>
  </si>
  <si>
    <t>Юниоры (03.11.1997)/23</t>
  </si>
  <si>
    <t>88,30</t>
  </si>
  <si>
    <t>Синицин Андрей</t>
  </si>
  <si>
    <t>Открытая (28.09.1989)/31</t>
  </si>
  <si>
    <t>86,70</t>
  </si>
  <si>
    <t>Корольков Вадим</t>
  </si>
  <si>
    <t>Открытая (12.08.1994)/27</t>
  </si>
  <si>
    <t xml:space="preserve">Шестаков Е. </t>
  </si>
  <si>
    <t>Устарханов Ислам</t>
  </si>
  <si>
    <t>Открытая (13.05.1990)/31</t>
  </si>
  <si>
    <t>89,40</t>
  </si>
  <si>
    <t>Четвертаков Василий</t>
  </si>
  <si>
    <t>Открытая (23.10.1994)/26</t>
  </si>
  <si>
    <t>89,80</t>
  </si>
  <si>
    <t>Потехин Евгений</t>
  </si>
  <si>
    <t>Открытая (09.10.1989)/31</t>
  </si>
  <si>
    <t>132,5</t>
  </si>
  <si>
    <t>Пугачев Владислав</t>
  </si>
  <si>
    <t>Открытая (23.12.1994)/26</t>
  </si>
  <si>
    <t>98,80</t>
  </si>
  <si>
    <t xml:space="preserve">Белгород/Белгородская область </t>
  </si>
  <si>
    <t>Родионов Евгений</t>
  </si>
  <si>
    <t>Открытая (02.10.1985)/35</t>
  </si>
  <si>
    <t>94,50</t>
  </si>
  <si>
    <t>Борщев Владимир</t>
  </si>
  <si>
    <t>Мастера 50-59 (11.12.1969)/51</t>
  </si>
  <si>
    <t>95,20</t>
  </si>
  <si>
    <t xml:space="preserve">Волгоград/Волгоградская область </t>
  </si>
  <si>
    <t>Никулин Александр</t>
  </si>
  <si>
    <t>Юноши 14-16 (04.09.2004)/16</t>
  </si>
  <si>
    <t>105,70</t>
  </si>
  <si>
    <t xml:space="preserve">Антонов Д. </t>
  </si>
  <si>
    <t>Андрущак Кирилл</t>
  </si>
  <si>
    <t>Юниоры (22.06.1999)/22</t>
  </si>
  <si>
    <t>107,40</t>
  </si>
  <si>
    <t xml:space="preserve">Бийск/Алтайский край </t>
  </si>
  <si>
    <t>Открытая (22.06.1999)/22</t>
  </si>
  <si>
    <t>108,2130</t>
  </si>
  <si>
    <t>79,2000</t>
  </si>
  <si>
    <t>75,5820</t>
  </si>
  <si>
    <t>108,2225</t>
  </si>
  <si>
    <t>82.5</t>
  </si>
  <si>
    <t>114,0843</t>
  </si>
  <si>
    <t>109,3120</t>
  </si>
  <si>
    <t>4</t>
  </si>
  <si>
    <t>5</t>
  </si>
  <si>
    <t>Махова Дарья</t>
  </si>
  <si>
    <t>Юниорки (16.05.2000)/21</t>
  </si>
  <si>
    <t xml:space="preserve">Коломна/Московская область </t>
  </si>
  <si>
    <t>Зализецкий Степан</t>
  </si>
  <si>
    <t>Открытая (01.04.1997)/24</t>
  </si>
  <si>
    <t>72,40</t>
  </si>
  <si>
    <t xml:space="preserve">Тукаев А. </t>
  </si>
  <si>
    <t>Денисова Ульяна</t>
  </si>
  <si>
    <t>Девушки 14-16 (20.12.2009)/11</t>
  </si>
  <si>
    <t>56,50</t>
  </si>
  <si>
    <t xml:space="preserve">Денисов С. </t>
  </si>
  <si>
    <t>Кравченко Евгений</t>
  </si>
  <si>
    <t>Открытая (03.11.1986)/34</t>
  </si>
  <si>
    <t>95,70</t>
  </si>
  <si>
    <t>345,0</t>
  </si>
  <si>
    <t>Наторкин Максим</t>
  </si>
  <si>
    <t>Открытая (23.07.1986)/35</t>
  </si>
  <si>
    <t>116,90</t>
  </si>
  <si>
    <t>235,0</t>
  </si>
  <si>
    <t>Князева Наталья</t>
  </si>
  <si>
    <t>Мастера 50-59 (16.07.1970)/51</t>
  </si>
  <si>
    <t>81,80</t>
  </si>
  <si>
    <t>Бозян Арман</t>
  </si>
  <si>
    <t>Юноши 14-16 (07.07.2009)/12</t>
  </si>
  <si>
    <t>42,00</t>
  </si>
  <si>
    <t>Пронин Евгений</t>
  </si>
  <si>
    <t>Юноши 17-19 (03.02.2002)/19</t>
  </si>
  <si>
    <t>69,50</t>
  </si>
  <si>
    <t xml:space="preserve">Луховицы/Московская область </t>
  </si>
  <si>
    <t xml:space="preserve">Есаков А. </t>
  </si>
  <si>
    <t>Денисов Павел</t>
  </si>
  <si>
    <t>Юноши 17-19 (19.06.2004)/17</t>
  </si>
  <si>
    <t>73,80</t>
  </si>
  <si>
    <t>Shaon Mainul</t>
  </si>
  <si>
    <t>Юниоры (24.06.2001)/20</t>
  </si>
  <si>
    <t>71,50</t>
  </si>
  <si>
    <t>Самойлов Максим</t>
  </si>
  <si>
    <t>Открытая (04.05.1996)/25</t>
  </si>
  <si>
    <t>80,20</t>
  </si>
  <si>
    <t>Писарев Андрей</t>
  </si>
  <si>
    <t>Открытая (26.09.1995)/25</t>
  </si>
  <si>
    <t>99,80</t>
  </si>
  <si>
    <t>262,5</t>
  </si>
  <si>
    <t xml:space="preserve">Савин А. </t>
  </si>
  <si>
    <t>Мамуладзе Давит</t>
  </si>
  <si>
    <t>Мастера 40-49 (05.08.1976)/45</t>
  </si>
  <si>
    <t>92,50</t>
  </si>
  <si>
    <t>Прошин Алексей</t>
  </si>
  <si>
    <t>Открытая (10.04.1984)/37</t>
  </si>
  <si>
    <t>98,20</t>
  </si>
  <si>
    <t xml:space="preserve">Радужный/Владимирская область </t>
  </si>
  <si>
    <t>255,0</t>
  </si>
  <si>
    <t xml:space="preserve">Суслов Н., Кочетов А. </t>
  </si>
  <si>
    <t>Киржанов Дмитрий</t>
  </si>
  <si>
    <t>Открытая (28.06.1994)/27</t>
  </si>
  <si>
    <t xml:space="preserve">Малаховка/Московская область </t>
  </si>
  <si>
    <t>Кузьмин Иван</t>
  </si>
  <si>
    <t>51,40</t>
  </si>
  <si>
    <t>Коломыцев Михаил</t>
  </si>
  <si>
    <t>Открытая (21.06.1989)/32</t>
  </si>
  <si>
    <t>67,00</t>
  </si>
  <si>
    <t>72,5</t>
  </si>
  <si>
    <t>Волков Николай</t>
  </si>
  <si>
    <t>Открытая (20.05.1998)/23</t>
  </si>
  <si>
    <t>65,40</t>
  </si>
  <si>
    <t xml:space="preserve">Новозыбков/Брянская область </t>
  </si>
  <si>
    <t>Сакович Олег</t>
  </si>
  <si>
    <t>Открытая (21.08.1992)/29</t>
  </si>
  <si>
    <t>88,0</t>
  </si>
  <si>
    <t>91,0</t>
  </si>
  <si>
    <t>93,5</t>
  </si>
  <si>
    <t>Качалин Андрей</t>
  </si>
  <si>
    <t>Открытая (14.10.1997)/23</t>
  </si>
  <si>
    <t>71,90</t>
  </si>
  <si>
    <t>Чугунов Дмитрий</t>
  </si>
  <si>
    <t>Открытая (07.09.1991)/29</t>
  </si>
  <si>
    <t>79,80</t>
  </si>
  <si>
    <t>87,5</t>
  </si>
  <si>
    <t>Котов Павел</t>
  </si>
  <si>
    <t>81,50</t>
  </si>
  <si>
    <t>73,0</t>
  </si>
  <si>
    <t>Комаров Владимир</t>
  </si>
  <si>
    <t>Открытая (02.01.1984)/37</t>
  </si>
  <si>
    <t>83,80</t>
  </si>
  <si>
    <t>Чибисов Степан</t>
  </si>
  <si>
    <t>Открытая (06.03.1989)/32</t>
  </si>
  <si>
    <t>97,20</t>
  </si>
  <si>
    <t>Тагиев Низами</t>
  </si>
  <si>
    <t>Открытая (05.04.1991)/30</t>
  </si>
  <si>
    <t>107,60</t>
  </si>
  <si>
    <t xml:space="preserve">Горячий Ключ/Краснодарский край </t>
  </si>
  <si>
    <t>113,0</t>
  </si>
  <si>
    <t>Жемаркин Дмитрий</t>
  </si>
  <si>
    <t>Открытая (29.01.1997)/24</t>
  </si>
  <si>
    <t>125,00</t>
  </si>
  <si>
    <t xml:space="preserve">Серпухов/Московская область </t>
  </si>
  <si>
    <t>107,0</t>
  </si>
  <si>
    <t>109,0</t>
  </si>
  <si>
    <t>62,6580</t>
  </si>
  <si>
    <t>62,2710</t>
  </si>
  <si>
    <t>125</t>
  </si>
  <si>
    <t>58,3578</t>
  </si>
  <si>
    <t>Александро-Невский/Рязанская область</t>
  </si>
  <si>
    <t>Старожилово/Рязанская область</t>
  </si>
  <si>
    <t>Всероссийский мастерский турнир «Мандарин»
WRPF любители Пауэрлифтинг без экипировки ДК
Рязань/Рязанская область, 28-29 августа 2021 года</t>
  </si>
  <si>
    <t>Всероссийский мастерский турнир «Мандарин»
WRPF любители Пауэрлифтинг без экипировки
Рязань/Рязанская область, 28-29 августа 2021 года</t>
  </si>
  <si>
    <t>Всероссийский мастерский турнир «Мандарин»
WRPF любители Пауэрлифтинг классический в бинтах ДК
Рязань/Рязанская область, 28-29 августа 2021 года</t>
  </si>
  <si>
    <t>Всероссийский мастерский турнир «Мандарин»
WRPF любители Пауэрлифтинг классический в бинтах
Рязань/Рязанская область, 28-29 августа 2021 года</t>
  </si>
  <si>
    <t>Всероссийский мастерский турнир «Мандарин»
WRPF любители Силовое двоеборье без экипировки ДК
Рязань/Рязанская область, 28-29 августа 2021 года</t>
  </si>
  <si>
    <t>Всероссийский мастерский турнир «Мандарин»
WRPF любители Силовое двоеборье без экипировки
Рязань/Рязанская область, 28-29 августа 2021 года</t>
  </si>
  <si>
    <t>Всероссийский мастерский турнир «Мандарин»
WRPF любители Жим лежа без экипировки ДК
Рязань/Рязанская область, 28-29 августа 2021 года</t>
  </si>
  <si>
    <t>Всероссийский мастерский турнир «Мандарин»
WRPF любители Жим лежа без экипировки
Рязань/Рязанская область, 28-29 августа 2021 года</t>
  </si>
  <si>
    <t>Всероссийский мастерский турнир «Мандарин»
WEPF Жим лежа в однопетельной софт экипировке ДК
Рязань/Рязанская область, 28-29 августа 2021 года</t>
  </si>
  <si>
    <t>Всероссийский мастерский турнир «Мандарин»
WEPF Жим лежа в однопетельной софт экипировке
Рязань/Рязанская область, 28-29 августа 2021 года</t>
  </si>
  <si>
    <t>Всероссийский мастерский турнир «Мандарин»
WRPF любители Становая тяга без экипировки ДК
Рязань/Рязанская область, 28-29 августа 2021 года</t>
  </si>
  <si>
    <t>Всероссийский мастерский турнир «Мандарин»
WRPF любители Становая тяга без экипировки
Рязань/Рязанская область, 28-29 августа 2021 года</t>
  </si>
  <si>
    <t>Весовая категория</t>
  </si>
  <si>
    <t>Санкт-Петербург</t>
  </si>
  <si>
    <t>Радужный/Владимирская область</t>
  </si>
  <si>
    <t xml:space="preserve">Дзержинск/Нижегородская область </t>
  </si>
  <si>
    <t>Рыбное/Рязанская область</t>
  </si>
  <si>
    <t>Нижний Новгород/Нижегородская область</t>
  </si>
  <si>
    <t>Могилев/Беларусь</t>
  </si>
  <si>
    <t>Дака/Бангладеш</t>
  </si>
  <si>
    <t>Смирнов Д.</t>
  </si>
  <si>
    <t>Надым/Ямало-Ненецкий АО</t>
  </si>
  <si>
    <t>Всероссийский мастерский турнир «Мандарин»
WRPF Строгий подъем штанги на бицепс
Рязань/Рязанская область, 28-29 августа 2021 года</t>
  </si>
  <si>
    <t>Юноши 13-19 (25.05.2002)/19</t>
  </si>
  <si>
    <t>Мастера 40-49 (19.06.1978)/43</t>
  </si>
  <si>
    <t>№</t>
  </si>
  <si>
    <t>Жим</t>
  </si>
  <si>
    <t xml:space="preserve">
Дата рождения/Возраст</t>
  </si>
  <si>
    <t>Возрастная группа</t>
  </si>
  <si>
    <t>O</t>
  </si>
  <si>
    <t>J</t>
  </si>
  <si>
    <t>T2</t>
  </si>
  <si>
    <t>M1</t>
  </si>
  <si>
    <t>T1</t>
  </si>
  <si>
    <t>M2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</si>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</sst>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FB5CF-C712-41D3-8091-0F05AAFAAB92}">
  <dimension ref="A1:U57"/>
  <sheetViews>
    <sheetView topLeftCell="A7" workbookViewId="0">
      <selection activeCell="E40" sqref="E40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2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20.33203125" style="5" customWidth="1"/>
    <col min="22" max="16384" width="9.1640625" style="3"/>
  </cols>
  <sheetData>
    <row r="1" spans="1:21" s="2" customFormat="1" ht="29" customHeight="1">
      <c r="A1" s="41" t="s">
        <v>554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579</v>
      </c>
      <c r="B3" s="54" t="s">
        <v>0</v>
      </c>
      <c r="C3" s="51" t="s">
        <v>581</v>
      </c>
      <c r="D3" s="51" t="s">
        <v>6</v>
      </c>
      <c r="E3" s="35" t="s">
        <v>582</v>
      </c>
      <c r="F3" s="35" t="s">
        <v>5</v>
      </c>
      <c r="G3" s="35" t="s">
        <v>7</v>
      </c>
      <c r="H3" s="35"/>
      <c r="I3" s="35"/>
      <c r="J3" s="35"/>
      <c r="K3" s="35" t="s">
        <v>8</v>
      </c>
      <c r="L3" s="35"/>
      <c r="M3" s="35"/>
      <c r="N3" s="35"/>
      <c r="O3" s="35" t="s">
        <v>9</v>
      </c>
      <c r="P3" s="35"/>
      <c r="Q3" s="35"/>
      <c r="R3" s="35"/>
      <c r="S3" s="33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6"/>
      <c r="U4" s="38"/>
    </row>
    <row r="5" spans="1:21" ht="16">
      <c r="A5" s="39" t="s">
        <v>138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10" t="s">
        <v>91</v>
      </c>
      <c r="B6" s="9" t="s">
        <v>139</v>
      </c>
      <c r="C6" s="9" t="s">
        <v>140</v>
      </c>
      <c r="D6" s="9" t="s">
        <v>141</v>
      </c>
      <c r="E6" s="9" t="s">
        <v>583</v>
      </c>
      <c r="F6" s="9" t="s">
        <v>142</v>
      </c>
      <c r="G6" s="20" t="s">
        <v>143</v>
      </c>
      <c r="H6" s="20" t="s">
        <v>29</v>
      </c>
      <c r="I6" s="20" t="s">
        <v>144</v>
      </c>
      <c r="J6" s="10"/>
      <c r="K6" s="20" t="s">
        <v>112</v>
      </c>
      <c r="L6" s="20" t="s">
        <v>145</v>
      </c>
      <c r="M6" s="21" t="s">
        <v>121</v>
      </c>
      <c r="N6" s="10"/>
      <c r="O6" s="20" t="s">
        <v>17</v>
      </c>
      <c r="P6" s="20" t="s">
        <v>130</v>
      </c>
      <c r="Q6" s="20" t="s">
        <v>131</v>
      </c>
      <c r="R6" s="10"/>
      <c r="S6" s="29" t="str">
        <f>"352,5"</f>
        <v>352,5</v>
      </c>
      <c r="T6" s="10" t="str">
        <f>"462,5857"</f>
        <v>462,5857</v>
      </c>
      <c r="U6" s="9" t="s">
        <v>146</v>
      </c>
    </row>
    <row r="7" spans="1:21">
      <c r="A7" s="25" t="s">
        <v>93</v>
      </c>
      <c r="B7" s="24" t="s">
        <v>210</v>
      </c>
      <c r="C7" s="24" t="s">
        <v>211</v>
      </c>
      <c r="D7" s="24" t="s">
        <v>212</v>
      </c>
      <c r="E7" s="24" t="s">
        <v>583</v>
      </c>
      <c r="F7" s="24" t="s">
        <v>213</v>
      </c>
      <c r="G7" s="26" t="s">
        <v>164</v>
      </c>
      <c r="H7" s="26" t="s">
        <v>155</v>
      </c>
      <c r="I7" s="27" t="s">
        <v>214</v>
      </c>
      <c r="J7" s="25"/>
      <c r="K7" s="26" t="s">
        <v>215</v>
      </c>
      <c r="L7" s="26" t="s">
        <v>216</v>
      </c>
      <c r="M7" s="26" t="s">
        <v>217</v>
      </c>
      <c r="N7" s="25"/>
      <c r="O7" s="26" t="s">
        <v>154</v>
      </c>
      <c r="P7" s="26" t="s">
        <v>110</v>
      </c>
      <c r="Q7" s="26" t="s">
        <v>143</v>
      </c>
      <c r="R7" s="25"/>
      <c r="S7" s="30" t="str">
        <f>"280,0"</f>
        <v>280,0</v>
      </c>
      <c r="T7" s="25" t="str">
        <f>"351,1480"</f>
        <v>351,1480</v>
      </c>
      <c r="U7" s="24" t="s">
        <v>146</v>
      </c>
    </row>
    <row r="8" spans="1:21">
      <c r="A8" s="12" t="s">
        <v>295</v>
      </c>
      <c r="B8" s="11" t="s">
        <v>218</v>
      </c>
      <c r="C8" s="11" t="s">
        <v>219</v>
      </c>
      <c r="D8" s="11" t="s">
        <v>220</v>
      </c>
      <c r="E8" s="11" t="s">
        <v>583</v>
      </c>
      <c r="F8" s="11" t="s">
        <v>552</v>
      </c>
      <c r="G8" s="23" t="s">
        <v>111</v>
      </c>
      <c r="H8" s="22" t="s">
        <v>113</v>
      </c>
      <c r="I8" s="23" t="s">
        <v>113</v>
      </c>
      <c r="J8" s="12"/>
      <c r="K8" s="23" t="s">
        <v>221</v>
      </c>
      <c r="L8" s="22" t="s">
        <v>216</v>
      </c>
      <c r="M8" s="23" t="s">
        <v>216</v>
      </c>
      <c r="N8" s="12"/>
      <c r="O8" s="23" t="s">
        <v>153</v>
      </c>
      <c r="P8" s="23" t="s">
        <v>222</v>
      </c>
      <c r="Q8" s="23" t="s">
        <v>98</v>
      </c>
      <c r="R8" s="12"/>
      <c r="S8" s="31" t="str">
        <f>"205,0"</f>
        <v>205,0</v>
      </c>
      <c r="T8" s="12" t="str">
        <f>"262,5640"</f>
        <v>262,5640</v>
      </c>
      <c r="U8" s="11" t="s">
        <v>223</v>
      </c>
    </row>
    <row r="9" spans="1:21">
      <c r="B9" s="5" t="s">
        <v>92</v>
      </c>
    </row>
    <row r="10" spans="1:21" ht="16">
      <c r="A10" s="52" t="s">
        <v>147</v>
      </c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21">
      <c r="A11" s="8" t="s">
        <v>91</v>
      </c>
      <c r="B11" s="7" t="s">
        <v>157</v>
      </c>
      <c r="C11" s="7" t="s">
        <v>158</v>
      </c>
      <c r="D11" s="7" t="s">
        <v>159</v>
      </c>
      <c r="E11" s="7" t="s">
        <v>583</v>
      </c>
      <c r="F11" s="7" t="s">
        <v>40</v>
      </c>
      <c r="G11" s="18" t="s">
        <v>100</v>
      </c>
      <c r="H11" s="18" t="s">
        <v>154</v>
      </c>
      <c r="I11" s="18" t="s">
        <v>155</v>
      </c>
      <c r="J11" s="8"/>
      <c r="K11" s="18" t="s">
        <v>111</v>
      </c>
      <c r="L11" s="18" t="s">
        <v>113</v>
      </c>
      <c r="M11" s="19" t="s">
        <v>145</v>
      </c>
      <c r="N11" s="8"/>
      <c r="O11" s="18" t="s">
        <v>130</v>
      </c>
      <c r="P11" s="18" t="s">
        <v>160</v>
      </c>
      <c r="Q11" s="8"/>
      <c r="R11" s="8"/>
      <c r="S11" s="32" t="str">
        <f>"335,0"</f>
        <v>335,0</v>
      </c>
      <c r="T11" s="8" t="str">
        <f>"407,8960"</f>
        <v>407,8960</v>
      </c>
      <c r="U11" s="7" t="s">
        <v>146</v>
      </c>
    </row>
    <row r="12" spans="1:21">
      <c r="B12" s="5" t="s">
        <v>92</v>
      </c>
    </row>
    <row r="13" spans="1:21" ht="16">
      <c r="A13" s="52" t="s">
        <v>224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21">
      <c r="A14" s="10" t="s">
        <v>91</v>
      </c>
      <c r="B14" s="9" t="s">
        <v>225</v>
      </c>
      <c r="C14" s="9" t="s">
        <v>226</v>
      </c>
      <c r="D14" s="9" t="s">
        <v>227</v>
      </c>
      <c r="E14" s="9" t="s">
        <v>583</v>
      </c>
      <c r="F14" s="9" t="s">
        <v>228</v>
      </c>
      <c r="G14" s="20" t="s">
        <v>151</v>
      </c>
      <c r="H14" s="21" t="s">
        <v>152</v>
      </c>
      <c r="I14" s="20" t="s">
        <v>152</v>
      </c>
      <c r="J14" s="10"/>
      <c r="K14" s="20" t="s">
        <v>112</v>
      </c>
      <c r="L14" s="21" t="s">
        <v>113</v>
      </c>
      <c r="M14" s="21" t="s">
        <v>113</v>
      </c>
      <c r="N14" s="10"/>
      <c r="O14" s="20" t="s">
        <v>152</v>
      </c>
      <c r="P14" s="20" t="s">
        <v>100</v>
      </c>
      <c r="Q14" s="20" t="s">
        <v>154</v>
      </c>
      <c r="R14" s="10"/>
      <c r="S14" s="29" t="str">
        <f>"262,5"</f>
        <v>262,5</v>
      </c>
      <c r="T14" s="10" t="str">
        <f>"292,6612"</f>
        <v>292,6612</v>
      </c>
      <c r="U14" s="9" t="s">
        <v>65</v>
      </c>
    </row>
    <row r="15" spans="1:21">
      <c r="A15" s="12" t="s">
        <v>93</v>
      </c>
      <c r="B15" s="11" t="s">
        <v>229</v>
      </c>
      <c r="C15" s="11" t="s">
        <v>230</v>
      </c>
      <c r="D15" s="11" t="s">
        <v>231</v>
      </c>
      <c r="E15" s="11" t="s">
        <v>583</v>
      </c>
      <c r="F15" s="11" t="s">
        <v>232</v>
      </c>
      <c r="G15" s="23" t="s">
        <v>152</v>
      </c>
      <c r="H15" s="23" t="s">
        <v>154</v>
      </c>
      <c r="I15" s="22" t="s">
        <v>155</v>
      </c>
      <c r="J15" s="12"/>
      <c r="K15" s="23" t="s">
        <v>101</v>
      </c>
      <c r="L15" s="22" t="s">
        <v>233</v>
      </c>
      <c r="M15" s="22" t="s">
        <v>233</v>
      </c>
      <c r="N15" s="12"/>
      <c r="O15" s="23" t="s">
        <v>164</v>
      </c>
      <c r="P15" s="22" t="s">
        <v>214</v>
      </c>
      <c r="Q15" s="22" t="s">
        <v>214</v>
      </c>
      <c r="R15" s="12"/>
      <c r="S15" s="31" t="str">
        <f>"250,0"</f>
        <v>250,0</v>
      </c>
      <c r="T15" s="12" t="str">
        <f>"285,8000"</f>
        <v>285,8000</v>
      </c>
      <c r="U15" s="11" t="s">
        <v>234</v>
      </c>
    </row>
    <row r="16" spans="1:21">
      <c r="B16" s="5" t="s">
        <v>92</v>
      </c>
    </row>
    <row r="17" spans="1:21" ht="16">
      <c r="A17" s="52" t="s">
        <v>105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21">
      <c r="A18" s="8" t="s">
        <v>91</v>
      </c>
      <c r="B18" s="7" t="s">
        <v>235</v>
      </c>
      <c r="C18" s="7" t="s">
        <v>236</v>
      </c>
      <c r="D18" s="7" t="s">
        <v>237</v>
      </c>
      <c r="E18" s="7" t="s">
        <v>583</v>
      </c>
      <c r="F18" s="7" t="s">
        <v>238</v>
      </c>
      <c r="G18" s="19" t="s">
        <v>151</v>
      </c>
      <c r="H18" s="18" t="s">
        <v>151</v>
      </c>
      <c r="I18" s="19" t="s">
        <v>103</v>
      </c>
      <c r="J18" s="8"/>
      <c r="K18" s="18" t="s">
        <v>239</v>
      </c>
      <c r="L18" s="18" t="s">
        <v>233</v>
      </c>
      <c r="M18" s="19" t="s">
        <v>215</v>
      </c>
      <c r="N18" s="8"/>
      <c r="O18" s="18" t="s">
        <v>152</v>
      </c>
      <c r="P18" s="18" t="s">
        <v>164</v>
      </c>
      <c r="Q18" s="18" t="s">
        <v>110</v>
      </c>
      <c r="R18" s="8"/>
      <c r="S18" s="32" t="str">
        <f>"245,0"</f>
        <v>245,0</v>
      </c>
      <c r="T18" s="8" t="str">
        <f>"258,2055"</f>
        <v>258,2055</v>
      </c>
      <c r="U18" s="7" t="s">
        <v>240</v>
      </c>
    </row>
    <row r="19" spans="1:21">
      <c r="B19" s="5" t="s">
        <v>92</v>
      </c>
    </row>
    <row r="20" spans="1:21" ht="16">
      <c r="A20" s="52" t="s">
        <v>116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21">
      <c r="A21" s="10" t="s">
        <v>91</v>
      </c>
      <c r="B21" s="9" t="s">
        <v>241</v>
      </c>
      <c r="C21" s="9" t="s">
        <v>242</v>
      </c>
      <c r="D21" s="9" t="s">
        <v>243</v>
      </c>
      <c r="E21" s="9" t="s">
        <v>584</v>
      </c>
      <c r="F21" s="9" t="s">
        <v>40</v>
      </c>
      <c r="G21" s="20" t="s">
        <v>100</v>
      </c>
      <c r="H21" s="21" t="s">
        <v>110</v>
      </c>
      <c r="I21" s="20" t="s">
        <v>29</v>
      </c>
      <c r="J21" s="10"/>
      <c r="K21" s="20" t="s">
        <v>98</v>
      </c>
      <c r="L21" s="20" t="s">
        <v>152</v>
      </c>
      <c r="M21" s="20" t="s">
        <v>100</v>
      </c>
      <c r="N21" s="10"/>
      <c r="O21" s="20" t="s">
        <v>110</v>
      </c>
      <c r="P21" s="20" t="s">
        <v>30</v>
      </c>
      <c r="Q21" s="21" t="s">
        <v>120</v>
      </c>
      <c r="R21" s="10"/>
      <c r="S21" s="29" t="str">
        <f>"350,0"</f>
        <v>350,0</v>
      </c>
      <c r="T21" s="10" t="str">
        <f>"257,6000"</f>
        <v>257,6000</v>
      </c>
      <c r="U21" s="9" t="s">
        <v>244</v>
      </c>
    </row>
    <row r="22" spans="1:21">
      <c r="A22" s="12" t="s">
        <v>91</v>
      </c>
      <c r="B22" s="11" t="s">
        <v>245</v>
      </c>
      <c r="C22" s="11" t="s">
        <v>246</v>
      </c>
      <c r="D22" s="11" t="s">
        <v>247</v>
      </c>
      <c r="E22" s="11" t="s">
        <v>583</v>
      </c>
      <c r="F22" s="11" t="s">
        <v>248</v>
      </c>
      <c r="G22" s="23" t="s">
        <v>17</v>
      </c>
      <c r="H22" s="23" t="s">
        <v>249</v>
      </c>
      <c r="I22" s="22" t="s">
        <v>250</v>
      </c>
      <c r="J22" s="12"/>
      <c r="K22" s="23" t="s">
        <v>165</v>
      </c>
      <c r="L22" s="23" t="s">
        <v>31</v>
      </c>
      <c r="M22" s="12"/>
      <c r="N22" s="12"/>
      <c r="O22" s="23" t="s">
        <v>27</v>
      </c>
      <c r="P22" s="22" t="s">
        <v>187</v>
      </c>
      <c r="Q22" s="22" t="s">
        <v>187</v>
      </c>
      <c r="R22" s="12"/>
      <c r="S22" s="31" t="str">
        <f>"482,5"</f>
        <v>482,5</v>
      </c>
      <c r="T22" s="12" t="str">
        <f>"344,7945"</f>
        <v>344,7945</v>
      </c>
      <c r="U22" s="11" t="s">
        <v>251</v>
      </c>
    </row>
    <row r="23" spans="1:21">
      <c r="B23" s="5" t="s">
        <v>92</v>
      </c>
    </row>
    <row r="24" spans="1:21" ht="16">
      <c r="A24" s="52" t="s">
        <v>10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21">
      <c r="A25" s="10" t="s">
        <v>91</v>
      </c>
      <c r="B25" s="9" t="s">
        <v>252</v>
      </c>
      <c r="C25" s="9" t="s">
        <v>253</v>
      </c>
      <c r="D25" s="9" t="s">
        <v>254</v>
      </c>
      <c r="E25" s="9" t="s">
        <v>585</v>
      </c>
      <c r="F25" s="9" t="s">
        <v>40</v>
      </c>
      <c r="G25" s="20" t="s">
        <v>114</v>
      </c>
      <c r="H25" s="20" t="s">
        <v>255</v>
      </c>
      <c r="I25" s="20" t="s">
        <v>30</v>
      </c>
      <c r="J25" s="10"/>
      <c r="K25" s="20" t="s">
        <v>99</v>
      </c>
      <c r="L25" s="20" t="s">
        <v>103</v>
      </c>
      <c r="M25" s="20" t="s">
        <v>154</v>
      </c>
      <c r="N25" s="10"/>
      <c r="O25" s="20" t="s">
        <v>130</v>
      </c>
      <c r="P25" s="20" t="s">
        <v>250</v>
      </c>
      <c r="Q25" s="20" t="s">
        <v>61</v>
      </c>
      <c r="R25" s="10"/>
      <c r="S25" s="29" t="str">
        <f>"410,0"</f>
        <v>410,0</v>
      </c>
      <c r="T25" s="10" t="str">
        <f>"263,0970"</f>
        <v>263,0970</v>
      </c>
      <c r="U25" s="9"/>
    </row>
    <row r="26" spans="1:21">
      <c r="A26" s="25" t="s">
        <v>93</v>
      </c>
      <c r="B26" s="24" t="s">
        <v>256</v>
      </c>
      <c r="C26" s="24" t="s">
        <v>257</v>
      </c>
      <c r="D26" s="24" t="s">
        <v>258</v>
      </c>
      <c r="E26" s="24" t="s">
        <v>585</v>
      </c>
      <c r="F26" s="24" t="s">
        <v>248</v>
      </c>
      <c r="G26" s="27" t="s">
        <v>110</v>
      </c>
      <c r="H26" s="26" t="s">
        <v>110</v>
      </c>
      <c r="I26" s="26" t="s">
        <v>29</v>
      </c>
      <c r="J26" s="25"/>
      <c r="K26" s="26" t="s">
        <v>151</v>
      </c>
      <c r="L26" s="27" t="s">
        <v>100</v>
      </c>
      <c r="M26" s="27" t="s">
        <v>100</v>
      </c>
      <c r="N26" s="25"/>
      <c r="O26" s="26" t="s">
        <v>120</v>
      </c>
      <c r="P26" s="26" t="s">
        <v>249</v>
      </c>
      <c r="Q26" s="25"/>
      <c r="R26" s="25"/>
      <c r="S26" s="30" t="str">
        <f>"367,5"</f>
        <v>367,5</v>
      </c>
      <c r="T26" s="25" t="str">
        <f>"239,4262"</f>
        <v>239,4262</v>
      </c>
      <c r="U26" s="24"/>
    </row>
    <row r="27" spans="1:21">
      <c r="A27" s="12" t="s">
        <v>137</v>
      </c>
      <c r="B27" s="11" t="s">
        <v>259</v>
      </c>
      <c r="C27" s="11" t="s">
        <v>260</v>
      </c>
      <c r="D27" s="11" t="s">
        <v>261</v>
      </c>
      <c r="E27" s="11" t="s">
        <v>583</v>
      </c>
      <c r="F27" s="11" t="s">
        <v>248</v>
      </c>
      <c r="G27" s="23" t="s">
        <v>120</v>
      </c>
      <c r="H27" s="23" t="s">
        <v>182</v>
      </c>
      <c r="I27" s="23" t="s">
        <v>262</v>
      </c>
      <c r="J27" s="12"/>
      <c r="K27" s="22" t="s">
        <v>144</v>
      </c>
      <c r="L27" s="22" t="s">
        <v>165</v>
      </c>
      <c r="M27" s="22" t="s">
        <v>165</v>
      </c>
      <c r="N27" s="12"/>
      <c r="O27" s="23" t="s">
        <v>26</v>
      </c>
      <c r="P27" s="22" t="s">
        <v>27</v>
      </c>
      <c r="Q27" s="23" t="s">
        <v>28</v>
      </c>
      <c r="R27" s="12"/>
      <c r="S27" s="31">
        <v>0</v>
      </c>
      <c r="T27" s="12" t="str">
        <f>"0,0000"</f>
        <v>0,0000</v>
      </c>
      <c r="U27" s="11"/>
    </row>
    <row r="28" spans="1:21">
      <c r="B28" s="5" t="s">
        <v>92</v>
      </c>
    </row>
    <row r="29" spans="1:21" ht="16">
      <c r="A29" s="52" t="s">
        <v>21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</row>
    <row r="30" spans="1:21">
      <c r="A30" s="10" t="s">
        <v>91</v>
      </c>
      <c r="B30" s="9" t="s">
        <v>263</v>
      </c>
      <c r="C30" s="9" t="s">
        <v>264</v>
      </c>
      <c r="D30" s="9" t="s">
        <v>265</v>
      </c>
      <c r="E30" s="9" t="s">
        <v>583</v>
      </c>
      <c r="F30" s="9" t="s">
        <v>266</v>
      </c>
      <c r="G30" s="20" t="s">
        <v>28</v>
      </c>
      <c r="H30" s="21" t="s">
        <v>32</v>
      </c>
      <c r="I30" s="20" t="s">
        <v>33</v>
      </c>
      <c r="J30" s="10"/>
      <c r="K30" s="20" t="s">
        <v>17</v>
      </c>
      <c r="L30" s="20" t="s">
        <v>249</v>
      </c>
      <c r="M30" s="20" t="s">
        <v>160</v>
      </c>
      <c r="N30" s="10"/>
      <c r="O30" s="21" t="s">
        <v>267</v>
      </c>
      <c r="P30" s="20" t="s">
        <v>267</v>
      </c>
      <c r="Q30" s="21" t="s">
        <v>268</v>
      </c>
      <c r="R30" s="10"/>
      <c r="S30" s="29" t="str">
        <f>"612,5"</f>
        <v>612,5</v>
      </c>
      <c r="T30" s="10" t="str">
        <f>"382,8125"</f>
        <v>382,8125</v>
      </c>
      <c r="U30" s="9" t="s">
        <v>269</v>
      </c>
    </row>
    <row r="31" spans="1:21">
      <c r="A31" s="25" t="s">
        <v>93</v>
      </c>
      <c r="B31" s="24" t="s">
        <v>270</v>
      </c>
      <c r="C31" s="24" t="s">
        <v>271</v>
      </c>
      <c r="D31" s="24" t="s">
        <v>272</v>
      </c>
      <c r="E31" s="24" t="s">
        <v>583</v>
      </c>
      <c r="F31" s="24" t="s">
        <v>248</v>
      </c>
      <c r="G31" s="26" t="s">
        <v>26</v>
      </c>
      <c r="H31" s="26" t="s">
        <v>27</v>
      </c>
      <c r="I31" s="26" t="s">
        <v>273</v>
      </c>
      <c r="J31" s="25"/>
      <c r="K31" s="26" t="s">
        <v>17</v>
      </c>
      <c r="L31" s="26" t="s">
        <v>130</v>
      </c>
      <c r="M31" s="26" t="s">
        <v>131</v>
      </c>
      <c r="N31" s="25"/>
      <c r="O31" s="26" t="s">
        <v>28</v>
      </c>
      <c r="P31" s="26" t="s">
        <v>33</v>
      </c>
      <c r="Q31" s="26" t="s">
        <v>267</v>
      </c>
      <c r="R31" s="25"/>
      <c r="S31" s="30" t="str">
        <f>"585,0"</f>
        <v>585,0</v>
      </c>
      <c r="T31" s="25" t="str">
        <f>"362,5245"</f>
        <v>362,5245</v>
      </c>
      <c r="U31" s="24" t="s">
        <v>166</v>
      </c>
    </row>
    <row r="32" spans="1:21">
      <c r="A32" s="12" t="s">
        <v>295</v>
      </c>
      <c r="B32" s="11" t="s">
        <v>274</v>
      </c>
      <c r="C32" s="11" t="s">
        <v>275</v>
      </c>
      <c r="D32" s="11" t="s">
        <v>276</v>
      </c>
      <c r="E32" s="11" t="s">
        <v>583</v>
      </c>
      <c r="F32" s="11" t="s">
        <v>248</v>
      </c>
      <c r="G32" s="23" t="s">
        <v>19</v>
      </c>
      <c r="H32" s="22" t="s">
        <v>26</v>
      </c>
      <c r="I32" s="23" t="s">
        <v>26</v>
      </c>
      <c r="J32" s="12"/>
      <c r="K32" s="23" t="s">
        <v>143</v>
      </c>
      <c r="L32" s="22" t="s">
        <v>255</v>
      </c>
      <c r="M32" s="22" t="s">
        <v>255</v>
      </c>
      <c r="N32" s="12"/>
      <c r="O32" s="23" t="s">
        <v>28</v>
      </c>
      <c r="P32" s="22" t="s">
        <v>188</v>
      </c>
      <c r="Q32" s="12"/>
      <c r="R32" s="12"/>
      <c r="S32" s="31" t="str">
        <f>"495,0"</f>
        <v>495,0</v>
      </c>
      <c r="T32" s="12" t="str">
        <f>"314,2755"</f>
        <v>314,2755</v>
      </c>
      <c r="U32" s="11" t="s">
        <v>251</v>
      </c>
    </row>
    <row r="33" spans="1:21">
      <c r="B33" s="5" t="s">
        <v>92</v>
      </c>
    </row>
    <row r="34" spans="1:21" ht="16">
      <c r="A34" s="52" t="s">
        <v>36</v>
      </c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21">
      <c r="A35" s="10" t="s">
        <v>91</v>
      </c>
      <c r="B35" s="9" t="s">
        <v>277</v>
      </c>
      <c r="C35" s="9" t="s">
        <v>278</v>
      </c>
      <c r="D35" s="9" t="s">
        <v>279</v>
      </c>
      <c r="E35" s="9" t="s">
        <v>583</v>
      </c>
      <c r="F35" s="9" t="s">
        <v>553</v>
      </c>
      <c r="G35" s="20" t="s">
        <v>120</v>
      </c>
      <c r="H35" s="20" t="s">
        <v>17</v>
      </c>
      <c r="I35" s="20" t="s">
        <v>131</v>
      </c>
      <c r="J35" s="10"/>
      <c r="K35" s="20" t="s">
        <v>110</v>
      </c>
      <c r="L35" s="20" t="s">
        <v>143</v>
      </c>
      <c r="M35" s="20" t="s">
        <v>29</v>
      </c>
      <c r="N35" s="10"/>
      <c r="O35" s="20" t="s">
        <v>180</v>
      </c>
      <c r="P35" s="21" t="s">
        <v>33</v>
      </c>
      <c r="Q35" s="21" t="s">
        <v>33</v>
      </c>
      <c r="R35" s="10"/>
      <c r="S35" s="29" t="str">
        <f>"495,0"</f>
        <v>495,0</v>
      </c>
      <c r="T35" s="10" t="str">
        <f>"297,7425"</f>
        <v>297,7425</v>
      </c>
      <c r="U35" s="9"/>
    </row>
    <row r="36" spans="1:21">
      <c r="A36" s="12" t="s">
        <v>137</v>
      </c>
      <c r="B36" s="11" t="s">
        <v>280</v>
      </c>
      <c r="C36" s="11" t="s">
        <v>281</v>
      </c>
      <c r="D36" s="11" t="s">
        <v>282</v>
      </c>
      <c r="E36" s="11" t="s">
        <v>586</v>
      </c>
      <c r="F36" s="11" t="s">
        <v>40</v>
      </c>
      <c r="G36" s="22" t="s">
        <v>27</v>
      </c>
      <c r="H36" s="22" t="s">
        <v>27</v>
      </c>
      <c r="I36" s="22" t="s">
        <v>27</v>
      </c>
      <c r="J36" s="12"/>
      <c r="K36" s="22" t="s">
        <v>17</v>
      </c>
      <c r="L36" s="22" t="s">
        <v>17</v>
      </c>
      <c r="M36" s="23" t="s">
        <v>17</v>
      </c>
      <c r="N36" s="12"/>
      <c r="O36" s="23" t="s">
        <v>28</v>
      </c>
      <c r="P36" s="23" t="s">
        <v>32</v>
      </c>
      <c r="Q36" s="22" t="s">
        <v>180</v>
      </c>
      <c r="R36" s="12"/>
      <c r="S36" s="31">
        <v>0</v>
      </c>
      <c r="T36" s="12" t="str">
        <f>"0,0000"</f>
        <v>0,0000</v>
      </c>
      <c r="U36" s="11"/>
    </row>
    <row r="37" spans="1:21">
      <c r="B37" s="5" t="s">
        <v>92</v>
      </c>
    </row>
    <row r="38" spans="1:21" ht="16">
      <c r="A38" s="52" t="s">
        <v>283</v>
      </c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</row>
    <row r="39" spans="1:21">
      <c r="A39" s="8" t="s">
        <v>137</v>
      </c>
      <c r="B39" s="7" t="s">
        <v>284</v>
      </c>
      <c r="C39" s="7" t="s">
        <v>285</v>
      </c>
      <c r="D39" s="7" t="s">
        <v>286</v>
      </c>
      <c r="E39" s="7" t="s">
        <v>583</v>
      </c>
      <c r="F39" s="7" t="s">
        <v>287</v>
      </c>
      <c r="G39" s="18" t="s">
        <v>32</v>
      </c>
      <c r="H39" s="18" t="s">
        <v>33</v>
      </c>
      <c r="I39" s="18" t="s">
        <v>267</v>
      </c>
      <c r="J39" s="8"/>
      <c r="K39" s="19"/>
      <c r="L39" s="8"/>
      <c r="M39" s="8"/>
      <c r="N39" s="8"/>
      <c r="O39" s="19"/>
      <c r="P39" s="8"/>
      <c r="Q39" s="8"/>
      <c r="R39" s="8"/>
      <c r="S39" s="32">
        <v>0</v>
      </c>
      <c r="T39" s="8" t="str">
        <f>"0,0000"</f>
        <v>0,0000</v>
      </c>
      <c r="U39" s="7"/>
    </row>
    <row r="40" spans="1:21">
      <c r="B40" s="5" t="s">
        <v>92</v>
      </c>
    </row>
    <row r="41" spans="1:21">
      <c r="B41" s="5" t="s">
        <v>92</v>
      </c>
    </row>
    <row r="42" spans="1:21">
      <c r="B42" s="5" t="s">
        <v>92</v>
      </c>
    </row>
    <row r="43" spans="1:21" ht="18">
      <c r="B43" s="13" t="s">
        <v>75</v>
      </c>
      <c r="C43" s="13"/>
      <c r="F43" s="3"/>
    </row>
    <row r="44" spans="1:21" ht="16">
      <c r="B44" s="14" t="s">
        <v>133</v>
      </c>
      <c r="C44" s="14"/>
      <c r="F44" s="3"/>
    </row>
    <row r="45" spans="1:21" ht="14">
      <c r="B45" s="15"/>
      <c r="C45" s="16" t="s">
        <v>77</v>
      </c>
      <c r="F45" s="3"/>
    </row>
    <row r="46" spans="1:21" ht="14">
      <c r="B46" s="17" t="s">
        <v>78</v>
      </c>
      <c r="C46" s="17" t="s">
        <v>79</v>
      </c>
      <c r="D46" s="17" t="s">
        <v>566</v>
      </c>
      <c r="E46" s="17" t="s">
        <v>81</v>
      </c>
      <c r="F46" s="17" t="s">
        <v>82</v>
      </c>
    </row>
    <row r="47" spans="1:21">
      <c r="B47" s="5" t="s">
        <v>139</v>
      </c>
      <c r="C47" s="5" t="s">
        <v>77</v>
      </c>
      <c r="D47" s="6" t="s">
        <v>199</v>
      </c>
      <c r="E47" s="6" t="s">
        <v>200</v>
      </c>
      <c r="F47" s="6" t="s">
        <v>201</v>
      </c>
    </row>
    <row r="48" spans="1:21">
      <c r="B48" s="5" t="s">
        <v>157</v>
      </c>
      <c r="C48" s="5" t="s">
        <v>77</v>
      </c>
      <c r="D48" s="6" t="s">
        <v>198</v>
      </c>
      <c r="E48" s="6" t="s">
        <v>135</v>
      </c>
      <c r="F48" s="6" t="s">
        <v>202</v>
      </c>
    </row>
    <row r="49" spans="2:6">
      <c r="B49" s="5" t="s">
        <v>210</v>
      </c>
      <c r="C49" s="5" t="s">
        <v>77</v>
      </c>
      <c r="D49" s="6" t="s">
        <v>199</v>
      </c>
      <c r="E49" s="6" t="s">
        <v>59</v>
      </c>
      <c r="F49" s="6" t="s">
        <v>288</v>
      </c>
    </row>
    <row r="51" spans="2:6" ht="16">
      <c r="B51" s="14" t="s">
        <v>76</v>
      </c>
      <c r="C51" s="14"/>
    </row>
    <row r="52" spans="2:6" ht="14">
      <c r="B52" s="15"/>
      <c r="C52" s="16" t="s">
        <v>77</v>
      </c>
    </row>
    <row r="53" spans="2:6" ht="14">
      <c r="B53" s="17" t="s">
        <v>78</v>
      </c>
      <c r="C53" s="17" t="s">
        <v>79</v>
      </c>
      <c r="D53" s="17" t="s">
        <v>566</v>
      </c>
      <c r="E53" s="17" t="s">
        <v>81</v>
      </c>
      <c r="F53" s="17" t="s">
        <v>82</v>
      </c>
    </row>
    <row r="54" spans="2:6">
      <c r="B54" s="5" t="s">
        <v>263</v>
      </c>
      <c r="C54" s="5" t="s">
        <v>77</v>
      </c>
      <c r="D54" s="6" t="s">
        <v>205</v>
      </c>
      <c r="E54" s="6" t="s">
        <v>289</v>
      </c>
      <c r="F54" s="6" t="s">
        <v>290</v>
      </c>
    </row>
    <row r="55" spans="2:6">
      <c r="B55" s="5" t="s">
        <v>270</v>
      </c>
      <c r="C55" s="5" t="s">
        <v>77</v>
      </c>
      <c r="D55" s="6" t="s">
        <v>205</v>
      </c>
      <c r="E55" s="6" t="s">
        <v>291</v>
      </c>
      <c r="F55" s="6" t="s">
        <v>292</v>
      </c>
    </row>
    <row r="56" spans="2:6">
      <c r="B56" s="5" t="s">
        <v>245</v>
      </c>
      <c r="C56" s="5" t="s">
        <v>77</v>
      </c>
      <c r="D56" s="6" t="s">
        <v>134</v>
      </c>
      <c r="E56" s="6" t="s">
        <v>293</v>
      </c>
      <c r="F56" s="6" t="s">
        <v>294</v>
      </c>
    </row>
    <row r="57" spans="2:6">
      <c r="B57" s="5" t="s">
        <v>92</v>
      </c>
    </row>
  </sheetData>
  <mergeCells count="22">
    <mergeCell ref="A34:R34"/>
    <mergeCell ref="A38:R38"/>
    <mergeCell ref="B3:B4"/>
    <mergeCell ref="A10:R10"/>
    <mergeCell ref="A13:R13"/>
    <mergeCell ref="A17:R17"/>
    <mergeCell ref="A20:R20"/>
    <mergeCell ref="A24:R24"/>
    <mergeCell ref="A29:R29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60F3A-400F-420E-AEC5-C6C27AF653E4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6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5.33203125" style="5" customWidth="1"/>
    <col min="14" max="16384" width="9.1640625" style="3"/>
  </cols>
  <sheetData>
    <row r="1" spans="1:13" s="2" customFormat="1" ht="29" customHeight="1">
      <c r="A1" s="41" t="s">
        <v>563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579</v>
      </c>
      <c r="B3" s="54" t="s">
        <v>0</v>
      </c>
      <c r="C3" s="51" t="s">
        <v>581</v>
      </c>
      <c r="D3" s="51" t="s">
        <v>6</v>
      </c>
      <c r="E3" s="35" t="s">
        <v>582</v>
      </c>
      <c r="F3" s="35" t="s">
        <v>5</v>
      </c>
      <c r="G3" s="35" t="s">
        <v>8</v>
      </c>
      <c r="H3" s="35"/>
      <c r="I3" s="35"/>
      <c r="J3" s="35"/>
      <c r="K3" s="35" t="s">
        <v>306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10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91</v>
      </c>
      <c r="B6" s="7" t="s">
        <v>296</v>
      </c>
      <c r="C6" s="7" t="s">
        <v>297</v>
      </c>
      <c r="D6" s="7" t="s">
        <v>298</v>
      </c>
      <c r="E6" s="7" t="s">
        <v>583</v>
      </c>
      <c r="F6" s="7" t="s">
        <v>572</v>
      </c>
      <c r="G6" s="18" t="s">
        <v>28</v>
      </c>
      <c r="H6" s="19" t="s">
        <v>32</v>
      </c>
      <c r="I6" s="18" t="s">
        <v>32</v>
      </c>
      <c r="J6" s="8"/>
      <c r="K6" s="8" t="str">
        <f>"210,0"</f>
        <v>210,0</v>
      </c>
      <c r="L6" s="8" t="str">
        <f>"133,4340"</f>
        <v>133,4340</v>
      </c>
      <c r="M6" s="7"/>
    </row>
    <row r="7" spans="1:13">
      <c r="B7" s="5" t="s">
        <v>92</v>
      </c>
    </row>
    <row r="8" spans="1:13" ht="16">
      <c r="A8" s="52" t="s">
        <v>66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8" t="s">
        <v>91</v>
      </c>
      <c r="B9" s="7" t="s">
        <v>299</v>
      </c>
      <c r="C9" s="7" t="s">
        <v>300</v>
      </c>
      <c r="D9" s="7" t="s">
        <v>301</v>
      </c>
      <c r="E9" s="7" t="s">
        <v>586</v>
      </c>
      <c r="F9" s="7" t="s">
        <v>302</v>
      </c>
      <c r="G9" s="18" t="s">
        <v>129</v>
      </c>
      <c r="H9" s="18" t="s">
        <v>64</v>
      </c>
      <c r="I9" s="18" t="s">
        <v>59</v>
      </c>
      <c r="J9" s="8"/>
      <c r="K9" s="8" t="str">
        <f>"280,0"</f>
        <v>280,0</v>
      </c>
      <c r="L9" s="8" t="str">
        <f>"151,9106"</f>
        <v>151,9106</v>
      </c>
      <c r="M9" s="7" t="s">
        <v>303</v>
      </c>
    </row>
    <row r="10" spans="1:13">
      <c r="B10" s="5" t="s">
        <v>92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16795-57E8-465C-85CC-4CD65569A387}">
  <dimension ref="A1:M33"/>
  <sheetViews>
    <sheetView workbookViewId="0">
      <selection activeCell="E33" sqref="E33"/>
    </sheetView>
  </sheetViews>
  <sheetFormatPr baseColWidth="10" defaultColWidth="9.1640625" defaultRowHeight="13"/>
  <cols>
    <col min="1" max="1" width="7.5" style="5" bestFit="1" customWidth="1"/>
    <col min="2" max="2" width="17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41" t="s">
        <v>564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579</v>
      </c>
      <c r="B3" s="54" t="s">
        <v>0</v>
      </c>
      <c r="C3" s="51" t="s">
        <v>581</v>
      </c>
      <c r="D3" s="51" t="s">
        <v>6</v>
      </c>
      <c r="E3" s="35" t="s">
        <v>582</v>
      </c>
      <c r="F3" s="35" t="s">
        <v>5</v>
      </c>
      <c r="G3" s="35" t="s">
        <v>9</v>
      </c>
      <c r="H3" s="35"/>
      <c r="I3" s="35"/>
      <c r="J3" s="35"/>
      <c r="K3" s="35" t="s">
        <v>306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147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91</v>
      </c>
      <c r="B6" s="7" t="s">
        <v>157</v>
      </c>
      <c r="C6" s="7" t="s">
        <v>158</v>
      </c>
      <c r="D6" s="7" t="s">
        <v>159</v>
      </c>
      <c r="E6" s="7" t="s">
        <v>583</v>
      </c>
      <c r="F6" s="7" t="s">
        <v>40</v>
      </c>
      <c r="G6" s="18" t="s">
        <v>130</v>
      </c>
      <c r="H6" s="18" t="s">
        <v>160</v>
      </c>
      <c r="I6" s="8"/>
      <c r="J6" s="8"/>
      <c r="K6" s="8" t="str">
        <f>"162,5"</f>
        <v>162,5</v>
      </c>
      <c r="L6" s="8" t="str">
        <f>"197,8600"</f>
        <v>197,8600</v>
      </c>
      <c r="M6" s="7" t="s">
        <v>146</v>
      </c>
    </row>
    <row r="7" spans="1:13">
      <c r="B7" s="5" t="s">
        <v>92</v>
      </c>
    </row>
    <row r="8" spans="1:13" ht="16">
      <c r="A8" s="52" t="s">
        <v>320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8" t="s">
        <v>91</v>
      </c>
      <c r="B9" s="7" t="s">
        <v>469</v>
      </c>
      <c r="C9" s="7" t="s">
        <v>470</v>
      </c>
      <c r="D9" s="7" t="s">
        <v>471</v>
      </c>
      <c r="E9" s="7" t="s">
        <v>588</v>
      </c>
      <c r="F9" s="7" t="s">
        <v>248</v>
      </c>
      <c r="G9" s="18" t="s">
        <v>30</v>
      </c>
      <c r="H9" s="18" t="s">
        <v>181</v>
      </c>
      <c r="I9" s="18" t="s">
        <v>120</v>
      </c>
      <c r="J9" s="8"/>
      <c r="K9" s="8" t="str">
        <f>"140,0"</f>
        <v>140,0</v>
      </c>
      <c r="L9" s="8" t="str">
        <f>"147,8221"</f>
        <v>147,8221</v>
      </c>
      <c r="M9" s="7" t="s">
        <v>166</v>
      </c>
    </row>
    <row r="10" spans="1:13">
      <c r="B10" s="5" t="s">
        <v>92</v>
      </c>
    </row>
    <row r="11" spans="1:13" ht="16">
      <c r="A11" s="52" t="s">
        <v>138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8" t="s">
        <v>91</v>
      </c>
      <c r="B12" s="7" t="s">
        <v>472</v>
      </c>
      <c r="C12" s="7" t="s">
        <v>473</v>
      </c>
      <c r="D12" s="7" t="s">
        <v>474</v>
      </c>
      <c r="E12" s="7" t="s">
        <v>587</v>
      </c>
      <c r="F12" s="7" t="s">
        <v>248</v>
      </c>
      <c r="G12" s="18" t="s">
        <v>113</v>
      </c>
      <c r="H12" s="18" t="s">
        <v>122</v>
      </c>
      <c r="I12" s="18" t="s">
        <v>153</v>
      </c>
      <c r="J12" s="8"/>
      <c r="K12" s="8" t="str">
        <f>"80,0"</f>
        <v>80,0</v>
      </c>
      <c r="L12" s="8" t="str">
        <f>"100,3600"</f>
        <v>100,3600</v>
      </c>
      <c r="M12" s="7" t="s">
        <v>251</v>
      </c>
    </row>
    <row r="13" spans="1:13">
      <c r="B13" s="5" t="s">
        <v>92</v>
      </c>
    </row>
    <row r="14" spans="1:13" ht="16">
      <c r="A14" s="52" t="s">
        <v>116</v>
      </c>
      <c r="B14" s="52"/>
      <c r="C14" s="53"/>
      <c r="D14" s="53"/>
      <c r="E14" s="53"/>
      <c r="F14" s="53"/>
      <c r="G14" s="53"/>
      <c r="H14" s="53"/>
      <c r="I14" s="53"/>
      <c r="J14" s="53"/>
    </row>
    <row r="15" spans="1:13">
      <c r="A15" s="10" t="s">
        <v>91</v>
      </c>
      <c r="B15" s="9" t="s">
        <v>475</v>
      </c>
      <c r="C15" s="9" t="s">
        <v>476</v>
      </c>
      <c r="D15" s="9" t="s">
        <v>477</v>
      </c>
      <c r="E15" s="9" t="s">
        <v>585</v>
      </c>
      <c r="F15" s="9" t="s">
        <v>478</v>
      </c>
      <c r="G15" s="20" t="s">
        <v>26</v>
      </c>
      <c r="H15" s="20" t="s">
        <v>175</v>
      </c>
      <c r="I15" s="21" t="s">
        <v>28</v>
      </c>
      <c r="J15" s="10"/>
      <c r="K15" s="10" t="str">
        <f>"192,5"</f>
        <v>192,5</v>
      </c>
      <c r="L15" s="10" t="str">
        <f>"145,0487"</f>
        <v>145,0487</v>
      </c>
      <c r="M15" s="9" t="s">
        <v>479</v>
      </c>
    </row>
    <row r="16" spans="1:13">
      <c r="A16" s="25" t="s">
        <v>93</v>
      </c>
      <c r="B16" s="24" t="s">
        <v>480</v>
      </c>
      <c r="C16" s="24" t="s">
        <v>481</v>
      </c>
      <c r="D16" s="24" t="s">
        <v>482</v>
      </c>
      <c r="E16" s="24" t="s">
        <v>585</v>
      </c>
      <c r="F16" s="24" t="s">
        <v>553</v>
      </c>
      <c r="G16" s="26" t="s">
        <v>17</v>
      </c>
      <c r="H16" s="26" t="s">
        <v>131</v>
      </c>
      <c r="I16" s="25"/>
      <c r="J16" s="25"/>
      <c r="K16" s="25" t="str">
        <f>"160,0"</f>
        <v>160,0</v>
      </c>
      <c r="L16" s="25" t="str">
        <f>"115,3120"</f>
        <v>115,3120</v>
      </c>
      <c r="M16" s="24"/>
    </row>
    <row r="17" spans="1:13">
      <c r="A17" s="12" t="s">
        <v>91</v>
      </c>
      <c r="B17" s="11" t="s">
        <v>483</v>
      </c>
      <c r="C17" s="11" t="s">
        <v>484</v>
      </c>
      <c r="D17" s="11" t="s">
        <v>485</v>
      </c>
      <c r="E17" s="11" t="s">
        <v>584</v>
      </c>
      <c r="F17" s="11" t="s">
        <v>573</v>
      </c>
      <c r="G17" s="23" t="s">
        <v>32</v>
      </c>
      <c r="H17" s="23" t="s">
        <v>180</v>
      </c>
      <c r="I17" s="23" t="s">
        <v>33</v>
      </c>
      <c r="J17" s="12"/>
      <c r="K17" s="12" t="str">
        <f>"220,0"</f>
        <v>220,0</v>
      </c>
      <c r="L17" s="12" t="str">
        <f>"162,2500"</f>
        <v>162,2500</v>
      </c>
      <c r="M17" s="11"/>
    </row>
    <row r="18" spans="1:13">
      <c r="B18" s="5" t="s">
        <v>92</v>
      </c>
    </row>
    <row r="19" spans="1:13" ht="16">
      <c r="A19" s="52" t="s">
        <v>320</v>
      </c>
      <c r="B19" s="52"/>
      <c r="C19" s="53"/>
      <c r="D19" s="53"/>
      <c r="E19" s="53"/>
      <c r="F19" s="53"/>
      <c r="G19" s="53"/>
      <c r="H19" s="53"/>
      <c r="I19" s="53"/>
      <c r="J19" s="53"/>
    </row>
    <row r="20" spans="1:13">
      <c r="A20" s="10" t="s">
        <v>91</v>
      </c>
      <c r="B20" s="9" t="s">
        <v>486</v>
      </c>
      <c r="C20" s="9" t="s">
        <v>487</v>
      </c>
      <c r="D20" s="9" t="s">
        <v>488</v>
      </c>
      <c r="E20" s="9" t="s">
        <v>583</v>
      </c>
      <c r="F20" s="9" t="s">
        <v>40</v>
      </c>
      <c r="G20" s="20" t="s">
        <v>27</v>
      </c>
      <c r="H20" s="20" t="s">
        <v>32</v>
      </c>
      <c r="I20" s="20" t="s">
        <v>34</v>
      </c>
      <c r="J20" s="10"/>
      <c r="K20" s="10" t="str">
        <f>"225,0"</f>
        <v>225,0</v>
      </c>
      <c r="L20" s="10" t="str">
        <f>"153,3600"</f>
        <v>153,3600</v>
      </c>
      <c r="M20" s="9" t="s">
        <v>65</v>
      </c>
    </row>
    <row r="21" spans="1:13">
      <c r="A21" s="12" t="s">
        <v>91</v>
      </c>
      <c r="B21" s="11" t="s">
        <v>400</v>
      </c>
      <c r="C21" s="11" t="s">
        <v>401</v>
      </c>
      <c r="D21" s="11" t="s">
        <v>402</v>
      </c>
      <c r="E21" s="11" t="s">
        <v>586</v>
      </c>
      <c r="F21" s="11" t="s">
        <v>248</v>
      </c>
      <c r="G21" s="23" t="s">
        <v>27</v>
      </c>
      <c r="H21" s="22" t="s">
        <v>188</v>
      </c>
      <c r="I21" s="22" t="s">
        <v>188</v>
      </c>
      <c r="J21" s="12"/>
      <c r="K21" s="12" t="str">
        <f>"190,0"</f>
        <v>190,0</v>
      </c>
      <c r="L21" s="12" t="str">
        <f>"129,2556"</f>
        <v>129,2556</v>
      </c>
      <c r="M21" s="11" t="s">
        <v>251</v>
      </c>
    </row>
    <row r="22" spans="1:13">
      <c r="B22" s="5" t="s">
        <v>92</v>
      </c>
    </row>
    <row r="23" spans="1:13" ht="16">
      <c r="A23" s="52" t="s">
        <v>10</v>
      </c>
      <c r="B23" s="52"/>
      <c r="C23" s="53"/>
      <c r="D23" s="53"/>
      <c r="E23" s="53"/>
      <c r="F23" s="53"/>
      <c r="G23" s="53"/>
      <c r="H23" s="53"/>
      <c r="I23" s="53"/>
      <c r="J23" s="53"/>
    </row>
    <row r="24" spans="1:13">
      <c r="A24" s="10" t="s">
        <v>91</v>
      </c>
      <c r="B24" s="9" t="s">
        <v>124</v>
      </c>
      <c r="C24" s="9" t="s">
        <v>125</v>
      </c>
      <c r="D24" s="9" t="s">
        <v>126</v>
      </c>
      <c r="E24" s="9" t="s">
        <v>583</v>
      </c>
      <c r="F24" s="9" t="s">
        <v>127</v>
      </c>
      <c r="G24" s="20" t="s">
        <v>128</v>
      </c>
      <c r="H24" s="20" t="s">
        <v>59</v>
      </c>
      <c r="I24" s="21" t="s">
        <v>132</v>
      </c>
      <c r="J24" s="10"/>
      <c r="K24" s="10" t="str">
        <f>"280,0"</f>
        <v>280,0</v>
      </c>
      <c r="L24" s="10" t="str">
        <f>"179,5640"</f>
        <v>179,5640</v>
      </c>
      <c r="M24" s="9" t="s">
        <v>65</v>
      </c>
    </row>
    <row r="25" spans="1:13">
      <c r="A25" s="12" t="s">
        <v>93</v>
      </c>
      <c r="B25" s="11" t="s">
        <v>259</v>
      </c>
      <c r="C25" s="11" t="s">
        <v>260</v>
      </c>
      <c r="D25" s="11" t="s">
        <v>261</v>
      </c>
      <c r="E25" s="11" t="s">
        <v>583</v>
      </c>
      <c r="F25" s="11" t="s">
        <v>248</v>
      </c>
      <c r="G25" s="23" t="s">
        <v>26</v>
      </c>
      <c r="H25" s="22" t="s">
        <v>27</v>
      </c>
      <c r="I25" s="23" t="s">
        <v>28</v>
      </c>
      <c r="J25" s="12"/>
      <c r="K25" s="12" t="str">
        <f>"200,0"</f>
        <v>200,0</v>
      </c>
      <c r="L25" s="12" t="str">
        <f>"128,8000"</f>
        <v>128,8000</v>
      </c>
      <c r="M25" s="11"/>
    </row>
    <row r="26" spans="1:13">
      <c r="B26" s="5" t="s">
        <v>92</v>
      </c>
    </row>
    <row r="27" spans="1:13" ht="16">
      <c r="A27" s="52" t="s">
        <v>21</v>
      </c>
      <c r="B27" s="52"/>
      <c r="C27" s="53"/>
      <c r="D27" s="53"/>
      <c r="E27" s="53"/>
      <c r="F27" s="53"/>
      <c r="G27" s="53"/>
      <c r="H27" s="53"/>
      <c r="I27" s="53"/>
      <c r="J27" s="53"/>
    </row>
    <row r="28" spans="1:13">
      <c r="A28" s="10" t="s">
        <v>91</v>
      </c>
      <c r="B28" s="9" t="s">
        <v>489</v>
      </c>
      <c r="C28" s="9" t="s">
        <v>490</v>
      </c>
      <c r="D28" s="9" t="s">
        <v>491</v>
      </c>
      <c r="E28" s="9" t="s">
        <v>583</v>
      </c>
      <c r="F28" s="9" t="s">
        <v>40</v>
      </c>
      <c r="G28" s="20" t="s">
        <v>33</v>
      </c>
      <c r="H28" s="20" t="s">
        <v>20</v>
      </c>
      <c r="I28" s="20" t="s">
        <v>492</v>
      </c>
      <c r="J28" s="10"/>
      <c r="K28" s="10" t="str">
        <f>"262,5"</f>
        <v>262,5</v>
      </c>
      <c r="L28" s="10" t="str">
        <f>"159,8887"</f>
        <v>159,8887</v>
      </c>
      <c r="M28" s="9" t="s">
        <v>493</v>
      </c>
    </row>
    <row r="29" spans="1:13">
      <c r="A29" s="12" t="s">
        <v>91</v>
      </c>
      <c r="B29" s="11" t="s">
        <v>494</v>
      </c>
      <c r="C29" s="11" t="s">
        <v>495</v>
      </c>
      <c r="D29" s="11" t="s">
        <v>496</v>
      </c>
      <c r="E29" s="11" t="s">
        <v>586</v>
      </c>
      <c r="F29" s="11" t="s">
        <v>40</v>
      </c>
      <c r="G29" s="22" t="s">
        <v>17</v>
      </c>
      <c r="H29" s="23" t="s">
        <v>130</v>
      </c>
      <c r="I29" s="23" t="s">
        <v>160</v>
      </c>
      <c r="J29" s="12"/>
      <c r="K29" s="12" t="str">
        <f>"162,5"</f>
        <v>162,5</v>
      </c>
      <c r="L29" s="12" t="str">
        <f>"108,4831"</f>
        <v>108,4831</v>
      </c>
      <c r="M29" s="11"/>
    </row>
    <row r="30" spans="1:13">
      <c r="B30" s="5" t="s">
        <v>92</v>
      </c>
    </row>
    <row r="31" spans="1:13" ht="16">
      <c r="A31" s="52" t="s">
        <v>36</v>
      </c>
      <c r="B31" s="52"/>
      <c r="C31" s="53"/>
      <c r="D31" s="53"/>
      <c r="E31" s="53"/>
      <c r="F31" s="53"/>
      <c r="G31" s="53"/>
      <c r="H31" s="53"/>
      <c r="I31" s="53"/>
      <c r="J31" s="53"/>
    </row>
    <row r="32" spans="1:13">
      <c r="A32" s="8" t="s">
        <v>91</v>
      </c>
      <c r="B32" s="7" t="s">
        <v>277</v>
      </c>
      <c r="C32" s="7" t="s">
        <v>278</v>
      </c>
      <c r="D32" s="7" t="s">
        <v>279</v>
      </c>
      <c r="E32" s="7" t="s">
        <v>583</v>
      </c>
      <c r="F32" s="7" t="s">
        <v>553</v>
      </c>
      <c r="G32" s="18" t="s">
        <v>180</v>
      </c>
      <c r="H32" s="19" t="s">
        <v>33</v>
      </c>
      <c r="I32" s="19" t="s">
        <v>33</v>
      </c>
      <c r="J32" s="8"/>
      <c r="K32" s="8" t="str">
        <f>"215,0"</f>
        <v>215,0</v>
      </c>
      <c r="L32" s="8" t="str">
        <f>"129,3225"</f>
        <v>129,3225</v>
      </c>
      <c r="M32" s="7"/>
    </row>
    <row r="33" spans="2:2">
      <c r="B33" s="5" t="s">
        <v>92</v>
      </c>
    </row>
  </sheetData>
  <mergeCells count="19">
    <mergeCell ref="A31:J31"/>
    <mergeCell ref="B3:B4"/>
    <mergeCell ref="A8:J8"/>
    <mergeCell ref="A11:J11"/>
    <mergeCell ref="A14:J14"/>
    <mergeCell ref="A19:J19"/>
    <mergeCell ref="A23:J23"/>
    <mergeCell ref="A27:J27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F4062-E9C5-4EFC-83A5-833AC91FC50C}">
  <dimension ref="A1:M1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832031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83203125" style="5" customWidth="1"/>
    <col min="14" max="16384" width="9.1640625" style="3"/>
  </cols>
  <sheetData>
    <row r="1" spans="1:13" s="2" customFormat="1" ht="29" customHeight="1">
      <c r="A1" s="41" t="s">
        <v>565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579</v>
      </c>
      <c r="B3" s="54" t="s">
        <v>0</v>
      </c>
      <c r="C3" s="51" t="s">
        <v>581</v>
      </c>
      <c r="D3" s="51" t="s">
        <v>6</v>
      </c>
      <c r="E3" s="35" t="s">
        <v>582</v>
      </c>
      <c r="F3" s="35" t="s">
        <v>5</v>
      </c>
      <c r="G3" s="35" t="s">
        <v>9</v>
      </c>
      <c r="H3" s="35"/>
      <c r="I3" s="35"/>
      <c r="J3" s="35"/>
      <c r="K3" s="35" t="s">
        <v>306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224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91</v>
      </c>
      <c r="B6" s="7" t="s">
        <v>457</v>
      </c>
      <c r="C6" s="7" t="s">
        <v>458</v>
      </c>
      <c r="D6" s="7" t="s">
        <v>459</v>
      </c>
      <c r="E6" s="7" t="s">
        <v>587</v>
      </c>
      <c r="F6" s="7" t="s">
        <v>248</v>
      </c>
      <c r="G6" s="18" t="s">
        <v>100</v>
      </c>
      <c r="H6" s="18" t="s">
        <v>154</v>
      </c>
      <c r="I6" s="18" t="s">
        <v>155</v>
      </c>
      <c r="J6" s="8"/>
      <c r="K6" s="8" t="str">
        <f>"107,5"</f>
        <v>107,5</v>
      </c>
      <c r="L6" s="8" t="str">
        <f>"125,6030"</f>
        <v>125,6030</v>
      </c>
      <c r="M6" s="7" t="s">
        <v>460</v>
      </c>
    </row>
    <row r="7" spans="1:13">
      <c r="B7" s="5" t="s">
        <v>92</v>
      </c>
    </row>
    <row r="8" spans="1:13" ht="16">
      <c r="A8" s="52" t="s">
        <v>21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10" t="s">
        <v>91</v>
      </c>
      <c r="B9" s="9" t="s">
        <v>172</v>
      </c>
      <c r="C9" s="9" t="s">
        <v>173</v>
      </c>
      <c r="D9" s="9" t="s">
        <v>174</v>
      </c>
      <c r="E9" s="9" t="s">
        <v>583</v>
      </c>
      <c r="F9" s="9" t="s">
        <v>567</v>
      </c>
      <c r="G9" s="21" t="s">
        <v>176</v>
      </c>
      <c r="H9" s="20" t="s">
        <v>176</v>
      </c>
      <c r="I9" s="21" t="s">
        <v>135</v>
      </c>
      <c r="J9" s="10"/>
      <c r="K9" s="10" t="str">
        <f>"325,0"</f>
        <v>325,0</v>
      </c>
      <c r="L9" s="10" t="str">
        <f>"200,3950"</f>
        <v>200,3950</v>
      </c>
      <c r="M9" s="9"/>
    </row>
    <row r="10" spans="1:13">
      <c r="A10" s="12" t="s">
        <v>93</v>
      </c>
      <c r="B10" s="11" t="s">
        <v>461</v>
      </c>
      <c r="C10" s="11" t="s">
        <v>462</v>
      </c>
      <c r="D10" s="11" t="s">
        <v>463</v>
      </c>
      <c r="E10" s="11" t="s">
        <v>583</v>
      </c>
      <c r="F10" s="11" t="s">
        <v>40</v>
      </c>
      <c r="G10" s="23" t="s">
        <v>52</v>
      </c>
      <c r="H10" s="22" t="s">
        <v>464</v>
      </c>
      <c r="I10" s="22" t="s">
        <v>464</v>
      </c>
      <c r="J10" s="12"/>
      <c r="K10" s="12" t="str">
        <f>"320,0"</f>
        <v>320,0</v>
      </c>
      <c r="L10" s="12" t="str">
        <f>"198,4000"</f>
        <v>198,4000</v>
      </c>
      <c r="M10" s="11"/>
    </row>
    <row r="11" spans="1:13">
      <c r="B11" s="5" t="s">
        <v>92</v>
      </c>
    </row>
    <row r="12" spans="1:13" ht="16">
      <c r="A12" s="52" t="s">
        <v>283</v>
      </c>
      <c r="B12" s="52"/>
      <c r="C12" s="53"/>
      <c r="D12" s="53"/>
      <c r="E12" s="53"/>
      <c r="F12" s="53"/>
      <c r="G12" s="53"/>
      <c r="H12" s="53"/>
      <c r="I12" s="53"/>
      <c r="J12" s="53"/>
    </row>
    <row r="13" spans="1:13">
      <c r="A13" s="8" t="s">
        <v>91</v>
      </c>
      <c r="B13" s="7" t="s">
        <v>465</v>
      </c>
      <c r="C13" s="7" t="s">
        <v>466</v>
      </c>
      <c r="D13" s="7" t="s">
        <v>467</v>
      </c>
      <c r="E13" s="7" t="s">
        <v>583</v>
      </c>
      <c r="F13" s="7" t="s">
        <v>248</v>
      </c>
      <c r="G13" s="18" t="s">
        <v>33</v>
      </c>
      <c r="H13" s="18" t="s">
        <v>468</v>
      </c>
      <c r="I13" s="19" t="s">
        <v>15</v>
      </c>
      <c r="J13" s="8"/>
      <c r="K13" s="8" t="str">
        <f>"235,0"</f>
        <v>235,0</v>
      </c>
      <c r="L13" s="8" t="str">
        <f>"135,9710"</f>
        <v>135,9710</v>
      </c>
      <c r="M13" s="7"/>
    </row>
    <row r="14" spans="1:13">
      <c r="B14" s="5" t="s">
        <v>92</v>
      </c>
    </row>
    <row r="15" spans="1:13" ht="16">
      <c r="A15" s="52" t="s">
        <v>54</v>
      </c>
      <c r="B15" s="52"/>
      <c r="C15" s="53"/>
      <c r="D15" s="53"/>
      <c r="E15" s="53"/>
      <c r="F15" s="53"/>
      <c r="G15" s="53"/>
      <c r="H15" s="53"/>
      <c r="I15" s="53"/>
      <c r="J15" s="53"/>
    </row>
    <row r="16" spans="1:13">
      <c r="A16" s="8" t="s">
        <v>91</v>
      </c>
      <c r="B16" s="7" t="s">
        <v>55</v>
      </c>
      <c r="C16" s="7" t="s">
        <v>56</v>
      </c>
      <c r="D16" s="7" t="s">
        <v>57</v>
      </c>
      <c r="E16" s="7" t="s">
        <v>583</v>
      </c>
      <c r="F16" s="7" t="s">
        <v>58</v>
      </c>
      <c r="G16" s="19" t="s">
        <v>64</v>
      </c>
      <c r="H16" s="18" t="s">
        <v>64</v>
      </c>
      <c r="I16" s="18" t="s">
        <v>60</v>
      </c>
      <c r="J16" s="8"/>
      <c r="K16" s="8" t="str">
        <f>"290,0"</f>
        <v>290,0</v>
      </c>
      <c r="L16" s="8" t="str">
        <f>"162,6610"</f>
        <v>162,6610</v>
      </c>
      <c r="M16" s="7" t="s">
        <v>65</v>
      </c>
    </row>
    <row r="17" spans="2:2">
      <c r="B17" s="5" t="s">
        <v>92</v>
      </c>
    </row>
  </sheetData>
  <mergeCells count="15">
    <mergeCell ref="A8:J8"/>
    <mergeCell ref="A12:J12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BF22C-1FAD-483F-A413-F5AAE8EE7433}">
  <dimension ref="A1:M43"/>
  <sheetViews>
    <sheetView tabSelected="1" topLeftCell="A7" workbookViewId="0">
      <selection activeCell="E35" sqref="E35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7.5" style="5" customWidth="1"/>
    <col min="14" max="16384" width="9.1640625" style="3"/>
  </cols>
  <sheetData>
    <row r="1" spans="1:13" s="2" customFormat="1" ht="29" customHeight="1">
      <c r="A1" s="41" t="s">
        <v>576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579</v>
      </c>
      <c r="B3" s="54" t="s">
        <v>0</v>
      </c>
      <c r="C3" s="51" t="s">
        <v>581</v>
      </c>
      <c r="D3" s="51" t="s">
        <v>6</v>
      </c>
      <c r="E3" s="35" t="s">
        <v>582</v>
      </c>
      <c r="F3" s="35" t="s">
        <v>5</v>
      </c>
      <c r="G3" s="35" t="s">
        <v>580</v>
      </c>
      <c r="H3" s="35"/>
      <c r="I3" s="35"/>
      <c r="J3" s="35"/>
      <c r="K3" s="35" t="s">
        <v>306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138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91</v>
      </c>
      <c r="B6" s="7" t="s">
        <v>506</v>
      </c>
      <c r="C6" s="7" t="s">
        <v>577</v>
      </c>
      <c r="D6" s="7" t="s">
        <v>507</v>
      </c>
      <c r="E6" s="7" t="s">
        <v>589</v>
      </c>
      <c r="F6" s="7" t="s">
        <v>248</v>
      </c>
      <c r="G6" s="18" t="s">
        <v>239</v>
      </c>
      <c r="H6" s="18" t="s">
        <v>101</v>
      </c>
      <c r="I6" s="18" t="s">
        <v>233</v>
      </c>
      <c r="J6" s="8"/>
      <c r="K6" s="8" t="str">
        <f>"45,0"</f>
        <v>45,0</v>
      </c>
      <c r="L6" s="8" t="str">
        <f>"44,0505"</f>
        <v>44,0505</v>
      </c>
      <c r="M6" s="7"/>
    </row>
    <row r="7" spans="1:13">
      <c r="B7" s="5" t="s">
        <v>92</v>
      </c>
    </row>
    <row r="8" spans="1:13" ht="16">
      <c r="A8" s="52" t="s">
        <v>105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10" t="s">
        <v>91</v>
      </c>
      <c r="B9" s="9" t="s">
        <v>508</v>
      </c>
      <c r="C9" s="9" t="s">
        <v>509</v>
      </c>
      <c r="D9" s="9" t="s">
        <v>510</v>
      </c>
      <c r="E9" s="9" t="s">
        <v>583</v>
      </c>
      <c r="F9" s="9" t="s">
        <v>575</v>
      </c>
      <c r="G9" s="20" t="s">
        <v>121</v>
      </c>
      <c r="H9" s="21" t="s">
        <v>511</v>
      </c>
      <c r="I9" s="21" t="s">
        <v>511</v>
      </c>
      <c r="J9" s="10"/>
      <c r="K9" s="10" t="str">
        <f>"70,0"</f>
        <v>70,0</v>
      </c>
      <c r="L9" s="10" t="str">
        <f>"52,7205"</f>
        <v>52,7205</v>
      </c>
      <c r="M9" s="9" t="s">
        <v>574</v>
      </c>
    </row>
    <row r="10" spans="1:13">
      <c r="A10" s="12" t="s">
        <v>93</v>
      </c>
      <c r="B10" s="11" t="s">
        <v>512</v>
      </c>
      <c r="C10" s="11" t="s">
        <v>513</v>
      </c>
      <c r="D10" s="11" t="s">
        <v>514</v>
      </c>
      <c r="E10" s="11" t="s">
        <v>583</v>
      </c>
      <c r="F10" s="11" t="s">
        <v>515</v>
      </c>
      <c r="G10" s="23" t="s">
        <v>233</v>
      </c>
      <c r="H10" s="23" t="s">
        <v>215</v>
      </c>
      <c r="I10" s="22" t="s">
        <v>217</v>
      </c>
      <c r="J10" s="12"/>
      <c r="K10" s="12" t="str">
        <f>"52,5"</f>
        <v>52,5</v>
      </c>
      <c r="L10" s="12" t="str">
        <f>"40,3778"</f>
        <v>40,3778</v>
      </c>
      <c r="M10" s="11"/>
    </row>
    <row r="11" spans="1:13">
      <c r="B11" s="5" t="s">
        <v>92</v>
      </c>
    </row>
    <row r="12" spans="1:13" ht="16">
      <c r="A12" s="52" t="s">
        <v>116</v>
      </c>
      <c r="B12" s="52"/>
      <c r="C12" s="53"/>
      <c r="D12" s="53"/>
      <c r="E12" s="53"/>
      <c r="F12" s="53"/>
      <c r="G12" s="53"/>
      <c r="H12" s="53"/>
      <c r="I12" s="53"/>
      <c r="J12" s="53"/>
    </row>
    <row r="13" spans="1:13">
      <c r="A13" s="10" t="s">
        <v>91</v>
      </c>
      <c r="B13" s="9" t="s">
        <v>516</v>
      </c>
      <c r="C13" s="9" t="s">
        <v>517</v>
      </c>
      <c r="D13" s="9" t="s">
        <v>169</v>
      </c>
      <c r="E13" s="9" t="s">
        <v>583</v>
      </c>
      <c r="F13" s="9" t="s">
        <v>142</v>
      </c>
      <c r="G13" s="20" t="s">
        <v>518</v>
      </c>
      <c r="H13" s="20" t="s">
        <v>519</v>
      </c>
      <c r="I13" s="21" t="s">
        <v>520</v>
      </c>
      <c r="J13" s="10"/>
      <c r="K13" s="10" t="str">
        <f>"91,0"</f>
        <v>91,0</v>
      </c>
      <c r="L13" s="10" t="str">
        <f>"62,6580"</f>
        <v>62,6580</v>
      </c>
      <c r="M13" s="9"/>
    </row>
    <row r="14" spans="1:13">
      <c r="A14" s="12" t="s">
        <v>93</v>
      </c>
      <c r="B14" s="11" t="s">
        <v>521</v>
      </c>
      <c r="C14" s="11" t="s">
        <v>522</v>
      </c>
      <c r="D14" s="11" t="s">
        <v>523</v>
      </c>
      <c r="E14" s="11" t="s">
        <v>583</v>
      </c>
      <c r="F14" s="11" t="s">
        <v>40</v>
      </c>
      <c r="G14" s="23" t="s">
        <v>153</v>
      </c>
      <c r="H14" s="22" t="s">
        <v>98</v>
      </c>
      <c r="I14" s="22" t="s">
        <v>98</v>
      </c>
      <c r="J14" s="12"/>
      <c r="K14" s="12" t="str">
        <f>"80,0"</f>
        <v>80,0</v>
      </c>
      <c r="L14" s="12" t="str">
        <f>"56,8760"</f>
        <v>56,8760</v>
      </c>
      <c r="M14" s="11"/>
    </row>
    <row r="15" spans="1:13">
      <c r="B15" s="5" t="s">
        <v>92</v>
      </c>
    </row>
    <row r="16" spans="1:13" ht="16">
      <c r="A16" s="52" t="s">
        <v>320</v>
      </c>
      <c r="B16" s="52"/>
      <c r="C16" s="53"/>
      <c r="D16" s="53"/>
      <c r="E16" s="53"/>
      <c r="F16" s="53"/>
      <c r="G16" s="53"/>
      <c r="H16" s="53"/>
      <c r="I16" s="53"/>
      <c r="J16" s="53"/>
    </row>
    <row r="17" spans="1:13">
      <c r="A17" s="10" t="s">
        <v>91</v>
      </c>
      <c r="B17" s="9" t="s">
        <v>524</v>
      </c>
      <c r="C17" s="9" t="s">
        <v>525</v>
      </c>
      <c r="D17" s="9" t="s">
        <v>526</v>
      </c>
      <c r="E17" s="9" t="s">
        <v>583</v>
      </c>
      <c r="F17" s="9" t="s">
        <v>40</v>
      </c>
      <c r="G17" s="20" t="s">
        <v>98</v>
      </c>
      <c r="H17" s="21" t="s">
        <v>527</v>
      </c>
      <c r="I17" s="21" t="s">
        <v>527</v>
      </c>
      <c r="J17" s="10"/>
      <c r="K17" s="10" t="str">
        <f>"85,0"</f>
        <v>85,0</v>
      </c>
      <c r="L17" s="10" t="str">
        <f>"56,0107"</f>
        <v>56,0107</v>
      </c>
      <c r="M17" s="9"/>
    </row>
    <row r="18" spans="1:13">
      <c r="A18" s="12" t="s">
        <v>91</v>
      </c>
      <c r="B18" s="11" t="s">
        <v>528</v>
      </c>
      <c r="C18" s="11" t="s">
        <v>578</v>
      </c>
      <c r="D18" s="11" t="s">
        <v>529</v>
      </c>
      <c r="E18" s="11" t="s">
        <v>586</v>
      </c>
      <c r="F18" s="11" t="s">
        <v>40</v>
      </c>
      <c r="G18" s="23" t="s">
        <v>145</v>
      </c>
      <c r="H18" s="23" t="s">
        <v>121</v>
      </c>
      <c r="I18" s="23" t="s">
        <v>511</v>
      </c>
      <c r="J18" s="22" t="s">
        <v>530</v>
      </c>
      <c r="K18" s="12" t="str">
        <f>"72,5"</f>
        <v>72,5</v>
      </c>
      <c r="L18" s="12" t="str">
        <f>"48,5672"</f>
        <v>48,5672</v>
      </c>
      <c r="M18" s="11"/>
    </row>
    <row r="19" spans="1:13">
      <c r="B19" s="5" t="s">
        <v>92</v>
      </c>
    </row>
    <row r="20" spans="1:13" ht="16">
      <c r="A20" s="52" t="s">
        <v>10</v>
      </c>
      <c r="B20" s="52"/>
      <c r="C20" s="53"/>
      <c r="D20" s="53"/>
      <c r="E20" s="53"/>
      <c r="F20" s="53"/>
      <c r="G20" s="53"/>
      <c r="H20" s="53"/>
      <c r="I20" s="53"/>
      <c r="J20" s="53"/>
    </row>
    <row r="21" spans="1:13">
      <c r="A21" s="10" t="s">
        <v>91</v>
      </c>
      <c r="B21" s="9" t="s">
        <v>415</v>
      </c>
      <c r="C21" s="9" t="s">
        <v>416</v>
      </c>
      <c r="D21" s="9" t="s">
        <v>417</v>
      </c>
      <c r="E21" s="9" t="s">
        <v>583</v>
      </c>
      <c r="F21" s="9" t="s">
        <v>248</v>
      </c>
      <c r="G21" s="20" t="s">
        <v>111</v>
      </c>
      <c r="H21" s="21" t="s">
        <v>145</v>
      </c>
      <c r="I21" s="20" t="s">
        <v>145</v>
      </c>
      <c r="J21" s="10"/>
      <c r="K21" s="10" t="str">
        <f>"67,5"</f>
        <v>67,5</v>
      </c>
      <c r="L21" s="10" t="str">
        <f>"41,3505"</f>
        <v>41,3505</v>
      </c>
      <c r="M21" s="9"/>
    </row>
    <row r="22" spans="1:13">
      <c r="A22" s="12" t="s">
        <v>93</v>
      </c>
      <c r="B22" s="11" t="s">
        <v>531</v>
      </c>
      <c r="C22" s="11" t="s">
        <v>532</v>
      </c>
      <c r="D22" s="11" t="s">
        <v>533</v>
      </c>
      <c r="E22" s="11" t="s">
        <v>583</v>
      </c>
      <c r="F22" s="11" t="s">
        <v>248</v>
      </c>
      <c r="G22" s="23" t="s">
        <v>112</v>
      </c>
      <c r="H22" s="22" t="s">
        <v>145</v>
      </c>
      <c r="I22" s="22" t="s">
        <v>145</v>
      </c>
      <c r="J22" s="12"/>
      <c r="K22" s="12" t="str">
        <f>"62,5"</f>
        <v>62,5</v>
      </c>
      <c r="L22" s="12" t="str">
        <f>"39,8875"</f>
        <v>39,8875</v>
      </c>
      <c r="M22" s="11"/>
    </row>
    <row r="23" spans="1:13">
      <c r="B23" s="5" t="s">
        <v>92</v>
      </c>
    </row>
    <row r="24" spans="1:13" ht="16">
      <c r="A24" s="52" t="s">
        <v>21</v>
      </c>
      <c r="B24" s="52"/>
      <c r="C24" s="53"/>
      <c r="D24" s="53"/>
      <c r="E24" s="53"/>
      <c r="F24" s="53"/>
      <c r="G24" s="53"/>
      <c r="H24" s="53"/>
      <c r="I24" s="53"/>
      <c r="J24" s="53"/>
    </row>
    <row r="25" spans="1:13">
      <c r="A25" s="8" t="s">
        <v>91</v>
      </c>
      <c r="B25" s="7" t="s">
        <v>534</v>
      </c>
      <c r="C25" s="7" t="s">
        <v>535</v>
      </c>
      <c r="D25" s="7" t="s">
        <v>536</v>
      </c>
      <c r="E25" s="7" t="s">
        <v>583</v>
      </c>
      <c r="F25" s="7" t="s">
        <v>40</v>
      </c>
      <c r="G25" s="19" t="s">
        <v>122</v>
      </c>
      <c r="H25" s="18" t="s">
        <v>122</v>
      </c>
      <c r="I25" s="19" t="s">
        <v>123</v>
      </c>
      <c r="J25" s="8"/>
      <c r="K25" s="8" t="str">
        <f>"75,0"</f>
        <v>75,0</v>
      </c>
      <c r="L25" s="8" t="str">
        <f>"44,1412"</f>
        <v>44,1412</v>
      </c>
      <c r="M25" s="7"/>
    </row>
    <row r="26" spans="1:13">
      <c r="B26" s="5" t="s">
        <v>92</v>
      </c>
    </row>
    <row r="27" spans="1:13" ht="16">
      <c r="A27" s="52" t="s">
        <v>36</v>
      </c>
      <c r="B27" s="52"/>
      <c r="C27" s="53"/>
      <c r="D27" s="53"/>
      <c r="E27" s="53"/>
      <c r="F27" s="53"/>
      <c r="G27" s="53"/>
      <c r="H27" s="53"/>
      <c r="I27" s="53"/>
      <c r="J27" s="53"/>
    </row>
    <row r="28" spans="1:13">
      <c r="A28" s="10" t="s">
        <v>91</v>
      </c>
      <c r="B28" s="9" t="s">
        <v>537</v>
      </c>
      <c r="C28" s="9" t="s">
        <v>538</v>
      </c>
      <c r="D28" s="9" t="s">
        <v>539</v>
      </c>
      <c r="E28" s="9" t="s">
        <v>583</v>
      </c>
      <c r="F28" s="9" t="s">
        <v>540</v>
      </c>
      <c r="G28" s="20" t="s">
        <v>154</v>
      </c>
      <c r="H28" s="20" t="s">
        <v>110</v>
      </c>
      <c r="I28" s="21" t="s">
        <v>541</v>
      </c>
      <c r="J28" s="10"/>
      <c r="K28" s="10" t="str">
        <f>"110,0"</f>
        <v>110,0</v>
      </c>
      <c r="L28" s="10" t="str">
        <f>"62,2710"</f>
        <v>62,2710</v>
      </c>
      <c r="M28" s="9"/>
    </row>
    <row r="29" spans="1:13">
      <c r="A29" s="25" t="s">
        <v>93</v>
      </c>
      <c r="B29" s="24" t="s">
        <v>48</v>
      </c>
      <c r="C29" s="24" t="s">
        <v>49</v>
      </c>
      <c r="D29" s="24" t="s">
        <v>50</v>
      </c>
      <c r="E29" s="24" t="s">
        <v>583</v>
      </c>
      <c r="F29" s="24" t="s">
        <v>51</v>
      </c>
      <c r="G29" s="26" t="s">
        <v>153</v>
      </c>
      <c r="H29" s="26" t="s">
        <v>151</v>
      </c>
      <c r="I29" s="27" t="s">
        <v>152</v>
      </c>
      <c r="J29" s="25"/>
      <c r="K29" s="25" t="str">
        <f>"90,0"</f>
        <v>90,0</v>
      </c>
      <c r="L29" s="25" t="str">
        <f>"50,6250"</f>
        <v>50,6250</v>
      </c>
      <c r="M29" s="24"/>
    </row>
    <row r="30" spans="1:13">
      <c r="A30" s="12" t="s">
        <v>295</v>
      </c>
      <c r="B30" s="11" t="s">
        <v>343</v>
      </c>
      <c r="C30" s="11" t="s">
        <v>344</v>
      </c>
      <c r="D30" s="11" t="s">
        <v>345</v>
      </c>
      <c r="E30" s="11" t="s">
        <v>583</v>
      </c>
      <c r="F30" s="11" t="s">
        <v>346</v>
      </c>
      <c r="G30" s="23" t="s">
        <v>153</v>
      </c>
      <c r="H30" s="22" t="s">
        <v>151</v>
      </c>
      <c r="I30" s="22" t="s">
        <v>151</v>
      </c>
      <c r="J30" s="12"/>
      <c r="K30" s="12" t="str">
        <f>"80,0"</f>
        <v>80,0</v>
      </c>
      <c r="L30" s="12" t="str">
        <f>"45,8200"</f>
        <v>45,8200</v>
      </c>
      <c r="M30" s="11"/>
    </row>
    <row r="31" spans="1:13">
      <c r="B31" s="5" t="s">
        <v>92</v>
      </c>
    </row>
    <row r="32" spans="1:13" ht="16">
      <c r="A32" s="52" t="s">
        <v>283</v>
      </c>
      <c r="B32" s="52"/>
      <c r="C32" s="53"/>
      <c r="D32" s="53"/>
      <c r="E32" s="53"/>
      <c r="F32" s="53"/>
      <c r="G32" s="53"/>
      <c r="H32" s="53"/>
      <c r="I32" s="53"/>
      <c r="J32" s="53"/>
    </row>
    <row r="33" spans="1:13">
      <c r="A33" s="10" t="s">
        <v>91</v>
      </c>
      <c r="B33" s="9" t="s">
        <v>542</v>
      </c>
      <c r="C33" s="9" t="s">
        <v>543</v>
      </c>
      <c r="D33" s="9" t="s">
        <v>544</v>
      </c>
      <c r="E33" s="9" t="s">
        <v>583</v>
      </c>
      <c r="F33" s="9" t="s">
        <v>545</v>
      </c>
      <c r="G33" s="20" t="s">
        <v>154</v>
      </c>
      <c r="H33" s="20" t="s">
        <v>546</v>
      </c>
      <c r="I33" s="21" t="s">
        <v>547</v>
      </c>
      <c r="J33" s="10"/>
      <c r="K33" s="10" t="str">
        <f>"107,0"</f>
        <v>107,0</v>
      </c>
      <c r="L33" s="10" t="str">
        <f>"58,3578"</f>
        <v>58,3578</v>
      </c>
      <c r="M33" s="9"/>
    </row>
    <row r="34" spans="1:13">
      <c r="A34" s="12" t="s">
        <v>93</v>
      </c>
      <c r="B34" s="11" t="s">
        <v>347</v>
      </c>
      <c r="C34" s="11" t="s">
        <v>348</v>
      </c>
      <c r="D34" s="11" t="s">
        <v>349</v>
      </c>
      <c r="E34" s="11" t="s">
        <v>583</v>
      </c>
      <c r="F34" s="11" t="s">
        <v>248</v>
      </c>
      <c r="G34" s="23" t="s">
        <v>98</v>
      </c>
      <c r="H34" s="23" t="s">
        <v>151</v>
      </c>
      <c r="I34" s="22" t="s">
        <v>99</v>
      </c>
      <c r="J34" s="12"/>
      <c r="K34" s="12" t="str">
        <f>"90,0"</f>
        <v>90,0</v>
      </c>
      <c r="L34" s="12" t="str">
        <f>"49,3470"</f>
        <v>49,3470</v>
      </c>
      <c r="M34" s="11" t="s">
        <v>350</v>
      </c>
    </row>
    <row r="35" spans="1:13">
      <c r="B35" s="5" t="s">
        <v>92</v>
      </c>
    </row>
    <row r="36" spans="1:13">
      <c r="B36" s="5" t="s">
        <v>92</v>
      </c>
    </row>
    <row r="37" spans="1:13">
      <c r="B37" s="5" t="s">
        <v>92</v>
      </c>
    </row>
    <row r="38" spans="1:13" ht="18">
      <c r="B38" s="13" t="s">
        <v>75</v>
      </c>
      <c r="C38" s="13"/>
      <c r="F38" s="3"/>
    </row>
    <row r="39" spans="1:13" ht="14">
      <c r="B39" s="15"/>
      <c r="C39" s="16" t="s">
        <v>77</v>
      </c>
      <c r="F39" s="3"/>
    </row>
    <row r="40" spans="1:13" ht="14">
      <c r="B40" s="17" t="s">
        <v>78</v>
      </c>
      <c r="C40" s="17" t="s">
        <v>79</v>
      </c>
      <c r="D40" s="17" t="s">
        <v>566</v>
      </c>
      <c r="E40" s="17" t="s">
        <v>304</v>
      </c>
      <c r="F40" s="17" t="s">
        <v>305</v>
      </c>
    </row>
    <row r="41" spans="1:13">
      <c r="B41" s="5" t="s">
        <v>516</v>
      </c>
      <c r="C41" s="5" t="s">
        <v>77</v>
      </c>
      <c r="D41" s="6" t="s">
        <v>134</v>
      </c>
      <c r="E41" s="6" t="s">
        <v>519</v>
      </c>
      <c r="F41" s="6" t="s">
        <v>548</v>
      </c>
    </row>
    <row r="42" spans="1:13">
      <c r="B42" s="5" t="s">
        <v>537</v>
      </c>
      <c r="C42" s="5" t="s">
        <v>77</v>
      </c>
      <c r="D42" s="6" t="s">
        <v>86</v>
      </c>
      <c r="E42" s="6" t="s">
        <v>110</v>
      </c>
      <c r="F42" s="6" t="s">
        <v>549</v>
      </c>
    </row>
    <row r="43" spans="1:13">
      <c r="B43" s="5" t="s">
        <v>542</v>
      </c>
      <c r="C43" s="5" t="s">
        <v>77</v>
      </c>
      <c r="D43" s="6" t="s">
        <v>550</v>
      </c>
      <c r="E43" s="6" t="s">
        <v>546</v>
      </c>
      <c r="F43" s="6" t="s">
        <v>551</v>
      </c>
    </row>
  </sheetData>
  <mergeCells count="19">
    <mergeCell ref="A32:J32"/>
    <mergeCell ref="B3:B4"/>
    <mergeCell ref="A8:J8"/>
    <mergeCell ref="A12:J12"/>
    <mergeCell ref="A16:J16"/>
    <mergeCell ref="A20:J20"/>
    <mergeCell ref="A24:J24"/>
    <mergeCell ref="A27:J27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F035D-7B7D-40E9-9CBB-DA06CBC48AF5}">
  <dimension ref="A1:U37"/>
  <sheetViews>
    <sheetView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0" style="5" customWidth="1"/>
    <col min="22" max="16384" width="9.1640625" style="3"/>
  </cols>
  <sheetData>
    <row r="1" spans="1:21" s="2" customFormat="1" ht="29" customHeight="1">
      <c r="A1" s="41" t="s">
        <v>555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579</v>
      </c>
      <c r="B3" s="54" t="s">
        <v>0</v>
      </c>
      <c r="C3" s="51" t="s">
        <v>581</v>
      </c>
      <c r="D3" s="51" t="s">
        <v>6</v>
      </c>
      <c r="E3" s="35" t="s">
        <v>582</v>
      </c>
      <c r="F3" s="35" t="s">
        <v>5</v>
      </c>
      <c r="G3" s="35" t="s">
        <v>7</v>
      </c>
      <c r="H3" s="35"/>
      <c r="I3" s="35"/>
      <c r="J3" s="35"/>
      <c r="K3" s="35" t="s">
        <v>8</v>
      </c>
      <c r="L3" s="35"/>
      <c r="M3" s="35"/>
      <c r="N3" s="35"/>
      <c r="O3" s="35" t="s">
        <v>9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6"/>
      <c r="T4" s="36"/>
      <c r="U4" s="38"/>
    </row>
    <row r="5" spans="1:21" ht="16">
      <c r="A5" s="39" t="s">
        <v>138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8" t="s">
        <v>91</v>
      </c>
      <c r="B6" s="7" t="s">
        <v>139</v>
      </c>
      <c r="C6" s="7" t="s">
        <v>140</v>
      </c>
      <c r="D6" s="7" t="s">
        <v>141</v>
      </c>
      <c r="E6" s="7" t="s">
        <v>583</v>
      </c>
      <c r="F6" s="7" t="s">
        <v>142</v>
      </c>
      <c r="G6" s="18" t="s">
        <v>143</v>
      </c>
      <c r="H6" s="18" t="s">
        <v>29</v>
      </c>
      <c r="I6" s="18" t="s">
        <v>144</v>
      </c>
      <c r="J6" s="8"/>
      <c r="K6" s="18" t="s">
        <v>112</v>
      </c>
      <c r="L6" s="18" t="s">
        <v>145</v>
      </c>
      <c r="M6" s="19" t="s">
        <v>121</v>
      </c>
      <c r="N6" s="8"/>
      <c r="O6" s="18" t="s">
        <v>17</v>
      </c>
      <c r="P6" s="18" t="s">
        <v>130</v>
      </c>
      <c r="Q6" s="18" t="s">
        <v>131</v>
      </c>
      <c r="R6" s="8"/>
      <c r="S6" s="8" t="str">
        <f>"352,5"</f>
        <v>352,5</v>
      </c>
      <c r="T6" s="8" t="str">
        <f>"462,5857"</f>
        <v>462,5857</v>
      </c>
      <c r="U6" s="7" t="s">
        <v>146</v>
      </c>
    </row>
    <row r="7" spans="1:21">
      <c r="B7" s="5" t="s">
        <v>92</v>
      </c>
    </row>
    <row r="8" spans="1:21" ht="16">
      <c r="A8" s="52" t="s">
        <v>147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10" t="s">
        <v>91</v>
      </c>
      <c r="B9" s="9" t="s">
        <v>148</v>
      </c>
      <c r="C9" s="9" t="s">
        <v>149</v>
      </c>
      <c r="D9" s="9" t="s">
        <v>150</v>
      </c>
      <c r="E9" s="9" t="s">
        <v>587</v>
      </c>
      <c r="F9" s="9" t="s">
        <v>14</v>
      </c>
      <c r="G9" s="20" t="s">
        <v>151</v>
      </c>
      <c r="H9" s="20" t="s">
        <v>152</v>
      </c>
      <c r="I9" s="21" t="s">
        <v>100</v>
      </c>
      <c r="J9" s="10"/>
      <c r="K9" s="20" t="s">
        <v>122</v>
      </c>
      <c r="L9" s="20" t="s">
        <v>123</v>
      </c>
      <c r="M9" s="21" t="s">
        <v>153</v>
      </c>
      <c r="N9" s="10"/>
      <c r="O9" s="20" t="s">
        <v>100</v>
      </c>
      <c r="P9" s="20" t="s">
        <v>154</v>
      </c>
      <c r="Q9" s="20" t="s">
        <v>155</v>
      </c>
      <c r="R9" s="10"/>
      <c r="S9" s="10" t="str">
        <f>"280,0"</f>
        <v>280,0</v>
      </c>
      <c r="T9" s="10" t="str">
        <f>"329,9240"</f>
        <v>329,9240</v>
      </c>
      <c r="U9" s="9" t="s">
        <v>156</v>
      </c>
    </row>
    <row r="10" spans="1:21">
      <c r="A10" s="25" t="s">
        <v>91</v>
      </c>
      <c r="B10" s="24" t="s">
        <v>157</v>
      </c>
      <c r="C10" s="24" t="s">
        <v>158</v>
      </c>
      <c r="D10" s="24" t="s">
        <v>159</v>
      </c>
      <c r="E10" s="24" t="s">
        <v>583</v>
      </c>
      <c r="F10" s="24" t="s">
        <v>40</v>
      </c>
      <c r="G10" s="26" t="s">
        <v>100</v>
      </c>
      <c r="H10" s="26" t="s">
        <v>154</v>
      </c>
      <c r="I10" s="26" t="s">
        <v>155</v>
      </c>
      <c r="J10" s="25"/>
      <c r="K10" s="26" t="s">
        <v>111</v>
      </c>
      <c r="L10" s="26" t="s">
        <v>113</v>
      </c>
      <c r="M10" s="27" t="s">
        <v>145</v>
      </c>
      <c r="N10" s="25"/>
      <c r="O10" s="26" t="s">
        <v>130</v>
      </c>
      <c r="P10" s="26" t="s">
        <v>160</v>
      </c>
      <c r="Q10" s="25"/>
      <c r="R10" s="25"/>
      <c r="S10" s="25" t="str">
        <f>"335,0"</f>
        <v>335,0</v>
      </c>
      <c r="T10" s="25" t="str">
        <f>"407,8960"</f>
        <v>407,8960</v>
      </c>
      <c r="U10" s="24" t="s">
        <v>146</v>
      </c>
    </row>
    <row r="11" spans="1:21">
      <c r="A11" s="12" t="s">
        <v>93</v>
      </c>
      <c r="B11" s="11" t="s">
        <v>161</v>
      </c>
      <c r="C11" s="11" t="s">
        <v>162</v>
      </c>
      <c r="D11" s="11" t="s">
        <v>163</v>
      </c>
      <c r="E11" s="11" t="s">
        <v>583</v>
      </c>
      <c r="F11" s="11" t="s">
        <v>567</v>
      </c>
      <c r="G11" s="23" t="s">
        <v>151</v>
      </c>
      <c r="H11" s="23" t="s">
        <v>103</v>
      </c>
      <c r="I11" s="22" t="s">
        <v>164</v>
      </c>
      <c r="J11" s="12"/>
      <c r="K11" s="23" t="s">
        <v>112</v>
      </c>
      <c r="L11" s="23" t="s">
        <v>145</v>
      </c>
      <c r="M11" s="22" t="s">
        <v>121</v>
      </c>
      <c r="N11" s="12"/>
      <c r="O11" s="23" t="s">
        <v>29</v>
      </c>
      <c r="P11" s="23" t="s">
        <v>165</v>
      </c>
      <c r="Q11" s="22" t="s">
        <v>31</v>
      </c>
      <c r="R11" s="12"/>
      <c r="S11" s="12" t="str">
        <f>"292,5"</f>
        <v>292,5</v>
      </c>
      <c r="T11" s="12" t="str">
        <f>"357,7275"</f>
        <v>357,7275</v>
      </c>
      <c r="U11" s="11" t="s">
        <v>166</v>
      </c>
    </row>
    <row r="12" spans="1:21">
      <c r="B12" s="5" t="s">
        <v>92</v>
      </c>
    </row>
    <row r="13" spans="1:21" ht="16">
      <c r="A13" s="52" t="s">
        <v>116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21">
      <c r="A14" s="8" t="s">
        <v>91</v>
      </c>
      <c r="B14" s="7" t="s">
        <v>167</v>
      </c>
      <c r="C14" s="7" t="s">
        <v>168</v>
      </c>
      <c r="D14" s="7" t="s">
        <v>169</v>
      </c>
      <c r="E14" s="7" t="s">
        <v>583</v>
      </c>
      <c r="F14" s="7" t="s">
        <v>170</v>
      </c>
      <c r="G14" s="18" t="s">
        <v>27</v>
      </c>
      <c r="H14" s="18" t="s">
        <v>28</v>
      </c>
      <c r="I14" s="18" t="s">
        <v>171</v>
      </c>
      <c r="J14" s="8"/>
      <c r="K14" s="18" t="s">
        <v>29</v>
      </c>
      <c r="L14" s="18" t="s">
        <v>144</v>
      </c>
      <c r="M14" s="19" t="s">
        <v>30</v>
      </c>
      <c r="N14" s="8"/>
      <c r="O14" s="18" t="s">
        <v>20</v>
      </c>
      <c r="P14" s="18" t="s">
        <v>128</v>
      </c>
      <c r="Q14" s="19" t="s">
        <v>16</v>
      </c>
      <c r="R14" s="8"/>
      <c r="S14" s="8" t="str">
        <f>"590,0"</f>
        <v>590,0</v>
      </c>
      <c r="T14" s="8" t="str">
        <f>"420,4340"</f>
        <v>420,4340</v>
      </c>
      <c r="U14" s="7"/>
    </row>
    <row r="15" spans="1:21">
      <c r="B15" s="5" t="s">
        <v>92</v>
      </c>
    </row>
    <row r="16" spans="1:21" ht="16">
      <c r="A16" s="52" t="s">
        <v>21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21">
      <c r="A17" s="10" t="s">
        <v>91</v>
      </c>
      <c r="B17" s="9" t="s">
        <v>172</v>
      </c>
      <c r="C17" s="9" t="s">
        <v>173</v>
      </c>
      <c r="D17" s="9" t="s">
        <v>174</v>
      </c>
      <c r="E17" s="9" t="s">
        <v>583</v>
      </c>
      <c r="F17" s="9" t="s">
        <v>567</v>
      </c>
      <c r="G17" s="20" t="s">
        <v>129</v>
      </c>
      <c r="H17" s="20" t="s">
        <v>64</v>
      </c>
      <c r="I17" s="20" t="s">
        <v>59</v>
      </c>
      <c r="J17" s="10"/>
      <c r="K17" s="20" t="s">
        <v>63</v>
      </c>
      <c r="L17" s="20" t="s">
        <v>27</v>
      </c>
      <c r="M17" s="21" t="s">
        <v>175</v>
      </c>
      <c r="N17" s="10"/>
      <c r="O17" s="21" t="s">
        <v>176</v>
      </c>
      <c r="P17" s="20" t="s">
        <v>176</v>
      </c>
      <c r="Q17" s="21" t="s">
        <v>135</v>
      </c>
      <c r="R17" s="10"/>
      <c r="S17" s="10" t="str">
        <f>"795,0"</f>
        <v>795,0</v>
      </c>
      <c r="T17" s="10" t="str">
        <f>"490,1970"</f>
        <v>490,1970</v>
      </c>
      <c r="U17" s="9"/>
    </row>
    <row r="18" spans="1:21">
      <c r="A18" s="12" t="s">
        <v>93</v>
      </c>
      <c r="B18" s="11" t="s">
        <v>177</v>
      </c>
      <c r="C18" s="11" t="s">
        <v>178</v>
      </c>
      <c r="D18" s="11" t="s">
        <v>179</v>
      </c>
      <c r="E18" s="11" t="s">
        <v>583</v>
      </c>
      <c r="F18" s="11" t="s">
        <v>568</v>
      </c>
      <c r="G18" s="22" t="s">
        <v>28</v>
      </c>
      <c r="H18" s="23" t="s">
        <v>28</v>
      </c>
      <c r="I18" s="22" t="s">
        <v>180</v>
      </c>
      <c r="J18" s="12"/>
      <c r="K18" s="23" t="s">
        <v>30</v>
      </c>
      <c r="L18" s="23" t="s">
        <v>181</v>
      </c>
      <c r="M18" s="23" t="s">
        <v>182</v>
      </c>
      <c r="N18" s="12"/>
      <c r="O18" s="23" t="s">
        <v>27</v>
      </c>
      <c r="P18" s="23" t="s">
        <v>32</v>
      </c>
      <c r="Q18" s="23" t="s">
        <v>183</v>
      </c>
      <c r="R18" s="12"/>
      <c r="S18" s="12" t="str">
        <f>"562,5"</f>
        <v>562,5</v>
      </c>
      <c r="T18" s="12" t="str">
        <f>"348,0750"</f>
        <v>348,0750</v>
      </c>
      <c r="U18" s="11"/>
    </row>
    <row r="19" spans="1:21">
      <c r="B19" s="5" t="s">
        <v>92</v>
      </c>
    </row>
    <row r="20" spans="1:21" ht="16">
      <c r="A20" s="52" t="s">
        <v>36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21">
      <c r="A21" s="10" t="s">
        <v>91</v>
      </c>
      <c r="B21" s="9" t="s">
        <v>184</v>
      </c>
      <c r="C21" s="9" t="s">
        <v>185</v>
      </c>
      <c r="D21" s="9" t="s">
        <v>186</v>
      </c>
      <c r="E21" s="9" t="s">
        <v>584</v>
      </c>
      <c r="F21" s="9" t="s">
        <v>569</v>
      </c>
      <c r="G21" s="21" t="s">
        <v>128</v>
      </c>
      <c r="H21" s="21" t="s">
        <v>16</v>
      </c>
      <c r="I21" s="20" t="s">
        <v>16</v>
      </c>
      <c r="J21" s="10"/>
      <c r="K21" s="20" t="s">
        <v>27</v>
      </c>
      <c r="L21" s="20" t="s">
        <v>187</v>
      </c>
      <c r="M21" s="20" t="s">
        <v>188</v>
      </c>
      <c r="N21" s="10"/>
      <c r="O21" s="20" t="s">
        <v>132</v>
      </c>
      <c r="P21" s="20" t="s">
        <v>52</v>
      </c>
      <c r="Q21" s="10"/>
      <c r="R21" s="10"/>
      <c r="S21" s="10" t="str">
        <f>"792,5"</f>
        <v>792,5</v>
      </c>
      <c r="T21" s="10" t="str">
        <f>"467,1788"</f>
        <v>467,1788</v>
      </c>
      <c r="U21" s="9"/>
    </row>
    <row r="22" spans="1:21">
      <c r="A22" s="25" t="s">
        <v>91</v>
      </c>
      <c r="B22" s="24" t="s">
        <v>184</v>
      </c>
      <c r="C22" s="24" t="s">
        <v>189</v>
      </c>
      <c r="D22" s="24" t="s">
        <v>186</v>
      </c>
      <c r="E22" s="24" t="s">
        <v>583</v>
      </c>
      <c r="F22" s="24" t="s">
        <v>569</v>
      </c>
      <c r="G22" s="27" t="s">
        <v>128</v>
      </c>
      <c r="H22" s="27" t="s">
        <v>16</v>
      </c>
      <c r="I22" s="26" t="s">
        <v>16</v>
      </c>
      <c r="J22" s="25"/>
      <c r="K22" s="26" t="s">
        <v>27</v>
      </c>
      <c r="L22" s="26" t="s">
        <v>187</v>
      </c>
      <c r="M22" s="26" t="s">
        <v>188</v>
      </c>
      <c r="N22" s="25"/>
      <c r="O22" s="26" t="s">
        <v>132</v>
      </c>
      <c r="P22" s="26" t="s">
        <v>52</v>
      </c>
      <c r="Q22" s="25"/>
      <c r="R22" s="25"/>
      <c r="S22" s="25" t="str">
        <f>"792,5"</f>
        <v>792,5</v>
      </c>
      <c r="T22" s="25" t="str">
        <f>"467,1788"</f>
        <v>467,1788</v>
      </c>
      <c r="U22" s="24"/>
    </row>
    <row r="23" spans="1:21">
      <c r="A23" s="25" t="s">
        <v>93</v>
      </c>
      <c r="B23" s="24" t="s">
        <v>190</v>
      </c>
      <c r="C23" s="24" t="s">
        <v>191</v>
      </c>
      <c r="D23" s="24" t="s">
        <v>192</v>
      </c>
      <c r="E23" s="24" t="s">
        <v>583</v>
      </c>
      <c r="F23" s="24" t="s">
        <v>193</v>
      </c>
      <c r="G23" s="26" t="s">
        <v>27</v>
      </c>
      <c r="H23" s="26" t="s">
        <v>32</v>
      </c>
      <c r="I23" s="26" t="s">
        <v>33</v>
      </c>
      <c r="J23" s="25"/>
      <c r="K23" s="26" t="s">
        <v>30</v>
      </c>
      <c r="L23" s="26" t="s">
        <v>17</v>
      </c>
      <c r="M23" s="25"/>
      <c r="N23" s="25"/>
      <c r="O23" s="26" t="s">
        <v>20</v>
      </c>
      <c r="P23" s="26" t="s">
        <v>128</v>
      </c>
      <c r="Q23" s="26" t="s">
        <v>59</v>
      </c>
      <c r="R23" s="25"/>
      <c r="S23" s="25" t="str">
        <f>"650,0"</f>
        <v>650,0</v>
      </c>
      <c r="T23" s="25" t="str">
        <f>"386,6200"</f>
        <v>386,6200</v>
      </c>
      <c r="U23" s="24"/>
    </row>
    <row r="24" spans="1:21">
      <c r="A24" s="12" t="s">
        <v>91</v>
      </c>
      <c r="B24" s="11" t="s">
        <v>190</v>
      </c>
      <c r="C24" s="11" t="s">
        <v>194</v>
      </c>
      <c r="D24" s="11" t="s">
        <v>192</v>
      </c>
      <c r="E24" s="11" t="s">
        <v>586</v>
      </c>
      <c r="F24" s="11" t="s">
        <v>193</v>
      </c>
      <c r="G24" s="23" t="s">
        <v>27</v>
      </c>
      <c r="H24" s="23" t="s">
        <v>32</v>
      </c>
      <c r="I24" s="23" t="s">
        <v>33</v>
      </c>
      <c r="J24" s="12"/>
      <c r="K24" s="23" t="s">
        <v>30</v>
      </c>
      <c r="L24" s="23" t="s">
        <v>17</v>
      </c>
      <c r="M24" s="12"/>
      <c r="N24" s="12"/>
      <c r="O24" s="23" t="s">
        <v>20</v>
      </c>
      <c r="P24" s="23" t="s">
        <v>128</v>
      </c>
      <c r="Q24" s="23" t="s">
        <v>59</v>
      </c>
      <c r="R24" s="12"/>
      <c r="S24" s="12" t="str">
        <f>"650,0"</f>
        <v>650,0</v>
      </c>
      <c r="T24" s="12" t="str">
        <f>"397,4454"</f>
        <v>397,4454</v>
      </c>
      <c r="U24" s="11"/>
    </row>
    <row r="25" spans="1:21">
      <c r="B25" s="5" t="s">
        <v>92</v>
      </c>
    </row>
    <row r="26" spans="1:21" ht="16">
      <c r="A26" s="52" t="s">
        <v>54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21">
      <c r="A27" s="8" t="s">
        <v>91</v>
      </c>
      <c r="B27" s="7" t="s">
        <v>195</v>
      </c>
      <c r="C27" s="7" t="s">
        <v>196</v>
      </c>
      <c r="D27" s="7" t="s">
        <v>197</v>
      </c>
      <c r="E27" s="7" t="s">
        <v>584</v>
      </c>
      <c r="F27" s="7" t="s">
        <v>51</v>
      </c>
      <c r="G27" s="18" t="s">
        <v>132</v>
      </c>
      <c r="H27" s="18" t="s">
        <v>53</v>
      </c>
      <c r="I27" s="18" t="s">
        <v>52</v>
      </c>
      <c r="J27" s="8"/>
      <c r="K27" s="18" t="s">
        <v>27</v>
      </c>
      <c r="L27" s="18" t="s">
        <v>28</v>
      </c>
      <c r="M27" s="18" t="s">
        <v>32</v>
      </c>
      <c r="N27" s="8"/>
      <c r="O27" s="18" t="s">
        <v>15</v>
      </c>
      <c r="P27" s="18" t="s">
        <v>128</v>
      </c>
      <c r="Q27" s="18" t="s">
        <v>16</v>
      </c>
      <c r="R27" s="8"/>
      <c r="S27" s="8" t="str">
        <f>"800,0"</f>
        <v>800,0</v>
      </c>
      <c r="T27" s="8" t="str">
        <f>"448,1600"</f>
        <v>448,1600</v>
      </c>
      <c r="U27" s="7"/>
    </row>
    <row r="28" spans="1:21">
      <c r="B28" s="5" t="s">
        <v>92</v>
      </c>
    </row>
    <row r="29" spans="1:21">
      <c r="B29" s="5" t="s">
        <v>92</v>
      </c>
    </row>
    <row r="30" spans="1:21">
      <c r="B30" s="5" t="s">
        <v>92</v>
      </c>
    </row>
    <row r="31" spans="1:21" ht="18">
      <c r="B31" s="13" t="s">
        <v>75</v>
      </c>
      <c r="C31" s="13"/>
      <c r="F31" s="3"/>
    </row>
    <row r="32" spans="1:21" ht="16">
      <c r="B32" s="14" t="s">
        <v>76</v>
      </c>
      <c r="C32" s="14"/>
      <c r="F32" s="3"/>
    </row>
    <row r="33" spans="2:6" ht="14">
      <c r="B33" s="15"/>
      <c r="C33" s="16" t="s">
        <v>77</v>
      </c>
      <c r="F33" s="3"/>
    </row>
    <row r="34" spans="2:6" ht="14">
      <c r="B34" s="17" t="s">
        <v>78</v>
      </c>
      <c r="C34" s="17" t="s">
        <v>79</v>
      </c>
      <c r="D34" s="17" t="s">
        <v>566</v>
      </c>
      <c r="E34" s="17" t="s">
        <v>81</v>
      </c>
      <c r="F34" s="17" t="s">
        <v>82</v>
      </c>
    </row>
    <row r="35" spans="2:6">
      <c r="B35" s="5" t="s">
        <v>172</v>
      </c>
      <c r="C35" s="5" t="s">
        <v>77</v>
      </c>
      <c r="D35" s="6" t="s">
        <v>205</v>
      </c>
      <c r="E35" s="6" t="s">
        <v>206</v>
      </c>
      <c r="F35" s="6" t="s">
        <v>207</v>
      </c>
    </row>
    <row r="36" spans="2:6">
      <c r="B36" s="5" t="s">
        <v>184</v>
      </c>
      <c r="C36" s="5" t="s">
        <v>77</v>
      </c>
      <c r="D36" s="6" t="s">
        <v>86</v>
      </c>
      <c r="E36" s="6" t="s">
        <v>203</v>
      </c>
      <c r="F36" s="6" t="s">
        <v>204</v>
      </c>
    </row>
    <row r="37" spans="2:6">
      <c r="B37" s="5" t="s">
        <v>167</v>
      </c>
      <c r="C37" s="5" t="s">
        <v>77</v>
      </c>
      <c r="D37" s="6" t="s">
        <v>134</v>
      </c>
      <c r="E37" s="6" t="s">
        <v>208</v>
      </c>
      <c r="F37" s="6" t="s">
        <v>209</v>
      </c>
    </row>
  </sheetData>
  <mergeCells count="19">
    <mergeCell ref="A26:R26"/>
    <mergeCell ref="A5:R5"/>
    <mergeCell ref="A8:R8"/>
    <mergeCell ref="A13:R13"/>
    <mergeCell ref="A16:R16"/>
    <mergeCell ref="A20:R20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87177-B2E3-4FD1-9FED-A0E2A753BEDF}">
  <dimension ref="A1:U16"/>
  <sheetViews>
    <sheetView workbookViewId="0">
      <selection activeCell="E16" sqref="E16"/>
    </sheetView>
  </sheetViews>
  <sheetFormatPr baseColWidth="10" defaultColWidth="9.1640625" defaultRowHeight="13"/>
  <cols>
    <col min="1" max="1" width="7.5" style="5" bestFit="1" customWidth="1"/>
    <col min="2" max="2" width="16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8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28" bestFit="1" customWidth="1"/>
    <col min="20" max="20" width="8.5" style="6" bestFit="1" customWidth="1"/>
    <col min="21" max="21" width="17" style="5" customWidth="1"/>
    <col min="22" max="16384" width="9.1640625" style="3"/>
  </cols>
  <sheetData>
    <row r="1" spans="1:21" s="2" customFormat="1" ht="29" customHeight="1">
      <c r="A1" s="41" t="s">
        <v>556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579</v>
      </c>
      <c r="B3" s="54" t="s">
        <v>0</v>
      </c>
      <c r="C3" s="51" t="s">
        <v>581</v>
      </c>
      <c r="D3" s="51" t="s">
        <v>6</v>
      </c>
      <c r="E3" s="35" t="s">
        <v>582</v>
      </c>
      <c r="F3" s="35" t="s">
        <v>5</v>
      </c>
      <c r="G3" s="35" t="s">
        <v>7</v>
      </c>
      <c r="H3" s="35"/>
      <c r="I3" s="35"/>
      <c r="J3" s="35"/>
      <c r="K3" s="35" t="s">
        <v>8</v>
      </c>
      <c r="L3" s="35"/>
      <c r="M3" s="35"/>
      <c r="N3" s="35"/>
      <c r="O3" s="35" t="s">
        <v>9</v>
      </c>
      <c r="P3" s="35"/>
      <c r="Q3" s="35"/>
      <c r="R3" s="35"/>
      <c r="S3" s="33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4"/>
      <c r="T4" s="36"/>
      <c r="U4" s="38"/>
    </row>
    <row r="5" spans="1:21" ht="16">
      <c r="A5" s="39" t="s">
        <v>94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8" t="s">
        <v>91</v>
      </c>
      <c r="B6" s="7" t="s">
        <v>95</v>
      </c>
      <c r="C6" s="7" t="s">
        <v>96</v>
      </c>
      <c r="D6" s="7" t="s">
        <v>97</v>
      </c>
      <c r="E6" s="7" t="s">
        <v>583</v>
      </c>
      <c r="F6" s="7" t="s">
        <v>40</v>
      </c>
      <c r="G6" s="18" t="s">
        <v>98</v>
      </c>
      <c r="H6" s="18" t="s">
        <v>99</v>
      </c>
      <c r="I6" s="19" t="s">
        <v>100</v>
      </c>
      <c r="J6" s="8"/>
      <c r="K6" s="18" t="s">
        <v>101</v>
      </c>
      <c r="L6" s="19" t="s">
        <v>102</v>
      </c>
      <c r="M6" s="18" t="s">
        <v>102</v>
      </c>
      <c r="N6" s="8"/>
      <c r="O6" s="18" t="s">
        <v>98</v>
      </c>
      <c r="P6" s="18" t="s">
        <v>99</v>
      </c>
      <c r="Q6" s="18" t="s">
        <v>103</v>
      </c>
      <c r="R6" s="8"/>
      <c r="S6" s="32" t="str">
        <f>"237,5"</f>
        <v>237,5</v>
      </c>
      <c r="T6" s="8" t="str">
        <f>"316,4925"</f>
        <v>316,4925</v>
      </c>
      <c r="U6" s="7" t="s">
        <v>104</v>
      </c>
    </row>
    <row r="7" spans="1:21">
      <c r="B7" s="5" t="s">
        <v>92</v>
      </c>
    </row>
    <row r="8" spans="1:21" ht="16">
      <c r="A8" s="52" t="s">
        <v>105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8" t="s">
        <v>91</v>
      </c>
      <c r="B9" s="7" t="s">
        <v>106</v>
      </c>
      <c r="C9" s="7" t="s">
        <v>107</v>
      </c>
      <c r="D9" s="7" t="s">
        <v>108</v>
      </c>
      <c r="E9" s="7" t="s">
        <v>583</v>
      </c>
      <c r="F9" s="7" t="s">
        <v>109</v>
      </c>
      <c r="G9" s="18" t="s">
        <v>100</v>
      </c>
      <c r="H9" s="19" t="s">
        <v>110</v>
      </c>
      <c r="I9" s="19" t="s">
        <v>110</v>
      </c>
      <c r="J9" s="8"/>
      <c r="K9" s="18" t="s">
        <v>111</v>
      </c>
      <c r="L9" s="18" t="s">
        <v>112</v>
      </c>
      <c r="M9" s="19" t="s">
        <v>113</v>
      </c>
      <c r="N9" s="8"/>
      <c r="O9" s="18" t="s">
        <v>100</v>
      </c>
      <c r="P9" s="18" t="s">
        <v>110</v>
      </c>
      <c r="Q9" s="18" t="s">
        <v>114</v>
      </c>
      <c r="R9" s="8"/>
      <c r="S9" s="32" t="str">
        <f>"280,0"</f>
        <v>280,0</v>
      </c>
      <c r="T9" s="8" t="str">
        <f>"288,8760"</f>
        <v>288,8760</v>
      </c>
      <c r="U9" s="7" t="s">
        <v>115</v>
      </c>
    </row>
    <row r="10" spans="1:21">
      <c r="B10" s="5" t="s">
        <v>92</v>
      </c>
    </row>
    <row r="11" spans="1:21" ht="16">
      <c r="A11" s="52" t="s">
        <v>116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21">
      <c r="A12" s="8" t="s">
        <v>91</v>
      </c>
      <c r="B12" s="7" t="s">
        <v>117</v>
      </c>
      <c r="C12" s="7" t="s">
        <v>118</v>
      </c>
      <c r="D12" s="7" t="s">
        <v>119</v>
      </c>
      <c r="E12" s="7" t="s">
        <v>583</v>
      </c>
      <c r="F12" s="7" t="s">
        <v>40</v>
      </c>
      <c r="G12" s="18" t="s">
        <v>29</v>
      </c>
      <c r="H12" s="18" t="s">
        <v>30</v>
      </c>
      <c r="I12" s="18" t="s">
        <v>120</v>
      </c>
      <c r="J12" s="8"/>
      <c r="K12" s="18" t="s">
        <v>121</v>
      </c>
      <c r="L12" s="18" t="s">
        <v>122</v>
      </c>
      <c r="M12" s="19" t="s">
        <v>123</v>
      </c>
      <c r="N12" s="8"/>
      <c r="O12" s="18" t="s">
        <v>110</v>
      </c>
      <c r="P12" s="19" t="s">
        <v>29</v>
      </c>
      <c r="Q12" s="18" t="s">
        <v>29</v>
      </c>
      <c r="R12" s="8"/>
      <c r="S12" s="32" t="str">
        <f>"335,0"</f>
        <v>335,0</v>
      </c>
      <c r="T12" s="8" t="str">
        <f>"338,0150"</f>
        <v>338,0150</v>
      </c>
      <c r="U12" s="7" t="s">
        <v>104</v>
      </c>
    </row>
    <row r="13" spans="1:21">
      <c r="B13" s="5" t="s">
        <v>92</v>
      </c>
    </row>
    <row r="14" spans="1:21" ht="16">
      <c r="A14" s="52" t="s">
        <v>10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21">
      <c r="A15" s="8" t="s">
        <v>137</v>
      </c>
      <c r="B15" s="7" t="s">
        <v>124</v>
      </c>
      <c r="C15" s="7" t="s">
        <v>125</v>
      </c>
      <c r="D15" s="7" t="s">
        <v>126</v>
      </c>
      <c r="E15" s="7" t="s">
        <v>583</v>
      </c>
      <c r="F15" s="7" t="s">
        <v>127</v>
      </c>
      <c r="G15" s="18" t="s">
        <v>15</v>
      </c>
      <c r="H15" s="18" t="s">
        <v>128</v>
      </c>
      <c r="I15" s="19" t="s">
        <v>129</v>
      </c>
      <c r="J15" s="8"/>
      <c r="K15" s="19" t="s">
        <v>130</v>
      </c>
      <c r="L15" s="19" t="s">
        <v>130</v>
      </c>
      <c r="M15" s="19" t="s">
        <v>131</v>
      </c>
      <c r="N15" s="8"/>
      <c r="O15" s="8"/>
      <c r="P15" s="8"/>
      <c r="Q15" s="19"/>
      <c r="R15" s="8"/>
      <c r="S15" s="32">
        <v>0</v>
      </c>
      <c r="T15" s="8" t="str">
        <f>"0,0000"</f>
        <v>0,0000</v>
      </c>
      <c r="U15" s="7" t="s">
        <v>65</v>
      </c>
    </row>
    <row r="16" spans="1:21">
      <c r="B16" s="5" t="s">
        <v>92</v>
      </c>
    </row>
  </sheetData>
  <mergeCells count="17">
    <mergeCell ref="A8:R8"/>
    <mergeCell ref="A11:R11"/>
    <mergeCell ref="A14:R14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>
    <pageSetUpPr fitToPage="1"/>
  </sheetPr>
  <dimension ref="A1:U30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41" t="s">
        <v>557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8"/>
    </row>
    <row r="3" spans="1:21" s="1" customFormat="1" ht="12.75" customHeight="1">
      <c r="A3" s="49" t="s">
        <v>579</v>
      </c>
      <c r="B3" s="54" t="s">
        <v>0</v>
      </c>
      <c r="C3" s="51" t="s">
        <v>581</v>
      </c>
      <c r="D3" s="51" t="s">
        <v>6</v>
      </c>
      <c r="E3" s="35" t="s">
        <v>582</v>
      </c>
      <c r="F3" s="35" t="s">
        <v>5</v>
      </c>
      <c r="G3" s="35" t="s">
        <v>7</v>
      </c>
      <c r="H3" s="35"/>
      <c r="I3" s="35"/>
      <c r="J3" s="35"/>
      <c r="K3" s="35" t="s">
        <v>8</v>
      </c>
      <c r="L3" s="35"/>
      <c r="M3" s="35"/>
      <c r="N3" s="35"/>
      <c r="O3" s="35" t="s">
        <v>9</v>
      </c>
      <c r="P3" s="35"/>
      <c r="Q3" s="35"/>
      <c r="R3" s="35"/>
      <c r="S3" s="35" t="s">
        <v>1</v>
      </c>
      <c r="T3" s="35" t="s">
        <v>3</v>
      </c>
      <c r="U3" s="37" t="s">
        <v>2</v>
      </c>
    </row>
    <row r="4" spans="1:21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36"/>
      <c r="T4" s="36"/>
      <c r="U4" s="38"/>
    </row>
    <row r="5" spans="1:21" ht="16">
      <c r="A5" s="39" t="s">
        <v>10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21">
      <c r="A6" s="8" t="s">
        <v>91</v>
      </c>
      <c r="B6" s="7" t="s">
        <v>11</v>
      </c>
      <c r="C6" s="7" t="s">
        <v>12</v>
      </c>
      <c r="D6" s="7" t="s">
        <v>13</v>
      </c>
      <c r="E6" s="7" t="s">
        <v>583</v>
      </c>
      <c r="F6" s="7" t="s">
        <v>14</v>
      </c>
      <c r="G6" s="18" t="s">
        <v>15</v>
      </c>
      <c r="H6" s="19" t="s">
        <v>16</v>
      </c>
      <c r="I6" s="19" t="s">
        <v>16</v>
      </c>
      <c r="J6" s="8"/>
      <c r="K6" s="18" t="s">
        <v>17</v>
      </c>
      <c r="L6" s="18" t="s">
        <v>18</v>
      </c>
      <c r="M6" s="18" t="s">
        <v>19</v>
      </c>
      <c r="N6" s="8"/>
      <c r="O6" s="19" t="s">
        <v>20</v>
      </c>
      <c r="P6" s="18" t="s">
        <v>20</v>
      </c>
      <c r="Q6" s="18" t="s">
        <v>15</v>
      </c>
      <c r="R6" s="8"/>
      <c r="S6" s="8" t="str">
        <f>"670,0"</f>
        <v>670,0</v>
      </c>
      <c r="T6" s="8" t="str">
        <f>"430,6760"</f>
        <v>430,6760</v>
      </c>
      <c r="U6" s="7"/>
    </row>
    <row r="7" spans="1:21">
      <c r="B7" s="5" t="s">
        <v>92</v>
      </c>
    </row>
    <row r="8" spans="1:21" ht="16">
      <c r="A8" s="52" t="s">
        <v>21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21">
      <c r="A9" s="8" t="s">
        <v>91</v>
      </c>
      <c r="B9" s="7" t="s">
        <v>22</v>
      </c>
      <c r="C9" s="7" t="s">
        <v>23</v>
      </c>
      <c r="D9" s="7" t="s">
        <v>24</v>
      </c>
      <c r="E9" s="7" t="s">
        <v>583</v>
      </c>
      <c r="F9" s="7" t="s">
        <v>25</v>
      </c>
      <c r="G9" s="18" t="s">
        <v>26</v>
      </c>
      <c r="H9" s="18" t="s">
        <v>27</v>
      </c>
      <c r="I9" s="18" t="s">
        <v>28</v>
      </c>
      <c r="J9" s="8"/>
      <c r="K9" s="18" t="s">
        <v>29</v>
      </c>
      <c r="L9" s="18" t="s">
        <v>30</v>
      </c>
      <c r="M9" s="18" t="s">
        <v>31</v>
      </c>
      <c r="N9" s="8"/>
      <c r="O9" s="18" t="s">
        <v>32</v>
      </c>
      <c r="P9" s="18" t="s">
        <v>33</v>
      </c>
      <c r="Q9" s="18" t="s">
        <v>34</v>
      </c>
      <c r="R9" s="8"/>
      <c r="S9" s="8" t="str">
        <f>"560,0"</f>
        <v>560,0</v>
      </c>
      <c r="T9" s="8" t="str">
        <f>"345,1280"</f>
        <v>345,1280</v>
      </c>
      <c r="U9" s="7" t="s">
        <v>35</v>
      </c>
    </row>
    <row r="10" spans="1:21">
      <c r="B10" s="5" t="s">
        <v>92</v>
      </c>
    </row>
    <row r="11" spans="1:21" ht="16">
      <c r="A11" s="52" t="s">
        <v>36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21">
      <c r="A12" s="10" t="s">
        <v>91</v>
      </c>
      <c r="B12" s="9" t="s">
        <v>37</v>
      </c>
      <c r="C12" s="9" t="s">
        <v>38</v>
      </c>
      <c r="D12" s="9" t="s">
        <v>39</v>
      </c>
      <c r="E12" s="9" t="s">
        <v>583</v>
      </c>
      <c r="F12" s="9" t="s">
        <v>40</v>
      </c>
      <c r="G12" s="20" t="s">
        <v>41</v>
      </c>
      <c r="H12" s="20" t="s">
        <v>42</v>
      </c>
      <c r="I12" s="21" t="s">
        <v>43</v>
      </c>
      <c r="J12" s="10"/>
      <c r="K12" s="20" t="s">
        <v>28</v>
      </c>
      <c r="L12" s="20" t="s">
        <v>32</v>
      </c>
      <c r="M12" s="21" t="s">
        <v>44</v>
      </c>
      <c r="N12" s="10"/>
      <c r="O12" s="21" t="s">
        <v>45</v>
      </c>
      <c r="P12" s="20" t="s">
        <v>45</v>
      </c>
      <c r="Q12" s="21" t="s">
        <v>46</v>
      </c>
      <c r="R12" s="10"/>
      <c r="S12" s="10" t="str">
        <f>"945,0"</f>
        <v>945,0</v>
      </c>
      <c r="T12" s="10" t="str">
        <f>"556,7940"</f>
        <v>556,7940</v>
      </c>
      <c r="U12" s="9" t="s">
        <v>47</v>
      </c>
    </row>
    <row r="13" spans="1:21">
      <c r="A13" s="12" t="s">
        <v>93</v>
      </c>
      <c r="B13" s="11" t="s">
        <v>48</v>
      </c>
      <c r="C13" s="11" t="s">
        <v>49</v>
      </c>
      <c r="D13" s="11" t="s">
        <v>50</v>
      </c>
      <c r="E13" s="11" t="s">
        <v>583</v>
      </c>
      <c r="F13" s="11" t="s">
        <v>51</v>
      </c>
      <c r="G13" s="22" t="s">
        <v>52</v>
      </c>
      <c r="H13" s="22" t="s">
        <v>52</v>
      </c>
      <c r="I13" s="23" t="s">
        <v>52</v>
      </c>
      <c r="J13" s="12"/>
      <c r="K13" s="23" t="s">
        <v>20</v>
      </c>
      <c r="L13" s="22" t="s">
        <v>15</v>
      </c>
      <c r="M13" s="22" t="s">
        <v>15</v>
      </c>
      <c r="N13" s="12"/>
      <c r="O13" s="22" t="s">
        <v>53</v>
      </c>
      <c r="P13" s="22" t="s">
        <v>53</v>
      </c>
      <c r="Q13" s="23" t="s">
        <v>53</v>
      </c>
      <c r="R13" s="12"/>
      <c r="S13" s="12" t="str">
        <f>"870,0"</f>
        <v>870,0</v>
      </c>
      <c r="T13" s="12" t="str">
        <f>"511,9950"</f>
        <v>511,9950</v>
      </c>
      <c r="U13" s="11"/>
    </row>
    <row r="14" spans="1:21">
      <c r="B14" s="5" t="s">
        <v>92</v>
      </c>
    </row>
    <row r="15" spans="1:21" ht="16">
      <c r="A15" s="52" t="s">
        <v>54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21">
      <c r="A16" s="8" t="s">
        <v>91</v>
      </c>
      <c r="B16" s="7" t="s">
        <v>55</v>
      </c>
      <c r="C16" s="7" t="s">
        <v>56</v>
      </c>
      <c r="D16" s="7" t="s">
        <v>57</v>
      </c>
      <c r="E16" s="7" t="s">
        <v>583</v>
      </c>
      <c r="F16" s="7" t="s">
        <v>58</v>
      </c>
      <c r="G16" s="18" t="s">
        <v>59</v>
      </c>
      <c r="H16" s="19" t="s">
        <v>60</v>
      </c>
      <c r="I16" s="19" t="s">
        <v>60</v>
      </c>
      <c r="J16" s="8"/>
      <c r="K16" s="18" t="s">
        <v>61</v>
      </c>
      <c r="L16" s="18" t="s">
        <v>62</v>
      </c>
      <c r="M16" s="19" t="s">
        <v>63</v>
      </c>
      <c r="N16" s="8"/>
      <c r="O16" s="19" t="s">
        <v>64</v>
      </c>
      <c r="P16" s="18" t="s">
        <v>64</v>
      </c>
      <c r="Q16" s="18" t="s">
        <v>60</v>
      </c>
      <c r="R16" s="8"/>
      <c r="S16" s="8" t="str">
        <f>"752,5"</f>
        <v>752,5</v>
      </c>
      <c r="T16" s="8" t="str">
        <f>"422,0772"</f>
        <v>422,0772</v>
      </c>
      <c r="U16" s="7" t="s">
        <v>65</v>
      </c>
    </row>
    <row r="17" spans="1:21">
      <c r="B17" s="5" t="s">
        <v>92</v>
      </c>
    </row>
    <row r="18" spans="1:21" ht="16">
      <c r="A18" s="52" t="s">
        <v>66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21">
      <c r="A19" s="8" t="s">
        <v>91</v>
      </c>
      <c r="B19" s="7" t="s">
        <v>67</v>
      </c>
      <c r="C19" s="7" t="s">
        <v>68</v>
      </c>
      <c r="D19" s="7" t="s">
        <v>69</v>
      </c>
      <c r="E19" s="7" t="s">
        <v>583</v>
      </c>
      <c r="F19" s="7" t="s">
        <v>70</v>
      </c>
      <c r="G19" s="18" t="s">
        <v>46</v>
      </c>
      <c r="H19" s="18" t="s">
        <v>71</v>
      </c>
      <c r="I19" s="18" t="s">
        <v>72</v>
      </c>
      <c r="J19" s="8"/>
      <c r="K19" s="18" t="s">
        <v>63</v>
      </c>
      <c r="L19" s="18" t="s">
        <v>28</v>
      </c>
      <c r="M19" s="18" t="s">
        <v>32</v>
      </c>
      <c r="N19" s="8"/>
      <c r="O19" s="18" t="s">
        <v>73</v>
      </c>
      <c r="P19" s="19" t="s">
        <v>74</v>
      </c>
      <c r="Q19" s="18" t="s">
        <v>74</v>
      </c>
      <c r="R19" s="8"/>
      <c r="S19" s="8" t="str">
        <f>"1020,0"</f>
        <v>1020,0</v>
      </c>
      <c r="T19" s="8" t="str">
        <f>"566,2020"</f>
        <v>566,2020</v>
      </c>
      <c r="U19" s="7"/>
    </row>
    <row r="20" spans="1:21">
      <c r="B20" s="5" t="s">
        <v>92</v>
      </c>
    </row>
    <row r="21" spans="1:21">
      <c r="B21" s="5" t="s">
        <v>92</v>
      </c>
    </row>
    <row r="22" spans="1:21">
      <c r="B22" s="5" t="s">
        <v>92</v>
      </c>
    </row>
    <row r="23" spans="1:21" ht="18">
      <c r="B23" s="13" t="s">
        <v>75</v>
      </c>
      <c r="C23" s="13"/>
      <c r="F23" s="3"/>
    </row>
    <row r="24" spans="1:21" ht="16">
      <c r="B24" s="14" t="s">
        <v>76</v>
      </c>
      <c r="C24" s="14"/>
      <c r="F24" s="3"/>
    </row>
    <row r="25" spans="1:21" ht="14">
      <c r="B25" s="15"/>
      <c r="C25" s="16" t="s">
        <v>77</v>
      </c>
      <c r="F25" s="3"/>
    </row>
    <row r="26" spans="1:21" ht="14">
      <c r="B26" s="17" t="s">
        <v>78</v>
      </c>
      <c r="C26" s="17" t="s">
        <v>79</v>
      </c>
      <c r="D26" s="17" t="s">
        <v>566</v>
      </c>
      <c r="E26" s="17" t="s">
        <v>81</v>
      </c>
      <c r="F26" s="17" t="s">
        <v>82</v>
      </c>
    </row>
    <row r="27" spans="1:21">
      <c r="B27" s="5" t="s">
        <v>67</v>
      </c>
      <c r="C27" s="5" t="s">
        <v>77</v>
      </c>
      <c r="D27" s="6" t="s">
        <v>83</v>
      </c>
      <c r="E27" s="6" t="s">
        <v>84</v>
      </c>
      <c r="F27" s="6" t="s">
        <v>85</v>
      </c>
    </row>
    <row r="28" spans="1:21">
      <c r="B28" s="5" t="s">
        <v>37</v>
      </c>
      <c r="C28" s="5" t="s">
        <v>77</v>
      </c>
      <c r="D28" s="6" t="s">
        <v>86</v>
      </c>
      <c r="E28" s="6" t="s">
        <v>87</v>
      </c>
      <c r="F28" s="6" t="s">
        <v>88</v>
      </c>
    </row>
    <row r="29" spans="1:21">
      <c r="B29" s="5" t="s">
        <v>48</v>
      </c>
      <c r="C29" s="5" t="s">
        <v>77</v>
      </c>
      <c r="D29" s="6" t="s">
        <v>86</v>
      </c>
      <c r="E29" s="6" t="s">
        <v>89</v>
      </c>
      <c r="F29" s="6" t="s">
        <v>90</v>
      </c>
    </row>
    <row r="30" spans="1:21">
      <c r="B30" s="5" t="s">
        <v>92</v>
      </c>
    </row>
  </sheetData>
  <mergeCells count="18">
    <mergeCell ref="A5:R5"/>
    <mergeCell ref="A8:R8"/>
    <mergeCell ref="A11:R11"/>
    <mergeCell ref="A15:R15"/>
    <mergeCell ref="A18:R18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B3:B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18A5D-14EF-4955-838F-757CD6FA15AB}">
  <dimension ref="A1:Q1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9.8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8.6640625" style="5" customWidth="1"/>
    <col min="18" max="16384" width="9.1640625" style="3"/>
  </cols>
  <sheetData>
    <row r="1" spans="1:17" s="2" customFormat="1" ht="29" customHeight="1">
      <c r="A1" s="41" t="s">
        <v>558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17" s="1" customFormat="1" ht="12.75" customHeight="1">
      <c r="A3" s="49" t="s">
        <v>579</v>
      </c>
      <c r="B3" s="54" t="s">
        <v>0</v>
      </c>
      <c r="C3" s="51" t="s">
        <v>581</v>
      </c>
      <c r="D3" s="51" t="s">
        <v>6</v>
      </c>
      <c r="E3" s="35" t="s">
        <v>582</v>
      </c>
      <c r="F3" s="35" t="s">
        <v>5</v>
      </c>
      <c r="G3" s="35" t="s">
        <v>8</v>
      </c>
      <c r="H3" s="35"/>
      <c r="I3" s="35"/>
      <c r="J3" s="35"/>
      <c r="K3" s="35" t="s">
        <v>9</v>
      </c>
      <c r="L3" s="35"/>
      <c r="M3" s="35"/>
      <c r="N3" s="35"/>
      <c r="O3" s="35" t="s">
        <v>1</v>
      </c>
      <c r="P3" s="35" t="s">
        <v>3</v>
      </c>
      <c r="Q3" s="37" t="s">
        <v>2</v>
      </c>
    </row>
    <row r="4" spans="1:17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6"/>
      <c r="P4" s="36"/>
      <c r="Q4" s="38"/>
    </row>
    <row r="5" spans="1:17" ht="16">
      <c r="A5" s="39" t="s">
        <v>320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>
      <c r="A6" s="8" t="s">
        <v>91</v>
      </c>
      <c r="B6" s="7" t="s">
        <v>469</v>
      </c>
      <c r="C6" s="7" t="s">
        <v>470</v>
      </c>
      <c r="D6" s="7" t="s">
        <v>471</v>
      </c>
      <c r="E6" s="7" t="s">
        <v>588</v>
      </c>
      <c r="F6" s="7" t="s">
        <v>248</v>
      </c>
      <c r="G6" s="18" t="s">
        <v>111</v>
      </c>
      <c r="H6" s="18" t="s">
        <v>113</v>
      </c>
      <c r="I6" s="19" t="s">
        <v>145</v>
      </c>
      <c r="J6" s="8"/>
      <c r="K6" s="18" t="s">
        <v>30</v>
      </c>
      <c r="L6" s="18" t="s">
        <v>181</v>
      </c>
      <c r="M6" s="18" t="s">
        <v>120</v>
      </c>
      <c r="N6" s="8"/>
      <c r="O6" s="8" t="str">
        <f>"205,0"</f>
        <v>205,0</v>
      </c>
      <c r="P6" s="8" t="str">
        <f>"216,4538"</f>
        <v>216,4538</v>
      </c>
      <c r="Q6" s="7" t="s">
        <v>166</v>
      </c>
    </row>
    <row r="7" spans="1:17">
      <c r="B7" s="5" t="s">
        <v>92</v>
      </c>
    </row>
    <row r="8" spans="1:17" ht="16">
      <c r="A8" s="52" t="s">
        <v>116</v>
      </c>
      <c r="B8" s="52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7">
      <c r="A9" s="8" t="s">
        <v>91</v>
      </c>
      <c r="B9" s="7" t="s">
        <v>245</v>
      </c>
      <c r="C9" s="7" t="s">
        <v>246</v>
      </c>
      <c r="D9" s="7" t="s">
        <v>247</v>
      </c>
      <c r="E9" s="7" t="s">
        <v>583</v>
      </c>
      <c r="F9" s="7" t="s">
        <v>248</v>
      </c>
      <c r="G9" s="18" t="s">
        <v>165</v>
      </c>
      <c r="H9" s="18" t="s">
        <v>31</v>
      </c>
      <c r="I9" s="8"/>
      <c r="J9" s="8"/>
      <c r="K9" s="18" t="s">
        <v>27</v>
      </c>
      <c r="L9" s="19" t="s">
        <v>187</v>
      </c>
      <c r="M9" s="19" t="s">
        <v>187</v>
      </c>
      <c r="N9" s="8"/>
      <c r="O9" s="8" t="str">
        <f>"325,0"</f>
        <v>325,0</v>
      </c>
      <c r="P9" s="8" t="str">
        <f>"232,2450"</f>
        <v>232,2450</v>
      </c>
      <c r="Q9" s="7" t="s">
        <v>251</v>
      </c>
    </row>
    <row r="10" spans="1:17">
      <c r="B10" s="5" t="s">
        <v>92</v>
      </c>
    </row>
    <row r="11" spans="1:17" ht="16">
      <c r="A11" s="52" t="s">
        <v>320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7">
      <c r="A12" s="10" t="s">
        <v>91</v>
      </c>
      <c r="B12" s="9" t="s">
        <v>503</v>
      </c>
      <c r="C12" s="9" t="s">
        <v>504</v>
      </c>
      <c r="D12" s="9" t="s">
        <v>402</v>
      </c>
      <c r="E12" s="9" t="s">
        <v>583</v>
      </c>
      <c r="F12" s="9" t="s">
        <v>505</v>
      </c>
      <c r="G12" s="20" t="s">
        <v>120</v>
      </c>
      <c r="H12" s="20" t="s">
        <v>182</v>
      </c>
      <c r="I12" s="21" t="s">
        <v>17</v>
      </c>
      <c r="J12" s="10"/>
      <c r="K12" s="20" t="s">
        <v>27</v>
      </c>
      <c r="L12" s="20" t="s">
        <v>187</v>
      </c>
      <c r="M12" s="21" t="s">
        <v>32</v>
      </c>
      <c r="N12" s="10"/>
      <c r="O12" s="10" t="str">
        <f>"342,5"</f>
        <v>342,5</v>
      </c>
      <c r="P12" s="10" t="str">
        <f>"229,7832"</f>
        <v>229,7832</v>
      </c>
      <c r="Q12" s="9"/>
    </row>
    <row r="13" spans="1:17">
      <c r="A13" s="12" t="s">
        <v>91</v>
      </c>
      <c r="B13" s="11" t="s">
        <v>400</v>
      </c>
      <c r="C13" s="11" t="s">
        <v>401</v>
      </c>
      <c r="D13" s="11" t="s">
        <v>402</v>
      </c>
      <c r="E13" s="11" t="s">
        <v>586</v>
      </c>
      <c r="F13" s="11" t="s">
        <v>248</v>
      </c>
      <c r="G13" s="23" t="s">
        <v>29</v>
      </c>
      <c r="H13" s="22" t="s">
        <v>165</v>
      </c>
      <c r="I13" s="22" t="s">
        <v>165</v>
      </c>
      <c r="J13" s="12"/>
      <c r="K13" s="23" t="s">
        <v>27</v>
      </c>
      <c r="L13" s="22" t="s">
        <v>188</v>
      </c>
      <c r="M13" s="22" t="s">
        <v>188</v>
      </c>
      <c r="N13" s="12"/>
      <c r="O13" s="12" t="str">
        <f>"310,0"</f>
        <v>310,0</v>
      </c>
      <c r="P13" s="12" t="str">
        <f>"210,8907"</f>
        <v>210,8907</v>
      </c>
      <c r="Q13" s="11" t="s">
        <v>251</v>
      </c>
    </row>
    <row r="14" spans="1:17">
      <c r="B14" s="5" t="s">
        <v>92</v>
      </c>
    </row>
    <row r="15" spans="1:17" ht="16">
      <c r="A15" s="52" t="s">
        <v>36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7">
      <c r="A16" s="8" t="s">
        <v>91</v>
      </c>
      <c r="B16" s="7" t="s">
        <v>280</v>
      </c>
      <c r="C16" s="7" t="s">
        <v>281</v>
      </c>
      <c r="D16" s="7" t="s">
        <v>282</v>
      </c>
      <c r="E16" s="7" t="s">
        <v>586</v>
      </c>
      <c r="F16" s="7" t="s">
        <v>40</v>
      </c>
      <c r="G16" s="19" t="s">
        <v>17</v>
      </c>
      <c r="H16" s="19" t="s">
        <v>17</v>
      </c>
      <c r="I16" s="18" t="s">
        <v>17</v>
      </c>
      <c r="J16" s="8"/>
      <c r="K16" s="18" t="s">
        <v>28</v>
      </c>
      <c r="L16" s="18" t="s">
        <v>32</v>
      </c>
      <c r="M16" s="19" t="s">
        <v>180</v>
      </c>
      <c r="N16" s="8"/>
      <c r="O16" s="8" t="str">
        <f>"360,0"</f>
        <v>360,0</v>
      </c>
      <c r="P16" s="8" t="str">
        <f>"214,1494"</f>
        <v>214,1494</v>
      </c>
      <c r="Q16" s="7"/>
    </row>
    <row r="17" spans="2:2">
      <c r="B17" s="5" t="s">
        <v>92</v>
      </c>
    </row>
  </sheetData>
  <mergeCells count="16">
    <mergeCell ref="A8:N8"/>
    <mergeCell ref="A11:N11"/>
    <mergeCell ref="A15:N15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396BB-164B-4401-AEE1-7E413DE28FD0}">
  <dimension ref="A1:Q7"/>
  <sheetViews>
    <sheetView workbookViewId="0">
      <selection sqref="A1:Q2"/>
    </sheetView>
  </sheetViews>
  <sheetFormatPr baseColWidth="10" defaultColWidth="9.1640625" defaultRowHeight="13"/>
  <cols>
    <col min="1" max="1" width="7.5" style="5" bestFit="1" customWidth="1"/>
    <col min="2" max="2" width="15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1" style="5" bestFit="1" customWidth="1"/>
    <col min="18" max="16384" width="9.1640625" style="3"/>
  </cols>
  <sheetData>
    <row r="1" spans="1:17" s="2" customFormat="1" ht="29" customHeight="1">
      <c r="A1" s="41" t="s">
        <v>559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17" s="1" customFormat="1" ht="12.75" customHeight="1">
      <c r="A3" s="49" t="s">
        <v>579</v>
      </c>
      <c r="B3" s="54" t="s">
        <v>0</v>
      </c>
      <c r="C3" s="51" t="s">
        <v>581</v>
      </c>
      <c r="D3" s="51" t="s">
        <v>6</v>
      </c>
      <c r="E3" s="35" t="s">
        <v>582</v>
      </c>
      <c r="F3" s="35" t="s">
        <v>5</v>
      </c>
      <c r="G3" s="35" t="s">
        <v>8</v>
      </c>
      <c r="H3" s="35"/>
      <c r="I3" s="35"/>
      <c r="J3" s="35"/>
      <c r="K3" s="35" t="s">
        <v>9</v>
      </c>
      <c r="L3" s="35"/>
      <c r="M3" s="35"/>
      <c r="N3" s="35"/>
      <c r="O3" s="35" t="s">
        <v>1</v>
      </c>
      <c r="P3" s="35" t="s">
        <v>3</v>
      </c>
      <c r="Q3" s="37" t="s">
        <v>2</v>
      </c>
    </row>
    <row r="4" spans="1:17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36"/>
      <c r="P4" s="36"/>
      <c r="Q4" s="38"/>
    </row>
    <row r="5" spans="1:17" ht="16">
      <c r="A5" s="39" t="s">
        <v>21</v>
      </c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7">
      <c r="A6" s="8" t="s">
        <v>91</v>
      </c>
      <c r="B6" s="7" t="s">
        <v>497</v>
      </c>
      <c r="C6" s="7" t="s">
        <v>498</v>
      </c>
      <c r="D6" s="7" t="s">
        <v>499</v>
      </c>
      <c r="E6" s="7" t="s">
        <v>583</v>
      </c>
      <c r="F6" s="7" t="s">
        <v>500</v>
      </c>
      <c r="G6" s="18" t="s">
        <v>19</v>
      </c>
      <c r="H6" s="18" t="s">
        <v>26</v>
      </c>
      <c r="I6" s="18" t="s">
        <v>335</v>
      </c>
      <c r="J6" s="8"/>
      <c r="K6" s="18" t="s">
        <v>501</v>
      </c>
      <c r="L6" s="18" t="s">
        <v>16</v>
      </c>
      <c r="M6" s="19" t="s">
        <v>64</v>
      </c>
      <c r="N6" s="8"/>
      <c r="O6" s="8" t="str">
        <f>"457,5"</f>
        <v>457,5</v>
      </c>
      <c r="P6" s="8" t="str">
        <f>"280,4932"</f>
        <v>280,4932</v>
      </c>
      <c r="Q6" s="7" t="s">
        <v>502</v>
      </c>
    </row>
    <row r="7" spans="1:17">
      <c r="B7" s="5" t="s">
        <v>92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CB4FF-991C-4408-8CD5-D1F556F959BD}">
  <dimension ref="A1:M70"/>
  <sheetViews>
    <sheetView topLeftCell="A20" workbookViewId="0">
      <selection activeCell="E54" sqref="E54"/>
    </sheetView>
  </sheetViews>
  <sheetFormatPr baseColWidth="10" defaultColWidth="9.1640625" defaultRowHeight="13"/>
  <cols>
    <col min="1" max="1" width="7.5" style="5" bestFit="1" customWidth="1"/>
    <col min="2" max="2" width="19.6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1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83203125" style="5" customWidth="1"/>
    <col min="14" max="16384" width="9.1640625" style="3"/>
  </cols>
  <sheetData>
    <row r="1" spans="1:13" s="2" customFormat="1" ht="29" customHeight="1">
      <c r="A1" s="41" t="s">
        <v>560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579</v>
      </c>
      <c r="B3" s="54" t="s">
        <v>0</v>
      </c>
      <c r="C3" s="51" t="s">
        <v>581</v>
      </c>
      <c r="D3" s="51" t="s">
        <v>6</v>
      </c>
      <c r="E3" s="35" t="s">
        <v>582</v>
      </c>
      <c r="F3" s="35" t="s">
        <v>5</v>
      </c>
      <c r="G3" s="35" t="s">
        <v>8</v>
      </c>
      <c r="H3" s="35"/>
      <c r="I3" s="35"/>
      <c r="J3" s="35"/>
      <c r="K3" s="35" t="s">
        <v>306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138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91</v>
      </c>
      <c r="B6" s="7" t="s">
        <v>359</v>
      </c>
      <c r="C6" s="7" t="s">
        <v>360</v>
      </c>
      <c r="D6" s="7" t="s">
        <v>361</v>
      </c>
      <c r="E6" s="7" t="s">
        <v>583</v>
      </c>
      <c r="F6" s="7" t="s">
        <v>362</v>
      </c>
      <c r="G6" s="19" t="s">
        <v>216</v>
      </c>
      <c r="H6" s="18" t="s">
        <v>111</v>
      </c>
      <c r="I6" s="19" t="s">
        <v>112</v>
      </c>
      <c r="J6" s="8"/>
      <c r="K6" s="8" t="str">
        <f>"60,0"</f>
        <v>60,0</v>
      </c>
      <c r="L6" s="8" t="str">
        <f>"75,5820"</f>
        <v>75,5820</v>
      </c>
      <c r="M6" s="7" t="s">
        <v>363</v>
      </c>
    </row>
    <row r="7" spans="1:13">
      <c r="B7" s="5" t="s">
        <v>92</v>
      </c>
    </row>
    <row r="8" spans="1:13" ht="16">
      <c r="A8" s="52" t="s">
        <v>147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8" t="s">
        <v>91</v>
      </c>
      <c r="B9" s="7" t="s">
        <v>364</v>
      </c>
      <c r="C9" s="7" t="s">
        <v>365</v>
      </c>
      <c r="D9" s="7" t="s">
        <v>366</v>
      </c>
      <c r="E9" s="7" t="s">
        <v>586</v>
      </c>
      <c r="F9" s="7" t="s">
        <v>367</v>
      </c>
      <c r="G9" s="18" t="s">
        <v>215</v>
      </c>
      <c r="H9" s="18" t="s">
        <v>216</v>
      </c>
      <c r="I9" s="18" t="s">
        <v>217</v>
      </c>
      <c r="J9" s="8"/>
      <c r="K9" s="8" t="str">
        <f>"57,5"</f>
        <v>57,5</v>
      </c>
      <c r="L9" s="8" t="str">
        <f>"69,3105"</f>
        <v>69,3105</v>
      </c>
      <c r="M9" s="7" t="s">
        <v>368</v>
      </c>
    </row>
    <row r="10" spans="1:13">
      <c r="B10" s="5" t="s">
        <v>92</v>
      </c>
    </row>
    <row r="11" spans="1:13" ht="16">
      <c r="A11" s="52" t="s">
        <v>224</v>
      </c>
      <c r="B11" s="52"/>
      <c r="C11" s="53"/>
      <c r="D11" s="53"/>
      <c r="E11" s="53"/>
      <c r="F11" s="53"/>
      <c r="G11" s="53"/>
      <c r="H11" s="53"/>
      <c r="I11" s="53"/>
      <c r="J11" s="53"/>
    </row>
    <row r="12" spans="1:13">
      <c r="A12" s="10" t="s">
        <v>91</v>
      </c>
      <c r="B12" s="9" t="s">
        <v>225</v>
      </c>
      <c r="C12" s="9" t="s">
        <v>226</v>
      </c>
      <c r="D12" s="9" t="s">
        <v>227</v>
      </c>
      <c r="E12" s="9" t="s">
        <v>583</v>
      </c>
      <c r="F12" s="9" t="s">
        <v>228</v>
      </c>
      <c r="G12" s="20" t="s">
        <v>112</v>
      </c>
      <c r="H12" s="21" t="s">
        <v>113</v>
      </c>
      <c r="I12" s="21" t="s">
        <v>113</v>
      </c>
      <c r="J12" s="10"/>
      <c r="K12" s="10" t="str">
        <f>"62,5"</f>
        <v>62,5</v>
      </c>
      <c r="L12" s="10" t="str">
        <f>"69,6812"</f>
        <v>69,6812</v>
      </c>
      <c r="M12" s="9" t="s">
        <v>65</v>
      </c>
    </row>
    <row r="13" spans="1:13">
      <c r="A13" s="12" t="s">
        <v>93</v>
      </c>
      <c r="B13" s="11" t="s">
        <v>369</v>
      </c>
      <c r="C13" s="11" t="s">
        <v>370</v>
      </c>
      <c r="D13" s="11" t="s">
        <v>371</v>
      </c>
      <c r="E13" s="11" t="s">
        <v>583</v>
      </c>
      <c r="F13" s="11" t="s">
        <v>367</v>
      </c>
      <c r="G13" s="23" t="s">
        <v>101</v>
      </c>
      <c r="H13" s="23" t="s">
        <v>102</v>
      </c>
      <c r="I13" s="22" t="s">
        <v>215</v>
      </c>
      <c r="J13" s="12"/>
      <c r="K13" s="12" t="str">
        <f>"47,5"</f>
        <v>47,5</v>
      </c>
      <c r="L13" s="12" t="str">
        <f>"54,1548"</f>
        <v>54,1548</v>
      </c>
      <c r="M13" s="11" t="s">
        <v>368</v>
      </c>
    </row>
    <row r="14" spans="1:13">
      <c r="B14" s="5" t="s">
        <v>92</v>
      </c>
    </row>
    <row r="15" spans="1:13" ht="16">
      <c r="A15" s="52" t="s">
        <v>105</v>
      </c>
      <c r="B15" s="52"/>
      <c r="C15" s="53"/>
      <c r="D15" s="53"/>
      <c r="E15" s="53"/>
      <c r="F15" s="53"/>
      <c r="G15" s="53"/>
      <c r="H15" s="53"/>
      <c r="I15" s="53"/>
      <c r="J15" s="53"/>
    </row>
    <row r="16" spans="1:13">
      <c r="A16" s="10" t="s">
        <v>91</v>
      </c>
      <c r="B16" s="9" t="s">
        <v>372</v>
      </c>
      <c r="C16" s="9" t="s">
        <v>373</v>
      </c>
      <c r="D16" s="9" t="s">
        <v>374</v>
      </c>
      <c r="E16" s="9" t="s">
        <v>584</v>
      </c>
      <c r="F16" s="9" t="s">
        <v>375</v>
      </c>
      <c r="G16" s="20" t="s">
        <v>100</v>
      </c>
      <c r="H16" s="20" t="s">
        <v>154</v>
      </c>
      <c r="I16" s="21" t="s">
        <v>110</v>
      </c>
      <c r="J16" s="10"/>
      <c r="K16" s="10" t="str">
        <f>"105,0"</f>
        <v>105,0</v>
      </c>
      <c r="L16" s="10" t="str">
        <f>"108,2130"</f>
        <v>108,2130</v>
      </c>
      <c r="M16" s="9" t="s">
        <v>115</v>
      </c>
    </row>
    <row r="17" spans="1:13">
      <c r="A17" s="25" t="s">
        <v>91</v>
      </c>
      <c r="B17" s="24" t="s">
        <v>372</v>
      </c>
      <c r="C17" s="24" t="s">
        <v>376</v>
      </c>
      <c r="D17" s="24" t="s">
        <v>374</v>
      </c>
      <c r="E17" s="24" t="s">
        <v>583</v>
      </c>
      <c r="F17" s="24" t="s">
        <v>375</v>
      </c>
      <c r="G17" s="26" t="s">
        <v>100</v>
      </c>
      <c r="H17" s="26" t="s">
        <v>154</v>
      </c>
      <c r="I17" s="27" t="s">
        <v>110</v>
      </c>
      <c r="J17" s="25"/>
      <c r="K17" s="25" t="str">
        <f>"105,0"</f>
        <v>105,0</v>
      </c>
      <c r="L17" s="25" t="str">
        <f>"108,2130"</f>
        <v>108,2130</v>
      </c>
      <c r="M17" s="24" t="s">
        <v>115</v>
      </c>
    </row>
    <row r="18" spans="1:13">
      <c r="A18" s="12" t="s">
        <v>93</v>
      </c>
      <c r="B18" s="11" t="s">
        <v>106</v>
      </c>
      <c r="C18" s="11" t="s">
        <v>107</v>
      </c>
      <c r="D18" s="11" t="s">
        <v>108</v>
      </c>
      <c r="E18" s="11" t="s">
        <v>583</v>
      </c>
      <c r="F18" s="11" t="s">
        <v>109</v>
      </c>
      <c r="G18" s="23" t="s">
        <v>111</v>
      </c>
      <c r="H18" s="23" t="s">
        <v>112</v>
      </c>
      <c r="I18" s="22" t="s">
        <v>113</v>
      </c>
      <c r="J18" s="12"/>
      <c r="K18" s="12" t="str">
        <f>"62,5"</f>
        <v>62,5</v>
      </c>
      <c r="L18" s="12" t="str">
        <f>"64,4813"</f>
        <v>64,4813</v>
      </c>
      <c r="M18" s="11" t="s">
        <v>115</v>
      </c>
    </row>
    <row r="19" spans="1:13">
      <c r="B19" s="5" t="s">
        <v>92</v>
      </c>
    </row>
    <row r="20" spans="1:13" ht="16">
      <c r="A20" s="52" t="s">
        <v>116</v>
      </c>
      <c r="B20" s="52"/>
      <c r="C20" s="53"/>
      <c r="D20" s="53"/>
      <c r="E20" s="53"/>
      <c r="F20" s="53"/>
      <c r="G20" s="53"/>
      <c r="H20" s="53"/>
      <c r="I20" s="53"/>
      <c r="J20" s="53"/>
    </row>
    <row r="21" spans="1:13">
      <c r="A21" s="8" t="s">
        <v>91</v>
      </c>
      <c r="B21" s="7" t="s">
        <v>377</v>
      </c>
      <c r="C21" s="7" t="s">
        <v>378</v>
      </c>
      <c r="D21" s="7" t="s">
        <v>379</v>
      </c>
      <c r="E21" s="7" t="s">
        <v>583</v>
      </c>
      <c r="F21" s="7" t="s">
        <v>40</v>
      </c>
      <c r="G21" s="18" t="s">
        <v>122</v>
      </c>
      <c r="H21" s="18" t="s">
        <v>123</v>
      </c>
      <c r="I21" s="18" t="s">
        <v>153</v>
      </c>
      <c r="J21" s="8"/>
      <c r="K21" s="8" t="str">
        <f>"80,0"</f>
        <v>80,0</v>
      </c>
      <c r="L21" s="8" t="str">
        <f>"79,2000"</f>
        <v>79,2000</v>
      </c>
      <c r="M21" s="7"/>
    </row>
    <row r="22" spans="1:13">
      <c r="B22" s="5" t="s">
        <v>92</v>
      </c>
    </row>
    <row r="23" spans="1:13" ht="16">
      <c r="A23" s="52" t="s">
        <v>380</v>
      </c>
      <c r="B23" s="52"/>
      <c r="C23" s="53"/>
      <c r="D23" s="53"/>
      <c r="E23" s="53"/>
      <c r="F23" s="53"/>
      <c r="G23" s="53"/>
      <c r="H23" s="53"/>
      <c r="I23" s="53"/>
      <c r="J23" s="53"/>
    </row>
    <row r="24" spans="1:13">
      <c r="A24" s="8" t="s">
        <v>91</v>
      </c>
      <c r="B24" s="7" t="s">
        <v>381</v>
      </c>
      <c r="C24" s="7" t="s">
        <v>382</v>
      </c>
      <c r="D24" s="7" t="s">
        <v>383</v>
      </c>
      <c r="E24" s="7" t="s">
        <v>584</v>
      </c>
      <c r="F24" s="7" t="s">
        <v>248</v>
      </c>
      <c r="G24" s="18" t="s">
        <v>215</v>
      </c>
      <c r="H24" s="18" t="s">
        <v>217</v>
      </c>
      <c r="I24" s="18" t="s">
        <v>111</v>
      </c>
      <c r="J24" s="8"/>
      <c r="K24" s="8" t="str">
        <f>"60,0"</f>
        <v>60,0</v>
      </c>
      <c r="L24" s="8" t="str">
        <f>"48,6060"</f>
        <v>48,6060</v>
      </c>
      <c r="M24" s="7" t="s">
        <v>166</v>
      </c>
    </row>
    <row r="25" spans="1:13">
      <c r="B25" s="5" t="s">
        <v>92</v>
      </c>
    </row>
    <row r="26" spans="1:13" ht="16">
      <c r="A26" s="52" t="s">
        <v>116</v>
      </c>
      <c r="B26" s="52"/>
      <c r="C26" s="53"/>
      <c r="D26" s="53"/>
      <c r="E26" s="53"/>
      <c r="F26" s="53"/>
      <c r="G26" s="53"/>
      <c r="H26" s="53"/>
      <c r="I26" s="53"/>
      <c r="J26" s="53"/>
    </row>
    <row r="27" spans="1:13">
      <c r="A27" s="10" t="s">
        <v>91</v>
      </c>
      <c r="B27" s="9" t="s">
        <v>384</v>
      </c>
      <c r="C27" s="9" t="s">
        <v>385</v>
      </c>
      <c r="D27" s="9" t="s">
        <v>386</v>
      </c>
      <c r="E27" s="9" t="s">
        <v>584</v>
      </c>
      <c r="F27" s="9" t="s">
        <v>248</v>
      </c>
      <c r="G27" s="21" t="s">
        <v>152</v>
      </c>
      <c r="H27" s="20" t="s">
        <v>100</v>
      </c>
      <c r="I27" s="21" t="s">
        <v>154</v>
      </c>
      <c r="J27" s="10"/>
      <c r="K27" s="10" t="str">
        <f>"100,0"</f>
        <v>100,0</v>
      </c>
      <c r="L27" s="10" t="str">
        <f>"72,2800"</f>
        <v>72,2800</v>
      </c>
      <c r="M27" s="9" t="s">
        <v>387</v>
      </c>
    </row>
    <row r="28" spans="1:13">
      <c r="A28" s="12" t="s">
        <v>91</v>
      </c>
      <c r="B28" s="11" t="s">
        <v>245</v>
      </c>
      <c r="C28" s="11" t="s">
        <v>246</v>
      </c>
      <c r="D28" s="11" t="s">
        <v>247</v>
      </c>
      <c r="E28" s="11" t="s">
        <v>583</v>
      </c>
      <c r="F28" s="11" t="s">
        <v>248</v>
      </c>
      <c r="G28" s="23" t="s">
        <v>165</v>
      </c>
      <c r="H28" s="23" t="s">
        <v>31</v>
      </c>
      <c r="I28" s="12"/>
      <c r="J28" s="12"/>
      <c r="K28" s="12" t="str">
        <f>"135,0"</f>
        <v>135,0</v>
      </c>
      <c r="L28" s="12" t="str">
        <f>"96,4710"</f>
        <v>96,4710</v>
      </c>
      <c r="M28" s="11" t="s">
        <v>251</v>
      </c>
    </row>
    <row r="29" spans="1:13">
      <c r="B29" s="5" t="s">
        <v>92</v>
      </c>
    </row>
    <row r="30" spans="1:13" ht="16">
      <c r="A30" s="52" t="s">
        <v>320</v>
      </c>
      <c r="B30" s="52"/>
      <c r="C30" s="53"/>
      <c r="D30" s="53"/>
      <c r="E30" s="53"/>
      <c r="F30" s="53"/>
      <c r="G30" s="53"/>
      <c r="H30" s="53"/>
      <c r="I30" s="53"/>
      <c r="J30" s="53"/>
    </row>
    <row r="31" spans="1:13">
      <c r="A31" s="10" t="s">
        <v>91</v>
      </c>
      <c r="B31" s="9" t="s">
        <v>388</v>
      </c>
      <c r="C31" s="9" t="s">
        <v>389</v>
      </c>
      <c r="D31" s="9" t="s">
        <v>390</v>
      </c>
      <c r="E31" s="9" t="s">
        <v>583</v>
      </c>
      <c r="F31" s="9" t="s">
        <v>391</v>
      </c>
      <c r="G31" s="21" t="s">
        <v>18</v>
      </c>
      <c r="H31" s="21" t="s">
        <v>18</v>
      </c>
      <c r="I31" s="20" t="s">
        <v>18</v>
      </c>
      <c r="J31" s="10"/>
      <c r="K31" s="10" t="str">
        <f>"167,5"</f>
        <v>167,5</v>
      </c>
      <c r="L31" s="10" t="str">
        <f>"114,0843"</f>
        <v>114,0843</v>
      </c>
      <c r="M31" s="9"/>
    </row>
    <row r="32" spans="1:13">
      <c r="A32" s="25" t="s">
        <v>93</v>
      </c>
      <c r="B32" s="24" t="s">
        <v>392</v>
      </c>
      <c r="C32" s="24" t="s">
        <v>393</v>
      </c>
      <c r="D32" s="24" t="s">
        <v>394</v>
      </c>
      <c r="E32" s="24" t="s">
        <v>583</v>
      </c>
      <c r="F32" s="24" t="s">
        <v>570</v>
      </c>
      <c r="G32" s="26" t="s">
        <v>17</v>
      </c>
      <c r="H32" s="26" t="s">
        <v>130</v>
      </c>
      <c r="I32" s="26" t="s">
        <v>131</v>
      </c>
      <c r="J32" s="25"/>
      <c r="K32" s="25" t="str">
        <f>"160,0"</f>
        <v>160,0</v>
      </c>
      <c r="L32" s="25" t="str">
        <f>"109,3120"</f>
        <v>109,3120</v>
      </c>
      <c r="M32" s="24"/>
    </row>
    <row r="33" spans="1:13">
      <c r="A33" s="25" t="s">
        <v>91</v>
      </c>
      <c r="B33" s="24" t="s">
        <v>395</v>
      </c>
      <c r="C33" s="24" t="s">
        <v>396</v>
      </c>
      <c r="D33" s="24" t="s">
        <v>397</v>
      </c>
      <c r="E33" s="24" t="s">
        <v>586</v>
      </c>
      <c r="F33" s="24" t="s">
        <v>398</v>
      </c>
      <c r="G33" s="26" t="s">
        <v>110</v>
      </c>
      <c r="H33" s="27" t="s">
        <v>29</v>
      </c>
      <c r="I33" s="26" t="s">
        <v>29</v>
      </c>
      <c r="J33" s="25"/>
      <c r="K33" s="25" t="str">
        <f>"120,0"</f>
        <v>120,0</v>
      </c>
      <c r="L33" s="25" t="str">
        <f>"83,6998"</f>
        <v>83,6998</v>
      </c>
      <c r="M33" s="24" t="s">
        <v>399</v>
      </c>
    </row>
    <row r="34" spans="1:13">
      <c r="A34" s="12" t="s">
        <v>93</v>
      </c>
      <c r="B34" s="11" t="s">
        <v>400</v>
      </c>
      <c r="C34" s="11" t="s">
        <v>401</v>
      </c>
      <c r="D34" s="11" t="s">
        <v>402</v>
      </c>
      <c r="E34" s="11" t="s">
        <v>586</v>
      </c>
      <c r="F34" s="11" t="s">
        <v>248</v>
      </c>
      <c r="G34" s="23" t="s">
        <v>29</v>
      </c>
      <c r="H34" s="22" t="s">
        <v>165</v>
      </c>
      <c r="I34" s="22" t="s">
        <v>165</v>
      </c>
      <c r="J34" s="12"/>
      <c r="K34" s="12" t="str">
        <f>"120,0"</f>
        <v>120,0</v>
      </c>
      <c r="L34" s="12" t="str">
        <f>"81,6351"</f>
        <v>81,6351</v>
      </c>
      <c r="M34" s="11" t="s">
        <v>251</v>
      </c>
    </row>
    <row r="35" spans="1:13">
      <c r="B35" s="5" t="s">
        <v>92</v>
      </c>
    </row>
    <row r="36" spans="1:13" ht="16">
      <c r="A36" s="52" t="s">
        <v>10</v>
      </c>
      <c r="B36" s="52"/>
      <c r="C36" s="53"/>
      <c r="D36" s="53"/>
      <c r="E36" s="53"/>
      <c r="F36" s="53"/>
      <c r="G36" s="53"/>
      <c r="H36" s="53"/>
      <c r="I36" s="53"/>
      <c r="J36" s="53"/>
    </row>
    <row r="37" spans="1:13">
      <c r="A37" s="10" t="s">
        <v>91</v>
      </c>
      <c r="B37" s="9" t="s">
        <v>403</v>
      </c>
      <c r="C37" s="9" t="s">
        <v>404</v>
      </c>
      <c r="D37" s="9" t="s">
        <v>405</v>
      </c>
      <c r="E37" s="9" t="s">
        <v>584</v>
      </c>
      <c r="F37" s="9" t="s">
        <v>248</v>
      </c>
      <c r="G37" s="20" t="s">
        <v>19</v>
      </c>
      <c r="H37" s="20" t="s">
        <v>61</v>
      </c>
      <c r="I37" s="21" t="s">
        <v>26</v>
      </c>
      <c r="J37" s="10"/>
      <c r="K37" s="10" t="str">
        <f>"175,0"</f>
        <v>175,0</v>
      </c>
      <c r="L37" s="10" t="str">
        <f>"112,8225"</f>
        <v>112,8225</v>
      </c>
      <c r="M37" s="9"/>
    </row>
    <row r="38" spans="1:13">
      <c r="A38" s="25" t="s">
        <v>91</v>
      </c>
      <c r="B38" s="24" t="s">
        <v>406</v>
      </c>
      <c r="C38" s="24" t="s">
        <v>407</v>
      </c>
      <c r="D38" s="24" t="s">
        <v>408</v>
      </c>
      <c r="E38" s="24" t="s">
        <v>583</v>
      </c>
      <c r="F38" s="24" t="s">
        <v>248</v>
      </c>
      <c r="G38" s="26" t="s">
        <v>262</v>
      </c>
      <c r="H38" s="26" t="s">
        <v>130</v>
      </c>
      <c r="I38" s="26" t="s">
        <v>131</v>
      </c>
      <c r="J38" s="25"/>
      <c r="K38" s="25" t="str">
        <f>"160,0"</f>
        <v>160,0</v>
      </c>
      <c r="L38" s="25" t="str">
        <f>"104,1760"</f>
        <v>104,1760</v>
      </c>
      <c r="M38" s="24"/>
    </row>
    <row r="39" spans="1:13">
      <c r="A39" s="25" t="s">
        <v>93</v>
      </c>
      <c r="B39" s="24" t="s">
        <v>409</v>
      </c>
      <c r="C39" s="24" t="s">
        <v>410</v>
      </c>
      <c r="D39" s="24" t="s">
        <v>261</v>
      </c>
      <c r="E39" s="24" t="s">
        <v>583</v>
      </c>
      <c r="F39" s="24" t="s">
        <v>248</v>
      </c>
      <c r="G39" s="27" t="s">
        <v>120</v>
      </c>
      <c r="H39" s="26" t="s">
        <v>130</v>
      </c>
      <c r="I39" s="26" t="s">
        <v>131</v>
      </c>
      <c r="J39" s="25"/>
      <c r="K39" s="25" t="str">
        <f>"160,0"</f>
        <v>160,0</v>
      </c>
      <c r="L39" s="25" t="str">
        <f>"103,0400"</f>
        <v>103,0400</v>
      </c>
      <c r="M39" s="24" t="s">
        <v>411</v>
      </c>
    </row>
    <row r="40" spans="1:13">
      <c r="A40" s="25" t="s">
        <v>295</v>
      </c>
      <c r="B40" s="24" t="s">
        <v>412</v>
      </c>
      <c r="C40" s="24" t="s">
        <v>413</v>
      </c>
      <c r="D40" s="24" t="s">
        <v>414</v>
      </c>
      <c r="E40" s="24" t="s">
        <v>583</v>
      </c>
      <c r="F40" s="24" t="s">
        <v>248</v>
      </c>
      <c r="G40" s="26" t="s">
        <v>120</v>
      </c>
      <c r="H40" s="26" t="s">
        <v>262</v>
      </c>
      <c r="I40" s="26" t="s">
        <v>131</v>
      </c>
      <c r="J40" s="25"/>
      <c r="K40" s="25" t="str">
        <f>"160,0"</f>
        <v>160,0</v>
      </c>
      <c r="L40" s="25" t="str">
        <f>"102,4960"</f>
        <v>102,4960</v>
      </c>
      <c r="M40" s="24"/>
    </row>
    <row r="41" spans="1:13">
      <c r="A41" s="25" t="s">
        <v>448</v>
      </c>
      <c r="B41" s="24" t="s">
        <v>415</v>
      </c>
      <c r="C41" s="24" t="s">
        <v>416</v>
      </c>
      <c r="D41" s="24" t="s">
        <v>417</v>
      </c>
      <c r="E41" s="24" t="s">
        <v>583</v>
      </c>
      <c r="F41" s="24" t="s">
        <v>248</v>
      </c>
      <c r="G41" s="27" t="s">
        <v>182</v>
      </c>
      <c r="H41" s="26" t="s">
        <v>262</v>
      </c>
      <c r="I41" s="27" t="s">
        <v>130</v>
      </c>
      <c r="J41" s="25"/>
      <c r="K41" s="25" t="str">
        <f>"152,5"</f>
        <v>152,5</v>
      </c>
      <c r="L41" s="25" t="str">
        <f>"97,4628"</f>
        <v>97,4628</v>
      </c>
      <c r="M41" s="24"/>
    </row>
    <row r="42" spans="1:13">
      <c r="A42" s="12" t="s">
        <v>449</v>
      </c>
      <c r="B42" s="11" t="s">
        <v>418</v>
      </c>
      <c r="C42" s="11" t="s">
        <v>419</v>
      </c>
      <c r="D42" s="11" t="s">
        <v>13</v>
      </c>
      <c r="E42" s="11" t="s">
        <v>583</v>
      </c>
      <c r="F42" s="11" t="s">
        <v>40</v>
      </c>
      <c r="G42" s="23" t="s">
        <v>144</v>
      </c>
      <c r="H42" s="23" t="s">
        <v>420</v>
      </c>
      <c r="I42" s="23" t="s">
        <v>181</v>
      </c>
      <c r="J42" s="12"/>
      <c r="K42" s="12" t="str">
        <f>"137,5"</f>
        <v>137,5</v>
      </c>
      <c r="L42" s="12" t="str">
        <f>"88,3850"</f>
        <v>88,3850</v>
      </c>
      <c r="M42" s="11" t="s">
        <v>244</v>
      </c>
    </row>
    <row r="43" spans="1:13">
      <c r="B43" s="5" t="s">
        <v>92</v>
      </c>
    </row>
    <row r="44" spans="1:13" ht="16">
      <c r="A44" s="52" t="s">
        <v>21</v>
      </c>
      <c r="B44" s="52"/>
      <c r="C44" s="53"/>
      <c r="D44" s="53"/>
      <c r="E44" s="53"/>
      <c r="F44" s="53"/>
      <c r="G44" s="53"/>
      <c r="H44" s="53"/>
      <c r="I44" s="53"/>
      <c r="J44" s="53"/>
    </row>
    <row r="45" spans="1:13">
      <c r="A45" s="10" t="s">
        <v>91</v>
      </c>
      <c r="B45" s="9" t="s">
        <v>421</v>
      </c>
      <c r="C45" s="9" t="s">
        <v>422</v>
      </c>
      <c r="D45" s="9" t="s">
        <v>423</v>
      </c>
      <c r="E45" s="9" t="s">
        <v>583</v>
      </c>
      <c r="F45" s="9" t="s">
        <v>424</v>
      </c>
      <c r="G45" s="21" t="s">
        <v>160</v>
      </c>
      <c r="H45" s="21" t="s">
        <v>160</v>
      </c>
      <c r="I45" s="20" t="s">
        <v>160</v>
      </c>
      <c r="J45" s="10"/>
      <c r="K45" s="10" t="str">
        <f>"162,5"</f>
        <v>162,5</v>
      </c>
      <c r="L45" s="10" t="str">
        <f>"99,3850"</f>
        <v>99,3850</v>
      </c>
      <c r="M45" s="9"/>
    </row>
    <row r="46" spans="1:13">
      <c r="A46" s="25" t="s">
        <v>93</v>
      </c>
      <c r="B46" s="24" t="s">
        <v>425</v>
      </c>
      <c r="C46" s="24" t="s">
        <v>426</v>
      </c>
      <c r="D46" s="24" t="s">
        <v>427</v>
      </c>
      <c r="E46" s="24" t="s">
        <v>583</v>
      </c>
      <c r="F46" s="24" t="s">
        <v>287</v>
      </c>
      <c r="G46" s="26" t="s">
        <v>182</v>
      </c>
      <c r="H46" s="26" t="s">
        <v>262</v>
      </c>
      <c r="I46" s="27" t="s">
        <v>249</v>
      </c>
      <c r="J46" s="25"/>
      <c r="K46" s="25" t="str">
        <f>"152,5"</f>
        <v>152,5</v>
      </c>
      <c r="L46" s="25" t="str">
        <f>"95,0837"</f>
        <v>95,0837</v>
      </c>
      <c r="M46" s="24" t="s">
        <v>65</v>
      </c>
    </row>
    <row r="47" spans="1:13">
      <c r="A47" s="12" t="s">
        <v>91</v>
      </c>
      <c r="B47" s="11" t="s">
        <v>428</v>
      </c>
      <c r="C47" s="11" t="s">
        <v>429</v>
      </c>
      <c r="D47" s="11" t="s">
        <v>430</v>
      </c>
      <c r="E47" s="11" t="s">
        <v>588</v>
      </c>
      <c r="F47" s="11" t="s">
        <v>431</v>
      </c>
      <c r="G47" s="23" t="s">
        <v>131</v>
      </c>
      <c r="H47" s="23" t="s">
        <v>250</v>
      </c>
      <c r="I47" s="23" t="s">
        <v>18</v>
      </c>
      <c r="J47" s="12"/>
      <c r="K47" s="12" t="str">
        <f>"167,5"</f>
        <v>167,5</v>
      </c>
      <c r="L47" s="12" t="str">
        <f>"121,5707"</f>
        <v>121,5707</v>
      </c>
      <c r="M47" s="11"/>
    </row>
    <row r="48" spans="1:13">
      <c r="B48" s="5" t="s">
        <v>92</v>
      </c>
    </row>
    <row r="49" spans="1:13" ht="16">
      <c r="A49" s="52" t="s">
        <v>36</v>
      </c>
      <c r="B49" s="52"/>
      <c r="C49" s="53"/>
      <c r="D49" s="53"/>
      <c r="E49" s="53"/>
      <c r="F49" s="53"/>
      <c r="G49" s="53"/>
      <c r="H49" s="53"/>
      <c r="I49" s="53"/>
      <c r="J49" s="53"/>
    </row>
    <row r="50" spans="1:13">
      <c r="A50" s="10" t="s">
        <v>91</v>
      </c>
      <c r="B50" s="9" t="s">
        <v>432</v>
      </c>
      <c r="C50" s="9" t="s">
        <v>433</v>
      </c>
      <c r="D50" s="9" t="s">
        <v>434</v>
      </c>
      <c r="E50" s="9" t="s">
        <v>587</v>
      </c>
      <c r="F50" s="9" t="s">
        <v>40</v>
      </c>
      <c r="G50" s="20" t="s">
        <v>30</v>
      </c>
      <c r="H50" s="20" t="s">
        <v>120</v>
      </c>
      <c r="I50" s="10"/>
      <c r="J50" s="10"/>
      <c r="K50" s="10" t="str">
        <f>"140,0"</f>
        <v>140,0</v>
      </c>
      <c r="L50" s="10" t="str">
        <f>"83,4680"</f>
        <v>83,4680</v>
      </c>
      <c r="M50" s="9" t="s">
        <v>435</v>
      </c>
    </row>
    <row r="51" spans="1:13">
      <c r="A51" s="25" t="s">
        <v>91</v>
      </c>
      <c r="B51" s="24" t="s">
        <v>436</v>
      </c>
      <c r="C51" s="24" t="s">
        <v>437</v>
      </c>
      <c r="D51" s="24" t="s">
        <v>438</v>
      </c>
      <c r="E51" s="24" t="s">
        <v>584</v>
      </c>
      <c r="F51" s="24" t="s">
        <v>439</v>
      </c>
      <c r="G51" s="26" t="s">
        <v>19</v>
      </c>
      <c r="H51" s="26" t="s">
        <v>330</v>
      </c>
      <c r="I51" s="26" t="s">
        <v>62</v>
      </c>
      <c r="J51" s="25"/>
      <c r="K51" s="25" t="str">
        <f>"182,5"</f>
        <v>182,5</v>
      </c>
      <c r="L51" s="25" t="str">
        <f>"108,2225"</f>
        <v>108,2225</v>
      </c>
      <c r="M51" s="24"/>
    </row>
    <row r="52" spans="1:13">
      <c r="A52" s="25" t="s">
        <v>91</v>
      </c>
      <c r="B52" s="24" t="s">
        <v>436</v>
      </c>
      <c r="C52" s="24" t="s">
        <v>440</v>
      </c>
      <c r="D52" s="24" t="s">
        <v>438</v>
      </c>
      <c r="E52" s="24" t="s">
        <v>583</v>
      </c>
      <c r="F52" s="24" t="s">
        <v>439</v>
      </c>
      <c r="G52" s="26" t="s">
        <v>19</v>
      </c>
      <c r="H52" s="26" t="s">
        <v>330</v>
      </c>
      <c r="I52" s="26" t="s">
        <v>62</v>
      </c>
      <c r="J52" s="25"/>
      <c r="K52" s="25" t="str">
        <f>"182,5"</f>
        <v>182,5</v>
      </c>
      <c r="L52" s="25" t="str">
        <f>"108,2225"</f>
        <v>108,2225</v>
      </c>
      <c r="M52" s="24"/>
    </row>
    <row r="53" spans="1:13">
      <c r="A53" s="12" t="s">
        <v>91</v>
      </c>
      <c r="B53" s="11" t="s">
        <v>280</v>
      </c>
      <c r="C53" s="11" t="s">
        <v>281</v>
      </c>
      <c r="D53" s="11" t="s">
        <v>282</v>
      </c>
      <c r="E53" s="11" t="s">
        <v>586</v>
      </c>
      <c r="F53" s="11" t="s">
        <v>40</v>
      </c>
      <c r="G53" s="22" t="s">
        <v>17</v>
      </c>
      <c r="H53" s="22" t="s">
        <v>17</v>
      </c>
      <c r="I53" s="23" t="s">
        <v>17</v>
      </c>
      <c r="J53" s="12"/>
      <c r="K53" s="12" t="str">
        <f>"150,0"</f>
        <v>150,0</v>
      </c>
      <c r="L53" s="12" t="str">
        <f>"89,2289"</f>
        <v>89,2289</v>
      </c>
      <c r="M53" s="11"/>
    </row>
    <row r="54" spans="1:13">
      <c r="B54" s="5" t="s">
        <v>92</v>
      </c>
    </row>
    <row r="55" spans="1:13">
      <c r="B55" s="5" t="s">
        <v>92</v>
      </c>
    </row>
    <row r="56" spans="1:13">
      <c r="B56" s="5" t="s">
        <v>92</v>
      </c>
    </row>
    <row r="57" spans="1:13" ht="18">
      <c r="B57" s="13" t="s">
        <v>75</v>
      </c>
      <c r="C57" s="13"/>
      <c r="F57" s="3"/>
    </row>
    <row r="58" spans="1:13" ht="16">
      <c r="B58" s="14" t="s">
        <v>133</v>
      </c>
      <c r="C58" s="14"/>
      <c r="F58" s="3"/>
    </row>
    <row r="59" spans="1:13" ht="14">
      <c r="B59" s="15"/>
      <c r="C59" s="16" t="s">
        <v>77</v>
      </c>
      <c r="F59" s="3"/>
    </row>
    <row r="60" spans="1:13" ht="14">
      <c r="B60" s="17" t="s">
        <v>78</v>
      </c>
      <c r="C60" s="17" t="s">
        <v>79</v>
      </c>
      <c r="D60" s="17" t="s">
        <v>566</v>
      </c>
      <c r="E60" s="17" t="s">
        <v>304</v>
      </c>
      <c r="F60" s="17" t="s">
        <v>82</v>
      </c>
    </row>
    <row r="61" spans="1:13">
      <c r="B61" s="5" t="s">
        <v>372</v>
      </c>
      <c r="C61" s="5" t="s">
        <v>77</v>
      </c>
      <c r="D61" s="6" t="s">
        <v>136</v>
      </c>
      <c r="E61" s="6" t="s">
        <v>154</v>
      </c>
      <c r="F61" s="6" t="s">
        <v>441</v>
      </c>
    </row>
    <row r="62" spans="1:13">
      <c r="B62" s="5" t="s">
        <v>377</v>
      </c>
      <c r="C62" s="5" t="s">
        <v>77</v>
      </c>
      <c r="D62" s="6" t="s">
        <v>134</v>
      </c>
      <c r="E62" s="6" t="s">
        <v>153</v>
      </c>
      <c r="F62" s="6" t="s">
        <v>442</v>
      </c>
    </row>
    <row r="63" spans="1:13">
      <c r="B63" s="5" t="s">
        <v>359</v>
      </c>
      <c r="C63" s="5" t="s">
        <v>77</v>
      </c>
      <c r="D63" s="6" t="s">
        <v>199</v>
      </c>
      <c r="E63" s="6" t="s">
        <v>111</v>
      </c>
      <c r="F63" s="6" t="s">
        <v>443</v>
      </c>
    </row>
    <row r="65" spans="2:6" ht="16">
      <c r="B65" s="14" t="s">
        <v>76</v>
      </c>
      <c r="C65" s="14"/>
    </row>
    <row r="66" spans="2:6" ht="14">
      <c r="B66" s="15"/>
      <c r="C66" s="16" t="s">
        <v>77</v>
      </c>
    </row>
    <row r="67" spans="2:6" ht="14">
      <c r="B67" s="17" t="s">
        <v>78</v>
      </c>
      <c r="C67" s="17" t="s">
        <v>79</v>
      </c>
      <c r="D67" s="17" t="s">
        <v>566</v>
      </c>
      <c r="E67" s="17" t="s">
        <v>304</v>
      </c>
      <c r="F67" s="17" t="s">
        <v>82</v>
      </c>
    </row>
    <row r="68" spans="2:6">
      <c r="B68" s="5" t="s">
        <v>388</v>
      </c>
      <c r="C68" s="5" t="s">
        <v>77</v>
      </c>
      <c r="D68" s="6" t="s">
        <v>445</v>
      </c>
      <c r="E68" s="6" t="s">
        <v>18</v>
      </c>
      <c r="F68" s="6" t="s">
        <v>446</v>
      </c>
    </row>
    <row r="69" spans="2:6">
      <c r="B69" s="5" t="s">
        <v>392</v>
      </c>
      <c r="C69" s="5" t="s">
        <v>77</v>
      </c>
      <c r="D69" s="6" t="s">
        <v>445</v>
      </c>
      <c r="E69" s="6" t="s">
        <v>131</v>
      </c>
      <c r="F69" s="6" t="s">
        <v>447</v>
      </c>
    </row>
    <row r="70" spans="2:6">
      <c r="B70" s="5" t="s">
        <v>436</v>
      </c>
      <c r="C70" s="5" t="s">
        <v>77</v>
      </c>
      <c r="D70" s="6" t="s">
        <v>86</v>
      </c>
      <c r="E70" s="6" t="s">
        <v>62</v>
      </c>
      <c r="F70" s="6" t="s">
        <v>444</v>
      </c>
    </row>
  </sheetData>
  <mergeCells count="22">
    <mergeCell ref="A30:J30"/>
    <mergeCell ref="A36:J36"/>
    <mergeCell ref="A44:J44"/>
    <mergeCell ref="A49:J49"/>
    <mergeCell ref="B3:B4"/>
    <mergeCell ref="A8:J8"/>
    <mergeCell ref="A11:J11"/>
    <mergeCell ref="A15:J15"/>
    <mergeCell ref="A20:J20"/>
    <mergeCell ref="A23:J23"/>
    <mergeCell ref="A26:J26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6382C-2ACE-4CDB-A7C5-4D6B57280E9C}">
  <dimension ref="A1:M45"/>
  <sheetViews>
    <sheetView workbookViewId="0">
      <selection activeCell="A26" sqref="A26:J26"/>
    </sheetView>
  </sheetViews>
  <sheetFormatPr baseColWidth="10" defaultColWidth="9.1640625" defaultRowHeight="13"/>
  <cols>
    <col min="1" max="1" width="7.5" style="5" bestFit="1" customWidth="1"/>
    <col min="2" max="2" width="19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37.3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41" t="s">
        <v>561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579</v>
      </c>
      <c r="B3" s="54" t="s">
        <v>0</v>
      </c>
      <c r="C3" s="51" t="s">
        <v>581</v>
      </c>
      <c r="D3" s="51" t="s">
        <v>6</v>
      </c>
      <c r="E3" s="35" t="s">
        <v>582</v>
      </c>
      <c r="F3" s="35" t="s">
        <v>5</v>
      </c>
      <c r="G3" s="35" t="s">
        <v>8</v>
      </c>
      <c r="H3" s="35"/>
      <c r="I3" s="35"/>
      <c r="J3" s="35"/>
      <c r="K3" s="35" t="s">
        <v>306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147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10" t="s">
        <v>91</v>
      </c>
      <c r="B6" s="9" t="s">
        <v>307</v>
      </c>
      <c r="C6" s="9" t="s">
        <v>308</v>
      </c>
      <c r="D6" s="9" t="s">
        <v>309</v>
      </c>
      <c r="E6" s="9" t="s">
        <v>583</v>
      </c>
      <c r="F6" s="9" t="s">
        <v>58</v>
      </c>
      <c r="G6" s="20" t="s">
        <v>111</v>
      </c>
      <c r="H6" s="20" t="s">
        <v>113</v>
      </c>
      <c r="I6" s="20" t="s">
        <v>121</v>
      </c>
      <c r="J6" s="10"/>
      <c r="K6" s="10" t="str">
        <f>"70,0"</f>
        <v>70,0</v>
      </c>
      <c r="L6" s="10" t="str">
        <f>"83,1810"</f>
        <v>83,1810</v>
      </c>
      <c r="M6" s="9"/>
    </row>
    <row r="7" spans="1:13">
      <c r="A7" s="12" t="s">
        <v>93</v>
      </c>
      <c r="B7" s="11" t="s">
        <v>310</v>
      </c>
      <c r="C7" s="11" t="s">
        <v>311</v>
      </c>
      <c r="D7" s="11" t="s">
        <v>312</v>
      </c>
      <c r="E7" s="11" t="s">
        <v>583</v>
      </c>
      <c r="F7" s="11" t="s">
        <v>313</v>
      </c>
      <c r="G7" s="23" t="s">
        <v>217</v>
      </c>
      <c r="H7" s="23" t="s">
        <v>112</v>
      </c>
      <c r="I7" s="23" t="s">
        <v>113</v>
      </c>
      <c r="J7" s="12"/>
      <c r="K7" s="12" t="str">
        <f>"65,0"</f>
        <v>65,0</v>
      </c>
      <c r="L7" s="12" t="str">
        <f>"78,1235"</f>
        <v>78,1235</v>
      </c>
      <c r="M7" s="11"/>
    </row>
    <row r="8" spans="1:13">
      <c r="B8" s="5" t="s">
        <v>92</v>
      </c>
    </row>
    <row r="9" spans="1:13" ht="16">
      <c r="A9" s="52" t="s">
        <v>105</v>
      </c>
      <c r="B9" s="52"/>
      <c r="C9" s="53"/>
      <c r="D9" s="53"/>
      <c r="E9" s="53"/>
      <c r="F9" s="53"/>
      <c r="G9" s="53"/>
      <c r="H9" s="53"/>
      <c r="I9" s="53"/>
      <c r="J9" s="53"/>
    </row>
    <row r="10" spans="1:13">
      <c r="A10" s="8" t="s">
        <v>91</v>
      </c>
      <c r="B10" s="7" t="s">
        <v>314</v>
      </c>
      <c r="C10" s="7" t="s">
        <v>315</v>
      </c>
      <c r="D10" s="7" t="s">
        <v>316</v>
      </c>
      <c r="E10" s="7" t="s">
        <v>583</v>
      </c>
      <c r="F10" s="7" t="s">
        <v>317</v>
      </c>
      <c r="G10" s="18" t="s">
        <v>17</v>
      </c>
      <c r="H10" s="19" t="s">
        <v>130</v>
      </c>
      <c r="I10" s="19" t="s">
        <v>130</v>
      </c>
      <c r="J10" s="8"/>
      <c r="K10" s="8" t="str">
        <f>"150,0"</f>
        <v>150,0</v>
      </c>
      <c r="L10" s="8" t="str">
        <f>"118,0800"</f>
        <v>118,0800</v>
      </c>
      <c r="M10" s="7"/>
    </row>
    <row r="11" spans="1:13">
      <c r="B11" s="5" t="s">
        <v>92</v>
      </c>
    </row>
    <row r="12" spans="1:13" ht="16">
      <c r="A12" s="52" t="s">
        <v>116</v>
      </c>
      <c r="B12" s="52"/>
      <c r="C12" s="53"/>
      <c r="D12" s="53"/>
      <c r="E12" s="53"/>
      <c r="F12" s="53"/>
      <c r="G12" s="53"/>
      <c r="H12" s="53"/>
      <c r="I12" s="53"/>
      <c r="J12" s="53"/>
    </row>
    <row r="13" spans="1:13">
      <c r="A13" s="8" t="s">
        <v>91</v>
      </c>
      <c r="B13" s="7" t="s">
        <v>318</v>
      </c>
      <c r="C13" s="7" t="s">
        <v>319</v>
      </c>
      <c r="D13" s="7" t="s">
        <v>169</v>
      </c>
      <c r="E13" s="7" t="s">
        <v>584</v>
      </c>
      <c r="F13" s="7" t="s">
        <v>287</v>
      </c>
      <c r="G13" s="18" t="s">
        <v>155</v>
      </c>
      <c r="H13" s="19" t="s">
        <v>29</v>
      </c>
      <c r="I13" s="19" t="s">
        <v>29</v>
      </c>
      <c r="J13" s="8"/>
      <c r="K13" s="8" t="str">
        <f>"107,5"</f>
        <v>107,5</v>
      </c>
      <c r="L13" s="8" t="str">
        <f>"76,6045"</f>
        <v>76,6045</v>
      </c>
      <c r="M13" s="7"/>
    </row>
    <row r="14" spans="1:13">
      <c r="B14" s="5" t="s">
        <v>92</v>
      </c>
    </row>
    <row r="15" spans="1:13" ht="16">
      <c r="A15" s="52" t="s">
        <v>320</v>
      </c>
      <c r="B15" s="52"/>
      <c r="C15" s="53"/>
      <c r="D15" s="53"/>
      <c r="E15" s="53"/>
      <c r="F15" s="53"/>
      <c r="G15" s="53"/>
      <c r="H15" s="53"/>
      <c r="I15" s="53"/>
      <c r="J15" s="53"/>
    </row>
    <row r="16" spans="1:13">
      <c r="A16" s="8" t="s">
        <v>91</v>
      </c>
      <c r="B16" s="7" t="s">
        <v>321</v>
      </c>
      <c r="C16" s="7" t="s">
        <v>322</v>
      </c>
      <c r="D16" s="7" t="s">
        <v>323</v>
      </c>
      <c r="E16" s="7" t="s">
        <v>583</v>
      </c>
      <c r="F16" s="7" t="s">
        <v>248</v>
      </c>
      <c r="G16" s="18" t="s">
        <v>17</v>
      </c>
      <c r="H16" s="19" t="s">
        <v>130</v>
      </c>
      <c r="I16" s="19" t="s">
        <v>130</v>
      </c>
      <c r="J16" s="8"/>
      <c r="K16" s="8" t="str">
        <f>"150,0"</f>
        <v>150,0</v>
      </c>
      <c r="L16" s="8" t="str">
        <f>"100,4850"</f>
        <v>100,4850</v>
      </c>
      <c r="M16" s="7"/>
    </row>
    <row r="17" spans="1:13">
      <c r="B17" s="5" t="s">
        <v>92</v>
      </c>
    </row>
    <row r="18" spans="1:13" ht="16">
      <c r="A18" s="52" t="s">
        <v>10</v>
      </c>
      <c r="B18" s="52"/>
      <c r="C18" s="53"/>
      <c r="D18" s="53"/>
      <c r="E18" s="53"/>
      <c r="F18" s="53"/>
      <c r="G18" s="53"/>
      <c r="H18" s="53"/>
      <c r="I18" s="53"/>
      <c r="J18" s="53"/>
    </row>
    <row r="19" spans="1:13">
      <c r="A19" s="10" t="s">
        <v>91</v>
      </c>
      <c r="B19" s="9" t="s">
        <v>324</v>
      </c>
      <c r="C19" s="9" t="s">
        <v>325</v>
      </c>
      <c r="D19" s="9" t="s">
        <v>326</v>
      </c>
      <c r="E19" s="9" t="s">
        <v>583</v>
      </c>
      <c r="F19" s="9" t="s">
        <v>14</v>
      </c>
      <c r="G19" s="20" t="s">
        <v>19</v>
      </c>
      <c r="H19" s="20" t="s">
        <v>61</v>
      </c>
      <c r="I19" s="21" t="s">
        <v>26</v>
      </c>
      <c r="J19" s="10"/>
      <c r="K19" s="10" t="str">
        <f>"175,0"</f>
        <v>175,0</v>
      </c>
      <c r="L19" s="10" t="str">
        <f>"112,3675"</f>
        <v>112,3675</v>
      </c>
      <c r="M19" s="9"/>
    </row>
    <row r="20" spans="1:13">
      <c r="A20" s="12" t="s">
        <v>93</v>
      </c>
      <c r="B20" s="11" t="s">
        <v>327</v>
      </c>
      <c r="C20" s="11" t="s">
        <v>328</v>
      </c>
      <c r="D20" s="11" t="s">
        <v>329</v>
      </c>
      <c r="E20" s="11" t="s">
        <v>583</v>
      </c>
      <c r="F20" s="11" t="s">
        <v>248</v>
      </c>
      <c r="G20" s="23" t="s">
        <v>131</v>
      </c>
      <c r="H20" s="23" t="s">
        <v>19</v>
      </c>
      <c r="I20" s="22" t="s">
        <v>330</v>
      </c>
      <c r="J20" s="12"/>
      <c r="K20" s="12" t="str">
        <f>"170,0"</f>
        <v>170,0</v>
      </c>
      <c r="L20" s="12" t="str">
        <f>"113,0670"</f>
        <v>113,0670</v>
      </c>
      <c r="M20" s="11" t="s">
        <v>331</v>
      </c>
    </row>
    <row r="21" spans="1:13">
      <c r="B21" s="5" t="s">
        <v>92</v>
      </c>
    </row>
    <row r="22" spans="1:13" ht="16">
      <c r="A22" s="52" t="s">
        <v>21</v>
      </c>
      <c r="B22" s="52"/>
      <c r="C22" s="53"/>
      <c r="D22" s="53"/>
      <c r="E22" s="53"/>
      <c r="F22" s="53"/>
      <c r="G22" s="53"/>
      <c r="H22" s="53"/>
      <c r="I22" s="53"/>
      <c r="J22" s="53"/>
    </row>
    <row r="23" spans="1:13">
      <c r="A23" s="10" t="s">
        <v>91</v>
      </c>
      <c r="B23" s="9" t="s">
        <v>332</v>
      </c>
      <c r="C23" s="9" t="s">
        <v>333</v>
      </c>
      <c r="D23" s="9" t="s">
        <v>334</v>
      </c>
      <c r="E23" s="9" t="s">
        <v>583</v>
      </c>
      <c r="F23" s="9" t="s">
        <v>58</v>
      </c>
      <c r="G23" s="20" t="s">
        <v>26</v>
      </c>
      <c r="H23" s="20" t="s">
        <v>335</v>
      </c>
      <c r="I23" s="20" t="s">
        <v>175</v>
      </c>
      <c r="J23" s="10"/>
      <c r="K23" s="10" t="str">
        <f>"192,5"</f>
        <v>192,5</v>
      </c>
      <c r="L23" s="10" t="str">
        <f>"118,1758"</f>
        <v>118,1758</v>
      </c>
      <c r="M23" s="9"/>
    </row>
    <row r="24" spans="1:13">
      <c r="A24" s="12" t="s">
        <v>93</v>
      </c>
      <c r="B24" s="11" t="s">
        <v>336</v>
      </c>
      <c r="C24" s="11" t="s">
        <v>337</v>
      </c>
      <c r="D24" s="11" t="s">
        <v>338</v>
      </c>
      <c r="E24" s="11" t="s">
        <v>583</v>
      </c>
      <c r="F24" s="11" t="s">
        <v>109</v>
      </c>
      <c r="G24" s="23" t="s">
        <v>19</v>
      </c>
      <c r="H24" s="23" t="s">
        <v>26</v>
      </c>
      <c r="I24" s="23" t="s">
        <v>335</v>
      </c>
      <c r="J24" s="12"/>
      <c r="K24" s="12" t="str">
        <f>"187,5"</f>
        <v>187,5</v>
      </c>
      <c r="L24" s="12" t="str">
        <f>"115,5188"</f>
        <v>115,5188</v>
      </c>
      <c r="M24" s="11" t="s">
        <v>115</v>
      </c>
    </row>
    <row r="25" spans="1:13">
      <c r="B25" s="5" t="s">
        <v>92</v>
      </c>
    </row>
    <row r="26" spans="1:13" ht="16">
      <c r="A26" s="52" t="s">
        <v>36</v>
      </c>
      <c r="B26" s="52"/>
      <c r="C26" s="53"/>
      <c r="D26" s="53"/>
      <c r="E26" s="53"/>
      <c r="F26" s="53"/>
      <c r="G26" s="53"/>
      <c r="H26" s="53"/>
      <c r="I26" s="53"/>
      <c r="J26" s="53"/>
    </row>
    <row r="27" spans="1:13">
      <c r="A27" s="10" t="s">
        <v>91</v>
      </c>
      <c r="B27" s="9" t="s">
        <v>339</v>
      </c>
      <c r="C27" s="9" t="s">
        <v>340</v>
      </c>
      <c r="D27" s="9" t="s">
        <v>341</v>
      </c>
      <c r="E27" s="9" t="s">
        <v>585</v>
      </c>
      <c r="F27" s="9" t="s">
        <v>58</v>
      </c>
      <c r="G27" s="20" t="s">
        <v>17</v>
      </c>
      <c r="H27" s="21" t="s">
        <v>249</v>
      </c>
      <c r="I27" s="20" t="s">
        <v>249</v>
      </c>
      <c r="J27" s="10"/>
      <c r="K27" s="10" t="str">
        <f>"157,5"</f>
        <v>157,5</v>
      </c>
      <c r="L27" s="10" t="str">
        <f>"93,1140"</f>
        <v>93,1140</v>
      </c>
      <c r="M27" s="9" t="s">
        <v>342</v>
      </c>
    </row>
    <row r="28" spans="1:13">
      <c r="A28" s="12" t="s">
        <v>91</v>
      </c>
      <c r="B28" s="11" t="s">
        <v>343</v>
      </c>
      <c r="C28" s="11" t="s">
        <v>344</v>
      </c>
      <c r="D28" s="11" t="s">
        <v>345</v>
      </c>
      <c r="E28" s="11" t="s">
        <v>583</v>
      </c>
      <c r="F28" s="11" t="s">
        <v>346</v>
      </c>
      <c r="G28" s="22" t="s">
        <v>267</v>
      </c>
      <c r="H28" s="23" t="s">
        <v>267</v>
      </c>
      <c r="I28" s="22" t="s">
        <v>20</v>
      </c>
      <c r="J28" s="12"/>
      <c r="K28" s="12" t="str">
        <f>"230,0"</f>
        <v>230,0</v>
      </c>
      <c r="L28" s="12" t="str">
        <f>"137,9540"</f>
        <v>137,9540</v>
      </c>
      <c r="M28" s="11"/>
    </row>
    <row r="29" spans="1:13">
      <c r="B29" s="5" t="s">
        <v>92</v>
      </c>
    </row>
    <row r="30" spans="1:13" ht="16">
      <c r="A30" s="52" t="s">
        <v>283</v>
      </c>
      <c r="B30" s="52"/>
      <c r="C30" s="53"/>
      <c r="D30" s="53"/>
      <c r="E30" s="53"/>
      <c r="F30" s="53"/>
      <c r="G30" s="53"/>
      <c r="H30" s="53"/>
      <c r="I30" s="53"/>
      <c r="J30" s="53"/>
    </row>
    <row r="31" spans="1:13">
      <c r="A31" s="8" t="s">
        <v>91</v>
      </c>
      <c r="B31" s="7" t="s">
        <v>347</v>
      </c>
      <c r="C31" s="7" t="s">
        <v>348</v>
      </c>
      <c r="D31" s="7" t="s">
        <v>349</v>
      </c>
      <c r="E31" s="7" t="s">
        <v>583</v>
      </c>
      <c r="F31" s="7" t="s">
        <v>248</v>
      </c>
      <c r="G31" s="18" t="s">
        <v>27</v>
      </c>
      <c r="H31" s="18" t="s">
        <v>28</v>
      </c>
      <c r="I31" s="18" t="s">
        <v>188</v>
      </c>
      <c r="J31" s="8"/>
      <c r="K31" s="8" t="str">
        <f>"202,5"</f>
        <v>202,5</v>
      </c>
      <c r="L31" s="8" t="str">
        <f>"115,8908"</f>
        <v>115,8908</v>
      </c>
      <c r="M31" s="7" t="s">
        <v>350</v>
      </c>
    </row>
    <row r="32" spans="1:13">
      <c r="B32" s="5" t="s">
        <v>92</v>
      </c>
    </row>
    <row r="33" spans="1:13" ht="16">
      <c r="A33" s="52" t="s">
        <v>54</v>
      </c>
      <c r="B33" s="52"/>
      <c r="C33" s="53"/>
      <c r="D33" s="53"/>
      <c r="E33" s="53"/>
      <c r="F33" s="53"/>
      <c r="G33" s="53"/>
      <c r="H33" s="53"/>
      <c r="I33" s="53"/>
      <c r="J33" s="53"/>
    </row>
    <row r="34" spans="1:13">
      <c r="A34" s="8" t="s">
        <v>91</v>
      </c>
      <c r="B34" s="7" t="s">
        <v>351</v>
      </c>
      <c r="C34" s="7" t="s">
        <v>352</v>
      </c>
      <c r="D34" s="7" t="s">
        <v>353</v>
      </c>
      <c r="E34" s="7" t="s">
        <v>583</v>
      </c>
      <c r="F34" s="7" t="s">
        <v>571</v>
      </c>
      <c r="G34" s="18" t="s">
        <v>175</v>
      </c>
      <c r="H34" s="18" t="s">
        <v>188</v>
      </c>
      <c r="I34" s="18" t="s">
        <v>354</v>
      </c>
      <c r="J34" s="8"/>
      <c r="K34" s="8" t="str">
        <f>"207,5"</f>
        <v>207,5</v>
      </c>
      <c r="L34" s="8" t="str">
        <f>"117,9015"</f>
        <v>117,9015</v>
      </c>
      <c r="M34" s="7" t="s">
        <v>355</v>
      </c>
    </row>
    <row r="35" spans="1:13">
      <c r="B35" s="5" t="s">
        <v>92</v>
      </c>
    </row>
    <row r="36" spans="1:13">
      <c r="B36" s="5" t="s">
        <v>92</v>
      </c>
    </row>
    <row r="37" spans="1:13">
      <c r="B37" s="5" t="s">
        <v>92</v>
      </c>
    </row>
    <row r="38" spans="1:13" ht="18">
      <c r="B38" s="13" t="s">
        <v>75</v>
      </c>
      <c r="C38" s="13"/>
      <c r="F38" s="3"/>
    </row>
    <row r="39" spans="1:13" ht="16">
      <c r="B39" s="14" t="s">
        <v>76</v>
      </c>
      <c r="C39" s="14"/>
      <c r="F39" s="3"/>
    </row>
    <row r="40" spans="1:13" ht="14">
      <c r="B40" s="15"/>
      <c r="C40" s="16" t="s">
        <v>77</v>
      </c>
      <c r="F40" s="3"/>
    </row>
    <row r="41" spans="1:13" ht="14">
      <c r="B41" s="17" t="s">
        <v>78</v>
      </c>
      <c r="C41" s="17" t="s">
        <v>79</v>
      </c>
      <c r="D41" s="17" t="s">
        <v>80</v>
      </c>
      <c r="E41" s="17" t="s">
        <v>304</v>
      </c>
      <c r="F41" s="17" t="s">
        <v>82</v>
      </c>
    </row>
    <row r="42" spans="1:13">
      <c r="B42" s="5" t="s">
        <v>343</v>
      </c>
      <c r="C42" s="5" t="s">
        <v>77</v>
      </c>
      <c r="D42" s="6" t="s">
        <v>86</v>
      </c>
      <c r="E42" s="6" t="s">
        <v>267</v>
      </c>
      <c r="F42" s="6" t="s">
        <v>356</v>
      </c>
    </row>
    <row r="43" spans="1:13">
      <c r="B43" s="5" t="s">
        <v>332</v>
      </c>
      <c r="C43" s="5" t="s">
        <v>77</v>
      </c>
      <c r="D43" s="6" t="s">
        <v>205</v>
      </c>
      <c r="E43" s="6" t="s">
        <v>175</v>
      </c>
      <c r="F43" s="6" t="s">
        <v>357</v>
      </c>
    </row>
    <row r="44" spans="1:13">
      <c r="B44" s="5" t="s">
        <v>314</v>
      </c>
      <c r="C44" s="5" t="s">
        <v>77</v>
      </c>
      <c r="D44" s="6" t="s">
        <v>136</v>
      </c>
      <c r="E44" s="6" t="s">
        <v>17</v>
      </c>
      <c r="F44" s="6" t="s">
        <v>358</v>
      </c>
    </row>
    <row r="45" spans="1:13">
      <c r="B45" s="5" t="s">
        <v>92</v>
      </c>
    </row>
  </sheetData>
  <mergeCells count="20">
    <mergeCell ref="A30:J30"/>
    <mergeCell ref="A33:J33"/>
    <mergeCell ref="B3:B4"/>
    <mergeCell ref="A9:J9"/>
    <mergeCell ref="A12:J12"/>
    <mergeCell ref="A15:J15"/>
    <mergeCell ref="A18:J18"/>
    <mergeCell ref="A22:J22"/>
    <mergeCell ref="A26:J26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15A61-F76D-4677-AAEA-024DDC4BA2B7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6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7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41" t="s">
        <v>562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" customHeight="1" thickBot="1">
      <c r="A2" s="45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579</v>
      </c>
      <c r="B3" s="54" t="s">
        <v>0</v>
      </c>
      <c r="C3" s="51" t="s">
        <v>581</v>
      </c>
      <c r="D3" s="51" t="s">
        <v>6</v>
      </c>
      <c r="E3" s="35" t="s">
        <v>582</v>
      </c>
      <c r="F3" s="35" t="s">
        <v>5</v>
      </c>
      <c r="G3" s="35" t="s">
        <v>8</v>
      </c>
      <c r="H3" s="35"/>
      <c r="I3" s="35"/>
      <c r="J3" s="35"/>
      <c r="K3" s="35" t="s">
        <v>306</v>
      </c>
      <c r="L3" s="35" t="s">
        <v>3</v>
      </c>
      <c r="M3" s="37" t="s">
        <v>2</v>
      </c>
    </row>
    <row r="4" spans="1:13" s="1" customFormat="1" ht="21" customHeight="1" thickBot="1">
      <c r="A4" s="50"/>
      <c r="B4" s="55"/>
      <c r="C4" s="36"/>
      <c r="D4" s="36"/>
      <c r="E4" s="36"/>
      <c r="F4" s="36"/>
      <c r="G4" s="4">
        <v>1</v>
      </c>
      <c r="H4" s="4">
        <v>2</v>
      </c>
      <c r="I4" s="4">
        <v>3</v>
      </c>
      <c r="J4" s="4" t="s">
        <v>4</v>
      </c>
      <c r="K4" s="36"/>
      <c r="L4" s="36"/>
      <c r="M4" s="38"/>
    </row>
    <row r="5" spans="1:13" ht="16">
      <c r="A5" s="39" t="s">
        <v>116</v>
      </c>
      <c r="B5" s="39"/>
      <c r="C5" s="40"/>
      <c r="D5" s="40"/>
      <c r="E5" s="40"/>
      <c r="F5" s="40"/>
      <c r="G5" s="40"/>
      <c r="H5" s="40"/>
      <c r="I5" s="40"/>
      <c r="J5" s="40"/>
    </row>
    <row r="6" spans="1:13">
      <c r="A6" s="8" t="s">
        <v>91</v>
      </c>
      <c r="B6" s="7" t="s">
        <v>450</v>
      </c>
      <c r="C6" s="7" t="s">
        <v>451</v>
      </c>
      <c r="D6" s="7" t="s">
        <v>386</v>
      </c>
      <c r="E6" s="7" t="s">
        <v>584</v>
      </c>
      <c r="F6" s="7" t="s">
        <v>452</v>
      </c>
      <c r="G6" s="19" t="s">
        <v>143</v>
      </c>
      <c r="H6" s="18" t="s">
        <v>143</v>
      </c>
      <c r="I6" s="19" t="s">
        <v>144</v>
      </c>
      <c r="J6" s="8"/>
      <c r="K6" s="8" t="str">
        <f>"115,0"</f>
        <v>115,0</v>
      </c>
      <c r="L6" s="8" t="str">
        <f>"97,4682"</f>
        <v>97,4682</v>
      </c>
      <c r="M6" s="7" t="s">
        <v>251</v>
      </c>
    </row>
    <row r="7" spans="1:13">
      <c r="B7" s="5" t="s">
        <v>92</v>
      </c>
    </row>
    <row r="8" spans="1:13" ht="16">
      <c r="A8" s="52" t="s">
        <v>116</v>
      </c>
      <c r="B8" s="52"/>
      <c r="C8" s="53"/>
      <c r="D8" s="53"/>
      <c r="E8" s="53"/>
      <c r="F8" s="53"/>
      <c r="G8" s="53"/>
      <c r="H8" s="53"/>
      <c r="I8" s="53"/>
      <c r="J8" s="53"/>
    </row>
    <row r="9" spans="1:13">
      <c r="A9" s="8" t="s">
        <v>91</v>
      </c>
      <c r="B9" s="7" t="s">
        <v>453</v>
      </c>
      <c r="C9" s="7" t="s">
        <v>454</v>
      </c>
      <c r="D9" s="7" t="s">
        <v>455</v>
      </c>
      <c r="E9" s="7" t="s">
        <v>583</v>
      </c>
      <c r="F9" s="7" t="s">
        <v>40</v>
      </c>
      <c r="G9" s="18" t="s">
        <v>160</v>
      </c>
      <c r="H9" s="19" t="s">
        <v>63</v>
      </c>
      <c r="I9" s="18" t="s">
        <v>63</v>
      </c>
      <c r="J9" s="8"/>
      <c r="K9" s="8" t="str">
        <f>"185,0"</f>
        <v>185,0</v>
      </c>
      <c r="L9" s="8" t="str">
        <f>"130,8135"</f>
        <v>130,8135</v>
      </c>
      <c r="M9" s="7" t="s">
        <v>456</v>
      </c>
    </row>
    <row r="10" spans="1:13">
      <c r="B10" s="5" t="s">
        <v>92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WRPF Тяга без экипировки ДК</vt:lpstr>
      <vt:lpstr>WRPF Тяга без экипировки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2021-08-31T10:25:32Z</dcterms:modified>
</cp:coreProperties>
</file>