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Сентябрь/"/>
    </mc:Choice>
  </mc:AlternateContent>
  <xr:revisionPtr revIDLastSave="0" documentId="13_ncr:1_{2496E982-9293-5440-B12F-EF58876DF072}" xr6:coauthVersionLast="45" xr6:coauthVersionMax="45" xr10:uidLastSave="{00000000-0000-0000-0000-000000000000}"/>
  <bookViews>
    <workbookView xWindow="0" yWindow="0" windowWidth="28800" windowHeight="18000" tabRatio="925" firstSheet="19" activeTab="20" xr2:uid="{00000000-000D-0000-FFFF-FFFF00000000}"/>
  </bookViews>
  <sheets>
    <sheet name="ПЛ без экипировки ДК" sheetId="6" r:id="rId1"/>
    <sheet name="ПЛ без экипировки" sheetId="5" r:id="rId2"/>
    <sheet name="ПЛ в бинтах ДК" sheetId="8" r:id="rId3"/>
    <sheet name="ПЛ в бинтах" sheetId="7" r:id="rId4"/>
    <sheet name="Присед без экипировки" sheetId="19" r:id="rId5"/>
    <sheet name="Жим без экипировки ДК" sheetId="10" r:id="rId6"/>
    <sheet name="Жим без экипировки" sheetId="9" r:id="rId7"/>
    <sheet name="Жим однослой ДК" sheetId="12" r:id="rId8"/>
    <sheet name="Жим однослой" sheetId="11" r:id="rId9"/>
    <sheet name="Жим многослой" sheetId="13" r:id="rId10"/>
    <sheet name="Жим софт однопетельная ДК" sheetId="23" r:id="rId11"/>
    <sheet name="Жим софт однопетельная" sheetId="22" r:id="rId12"/>
    <sheet name="Жим софт многопетельная ДК" sheetId="25" r:id="rId13"/>
    <sheet name="Жим софт многопетельная" sheetId="24" r:id="rId14"/>
    <sheet name="Жим СФО" sheetId="49" r:id="rId15"/>
    <sheet name="Тяга без экипировки ДК" sheetId="15" r:id="rId16"/>
    <sheet name="Тяга без экипировки" sheetId="14" r:id="rId17"/>
    <sheet name="Тяга однослой ДК" sheetId="17" r:id="rId18"/>
    <sheet name="Тяга однослой" sheetId="16" r:id="rId19"/>
    <sheet name="Подъем на бицепс ДК" sheetId="31" r:id="rId20"/>
    <sheet name="Подъем на бицепс" sheetId="30" r:id="rId21"/>
  </sheets>
  <definedNames>
    <definedName name="_FilterDatabase" localSheetId="1" hidden="1">'ПЛ без экипировки'!$A$1:$S$3</definedName>
  </definedNames>
  <calcPr calcId="125725" refMode="R1C1" calcCompleted="0"/>
</workbook>
</file>

<file path=xl/calcChain.xml><?xml version="1.0" encoding="utf-8"?>
<calcChain xmlns="http://schemas.openxmlformats.org/spreadsheetml/2006/main">
  <c r="L26" i="49" l="1"/>
  <c r="K26" i="49"/>
  <c r="L23" i="49"/>
  <c r="K23" i="49"/>
  <c r="L22" i="49"/>
  <c r="K22" i="49"/>
  <c r="L19" i="49"/>
  <c r="K19" i="49"/>
  <c r="L16" i="49"/>
  <c r="K16" i="49"/>
  <c r="L15" i="49"/>
  <c r="K15" i="49"/>
  <c r="L12" i="49"/>
  <c r="K12" i="49"/>
  <c r="L9" i="49"/>
  <c r="K9" i="49"/>
  <c r="L6" i="49"/>
  <c r="K6" i="49"/>
  <c r="L12" i="31"/>
  <c r="K12" i="31"/>
  <c r="L9" i="31"/>
  <c r="K9" i="31"/>
  <c r="L6" i="31"/>
  <c r="L16" i="30"/>
  <c r="K16" i="30"/>
  <c r="L13" i="30"/>
  <c r="L10" i="30"/>
  <c r="K10" i="30"/>
  <c r="L9" i="30"/>
  <c r="K9" i="30"/>
  <c r="L6" i="30"/>
  <c r="K6" i="30"/>
  <c r="L18" i="25"/>
  <c r="K18" i="25"/>
  <c r="L17" i="25"/>
  <c r="K17" i="25"/>
  <c r="L14" i="25"/>
  <c r="K14" i="25"/>
  <c r="L13" i="25"/>
  <c r="K13" i="25"/>
  <c r="L10" i="25"/>
  <c r="K10" i="25"/>
  <c r="L7" i="25"/>
  <c r="K7" i="25"/>
  <c r="L6" i="25"/>
  <c r="K6" i="25"/>
  <c r="L6" i="24"/>
  <c r="K6" i="24"/>
  <c r="L13" i="23"/>
  <c r="K13" i="23"/>
  <c r="L10" i="23"/>
  <c r="K10" i="23"/>
  <c r="L7" i="23"/>
  <c r="K7" i="23"/>
  <c r="L6" i="23"/>
  <c r="K6" i="23"/>
  <c r="L33" i="22"/>
  <c r="K33" i="22"/>
  <c r="L32" i="22"/>
  <c r="K32" i="22"/>
  <c r="L29" i="22"/>
  <c r="K29" i="22"/>
  <c r="L28" i="22"/>
  <c r="K28" i="22"/>
  <c r="L27" i="22"/>
  <c r="K27" i="22"/>
  <c r="L24" i="22"/>
  <c r="K24" i="22"/>
  <c r="L23" i="22"/>
  <c r="K23" i="22"/>
  <c r="L22" i="22"/>
  <c r="K22" i="22"/>
  <c r="L21" i="22"/>
  <c r="K21" i="22"/>
  <c r="L20" i="22"/>
  <c r="K20" i="22"/>
  <c r="L19" i="22"/>
  <c r="K19" i="22"/>
  <c r="L16" i="22"/>
  <c r="K16" i="22"/>
  <c r="L15" i="22"/>
  <c r="K15" i="22"/>
  <c r="L14" i="22"/>
  <c r="K14" i="22"/>
  <c r="L13" i="22"/>
  <c r="K13" i="22"/>
  <c r="L10" i="22"/>
  <c r="K10" i="22"/>
  <c r="L7" i="22"/>
  <c r="K7" i="22"/>
  <c r="L6" i="22"/>
  <c r="K6" i="22"/>
  <c r="L6" i="19"/>
  <c r="K6" i="19"/>
  <c r="L6" i="17"/>
  <c r="K6" i="17"/>
  <c r="L6" i="16"/>
  <c r="K6" i="16"/>
  <c r="L34" i="15"/>
  <c r="K34" i="15"/>
  <c r="L33" i="15"/>
  <c r="K33" i="15"/>
  <c r="L30" i="15"/>
  <c r="L29" i="15"/>
  <c r="K29" i="15"/>
  <c r="L26" i="15"/>
  <c r="K26" i="15"/>
  <c r="L23" i="15"/>
  <c r="K23" i="15"/>
  <c r="L22" i="15"/>
  <c r="K22" i="15"/>
  <c r="L19" i="15"/>
  <c r="K19" i="15"/>
  <c r="L16" i="15"/>
  <c r="L13" i="15"/>
  <c r="K13" i="15"/>
  <c r="L12" i="15"/>
  <c r="K12" i="15"/>
  <c r="L9" i="15"/>
  <c r="K9" i="15"/>
  <c r="L6" i="15"/>
  <c r="K6" i="15"/>
  <c r="L22" i="14"/>
  <c r="K22" i="14"/>
  <c r="L19" i="14"/>
  <c r="K19" i="14"/>
  <c r="L18" i="14"/>
  <c r="K18" i="14"/>
  <c r="L15" i="14"/>
  <c r="K15" i="14"/>
  <c r="L14" i="14"/>
  <c r="K14" i="14"/>
  <c r="L13" i="14"/>
  <c r="K13" i="14"/>
  <c r="L10" i="14"/>
  <c r="K10" i="14"/>
  <c r="L9" i="14"/>
  <c r="K9" i="14"/>
  <c r="L6" i="14"/>
  <c r="K6" i="14"/>
  <c r="L9" i="13"/>
  <c r="K9" i="13"/>
  <c r="L6" i="13"/>
  <c r="K6" i="13"/>
  <c r="L12" i="12"/>
  <c r="K12" i="12"/>
  <c r="L9" i="12"/>
  <c r="K9" i="12"/>
  <c r="L6" i="12"/>
  <c r="K6" i="12"/>
  <c r="L17" i="11"/>
  <c r="K17" i="11"/>
  <c r="L16" i="11"/>
  <c r="K16" i="11"/>
  <c r="L13" i="11"/>
  <c r="K13" i="11"/>
  <c r="L10" i="11"/>
  <c r="K10" i="11"/>
  <c r="L9" i="11"/>
  <c r="K9" i="11"/>
  <c r="L6" i="11"/>
  <c r="K6" i="11"/>
  <c r="L53" i="10"/>
  <c r="K53" i="10"/>
  <c r="L52" i="10"/>
  <c r="K52" i="10"/>
  <c r="L51" i="10"/>
  <c r="K51" i="10"/>
  <c r="L50" i="10"/>
  <c r="K50" i="10"/>
  <c r="L47" i="10"/>
  <c r="K47" i="10"/>
  <c r="L46" i="10"/>
  <c r="K46" i="10"/>
  <c r="L45" i="10"/>
  <c r="K45" i="10"/>
  <c r="L42" i="10"/>
  <c r="K42" i="10"/>
  <c r="L41" i="10"/>
  <c r="L40" i="10"/>
  <c r="K40" i="10"/>
  <c r="L39" i="10"/>
  <c r="K39" i="10"/>
  <c r="L38" i="10"/>
  <c r="K38" i="10"/>
  <c r="L35" i="10"/>
  <c r="K35" i="10"/>
  <c r="L34" i="10"/>
  <c r="K34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L38" i="9"/>
  <c r="K38" i="9"/>
  <c r="L37" i="9"/>
  <c r="K37" i="9"/>
  <c r="L36" i="9"/>
  <c r="K36" i="9"/>
  <c r="L33" i="9"/>
  <c r="K33" i="9"/>
  <c r="L32" i="9"/>
  <c r="K32" i="9"/>
  <c r="L31" i="9"/>
  <c r="K31" i="9"/>
  <c r="L30" i="9"/>
  <c r="K30" i="9"/>
  <c r="L29" i="9"/>
  <c r="K29" i="9"/>
  <c r="L26" i="9"/>
  <c r="L25" i="9"/>
  <c r="K25" i="9"/>
  <c r="L24" i="9"/>
  <c r="K24" i="9"/>
  <c r="L23" i="9"/>
  <c r="K23" i="9"/>
  <c r="L22" i="9"/>
  <c r="K22" i="9"/>
  <c r="L21" i="9"/>
  <c r="K21" i="9"/>
  <c r="L18" i="9"/>
  <c r="K18" i="9"/>
  <c r="L17" i="9"/>
  <c r="K17" i="9"/>
  <c r="L16" i="9"/>
  <c r="K16" i="9"/>
  <c r="L13" i="9"/>
  <c r="K13" i="9"/>
  <c r="L10" i="9"/>
  <c r="K10" i="9"/>
  <c r="L9" i="9"/>
  <c r="K9" i="9"/>
  <c r="L6" i="9"/>
  <c r="K6" i="9"/>
  <c r="T10" i="8"/>
  <c r="S10" i="8"/>
  <c r="T7" i="8"/>
  <c r="S7" i="8"/>
  <c r="T6" i="8"/>
  <c r="S6" i="8"/>
  <c r="T13" i="7"/>
  <c r="S13" i="7"/>
  <c r="T10" i="7"/>
  <c r="S10" i="7"/>
  <c r="T9" i="7"/>
  <c r="S9" i="7"/>
  <c r="T6" i="7"/>
  <c r="S6" i="7"/>
  <c r="T53" i="6"/>
  <c r="S53" i="6"/>
  <c r="T50" i="6"/>
  <c r="S50" i="6"/>
  <c r="T49" i="6"/>
  <c r="S49" i="6"/>
  <c r="T46" i="6"/>
  <c r="S46" i="6"/>
  <c r="T45" i="6"/>
  <c r="S45" i="6"/>
  <c r="T42" i="6"/>
  <c r="S42" i="6"/>
  <c r="T41" i="6"/>
  <c r="S41" i="6"/>
  <c r="T40" i="6"/>
  <c r="S40" i="6"/>
  <c r="T39" i="6"/>
  <c r="S39" i="6"/>
  <c r="T36" i="6"/>
  <c r="S36" i="6"/>
  <c r="T35" i="6"/>
  <c r="S35" i="6"/>
  <c r="T34" i="6"/>
  <c r="S34" i="6"/>
  <c r="T33" i="6"/>
  <c r="S33" i="6"/>
  <c r="T30" i="6"/>
  <c r="S30" i="6"/>
  <c r="T29" i="6"/>
  <c r="S29" i="6"/>
  <c r="T28" i="6"/>
  <c r="S28" i="6"/>
  <c r="T25" i="6"/>
  <c r="S25" i="6"/>
  <c r="T22" i="6"/>
  <c r="S22" i="6"/>
  <c r="T21" i="6"/>
  <c r="S21" i="6"/>
  <c r="T20" i="6"/>
  <c r="S20" i="6"/>
  <c r="T19" i="6"/>
  <c r="S19" i="6"/>
  <c r="T16" i="6"/>
  <c r="S16" i="6"/>
  <c r="T13" i="6"/>
  <c r="S13" i="6"/>
  <c r="T10" i="6"/>
  <c r="S10" i="6"/>
  <c r="T9" i="6"/>
  <c r="S9" i="6"/>
  <c r="T6" i="6"/>
  <c r="S6" i="6"/>
  <c r="T27" i="5"/>
  <c r="S27" i="5"/>
  <c r="T24" i="5"/>
  <c r="S24" i="5"/>
  <c r="T23" i="5"/>
  <c r="S23" i="5"/>
  <c r="T22" i="5"/>
  <c r="S22" i="5"/>
  <c r="T21" i="5"/>
  <c r="S21" i="5"/>
  <c r="T18" i="5"/>
  <c r="S18" i="5"/>
  <c r="T17" i="5"/>
  <c r="S17" i="5"/>
  <c r="T14" i="5"/>
  <c r="T13" i="5"/>
  <c r="S13" i="5"/>
  <c r="T10" i="5"/>
  <c r="T7" i="5"/>
  <c r="S7" i="5"/>
  <c r="T6" i="5"/>
  <c r="S6" i="5"/>
</calcChain>
</file>

<file path=xl/sharedStrings.xml><?xml version="1.0" encoding="utf-8"?>
<sst xmlns="http://schemas.openxmlformats.org/spreadsheetml/2006/main" count="2574" uniqueCount="777">
  <si>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</si>
  <si>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</si>
  <si>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</si>
  <si>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</si>
  <si>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</si>
  <si>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</si>
  <si>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</si>
  <si>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</si>
  <si>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</si>
  <si>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</si>
  <si>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</si>
  <si>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</si>
  <si>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Пархоменко Ольга</t>
  </si>
  <si>
    <t>Открытая (12.11.1988)/31</t>
  </si>
  <si>
    <t>63,50</t>
  </si>
  <si>
    <t xml:space="preserve">Москва </t>
  </si>
  <si>
    <t>100,0</t>
  </si>
  <si>
    <t>105,0</t>
  </si>
  <si>
    <t>110,0</t>
  </si>
  <si>
    <t>70,0</t>
  </si>
  <si>
    <t>72,5</t>
  </si>
  <si>
    <t>112,5</t>
  </si>
  <si>
    <t>120,0</t>
  </si>
  <si>
    <t>Кондрашева Нина</t>
  </si>
  <si>
    <t>67,40</t>
  </si>
  <si>
    <t xml:space="preserve">Тында/Амурская область </t>
  </si>
  <si>
    <t>130,0</t>
  </si>
  <si>
    <t>75,0</t>
  </si>
  <si>
    <t>77,5</t>
  </si>
  <si>
    <t>140,0</t>
  </si>
  <si>
    <t>150,0</t>
  </si>
  <si>
    <t>Гольдин Роман</t>
  </si>
  <si>
    <t>Открытая (20.09.1979)/40</t>
  </si>
  <si>
    <t xml:space="preserve">Ярославль/Ярославская область </t>
  </si>
  <si>
    <t>180,0</t>
  </si>
  <si>
    <t>190,0</t>
  </si>
  <si>
    <t>200,0</t>
  </si>
  <si>
    <t>ВЕСОВАЯ КАТЕГОРИЯ   82.5</t>
  </si>
  <si>
    <t>Угодин Сергей</t>
  </si>
  <si>
    <t>Открытая (14.07.1982)/38</t>
  </si>
  <si>
    <t>81,80</t>
  </si>
  <si>
    <t xml:space="preserve">Ковров/Владимирская область </t>
  </si>
  <si>
    <t>127,5</t>
  </si>
  <si>
    <t>132,5</t>
  </si>
  <si>
    <t>135,0</t>
  </si>
  <si>
    <t>185,0</t>
  </si>
  <si>
    <t>210,0</t>
  </si>
  <si>
    <t>Тихомиров Константин</t>
  </si>
  <si>
    <t>Открытая (10.07.1982)/38</t>
  </si>
  <si>
    <t>81,10</t>
  </si>
  <si>
    <t>220,0</t>
  </si>
  <si>
    <t>147,5</t>
  </si>
  <si>
    <t>152,5</t>
  </si>
  <si>
    <t>155,0</t>
  </si>
  <si>
    <t>235,0</t>
  </si>
  <si>
    <t xml:space="preserve">Золотаренок А. </t>
  </si>
  <si>
    <t>ВЕСОВАЯ КАТЕГОРИЯ   90</t>
  </si>
  <si>
    <t>Мацько Игорь</t>
  </si>
  <si>
    <t>Открытая (24.05.1993)/27</t>
  </si>
  <si>
    <t>88,70</t>
  </si>
  <si>
    <t xml:space="preserve">Тюмень/Тюменская область </t>
  </si>
  <si>
    <t>255,0</t>
  </si>
  <si>
    <t>265,0</t>
  </si>
  <si>
    <t>270,0</t>
  </si>
  <si>
    <t>202,5</t>
  </si>
  <si>
    <t>320,0</t>
  </si>
  <si>
    <t>332,5</t>
  </si>
  <si>
    <t>Жаднов Евгений</t>
  </si>
  <si>
    <t>Открытая (11.06.1996)/24</t>
  </si>
  <si>
    <t>88,20</t>
  </si>
  <si>
    <t>230,0</t>
  </si>
  <si>
    <t>240,0</t>
  </si>
  <si>
    <t>137,5</t>
  </si>
  <si>
    <t>215,0</t>
  </si>
  <si>
    <t>225,0</t>
  </si>
  <si>
    <t>ВЕСОВАЯ КАТЕГОРИЯ   100</t>
  </si>
  <si>
    <t>Белкин Юрий</t>
  </si>
  <si>
    <t>Открытая (05.12.1990)/29</t>
  </si>
  <si>
    <t>99,80</t>
  </si>
  <si>
    <t xml:space="preserve">Хабаровск/Хабаровский край </t>
  </si>
  <si>
    <t>305,0</t>
  </si>
  <si>
    <t>405,0</t>
  </si>
  <si>
    <t>435,0</t>
  </si>
  <si>
    <t>Мозжухин Юрий</t>
  </si>
  <si>
    <t>Открытая (11.12.1994)/25</t>
  </si>
  <si>
    <t>98,40</t>
  </si>
  <si>
    <t xml:space="preserve">Богородск/Нижегородская область </t>
  </si>
  <si>
    <t>237,5</t>
  </si>
  <si>
    <t>250,0</t>
  </si>
  <si>
    <t>262,5</t>
  </si>
  <si>
    <t>165,0</t>
  </si>
  <si>
    <t>172,5</t>
  </si>
  <si>
    <t>275,0</t>
  </si>
  <si>
    <t>295,0</t>
  </si>
  <si>
    <t>300,0</t>
  </si>
  <si>
    <t>Кармишин Андрей</t>
  </si>
  <si>
    <t>Открытая (13.03.1984)/36</t>
  </si>
  <si>
    <t>97,80</t>
  </si>
  <si>
    <t>170,0</t>
  </si>
  <si>
    <t>177,5</t>
  </si>
  <si>
    <t xml:space="preserve">Никулин А. </t>
  </si>
  <si>
    <t>Швецов Анатолий</t>
  </si>
  <si>
    <t>Открытая (14.09.1985)/34</t>
  </si>
  <si>
    <t>98,70</t>
  </si>
  <si>
    <t xml:space="preserve">Балашиха/Московская область </t>
  </si>
  <si>
    <t>232,5</t>
  </si>
  <si>
    <t>145,0</t>
  </si>
  <si>
    <t>205,0</t>
  </si>
  <si>
    <t>217,5</t>
  </si>
  <si>
    <t>ВЕСОВАЯ КАТЕГОРИЯ   110</t>
  </si>
  <si>
    <t>Орлов Александр</t>
  </si>
  <si>
    <t>Открытая (04.03.1987)/33</t>
  </si>
  <si>
    <t>100,50</t>
  </si>
  <si>
    <t xml:space="preserve">Иркутск/Иркутская область </t>
  </si>
  <si>
    <t>245,0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</si>
  <si>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</si>
  <si>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</si>
  <si>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</si>
  <si>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</si>
  <si>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</si>
  <si>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</si>
  <si>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</si>
  <si>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345,0</t>
  </si>
  <si>
    <t xml:space="preserve">Мужчины </t>
  </si>
  <si>
    <t>100</t>
  </si>
  <si>
    <t>935,0</t>
  </si>
  <si>
    <t>569,5085</t>
  </si>
  <si>
    <t>90</t>
  </si>
  <si>
    <t>792,5</t>
  </si>
  <si>
    <t>509,7360</t>
  </si>
  <si>
    <t>710,0</t>
  </si>
  <si>
    <t>434,9460</t>
  </si>
  <si>
    <t>1</t>
  </si>
  <si>
    <t/>
  </si>
  <si>
    <t>-</t>
  </si>
  <si>
    <t>2</t>
  </si>
  <si>
    <t>3</t>
  </si>
  <si>
    <t>4</t>
  </si>
  <si>
    <t>ВЕСОВАЯ КАТЕГОРИЯ   44</t>
  </si>
  <si>
    <t>Сергеева Татьяна</t>
  </si>
  <si>
    <t>Открытая (26.05.1983)/37</t>
  </si>
  <si>
    <t>43,00</t>
  </si>
  <si>
    <t>85,0</t>
  </si>
  <si>
    <t>90,0</t>
  </si>
  <si>
    <t>95,0</t>
  </si>
  <si>
    <t>40,0</t>
  </si>
  <si>
    <t>42,5</t>
  </si>
  <si>
    <t>115,0</t>
  </si>
  <si>
    <t>125,0</t>
  </si>
  <si>
    <t xml:space="preserve">Карпов И. </t>
  </si>
  <si>
    <t>ВЕСОВАЯ КАТЕГОРИЯ   48</t>
  </si>
  <si>
    <t>Гусева Ксения</t>
  </si>
  <si>
    <t>47,30</t>
  </si>
  <si>
    <t>67,5</t>
  </si>
  <si>
    <t>35,0</t>
  </si>
  <si>
    <t>37,5</t>
  </si>
  <si>
    <t xml:space="preserve">Румянцева С. </t>
  </si>
  <si>
    <t>Лебедикова Евгения</t>
  </si>
  <si>
    <t>Открытая (23.03.1995)/25</t>
  </si>
  <si>
    <t>48,00</t>
  </si>
  <si>
    <t xml:space="preserve">Курск/Курская область </t>
  </si>
  <si>
    <t>45,0</t>
  </si>
  <si>
    <t>80,0</t>
  </si>
  <si>
    <t xml:space="preserve">Лебедиков Е. </t>
  </si>
  <si>
    <t>ВЕСОВАЯ КАТЕГОРИЯ   52</t>
  </si>
  <si>
    <t>Петрушкина Виктория</t>
  </si>
  <si>
    <t>Девушки 15-19 (26.04.2006)/14</t>
  </si>
  <si>
    <t>49,40</t>
  </si>
  <si>
    <t>30,0</t>
  </si>
  <si>
    <t>32,5</t>
  </si>
  <si>
    <t>65,0</t>
  </si>
  <si>
    <t xml:space="preserve">Петрушкин Р. </t>
  </si>
  <si>
    <t>ВЕСОВАЯ КАТЕГОРИЯ   56</t>
  </si>
  <si>
    <t>Острейко Ольга</t>
  </si>
  <si>
    <t>Открытая (13.09.1994)/25</t>
  </si>
  <si>
    <t>54,60</t>
  </si>
  <si>
    <t>82,5</t>
  </si>
  <si>
    <t>87,5</t>
  </si>
  <si>
    <t>50,0</t>
  </si>
  <si>
    <t>92,5</t>
  </si>
  <si>
    <t>97,5</t>
  </si>
  <si>
    <t xml:space="preserve">Белкин Ю. </t>
  </si>
  <si>
    <t>Боболович Юлия</t>
  </si>
  <si>
    <t>Девушки 15-19 (14.05.2002)/18</t>
  </si>
  <si>
    <t>60,80</t>
  </si>
  <si>
    <t xml:space="preserve">Сергиев Посад/Московская область </t>
  </si>
  <si>
    <t>60,0</t>
  </si>
  <si>
    <t>55,0</t>
  </si>
  <si>
    <t xml:space="preserve">Терешин А. </t>
  </si>
  <si>
    <t>Ядрихинская Мария</t>
  </si>
  <si>
    <t>Открытая (09.07.1982)/38</t>
  </si>
  <si>
    <t>66,70</t>
  </si>
  <si>
    <t>Аграшина Стефания</t>
  </si>
  <si>
    <t>Открытая (13.12.1991)/28</t>
  </si>
  <si>
    <t>65,90</t>
  </si>
  <si>
    <t>Кутепова Марина</t>
  </si>
  <si>
    <t>66,90</t>
  </si>
  <si>
    <t xml:space="preserve">Иваново/Ивановская область </t>
  </si>
  <si>
    <t xml:space="preserve">Бертрам В. </t>
  </si>
  <si>
    <t>Соколов Данила</t>
  </si>
  <si>
    <t>Юноши 15-19 (08.03.2007)/13</t>
  </si>
  <si>
    <t>66,80</t>
  </si>
  <si>
    <t>122,5</t>
  </si>
  <si>
    <t>57,5</t>
  </si>
  <si>
    <t>117,5</t>
  </si>
  <si>
    <t>ВЕСОВАЯ КАТЕГОРИЯ   75</t>
  </si>
  <si>
    <t>Вонифатьев Андрей</t>
  </si>
  <si>
    <t>74,00</t>
  </si>
  <si>
    <t>Фоминых Артур</t>
  </si>
  <si>
    <t>73,20</t>
  </si>
  <si>
    <t>Лебедиков Евгений</t>
  </si>
  <si>
    <t>Открытая (19.12.1992)/27</t>
  </si>
  <si>
    <t>72,50</t>
  </si>
  <si>
    <t xml:space="preserve">Гусь-Хрустальный/Владимирская область </t>
  </si>
  <si>
    <t>Якимов Глеб</t>
  </si>
  <si>
    <t>Юноши 15-19 (12.05.2002)/18</t>
  </si>
  <si>
    <t>80,50</t>
  </si>
  <si>
    <t>Седов Евгений</t>
  </si>
  <si>
    <t>Юноши 15-19 (07.05.2002)/18</t>
  </si>
  <si>
    <t>78,70</t>
  </si>
  <si>
    <t>Кузнецов Андрей</t>
  </si>
  <si>
    <t>Открытая (22.09.1995)/24</t>
  </si>
  <si>
    <t>80,80</t>
  </si>
  <si>
    <t xml:space="preserve">Владимир/Владимирская область </t>
  </si>
  <si>
    <t>167,5</t>
  </si>
  <si>
    <t>Соколов Дмитрий</t>
  </si>
  <si>
    <t>Открытая (18.07.1986)/34</t>
  </si>
  <si>
    <t>80,10</t>
  </si>
  <si>
    <t>Воробьев Николай</t>
  </si>
  <si>
    <t>Открытая (07.08.1984)/36</t>
  </si>
  <si>
    <t>87,00</t>
  </si>
  <si>
    <t xml:space="preserve">Бор/Нижегородская область </t>
  </si>
  <si>
    <t>Симкин Андрей</t>
  </si>
  <si>
    <t>Открытая (27.05.1983)/37</t>
  </si>
  <si>
    <t>89,70</t>
  </si>
  <si>
    <t xml:space="preserve">Суслов Н. </t>
  </si>
  <si>
    <t>Таран Евгений</t>
  </si>
  <si>
    <t>Открытая (13.06.1986)/34</t>
  </si>
  <si>
    <t>88,90</t>
  </si>
  <si>
    <t>175,0</t>
  </si>
  <si>
    <t>Киселёв Андрей</t>
  </si>
  <si>
    <t>Открытая (31.10.1991)/28</t>
  </si>
  <si>
    <t>87,80</t>
  </si>
  <si>
    <t>260,0</t>
  </si>
  <si>
    <t>Майоров Александр</t>
  </si>
  <si>
    <t>Открытая (29.11.1980)/39</t>
  </si>
  <si>
    <t>91,10</t>
  </si>
  <si>
    <t>160,0</t>
  </si>
  <si>
    <t xml:space="preserve">Бастрыкин А. </t>
  </si>
  <si>
    <t>Щербаков Вадим</t>
  </si>
  <si>
    <t>Открытая (20.07.1989)/31</t>
  </si>
  <si>
    <t>97,40</t>
  </si>
  <si>
    <t xml:space="preserve">Фрязино/Московская область </t>
  </si>
  <si>
    <t xml:space="preserve">Тимофеев Д. </t>
  </si>
  <si>
    <t>Волков Артём</t>
  </si>
  <si>
    <t>Открытая (30.11.1992)/27</t>
  </si>
  <si>
    <t>102,30</t>
  </si>
  <si>
    <t>Серёгин Константин</t>
  </si>
  <si>
    <t>103,00</t>
  </si>
  <si>
    <t xml:space="preserve">Ногинск/Московская область </t>
  </si>
  <si>
    <t xml:space="preserve">Владимиров Е. </t>
  </si>
  <si>
    <t>ВЕСОВАЯ КАТЕГОРИЯ   125</t>
  </si>
  <si>
    <t>Спиридонов Дмитрий</t>
  </si>
  <si>
    <t>Открытая (16.10.1982)/37</t>
  </si>
  <si>
    <t>118,80</t>
  </si>
  <si>
    <t xml:space="preserve">Люберцы/Московская область </t>
  </si>
  <si>
    <t>195,0</t>
  </si>
  <si>
    <t xml:space="preserve">Солодов А. </t>
  </si>
  <si>
    <t>290,0</t>
  </si>
  <si>
    <t>75</t>
  </si>
  <si>
    <t>375,0</t>
  </si>
  <si>
    <t>645,0</t>
  </si>
  <si>
    <t>419,1855</t>
  </si>
  <si>
    <t>535,0</t>
  </si>
  <si>
    <t>390,5500</t>
  </si>
  <si>
    <t>600,0</t>
  </si>
  <si>
    <t>383,7000</t>
  </si>
  <si>
    <t>110</t>
  </si>
  <si>
    <t>Вербицкий Дмитрий</t>
  </si>
  <si>
    <t>Открытая (26.03.1986)/34</t>
  </si>
  <si>
    <t>118,20</t>
  </si>
  <si>
    <t>315,0</t>
  </si>
  <si>
    <t>330,0</t>
  </si>
  <si>
    <t>335,0</t>
  </si>
  <si>
    <t>222,5</t>
  </si>
  <si>
    <t>227,5</t>
  </si>
  <si>
    <t>310,0</t>
  </si>
  <si>
    <t>317,5</t>
  </si>
  <si>
    <t>Лещенко Александр</t>
  </si>
  <si>
    <t>119,10</t>
  </si>
  <si>
    <t>242,5</t>
  </si>
  <si>
    <t>ВЕСОВАЯ КАТЕГОРИЯ   140+</t>
  </si>
  <si>
    <t>Петрушкин Руслан</t>
  </si>
  <si>
    <t>Открытая (24.08.1984)/36</t>
  </si>
  <si>
    <t>153,10</t>
  </si>
  <si>
    <t>307,5</t>
  </si>
  <si>
    <t>125</t>
  </si>
  <si>
    <t>140+</t>
  </si>
  <si>
    <t>Кончакова Наталья</t>
  </si>
  <si>
    <t>Открытая (14.08.1977)/43</t>
  </si>
  <si>
    <t>54,80</t>
  </si>
  <si>
    <t>Пономарев Владимир</t>
  </si>
  <si>
    <t>Открытая (03.08.1981)/39</t>
  </si>
  <si>
    <t>95,30</t>
  </si>
  <si>
    <t>157,5</t>
  </si>
  <si>
    <t>Давыденко Дарья</t>
  </si>
  <si>
    <t>Открытая (29.04.1984)/36</t>
  </si>
  <si>
    <t>56,00</t>
  </si>
  <si>
    <t xml:space="preserve">Ремизевич Е. </t>
  </si>
  <si>
    <t>Самарина Наталья</t>
  </si>
  <si>
    <t>Открытая (27.06.1984)/36</t>
  </si>
  <si>
    <t>67,50</t>
  </si>
  <si>
    <t>Румянцева Светлана</t>
  </si>
  <si>
    <t>Открытая (16.05.1988)/32</t>
  </si>
  <si>
    <t>66,20</t>
  </si>
  <si>
    <t xml:space="preserve">Румянцев С. </t>
  </si>
  <si>
    <t>Сорокин Евгений</t>
  </si>
  <si>
    <t>87,40</t>
  </si>
  <si>
    <t xml:space="preserve">Североморск/Мурманская область </t>
  </si>
  <si>
    <t xml:space="preserve">Немнонов С. </t>
  </si>
  <si>
    <t>Тимченко Сергей</t>
  </si>
  <si>
    <t>Открытая (23.12.1979)/40</t>
  </si>
  <si>
    <t>93,00</t>
  </si>
  <si>
    <t>212,5</t>
  </si>
  <si>
    <t xml:space="preserve">Григорьев Д. </t>
  </si>
  <si>
    <t>Акулич Александр</t>
  </si>
  <si>
    <t>Открытая (17.11.1981)/38</t>
  </si>
  <si>
    <t>Румянцев Сергей</t>
  </si>
  <si>
    <t>Открытая (14.08.1990)/30</t>
  </si>
  <si>
    <t>99,30</t>
  </si>
  <si>
    <t>187,5</t>
  </si>
  <si>
    <t>Терлецкий Матвей</t>
  </si>
  <si>
    <t>Открытая (22.04.1992)/28</t>
  </si>
  <si>
    <t>107,50</t>
  </si>
  <si>
    <t>285,0</t>
  </si>
  <si>
    <t>Мусаев Ахмед</t>
  </si>
  <si>
    <t>Открытая (10.10.1980)/39</t>
  </si>
  <si>
    <t>101,40</t>
  </si>
  <si>
    <t>207,5</t>
  </si>
  <si>
    <t xml:space="preserve">Сапожонков А. </t>
  </si>
  <si>
    <t>Лисицын Сергей</t>
  </si>
  <si>
    <t>Открытая (26.10.1970)/49</t>
  </si>
  <si>
    <t>106,80</t>
  </si>
  <si>
    <t xml:space="preserve">Нахабино/Московская область </t>
  </si>
  <si>
    <t>197,5</t>
  </si>
  <si>
    <t xml:space="preserve">Кудря Д. </t>
  </si>
  <si>
    <t>Аниканов Иван</t>
  </si>
  <si>
    <t>Открытая (23.07.1982)/38</t>
  </si>
  <si>
    <t>109,50</t>
  </si>
  <si>
    <t xml:space="preserve">Шах-Назаров С. </t>
  </si>
  <si>
    <t>Муссуров Иван</t>
  </si>
  <si>
    <t>Открытая (27.12.1982)/37</t>
  </si>
  <si>
    <t>107,90</t>
  </si>
  <si>
    <t xml:space="preserve">Электросталь/Московская область </t>
  </si>
  <si>
    <t xml:space="preserve">Железнов Д. </t>
  </si>
  <si>
    <t>Трунов Иван</t>
  </si>
  <si>
    <t>110,00</t>
  </si>
  <si>
    <t>Железнов Дмитрий</t>
  </si>
  <si>
    <t>Открытая (24.01.1993)/27</t>
  </si>
  <si>
    <t>125,00</t>
  </si>
  <si>
    <t xml:space="preserve">Бронницы/Московская область </t>
  </si>
  <si>
    <t>247,5</t>
  </si>
  <si>
    <t>Черепнин Валентин</t>
  </si>
  <si>
    <t>Открытая (08.12.1976)/43</t>
  </si>
  <si>
    <t>117,00</t>
  </si>
  <si>
    <t xml:space="preserve">Мурманск/Мурманская область </t>
  </si>
  <si>
    <t>Ганин Антон</t>
  </si>
  <si>
    <t>Открытая (26.06.1985)/35</t>
  </si>
  <si>
    <t>123,10</t>
  </si>
  <si>
    <t xml:space="preserve">Нижний Новгород/Нижегородская область </t>
  </si>
  <si>
    <t xml:space="preserve">Сычев </t>
  </si>
  <si>
    <t>Плотников Алексей</t>
  </si>
  <si>
    <t>111,70</t>
  </si>
  <si>
    <t>ВЕСОВАЯ КАТЕГОРИЯ   140</t>
  </si>
  <si>
    <t>Жерелов Алексей</t>
  </si>
  <si>
    <t>Открытая (16.09.1990)/29</t>
  </si>
  <si>
    <t>131,60</t>
  </si>
  <si>
    <t xml:space="preserve">Кинешма/Ивановская область </t>
  </si>
  <si>
    <t>252,5</t>
  </si>
  <si>
    <t>Махмудов Ариф</t>
  </si>
  <si>
    <t>Открытая (31.07.1962)/58</t>
  </si>
  <si>
    <t>138,70</t>
  </si>
  <si>
    <t xml:space="preserve">Собинка/Владимирская область </t>
  </si>
  <si>
    <t xml:space="preserve">Результат </t>
  </si>
  <si>
    <t>141,0255</t>
  </si>
  <si>
    <t>140</t>
  </si>
  <si>
    <t>139,6890</t>
  </si>
  <si>
    <t>133,4925</t>
  </si>
  <si>
    <t>Результат</t>
  </si>
  <si>
    <t>5</t>
  </si>
  <si>
    <t>Балясина Евгения</t>
  </si>
  <si>
    <t>Открытая (21.05.1989)/31</t>
  </si>
  <si>
    <t>47,00</t>
  </si>
  <si>
    <t xml:space="preserve">Дубна/Московская область </t>
  </si>
  <si>
    <t>Самарина Ульяна</t>
  </si>
  <si>
    <t>Девушки 15-19 (08.10.2007)/12</t>
  </si>
  <si>
    <t>62,5</t>
  </si>
  <si>
    <t xml:space="preserve">Самарина Н. </t>
  </si>
  <si>
    <t>Копылова Екатерина</t>
  </si>
  <si>
    <t>Открытая (02.10.1986)/33</t>
  </si>
  <si>
    <t>73,10</t>
  </si>
  <si>
    <t xml:space="preserve">Талдом/Московская область </t>
  </si>
  <si>
    <t>ВЕСОВАЯ КАТЕГОРИЯ   60</t>
  </si>
  <si>
    <t>Савельев Никита</t>
  </si>
  <si>
    <t>Юноши 15-19 (30.11.2001)/18</t>
  </si>
  <si>
    <t>59,30</t>
  </si>
  <si>
    <t>102,5</t>
  </si>
  <si>
    <t>Круглов Илья</t>
  </si>
  <si>
    <t>Открытая (25.11.1995)/24</t>
  </si>
  <si>
    <t>74,80</t>
  </si>
  <si>
    <t xml:space="preserve">Курлыков Р. </t>
  </si>
  <si>
    <t>Едигарян Самвел</t>
  </si>
  <si>
    <t>Открытая (23.11.1985)/34</t>
  </si>
  <si>
    <t>82,50</t>
  </si>
  <si>
    <t xml:space="preserve">Эрнандес-Ортега А. </t>
  </si>
  <si>
    <t>Перепелицын Михаил</t>
  </si>
  <si>
    <t>Открытая (14.11.1990)/29</t>
  </si>
  <si>
    <t>82,40</t>
  </si>
  <si>
    <t>Седов Андрей</t>
  </si>
  <si>
    <t>Юноши 15-19 (21.06.2007)/13</t>
  </si>
  <si>
    <t>85,90</t>
  </si>
  <si>
    <t>Мазур Евгений</t>
  </si>
  <si>
    <t>Открытая (30.11.1990)/29</t>
  </si>
  <si>
    <t>90,00</t>
  </si>
  <si>
    <t xml:space="preserve">Одинцово/Московская область </t>
  </si>
  <si>
    <t>192,5</t>
  </si>
  <si>
    <t>Мищенко Артем</t>
  </si>
  <si>
    <t>Открытая (26.06.1984)/36</t>
  </si>
  <si>
    <t>87,20</t>
  </si>
  <si>
    <t>182,5</t>
  </si>
  <si>
    <t xml:space="preserve">Чокаев У. </t>
  </si>
  <si>
    <t>Орехов Артур</t>
  </si>
  <si>
    <t>Открытая (25.12.1990)/29</t>
  </si>
  <si>
    <t>87,10</t>
  </si>
  <si>
    <t xml:space="preserve">Берендеево/Ярославская область </t>
  </si>
  <si>
    <t>Сокол Андрей</t>
  </si>
  <si>
    <t>Открытая (22.05.1987)/33</t>
  </si>
  <si>
    <t>88,60</t>
  </si>
  <si>
    <t>142,5</t>
  </si>
  <si>
    <t>89,30</t>
  </si>
  <si>
    <t>Волков Андрей</t>
  </si>
  <si>
    <t>Открытая (26.01.1996)/24</t>
  </si>
  <si>
    <t>Носырев Сергей</t>
  </si>
  <si>
    <t>Открытая (23.08.1987)/33</t>
  </si>
  <si>
    <t>Лысенко Александр</t>
  </si>
  <si>
    <t xml:space="preserve">Новозыбков/Брянская область </t>
  </si>
  <si>
    <t>Богачёв Андрей</t>
  </si>
  <si>
    <t>Открытая (29.04.1994)/26</t>
  </si>
  <si>
    <t>101,10</t>
  </si>
  <si>
    <t xml:space="preserve">Волгодонск/Ростовская область </t>
  </si>
  <si>
    <t>Иванчук Алексей</t>
  </si>
  <si>
    <t>Открытая (13.04.1991)/29</t>
  </si>
  <si>
    <t>105,00</t>
  </si>
  <si>
    <t>162,5</t>
  </si>
  <si>
    <t>Косачев Александр</t>
  </si>
  <si>
    <t>Открытая (18.11.1991)/28</t>
  </si>
  <si>
    <t>104,40</t>
  </si>
  <si>
    <t>Лавин Павел</t>
  </si>
  <si>
    <t>108,00</t>
  </si>
  <si>
    <t>Гринько Кирилл</t>
  </si>
  <si>
    <t>Юноши 15-19 (30.03.2007)/13</t>
  </si>
  <si>
    <t>118,00</t>
  </si>
  <si>
    <t>Ильиных Иван</t>
  </si>
  <si>
    <t>122,90</t>
  </si>
  <si>
    <t>Карпов Илья</t>
  </si>
  <si>
    <t>Открытая (29.06.1993)/27</t>
  </si>
  <si>
    <t>116,30</t>
  </si>
  <si>
    <t>Артамонов Дмитрий</t>
  </si>
  <si>
    <t>Юноши 15-19 (01.04.2006)/14</t>
  </si>
  <si>
    <t>126,50</t>
  </si>
  <si>
    <t>Калякин Дмитрий</t>
  </si>
  <si>
    <t>Открытая (09.12.1984)/35</t>
  </si>
  <si>
    <t>139,00</t>
  </si>
  <si>
    <t xml:space="preserve">Обнинск/Калужская область </t>
  </si>
  <si>
    <t>Евстифеев Павел</t>
  </si>
  <si>
    <t>Открытая (23.08.1992)/28</t>
  </si>
  <si>
    <t>130,60</t>
  </si>
  <si>
    <t xml:space="preserve">Зорин С. </t>
  </si>
  <si>
    <t>Чубаров Владимир</t>
  </si>
  <si>
    <t>127,40</t>
  </si>
  <si>
    <t>131,7907</t>
  </si>
  <si>
    <t>122,8920</t>
  </si>
  <si>
    <t>118,4608</t>
  </si>
  <si>
    <t>Беленький Юрий</t>
  </si>
  <si>
    <t>Открытая (23.03.1990)/30</t>
  </si>
  <si>
    <t xml:space="preserve">Зерноград/Ростовская область </t>
  </si>
  <si>
    <t>Кончаков Владимир</t>
  </si>
  <si>
    <t>Открытая (25.05.1973)/47</t>
  </si>
  <si>
    <t>98,20</t>
  </si>
  <si>
    <t>292,5</t>
  </si>
  <si>
    <t>305,5</t>
  </si>
  <si>
    <t>Григорьев Денис</t>
  </si>
  <si>
    <t>Открытая (07.08.1982)/38</t>
  </si>
  <si>
    <t>107,80</t>
  </si>
  <si>
    <t xml:space="preserve">Липецк/Липецкая область </t>
  </si>
  <si>
    <t>Горбачев Дмитрий</t>
  </si>
  <si>
    <t>Открытая (06.03.1970)/50</t>
  </si>
  <si>
    <t>116,20</t>
  </si>
  <si>
    <t xml:space="preserve">Раменское/Московская область </t>
  </si>
  <si>
    <t xml:space="preserve">Демичев Р. </t>
  </si>
  <si>
    <t>Боровков Владимир</t>
  </si>
  <si>
    <t>Открытая (13.11.1992)/27</t>
  </si>
  <si>
    <t>70,30</t>
  </si>
  <si>
    <t xml:space="preserve">Кстово/Нижегородская область </t>
  </si>
  <si>
    <t>Кокорев Илья</t>
  </si>
  <si>
    <t>Открытая (19.01.1973)/47</t>
  </si>
  <si>
    <t>Зайцева Екатерина</t>
  </si>
  <si>
    <t>Открытая (12.02.1987)/33</t>
  </si>
  <si>
    <t>79,60</t>
  </si>
  <si>
    <t xml:space="preserve">Магнитогорск/Челябинская область </t>
  </si>
  <si>
    <t xml:space="preserve">Палей А. </t>
  </si>
  <si>
    <t>Палей Андрей</t>
  </si>
  <si>
    <t>Открытая (11.10.1961)/58</t>
  </si>
  <si>
    <t>99,60</t>
  </si>
  <si>
    <t xml:space="preserve">Рогожников К. </t>
  </si>
  <si>
    <t>Романова Нина</t>
  </si>
  <si>
    <t xml:space="preserve">Порядин И. </t>
  </si>
  <si>
    <t>Ремизевич Евгений</t>
  </si>
  <si>
    <t>Открытая (03.03.1992)/28</t>
  </si>
  <si>
    <t>81,60</t>
  </si>
  <si>
    <t>Калинов Антон</t>
  </si>
  <si>
    <t>Открытая (22.09.1991)/28</t>
  </si>
  <si>
    <t>80,40</t>
  </si>
  <si>
    <t>Порядин Иван</t>
  </si>
  <si>
    <t>Открытая (06.06.1982)/38</t>
  </si>
  <si>
    <t>Капралов Виктор</t>
  </si>
  <si>
    <t>Открытая (30.09.1981)/38</t>
  </si>
  <si>
    <t>280,0</t>
  </si>
  <si>
    <t xml:space="preserve">Фотин А. </t>
  </si>
  <si>
    <t>Клюшев Александр</t>
  </si>
  <si>
    <t>Открытая (23.12.1983)/36</t>
  </si>
  <si>
    <t>143,20</t>
  </si>
  <si>
    <t>352,5</t>
  </si>
  <si>
    <t>246,6855</t>
  </si>
  <si>
    <t>196,3425</t>
  </si>
  <si>
    <t>184,2600</t>
  </si>
  <si>
    <t>Резникова Анна</t>
  </si>
  <si>
    <t>Открытая (09.12.1985)/34</t>
  </si>
  <si>
    <t>50,70</t>
  </si>
  <si>
    <t xml:space="preserve">Ростов-на-Дону/Ростовская область </t>
  </si>
  <si>
    <t xml:space="preserve">Беленький Ю. </t>
  </si>
  <si>
    <t>Цветкова Светлана</t>
  </si>
  <si>
    <t>Открытая (10.03.1980)/40</t>
  </si>
  <si>
    <t xml:space="preserve">Дурнов Р. </t>
  </si>
  <si>
    <t>ВЕСОВАЯ КАТЕГОРИЯ   90+</t>
  </si>
  <si>
    <t>Зенькова Яна</t>
  </si>
  <si>
    <t>116,00</t>
  </si>
  <si>
    <t xml:space="preserve">Унеча/Брянская область </t>
  </si>
  <si>
    <t>Шемякин Виталий</t>
  </si>
  <si>
    <t>Юноши 15-19 (24.07.2005)/15</t>
  </si>
  <si>
    <t>Чиненко Денис</t>
  </si>
  <si>
    <t xml:space="preserve">Монино/Московская область </t>
  </si>
  <si>
    <t>Палоян Вартан</t>
  </si>
  <si>
    <t>Открытая (11.06.1989)/31</t>
  </si>
  <si>
    <t>74,10</t>
  </si>
  <si>
    <t xml:space="preserve">Тейково/Ивановская область </t>
  </si>
  <si>
    <t>Рывкин Михаил</t>
  </si>
  <si>
    <t>Открытая (16.09.1982)/37</t>
  </si>
  <si>
    <t>79,20</t>
  </si>
  <si>
    <t xml:space="preserve">Симкин А. </t>
  </si>
  <si>
    <t>Фирсов Роман</t>
  </si>
  <si>
    <t>Открытая (09.10.1986)/33</t>
  </si>
  <si>
    <t>Денисов Сергей</t>
  </si>
  <si>
    <t>Открытая (14.04.1992)/28</t>
  </si>
  <si>
    <t>84,30</t>
  </si>
  <si>
    <t>Ярошенко Ирина</t>
  </si>
  <si>
    <t>Открытая (04.12.1986)/33</t>
  </si>
  <si>
    <t>100,60</t>
  </si>
  <si>
    <t xml:space="preserve">Королёв/Московская область </t>
  </si>
  <si>
    <t xml:space="preserve">Постнов Д. </t>
  </si>
  <si>
    <t>Лазуренко Ольга</t>
  </si>
  <si>
    <t>Открытая (05.09.1971)/49</t>
  </si>
  <si>
    <t xml:space="preserve">Воронеж/Воронежская область </t>
  </si>
  <si>
    <t>Макарова Елена</t>
  </si>
  <si>
    <t>Волков Алексей</t>
  </si>
  <si>
    <t>Открытая (03.05.1985)/35</t>
  </si>
  <si>
    <t>80,60</t>
  </si>
  <si>
    <t xml:space="preserve">Серпухов/Московская область </t>
  </si>
  <si>
    <t>Беспаликов Валерий</t>
  </si>
  <si>
    <t>Открытая (07.04.1981)/39</t>
  </si>
  <si>
    <t>99,90</t>
  </si>
  <si>
    <t xml:space="preserve">Сербин А. </t>
  </si>
  <si>
    <t>Плетнев Виталий</t>
  </si>
  <si>
    <t>Открытая (20.08.1979)/41</t>
  </si>
  <si>
    <t>Хан Дмитрий</t>
  </si>
  <si>
    <t>Открытая (18.04.1982)/38</t>
  </si>
  <si>
    <t>106,50</t>
  </si>
  <si>
    <t>257,5</t>
  </si>
  <si>
    <t>267,5</t>
  </si>
  <si>
    <t>Емельянов Николай</t>
  </si>
  <si>
    <t>Открытая (30.08.1979)/41</t>
  </si>
  <si>
    <t>103,40</t>
  </si>
  <si>
    <t xml:space="preserve">Лосино-Петровский/Московская область </t>
  </si>
  <si>
    <t>Пузырев Денис</t>
  </si>
  <si>
    <t>Открытая (31.03.1974)/46</t>
  </si>
  <si>
    <t>108,50</t>
  </si>
  <si>
    <t>Воробьёв Александр</t>
  </si>
  <si>
    <t>Открытая (11.02.1972)/48</t>
  </si>
  <si>
    <t>120,10</t>
  </si>
  <si>
    <t>Открытая (16.06.1975)/45</t>
  </si>
  <si>
    <t>Аверкин Сергей</t>
  </si>
  <si>
    <t>112,10</t>
  </si>
  <si>
    <t xml:space="preserve">Кургов В. </t>
  </si>
  <si>
    <t>325,0</t>
  </si>
  <si>
    <t xml:space="preserve">Gloss </t>
  </si>
  <si>
    <t>178,5317</t>
  </si>
  <si>
    <t>167,6698</t>
  </si>
  <si>
    <t>152,9010</t>
  </si>
  <si>
    <t>Тографулина Татьяна</t>
  </si>
  <si>
    <t>67,10</t>
  </si>
  <si>
    <t xml:space="preserve">Клин/Московская область </t>
  </si>
  <si>
    <t xml:space="preserve">Хан Д. </t>
  </si>
  <si>
    <t>Открытая (30.08.2001)/19</t>
  </si>
  <si>
    <t>Матвеев Александр</t>
  </si>
  <si>
    <t>Открытая (14.03.1974)/46</t>
  </si>
  <si>
    <t>213,0</t>
  </si>
  <si>
    <t xml:space="preserve">Жинкин В. </t>
  </si>
  <si>
    <t>Салов Андрей</t>
  </si>
  <si>
    <t>Мастера 60+ (18.10.1959)/60</t>
  </si>
  <si>
    <t>94,00</t>
  </si>
  <si>
    <t>Илюшин Руслан</t>
  </si>
  <si>
    <t>Открытая (25.02.1991)/29</t>
  </si>
  <si>
    <t xml:space="preserve">Орехово-Зуево/Московская область </t>
  </si>
  <si>
    <t xml:space="preserve">Ушков И. </t>
  </si>
  <si>
    <t>Варшавский Илья</t>
  </si>
  <si>
    <t>Открытая (03.11.1991)/28</t>
  </si>
  <si>
    <t>73,90</t>
  </si>
  <si>
    <t>Хузин Ринат</t>
  </si>
  <si>
    <t>75,00</t>
  </si>
  <si>
    <t>Жигулин Константин</t>
  </si>
  <si>
    <t>Открытая (03.10.1987)/32</t>
  </si>
  <si>
    <t>80,00</t>
  </si>
  <si>
    <t xml:space="preserve">Орёл/Орловская область </t>
  </si>
  <si>
    <t>Сухарев Андрей</t>
  </si>
  <si>
    <t>Открытая (22.07.1974)/46</t>
  </si>
  <si>
    <t>106,20</t>
  </si>
  <si>
    <t>355,0</t>
  </si>
  <si>
    <t>365,0</t>
  </si>
  <si>
    <t>Василенко Дмитрий</t>
  </si>
  <si>
    <t>Открытая (03.06.1975)/45</t>
  </si>
  <si>
    <t>114,30</t>
  </si>
  <si>
    <t>370,0</t>
  </si>
  <si>
    <t>Подъем на бицепс</t>
  </si>
  <si>
    <t>Петриченко Максим</t>
  </si>
  <si>
    <t>Открытая (31.05.1987)/33</t>
  </si>
  <si>
    <t>85,20</t>
  </si>
  <si>
    <t xml:space="preserve">Рязань/Рязанская область </t>
  </si>
  <si>
    <t>Авдулов Евгений</t>
  </si>
  <si>
    <t>Открытая (04.11.1983)/36</t>
  </si>
  <si>
    <t>117,10</t>
  </si>
  <si>
    <t xml:space="preserve">Суздаль/Владимирская область </t>
  </si>
  <si>
    <t>101,0</t>
  </si>
  <si>
    <t>Иваненко Анна</t>
  </si>
  <si>
    <t>Открытая (03.01.1986)/34</t>
  </si>
  <si>
    <t>74,30</t>
  </si>
  <si>
    <t>Болдуганов Максим</t>
  </si>
  <si>
    <t>Открытая (31.08.1990)/30</t>
  </si>
  <si>
    <t>73,40</t>
  </si>
  <si>
    <t xml:space="preserve">Подольск/Московская область </t>
  </si>
  <si>
    <t>89,50</t>
  </si>
  <si>
    <t>Зайцева Таисья</t>
  </si>
  <si>
    <t>Мастера 70-79 (30.08.1947)/73</t>
  </si>
  <si>
    <t>81,20</t>
  </si>
  <si>
    <t xml:space="preserve">Вичуга/Ивановская область </t>
  </si>
  <si>
    <t>Маева Татьяна</t>
  </si>
  <si>
    <t>Мастера 60-69 (05.07.1958)/62</t>
  </si>
  <si>
    <t>90,20</t>
  </si>
  <si>
    <t xml:space="preserve">Родники/Ивановская область </t>
  </si>
  <si>
    <t>Косарев Евгений</t>
  </si>
  <si>
    <t>Мастера 50-59 (29.03.1961)/59</t>
  </si>
  <si>
    <t>63,60</t>
  </si>
  <si>
    <t>Гвоздев Георгий</t>
  </si>
  <si>
    <t>Мастера 60-69 (26.04.1959)/61</t>
  </si>
  <si>
    <t>79,30</t>
  </si>
  <si>
    <t xml:space="preserve">Новописцово/Ивановская область </t>
  </si>
  <si>
    <t>Аркадьев Анатолий</t>
  </si>
  <si>
    <t>Мастера 60-69 (17.08.1954)/66</t>
  </si>
  <si>
    <t>Рябинин Михаил</t>
  </si>
  <si>
    <t>Открытая (05.09.1981)/39</t>
  </si>
  <si>
    <t>Пурышев Иван</t>
  </si>
  <si>
    <t>Мастера 40-49 (03.05.1980)/40</t>
  </si>
  <si>
    <t xml:space="preserve">Ковалёв С. </t>
  </si>
  <si>
    <t>Кузнецов Владимир</t>
  </si>
  <si>
    <t>Мастера 70-79 (04.03.1945)/75</t>
  </si>
  <si>
    <t>94,20</t>
  </si>
  <si>
    <t>Ковалев Сергей</t>
  </si>
  <si>
    <t>Мастера 50-59 (22.05.1969)/51</t>
  </si>
  <si>
    <t>100,80</t>
  </si>
  <si>
    <t xml:space="preserve">Василенко Д. </t>
  </si>
  <si>
    <t xml:space="preserve">Грудев А. </t>
  </si>
  <si>
    <t xml:space="preserve">Каштанов С. </t>
  </si>
  <si>
    <t>Беловал Е.</t>
  </si>
  <si>
    <t xml:space="preserve">Козырев О. </t>
  </si>
  <si>
    <t xml:space="preserve">Тихонов В. </t>
  </si>
  <si>
    <t>Григорьев И.</t>
  </si>
  <si>
    <t>Козырев О.</t>
  </si>
  <si>
    <t>Зайцев С.</t>
  </si>
  <si>
    <t>Орлов А.</t>
  </si>
  <si>
    <t>Румянцева С.</t>
  </si>
  <si>
    <t xml:space="preserve">Постнов. Д. </t>
  </si>
  <si>
    <t>Петрушкин Р.</t>
  </si>
  <si>
    <t>Малунин А.</t>
  </si>
  <si>
    <t>Юниорки 20-23 (26.06.2000)/20</t>
  </si>
  <si>
    <t>Мастера 40-44 (12.01.1979)/41</t>
  </si>
  <si>
    <t>Юниоры 20-23 (08.08.2000)/20</t>
  </si>
  <si>
    <t>Юниоры 20-23 (02.06.2000)/20</t>
  </si>
  <si>
    <t>Мастера 40-44 (19.01.1978)/42</t>
  </si>
  <si>
    <t>Мастера 60-64 (02.01.1960)/60</t>
  </si>
  <si>
    <t>Мастера 40-44 (14.08.1977)/43</t>
  </si>
  <si>
    <t>Мастера 40-44 (30.10.1975)/44</t>
  </si>
  <si>
    <t>Мастера 55-59 (28.08.1965)/55</t>
  </si>
  <si>
    <t>Юниоры 20-23 (05.03.1999)/21</t>
  </si>
  <si>
    <t>Мастера 40-44 (14.04.1979)/41</t>
  </si>
  <si>
    <t>Юниоры 20-23 (25.10.1996)/23</t>
  </si>
  <si>
    <t>Мастера 55-59 (03.04.1964)/56</t>
  </si>
  <si>
    <t>Мастера 40-44 (11.02.1977)/43</t>
  </si>
  <si>
    <t>Мастера 40-44 (08.12.1976)/43</t>
  </si>
  <si>
    <t>Мастера 45-49 (16.06.1975)/45</t>
  </si>
  <si>
    <t>Мастера 55-59 (31.07.1962)/58</t>
  </si>
  <si>
    <t>Мастера 45-49 (25.05.1973)/47</t>
  </si>
  <si>
    <t>Мастера 50-54 (06.03.1970)/50</t>
  </si>
  <si>
    <t>Девушки 13-19 (30.08.2001)/19</t>
  </si>
  <si>
    <t>Мастера 50-59 (08.08.1962)/58</t>
  </si>
  <si>
    <t>Мастера 40-49 (20.08.1979)/41</t>
  </si>
  <si>
    <t>Мастера 40-49 (30.08.1979)/41</t>
  </si>
  <si>
    <t>Мастера 40-49 (31.03.1974)/46</t>
  </si>
  <si>
    <t>Мастера 40-49 (04.08.1976)/44</t>
  </si>
  <si>
    <t>Мастера 50-59 (31.07.1962)/58</t>
  </si>
  <si>
    <t>Мастера 50-59 (14.06.1969)/51</t>
  </si>
  <si>
    <t>Мастера 40-49 (22.07.1974)/46</t>
  </si>
  <si>
    <t>Мастера 40-49 (03.06.1975)/45</t>
  </si>
  <si>
    <t>Мастера 40-44 (19.05.1978)/42</t>
  </si>
  <si>
    <t>Юниорки 20-23 (09.10.1998)/21</t>
  </si>
  <si>
    <t>Юниоры 20-23 (25.08.2000)/20</t>
  </si>
  <si>
    <t>Мастера 40-49 (11.02.1977)/43</t>
  </si>
  <si>
    <t>Весовая категория</t>
  </si>
  <si>
    <t xml:space="preserve">Саяногорск/Республика Хакасия </t>
  </si>
  <si>
    <t>Королев/Московская область</t>
  </si>
  <si>
    <t xml:space="preserve">Сыктывкар/Республика Коми </t>
  </si>
  <si>
    <t>Якименко В.</t>
  </si>
  <si>
    <t xml:space="preserve">Махачкала/Республика Дагестан </t>
  </si>
  <si>
    <t>Санкт-Петербург</t>
  </si>
  <si>
    <t xml:space="preserve">Кочетков И., Железнов М. </t>
  </si>
  <si>
    <t>Прокопов А.</t>
  </si>
  <si>
    <t>Минск/Республика Беларусь</t>
  </si>
  <si>
    <t>Национальный чемпионат по версии СПР
СПР Жим лежа в однопетельной софт экипировке ДК
Суздаль/Владимирская область, 5-6 сентября 2020 года</t>
  </si>
  <si>
    <t>Национальный чемпионат по версии СПР
СПР Жим лежа в однопетельной софт экипировке
Суздаль/Владимирская область, 5-6 сентября 2020 года</t>
  </si>
  <si>
    <t>Национальный чемпионат по версии СПР
СПР Жим лежа в многопетельной софт экипировке ДК
Суздаль/Владимирская область, 5-6 сентября 2020 года</t>
  </si>
  <si>
    <t>Национальный чемпионат по версии СПР
СПР Жим лежа в многопетельной софт экипировке
Суздаль/Владимирская область, 5-6 сентября 2020 года</t>
  </si>
  <si>
    <t>Национальный чемпионат по версии СПР
СПР Жим лежа СФО
Суздаль/Владимирская область, 5-6 сентября 2020 года</t>
  </si>
  <si>
    <t>Национальный чемпионат по версии СПР
СПР Строгий подъем штанги на бицепс ДК
Суздаль/Владимирская область, 5-6 сентября 2020 года</t>
  </si>
  <si>
    <t>Национальный чемпионат по версии СПР
СПР Строгий подъем штанги на бицепс
Суздаль/Владимирская область, 5-6 сентября 2020 года</t>
  </si>
  <si>
    <t>Национальный Чемпионат
Пауэрлифтинг без экипировки ДК
Суздаль/Владимирская область, 5-6 сентября 2020 года</t>
  </si>
  <si>
    <t>Национальный Чемпионат
Пауэрлифтинг без экипировки
Суздаль/Владимирская область, 5-6 сентября 2020 года</t>
  </si>
  <si>
    <t>Национальный Чемпионат
Пауэрлифтинг в бинтах ДК
Суздаль/Владимирская область, 5-6 сентября 2020 года</t>
  </si>
  <si>
    <t>Национальный Чемпионат
Пауэрлифтинг в бинтах
Суздаль/Владимирская область, 5-6 сентября 2020 года</t>
  </si>
  <si>
    <t>Национальный Чемпионат
Присед без экипировки
Суздаль/Владимирская область, 5-6 сентября 2020 года</t>
  </si>
  <si>
    <t>Национальный Чемпионат
Жим лежа без экипировки ДК
Суздаль/Владимирская область, 5-6 сентября 2020 года</t>
  </si>
  <si>
    <t>Национальный Чемпионат
Жим лежа без экипировки
Суздаль/Владимирская область, 5-6 сентября 2020 года</t>
  </si>
  <si>
    <t>Национальный Чемпионат
Жим лежа в однослойной экипировке ДК
Суздаль/Владимирская область, 5-6 сентября 2020 года</t>
  </si>
  <si>
    <t>Национальный Чемпионат
Жим лежа в однослойной экипировке
Суздаль/Владимирская область, 5-6 сентября 2020 года</t>
  </si>
  <si>
    <t>Национальный Чемпионат
Жим лежа в многослойной экипировке
Суздаль/Владимирская область, 5-6 сентября 2020 года</t>
  </si>
  <si>
    <t>Национальный Чемпионат
Становая тяга без экипировки ДК
Суздаль/Владимирская область, 5-6 сентября 2020 года</t>
  </si>
  <si>
    <t>Национальный Чемпионат
Становая тяга без экипировки
Суздаль/Владимирская область, 5-6 сентября 2020 года</t>
  </si>
  <si>
    <t>Национальный Чемпионат
Становая тяга в однослойной экипировке ДК
Суздаль/Владимирская область, 5-6 сентября 2020 года</t>
  </si>
  <si>
    <t>Национальный Чемпионат
Становая тяга в однослойной экипировке
Суздаль/Владимирская область, 5-6 сентября 2020 года</t>
  </si>
  <si>
    <t>№</t>
  </si>
  <si>
    <t>Возрастная группа</t>
  </si>
  <si>
    <t>O</t>
  </si>
  <si>
    <t>J</t>
  </si>
  <si>
    <t>T</t>
  </si>
  <si>
    <t>M1</t>
  </si>
  <si>
    <t xml:space="preserve">
Дата рождения/Возраст</t>
  </si>
  <si>
    <t>M5</t>
  </si>
  <si>
    <t>M4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</si>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</sst>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63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1640625" style="6" bestFit="1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24.5" style="6" customWidth="1"/>
    <col min="22" max="16384" width="9.1640625" style="3"/>
  </cols>
  <sheetData>
    <row r="1" spans="1:21" s="2" customFormat="1" ht="29" customHeight="1">
      <c r="A1" s="48" t="s">
        <v>752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766</v>
      </c>
      <c r="B3" s="46" t="s">
        <v>0</v>
      </c>
      <c r="C3" s="58" t="s">
        <v>5</v>
      </c>
      <c r="D3" s="58" t="s">
        <v>7</v>
      </c>
      <c r="E3" s="40" t="s">
        <v>767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138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3" t="s">
        <v>132</v>
      </c>
      <c r="B6" s="12" t="s">
        <v>139</v>
      </c>
      <c r="C6" s="12" t="s">
        <v>140</v>
      </c>
      <c r="D6" s="12" t="s">
        <v>141</v>
      </c>
      <c r="E6" s="12" t="s">
        <v>768</v>
      </c>
      <c r="F6" s="12" t="s">
        <v>33</v>
      </c>
      <c r="G6" s="28" t="s">
        <v>142</v>
      </c>
      <c r="H6" s="28" t="s">
        <v>143</v>
      </c>
      <c r="I6" s="25" t="s">
        <v>144</v>
      </c>
      <c r="J6" s="13"/>
      <c r="K6" s="28" t="s">
        <v>145</v>
      </c>
      <c r="L6" s="25" t="s">
        <v>146</v>
      </c>
      <c r="M6" s="25" t="s">
        <v>146</v>
      </c>
      <c r="N6" s="13"/>
      <c r="O6" s="25" t="s">
        <v>147</v>
      </c>
      <c r="P6" s="28" t="s">
        <v>147</v>
      </c>
      <c r="Q6" s="25" t="s">
        <v>148</v>
      </c>
      <c r="R6" s="13"/>
      <c r="S6" s="13" t="str">
        <f>"245,0"</f>
        <v>245,0</v>
      </c>
      <c r="T6" s="13" t="str">
        <f>"350,2275"</f>
        <v>350,2275</v>
      </c>
      <c r="U6" s="12" t="s">
        <v>149</v>
      </c>
    </row>
    <row r="7" spans="1:21">
      <c r="B7" s="6" t="s">
        <v>133</v>
      </c>
    </row>
    <row r="8" spans="1:21" ht="16">
      <c r="A8" s="39" t="s">
        <v>150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21">
      <c r="A9" s="9" t="s">
        <v>132</v>
      </c>
      <c r="B9" s="8" t="s">
        <v>151</v>
      </c>
      <c r="C9" s="8" t="s">
        <v>702</v>
      </c>
      <c r="D9" s="8" t="s">
        <v>152</v>
      </c>
      <c r="E9" s="8" t="s">
        <v>769</v>
      </c>
      <c r="F9" s="8" t="s">
        <v>15</v>
      </c>
      <c r="G9" s="21" t="s">
        <v>153</v>
      </c>
      <c r="H9" s="22" t="s">
        <v>20</v>
      </c>
      <c r="I9" s="21" t="s">
        <v>20</v>
      </c>
      <c r="J9" s="9"/>
      <c r="K9" s="22" t="s">
        <v>154</v>
      </c>
      <c r="L9" s="21" t="s">
        <v>154</v>
      </c>
      <c r="M9" s="21" t="s">
        <v>155</v>
      </c>
      <c r="N9" s="9"/>
      <c r="O9" s="21" t="s">
        <v>19</v>
      </c>
      <c r="P9" s="21" t="s">
        <v>27</v>
      </c>
      <c r="Q9" s="22" t="s">
        <v>28</v>
      </c>
      <c r="R9" s="9"/>
      <c r="S9" s="9" t="str">
        <f>"185,0"</f>
        <v>185,0</v>
      </c>
      <c r="T9" s="9" t="str">
        <f>"247,6595"</f>
        <v>247,6595</v>
      </c>
      <c r="U9" s="8" t="s">
        <v>156</v>
      </c>
    </row>
    <row r="10" spans="1:21">
      <c r="A10" s="11" t="s">
        <v>132</v>
      </c>
      <c r="B10" s="10" t="s">
        <v>157</v>
      </c>
      <c r="C10" s="10" t="s">
        <v>158</v>
      </c>
      <c r="D10" s="10" t="s">
        <v>159</v>
      </c>
      <c r="E10" s="10" t="s">
        <v>768</v>
      </c>
      <c r="F10" s="10" t="s">
        <v>160</v>
      </c>
      <c r="G10" s="23" t="s">
        <v>142</v>
      </c>
      <c r="H10" s="24" t="s">
        <v>143</v>
      </c>
      <c r="I10" s="24" t="s">
        <v>143</v>
      </c>
      <c r="J10" s="11"/>
      <c r="K10" s="23" t="s">
        <v>145</v>
      </c>
      <c r="L10" s="23" t="s">
        <v>146</v>
      </c>
      <c r="M10" s="24" t="s">
        <v>161</v>
      </c>
      <c r="N10" s="11"/>
      <c r="O10" s="23" t="s">
        <v>19</v>
      </c>
      <c r="P10" s="23" t="s">
        <v>27</v>
      </c>
      <c r="Q10" s="23" t="s">
        <v>162</v>
      </c>
      <c r="R10" s="11"/>
      <c r="S10" s="11" t="str">
        <f>"207,5"</f>
        <v>207,5</v>
      </c>
      <c r="T10" s="11" t="str">
        <f>"274,8130"</f>
        <v>274,8130</v>
      </c>
      <c r="U10" s="10" t="s">
        <v>163</v>
      </c>
    </row>
    <row r="11" spans="1:21">
      <c r="B11" s="6" t="s">
        <v>133</v>
      </c>
    </row>
    <row r="12" spans="1:21" ht="16">
      <c r="A12" s="39" t="s">
        <v>164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1">
      <c r="A13" s="13" t="s">
        <v>132</v>
      </c>
      <c r="B13" s="12" t="s">
        <v>165</v>
      </c>
      <c r="C13" s="12" t="s">
        <v>166</v>
      </c>
      <c r="D13" s="12" t="s">
        <v>167</v>
      </c>
      <c r="E13" s="12" t="s">
        <v>770</v>
      </c>
      <c r="F13" s="12" t="s">
        <v>41</v>
      </c>
      <c r="G13" s="28" t="s">
        <v>153</v>
      </c>
      <c r="H13" s="28" t="s">
        <v>19</v>
      </c>
      <c r="I13" s="28" t="s">
        <v>20</v>
      </c>
      <c r="J13" s="13"/>
      <c r="K13" s="28" t="s">
        <v>168</v>
      </c>
      <c r="L13" s="28" t="s">
        <v>169</v>
      </c>
      <c r="M13" s="28" t="s">
        <v>154</v>
      </c>
      <c r="N13" s="13"/>
      <c r="O13" s="28" t="s">
        <v>170</v>
      </c>
      <c r="P13" s="28" t="s">
        <v>19</v>
      </c>
      <c r="Q13" s="28" t="s">
        <v>20</v>
      </c>
      <c r="R13" s="13"/>
      <c r="S13" s="13" t="str">
        <f>"180,0"</f>
        <v>180,0</v>
      </c>
      <c r="T13" s="13" t="str">
        <f>"233,3520"</f>
        <v>233,3520</v>
      </c>
      <c r="U13" s="12" t="s">
        <v>171</v>
      </c>
    </row>
    <row r="14" spans="1:21">
      <c r="B14" s="6" t="s">
        <v>133</v>
      </c>
    </row>
    <row r="15" spans="1:21" ht="16">
      <c r="A15" s="39" t="s">
        <v>172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1">
      <c r="A16" s="13" t="s">
        <v>132</v>
      </c>
      <c r="B16" s="12" t="s">
        <v>173</v>
      </c>
      <c r="C16" s="12" t="s">
        <v>174</v>
      </c>
      <c r="D16" s="12" t="s">
        <v>175</v>
      </c>
      <c r="E16" s="12" t="s">
        <v>768</v>
      </c>
      <c r="F16" s="12" t="s">
        <v>15</v>
      </c>
      <c r="G16" s="28" t="s">
        <v>176</v>
      </c>
      <c r="H16" s="28" t="s">
        <v>177</v>
      </c>
      <c r="I16" s="28" t="s">
        <v>143</v>
      </c>
      <c r="J16" s="13"/>
      <c r="K16" s="25" t="s">
        <v>178</v>
      </c>
      <c r="L16" s="25" t="s">
        <v>178</v>
      </c>
      <c r="M16" s="28" t="s">
        <v>178</v>
      </c>
      <c r="N16" s="13"/>
      <c r="O16" s="28" t="s">
        <v>177</v>
      </c>
      <c r="P16" s="28" t="s">
        <v>179</v>
      </c>
      <c r="Q16" s="25" t="s">
        <v>180</v>
      </c>
      <c r="R16" s="13"/>
      <c r="S16" s="13" t="str">
        <f>"232,5"</f>
        <v>232,5</v>
      </c>
      <c r="T16" s="13" t="str">
        <f>"279,0465"</f>
        <v>279,0465</v>
      </c>
      <c r="U16" s="12" t="s">
        <v>181</v>
      </c>
    </row>
    <row r="17" spans="1:21">
      <c r="B17" s="6" t="s">
        <v>133</v>
      </c>
    </row>
    <row r="18" spans="1:21" ht="16">
      <c r="A18" s="39" t="s">
        <v>11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1">
      <c r="A19" s="9" t="s">
        <v>132</v>
      </c>
      <c r="B19" s="8" t="s">
        <v>182</v>
      </c>
      <c r="C19" s="8" t="s">
        <v>183</v>
      </c>
      <c r="D19" s="8" t="s">
        <v>184</v>
      </c>
      <c r="E19" s="8" t="s">
        <v>770</v>
      </c>
      <c r="F19" s="8" t="s">
        <v>185</v>
      </c>
      <c r="G19" s="21" t="s">
        <v>145</v>
      </c>
      <c r="H19" s="21" t="s">
        <v>178</v>
      </c>
      <c r="I19" s="22" t="s">
        <v>186</v>
      </c>
      <c r="J19" s="9"/>
      <c r="K19" s="21" t="s">
        <v>168</v>
      </c>
      <c r="L19" s="21" t="s">
        <v>154</v>
      </c>
      <c r="M19" s="22" t="s">
        <v>146</v>
      </c>
      <c r="N19" s="9"/>
      <c r="O19" s="21" t="s">
        <v>145</v>
      </c>
      <c r="P19" s="22" t="s">
        <v>187</v>
      </c>
      <c r="Q19" s="21" t="s">
        <v>187</v>
      </c>
      <c r="R19" s="9"/>
      <c r="S19" s="9" t="str">
        <f>"140,0"</f>
        <v>140,0</v>
      </c>
      <c r="T19" s="9" t="str">
        <f>"154,4900"</f>
        <v>154,4900</v>
      </c>
      <c r="U19" s="8" t="s">
        <v>188</v>
      </c>
    </row>
    <row r="20" spans="1:21">
      <c r="A20" s="15" t="s">
        <v>132</v>
      </c>
      <c r="B20" s="14" t="s">
        <v>189</v>
      </c>
      <c r="C20" s="14" t="s">
        <v>190</v>
      </c>
      <c r="D20" s="14" t="s">
        <v>191</v>
      </c>
      <c r="E20" s="14" t="s">
        <v>768</v>
      </c>
      <c r="F20" s="14" t="s">
        <v>15</v>
      </c>
      <c r="G20" s="27" t="s">
        <v>148</v>
      </c>
      <c r="H20" s="26" t="s">
        <v>26</v>
      </c>
      <c r="I20" s="26" t="s">
        <v>44</v>
      </c>
      <c r="J20" s="15"/>
      <c r="K20" s="26" t="s">
        <v>170</v>
      </c>
      <c r="L20" s="27" t="s">
        <v>19</v>
      </c>
      <c r="M20" s="27" t="s">
        <v>19</v>
      </c>
      <c r="N20" s="15"/>
      <c r="O20" s="26" t="s">
        <v>148</v>
      </c>
      <c r="P20" s="26" t="s">
        <v>44</v>
      </c>
      <c r="Q20" s="26" t="s">
        <v>29</v>
      </c>
      <c r="R20" s="15"/>
      <c r="S20" s="15" t="str">
        <f>"340,0"</f>
        <v>340,0</v>
      </c>
      <c r="T20" s="15" t="str">
        <f>"349,9960"</f>
        <v>349,9960</v>
      </c>
      <c r="U20" s="14" t="s">
        <v>181</v>
      </c>
    </row>
    <row r="21" spans="1:21">
      <c r="A21" s="15" t="s">
        <v>135</v>
      </c>
      <c r="B21" s="14" t="s">
        <v>192</v>
      </c>
      <c r="C21" s="14" t="s">
        <v>193</v>
      </c>
      <c r="D21" s="14" t="s">
        <v>194</v>
      </c>
      <c r="E21" s="14" t="s">
        <v>768</v>
      </c>
      <c r="F21" s="14" t="s">
        <v>33</v>
      </c>
      <c r="G21" s="26" t="s">
        <v>144</v>
      </c>
      <c r="H21" s="26" t="s">
        <v>17</v>
      </c>
      <c r="I21" s="27" t="s">
        <v>21</v>
      </c>
      <c r="J21" s="15"/>
      <c r="K21" s="26" t="s">
        <v>187</v>
      </c>
      <c r="L21" s="26" t="s">
        <v>186</v>
      </c>
      <c r="M21" s="27" t="s">
        <v>170</v>
      </c>
      <c r="N21" s="15"/>
      <c r="O21" s="26" t="s">
        <v>148</v>
      </c>
      <c r="P21" s="26" t="s">
        <v>43</v>
      </c>
      <c r="Q21" s="26" t="s">
        <v>29</v>
      </c>
      <c r="R21" s="15"/>
      <c r="S21" s="15" t="str">
        <f>"305,0"</f>
        <v>305,0</v>
      </c>
      <c r="T21" s="15" t="str">
        <f>"316,7425"</f>
        <v>316,7425</v>
      </c>
      <c r="U21" s="14" t="s">
        <v>149</v>
      </c>
    </row>
    <row r="22" spans="1:21">
      <c r="A22" s="11" t="s">
        <v>132</v>
      </c>
      <c r="B22" s="10" t="s">
        <v>195</v>
      </c>
      <c r="C22" s="10" t="s">
        <v>703</v>
      </c>
      <c r="D22" s="10" t="s">
        <v>196</v>
      </c>
      <c r="E22" s="10" t="s">
        <v>771</v>
      </c>
      <c r="F22" s="10" t="s">
        <v>197</v>
      </c>
      <c r="G22" s="23" t="s">
        <v>142</v>
      </c>
      <c r="H22" s="23" t="s">
        <v>144</v>
      </c>
      <c r="I22" s="23" t="s">
        <v>16</v>
      </c>
      <c r="J22" s="11"/>
      <c r="K22" s="23" t="s">
        <v>186</v>
      </c>
      <c r="L22" s="23" t="s">
        <v>170</v>
      </c>
      <c r="M22" s="24" t="s">
        <v>19</v>
      </c>
      <c r="N22" s="11"/>
      <c r="O22" s="23" t="s">
        <v>22</v>
      </c>
      <c r="P22" s="23" t="s">
        <v>148</v>
      </c>
      <c r="Q22" s="24" t="s">
        <v>26</v>
      </c>
      <c r="R22" s="11"/>
      <c r="S22" s="11" t="str">
        <f>"290,0"</f>
        <v>290,0</v>
      </c>
      <c r="T22" s="11" t="str">
        <f>"299,3774"</f>
        <v>299,3774</v>
      </c>
      <c r="U22" s="10" t="s">
        <v>198</v>
      </c>
    </row>
    <row r="23" spans="1:21">
      <c r="B23" s="6" t="s">
        <v>133</v>
      </c>
    </row>
    <row r="24" spans="1:21" ht="16">
      <c r="A24" s="39" t="s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21">
      <c r="A25" s="13" t="s">
        <v>132</v>
      </c>
      <c r="B25" s="12" t="s">
        <v>199</v>
      </c>
      <c r="C25" s="12" t="s">
        <v>200</v>
      </c>
      <c r="D25" s="12" t="s">
        <v>201</v>
      </c>
      <c r="E25" s="12" t="s">
        <v>770</v>
      </c>
      <c r="F25" s="12" t="s">
        <v>41</v>
      </c>
      <c r="G25" s="28" t="s">
        <v>147</v>
      </c>
      <c r="H25" s="28" t="s">
        <v>202</v>
      </c>
      <c r="I25" s="25" t="s">
        <v>42</v>
      </c>
      <c r="J25" s="13"/>
      <c r="K25" s="28" t="s">
        <v>187</v>
      </c>
      <c r="L25" s="28" t="s">
        <v>203</v>
      </c>
      <c r="M25" s="25" t="s">
        <v>186</v>
      </c>
      <c r="N25" s="13"/>
      <c r="O25" s="28" t="s">
        <v>18</v>
      </c>
      <c r="P25" s="28" t="s">
        <v>204</v>
      </c>
      <c r="Q25" s="25" t="s">
        <v>22</v>
      </c>
      <c r="R25" s="13"/>
      <c r="S25" s="13" t="str">
        <f>"297,5"</f>
        <v>297,5</v>
      </c>
      <c r="T25" s="13" t="str">
        <f>"231,3062"</f>
        <v>231,3062</v>
      </c>
      <c r="U25" s="12" t="s">
        <v>171</v>
      </c>
    </row>
    <row r="26" spans="1:21">
      <c r="B26" s="6" t="s">
        <v>133</v>
      </c>
    </row>
    <row r="27" spans="1:21" ht="16">
      <c r="A27" s="39" t="s">
        <v>205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21">
      <c r="A28" s="9" t="s">
        <v>132</v>
      </c>
      <c r="B28" s="8" t="s">
        <v>206</v>
      </c>
      <c r="C28" s="8" t="s">
        <v>704</v>
      </c>
      <c r="D28" s="8" t="s">
        <v>207</v>
      </c>
      <c r="E28" s="8" t="s">
        <v>769</v>
      </c>
      <c r="F28" s="8" t="s">
        <v>185</v>
      </c>
      <c r="G28" s="21" t="s">
        <v>26</v>
      </c>
      <c r="H28" s="21" t="s">
        <v>29</v>
      </c>
      <c r="I28" s="22" t="s">
        <v>30</v>
      </c>
      <c r="J28" s="9"/>
      <c r="K28" s="21" t="s">
        <v>27</v>
      </c>
      <c r="L28" s="21" t="s">
        <v>176</v>
      </c>
      <c r="M28" s="21" t="s">
        <v>142</v>
      </c>
      <c r="N28" s="9"/>
      <c r="O28" s="21" t="s">
        <v>26</v>
      </c>
      <c r="P28" s="21" t="s">
        <v>30</v>
      </c>
      <c r="Q28" s="22" t="s">
        <v>98</v>
      </c>
      <c r="R28" s="9"/>
      <c r="S28" s="9" t="str">
        <f>"375,0"</f>
        <v>375,0</v>
      </c>
      <c r="T28" s="9" t="str">
        <f>"269,7375"</f>
        <v>269,7375</v>
      </c>
      <c r="U28" s="8" t="s">
        <v>188</v>
      </c>
    </row>
    <row r="29" spans="1:21">
      <c r="A29" s="15" t="s">
        <v>135</v>
      </c>
      <c r="B29" s="14" t="s">
        <v>208</v>
      </c>
      <c r="C29" s="14" t="s">
        <v>705</v>
      </c>
      <c r="D29" s="14" t="s">
        <v>209</v>
      </c>
      <c r="E29" s="14" t="s">
        <v>769</v>
      </c>
      <c r="F29" s="14" t="s">
        <v>185</v>
      </c>
      <c r="G29" s="26" t="s">
        <v>162</v>
      </c>
      <c r="H29" s="26" t="s">
        <v>143</v>
      </c>
      <c r="I29" s="26" t="s">
        <v>179</v>
      </c>
      <c r="J29" s="15"/>
      <c r="K29" s="26" t="s">
        <v>186</v>
      </c>
      <c r="L29" s="26" t="s">
        <v>19</v>
      </c>
      <c r="M29" s="26" t="s">
        <v>27</v>
      </c>
      <c r="N29" s="15"/>
      <c r="O29" s="26" t="s">
        <v>16</v>
      </c>
      <c r="P29" s="26" t="s">
        <v>26</v>
      </c>
      <c r="Q29" s="26" t="s">
        <v>44</v>
      </c>
      <c r="R29" s="15"/>
      <c r="S29" s="15" t="str">
        <f>"302,5"</f>
        <v>302,5</v>
      </c>
      <c r="T29" s="15" t="str">
        <f>"219,2823"</f>
        <v>219,2823</v>
      </c>
      <c r="U29" s="14" t="s">
        <v>188</v>
      </c>
    </row>
    <row r="30" spans="1:21">
      <c r="A30" s="11" t="s">
        <v>132</v>
      </c>
      <c r="B30" s="10" t="s">
        <v>210</v>
      </c>
      <c r="C30" s="10" t="s">
        <v>211</v>
      </c>
      <c r="D30" s="10" t="s">
        <v>212</v>
      </c>
      <c r="E30" s="10" t="s">
        <v>768</v>
      </c>
      <c r="F30" s="10" t="s">
        <v>213</v>
      </c>
      <c r="G30" s="23" t="s">
        <v>35</v>
      </c>
      <c r="H30" s="23" t="s">
        <v>36</v>
      </c>
      <c r="I30" s="23" t="s">
        <v>46</v>
      </c>
      <c r="J30" s="11"/>
      <c r="K30" s="23" t="s">
        <v>17</v>
      </c>
      <c r="L30" s="23" t="s">
        <v>18</v>
      </c>
      <c r="M30" s="24" t="s">
        <v>21</v>
      </c>
      <c r="N30" s="11"/>
      <c r="O30" s="23" t="s">
        <v>73</v>
      </c>
      <c r="P30" s="24" t="s">
        <v>70</v>
      </c>
      <c r="Q30" s="24" t="s">
        <v>70</v>
      </c>
      <c r="R30" s="11"/>
      <c r="S30" s="11" t="str">
        <f>"535,0"</f>
        <v>535,0</v>
      </c>
      <c r="T30" s="11" t="str">
        <f>"390,5500"</f>
        <v>390,5500</v>
      </c>
      <c r="U30" s="10"/>
    </row>
    <row r="31" spans="1:21">
      <c r="B31" s="6" t="s">
        <v>133</v>
      </c>
    </row>
    <row r="32" spans="1:21" ht="16">
      <c r="A32" s="39" t="s">
        <v>37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21">
      <c r="A33" s="9" t="s">
        <v>132</v>
      </c>
      <c r="B33" s="8" t="s">
        <v>214</v>
      </c>
      <c r="C33" s="8" t="s">
        <v>215</v>
      </c>
      <c r="D33" s="8" t="s">
        <v>216</v>
      </c>
      <c r="E33" s="8" t="s">
        <v>770</v>
      </c>
      <c r="F33" s="8" t="s">
        <v>185</v>
      </c>
      <c r="G33" s="21" t="s">
        <v>16</v>
      </c>
      <c r="H33" s="21" t="s">
        <v>147</v>
      </c>
      <c r="I33" s="21" t="s">
        <v>22</v>
      </c>
      <c r="J33" s="9"/>
      <c r="K33" s="21" t="s">
        <v>19</v>
      </c>
      <c r="L33" s="21" t="s">
        <v>27</v>
      </c>
      <c r="M33" s="21" t="s">
        <v>162</v>
      </c>
      <c r="N33" s="9"/>
      <c r="O33" s="21" t="s">
        <v>16</v>
      </c>
      <c r="P33" s="21" t="s">
        <v>26</v>
      </c>
      <c r="Q33" s="21" t="s">
        <v>30</v>
      </c>
      <c r="R33" s="9"/>
      <c r="S33" s="9" t="str">
        <f>"350,0"</f>
        <v>350,0</v>
      </c>
      <c r="T33" s="9" t="str">
        <f>"238,0000"</f>
        <v>238,0000</v>
      </c>
      <c r="U33" s="8" t="s">
        <v>188</v>
      </c>
    </row>
    <row r="34" spans="1:21">
      <c r="A34" s="15" t="s">
        <v>135</v>
      </c>
      <c r="B34" s="14" t="s">
        <v>217</v>
      </c>
      <c r="C34" s="14" t="s">
        <v>218</v>
      </c>
      <c r="D34" s="14" t="s">
        <v>219</v>
      </c>
      <c r="E34" s="14" t="s">
        <v>770</v>
      </c>
      <c r="F34" s="14" t="s">
        <v>185</v>
      </c>
      <c r="G34" s="26" t="s">
        <v>16</v>
      </c>
      <c r="H34" s="26" t="s">
        <v>147</v>
      </c>
      <c r="I34" s="26" t="s">
        <v>202</v>
      </c>
      <c r="J34" s="15"/>
      <c r="K34" s="26" t="s">
        <v>19</v>
      </c>
      <c r="L34" s="26" t="s">
        <v>162</v>
      </c>
      <c r="M34" s="27" t="s">
        <v>143</v>
      </c>
      <c r="N34" s="15"/>
      <c r="O34" s="26" t="s">
        <v>16</v>
      </c>
      <c r="P34" s="26" t="s">
        <v>22</v>
      </c>
      <c r="Q34" s="26" t="s">
        <v>106</v>
      </c>
      <c r="R34" s="15"/>
      <c r="S34" s="15" t="str">
        <f>"347,5"</f>
        <v>347,5</v>
      </c>
      <c r="T34" s="15" t="str">
        <f>"239,7402"</f>
        <v>239,7402</v>
      </c>
      <c r="U34" s="14" t="s">
        <v>188</v>
      </c>
    </row>
    <row r="35" spans="1:21">
      <c r="A35" s="15" t="s">
        <v>132</v>
      </c>
      <c r="B35" s="14" t="s">
        <v>220</v>
      </c>
      <c r="C35" s="14" t="s">
        <v>221</v>
      </c>
      <c r="D35" s="14" t="s">
        <v>222</v>
      </c>
      <c r="E35" s="14" t="s">
        <v>768</v>
      </c>
      <c r="F35" s="14" t="s">
        <v>223</v>
      </c>
      <c r="G35" s="27" t="s">
        <v>224</v>
      </c>
      <c r="H35" s="26" t="s">
        <v>224</v>
      </c>
      <c r="I35" s="26" t="s">
        <v>98</v>
      </c>
      <c r="J35" s="15"/>
      <c r="K35" s="26" t="s">
        <v>22</v>
      </c>
      <c r="L35" s="26" t="s">
        <v>202</v>
      </c>
      <c r="M35" s="26" t="s">
        <v>148</v>
      </c>
      <c r="N35" s="15"/>
      <c r="O35" s="26" t="s">
        <v>36</v>
      </c>
      <c r="P35" s="26" t="s">
        <v>73</v>
      </c>
      <c r="Q35" s="15"/>
      <c r="R35" s="15"/>
      <c r="S35" s="15" t="str">
        <f>"510,0"</f>
        <v>510,0</v>
      </c>
      <c r="T35" s="15" t="str">
        <f>"346,0350"</f>
        <v>346,0350</v>
      </c>
      <c r="U35" s="14"/>
    </row>
    <row r="36" spans="1:21">
      <c r="A36" s="11" t="s">
        <v>135</v>
      </c>
      <c r="B36" s="10" t="s">
        <v>225</v>
      </c>
      <c r="C36" s="10" t="s">
        <v>226</v>
      </c>
      <c r="D36" s="10" t="s">
        <v>227</v>
      </c>
      <c r="E36" s="10" t="s">
        <v>768</v>
      </c>
      <c r="F36" s="10" t="s">
        <v>41</v>
      </c>
      <c r="G36" s="23" t="s">
        <v>148</v>
      </c>
      <c r="H36" s="23" t="s">
        <v>43</v>
      </c>
      <c r="I36" s="23" t="s">
        <v>72</v>
      </c>
      <c r="J36" s="11"/>
      <c r="K36" s="24" t="s">
        <v>27</v>
      </c>
      <c r="L36" s="23" t="s">
        <v>162</v>
      </c>
      <c r="M36" s="24" t="s">
        <v>142</v>
      </c>
      <c r="N36" s="11"/>
      <c r="O36" s="23" t="s">
        <v>44</v>
      </c>
      <c r="P36" s="23" t="s">
        <v>106</v>
      </c>
      <c r="Q36" s="23" t="s">
        <v>30</v>
      </c>
      <c r="R36" s="11"/>
      <c r="S36" s="11" t="str">
        <f>"367,5"</f>
        <v>367,5</v>
      </c>
      <c r="T36" s="11" t="str">
        <f>"250,7085"</f>
        <v>250,7085</v>
      </c>
      <c r="U36" s="10" t="s">
        <v>171</v>
      </c>
    </row>
    <row r="37" spans="1:21">
      <c r="B37" s="6" t="s">
        <v>133</v>
      </c>
    </row>
    <row r="38" spans="1:21" ht="16">
      <c r="A38" s="39" t="s">
        <v>56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21">
      <c r="A39" s="9" t="s">
        <v>132</v>
      </c>
      <c r="B39" s="8" t="s">
        <v>228</v>
      </c>
      <c r="C39" s="8" t="s">
        <v>229</v>
      </c>
      <c r="D39" s="8" t="s">
        <v>230</v>
      </c>
      <c r="E39" s="8" t="s">
        <v>768</v>
      </c>
      <c r="F39" s="8" t="s">
        <v>231</v>
      </c>
      <c r="G39" s="21" t="s">
        <v>46</v>
      </c>
      <c r="H39" s="21" t="s">
        <v>74</v>
      </c>
      <c r="I39" s="21" t="s">
        <v>70</v>
      </c>
      <c r="J39" s="9"/>
      <c r="K39" s="21" t="s">
        <v>29</v>
      </c>
      <c r="L39" s="21" t="s">
        <v>106</v>
      </c>
      <c r="M39" s="22" t="s">
        <v>30</v>
      </c>
      <c r="N39" s="9"/>
      <c r="O39" s="21" t="s">
        <v>114</v>
      </c>
      <c r="P39" s="21" t="s">
        <v>62</v>
      </c>
      <c r="Q39" s="21" t="s">
        <v>63</v>
      </c>
      <c r="R39" s="9"/>
      <c r="S39" s="9" t="str">
        <f>"645,0"</f>
        <v>645,0</v>
      </c>
      <c r="T39" s="9" t="str">
        <f>"419,1855"</f>
        <v>419,1855</v>
      </c>
      <c r="U39" s="8"/>
    </row>
    <row r="40" spans="1:21">
      <c r="A40" s="15" t="s">
        <v>135</v>
      </c>
      <c r="B40" s="14" t="s">
        <v>232</v>
      </c>
      <c r="C40" s="14" t="s">
        <v>233</v>
      </c>
      <c r="D40" s="14" t="s">
        <v>234</v>
      </c>
      <c r="E40" s="14" t="s">
        <v>768</v>
      </c>
      <c r="F40" s="14" t="s">
        <v>15</v>
      </c>
      <c r="G40" s="26" t="s">
        <v>46</v>
      </c>
      <c r="H40" s="26" t="s">
        <v>74</v>
      </c>
      <c r="I40" s="27" t="s">
        <v>105</v>
      </c>
      <c r="J40" s="15"/>
      <c r="K40" s="26" t="s">
        <v>44</v>
      </c>
      <c r="L40" s="27" t="s">
        <v>29</v>
      </c>
      <c r="M40" s="15" t="s">
        <v>29</v>
      </c>
      <c r="N40" s="15"/>
      <c r="O40" s="26" t="s">
        <v>70</v>
      </c>
      <c r="P40" s="27" t="s">
        <v>71</v>
      </c>
      <c r="Q40" s="26" t="s">
        <v>71</v>
      </c>
      <c r="R40" s="15"/>
      <c r="S40" s="15" t="str">
        <f>"600,0"</f>
        <v>600,0</v>
      </c>
      <c r="T40" s="15" t="str">
        <f>"383,7000"</f>
        <v>383,7000</v>
      </c>
      <c r="U40" s="14" t="s">
        <v>235</v>
      </c>
    </row>
    <row r="41" spans="1:21">
      <c r="A41" s="15" t="s">
        <v>136</v>
      </c>
      <c r="B41" s="14" t="s">
        <v>236</v>
      </c>
      <c r="C41" s="14" t="s">
        <v>237</v>
      </c>
      <c r="D41" s="14" t="s">
        <v>238</v>
      </c>
      <c r="E41" s="14" t="s">
        <v>768</v>
      </c>
      <c r="F41" s="14" t="s">
        <v>15</v>
      </c>
      <c r="G41" s="27" t="s">
        <v>36</v>
      </c>
      <c r="H41" s="26" t="s">
        <v>36</v>
      </c>
      <c r="I41" s="26" t="s">
        <v>46</v>
      </c>
      <c r="J41" s="15"/>
      <c r="K41" s="26" t="s">
        <v>90</v>
      </c>
      <c r="L41" s="26" t="s">
        <v>98</v>
      </c>
      <c r="M41" s="27" t="s">
        <v>239</v>
      </c>
      <c r="N41" s="15"/>
      <c r="O41" s="26" t="s">
        <v>35</v>
      </c>
      <c r="P41" s="26" t="s">
        <v>36</v>
      </c>
      <c r="Q41" s="27" t="s">
        <v>46</v>
      </c>
      <c r="R41" s="15"/>
      <c r="S41" s="15" t="str">
        <f>"580,0"</f>
        <v>580,0</v>
      </c>
      <c r="T41" s="15" t="str">
        <f>"372,5920"</f>
        <v>372,5920</v>
      </c>
      <c r="U41" s="14" t="s">
        <v>100</v>
      </c>
    </row>
    <row r="42" spans="1:21">
      <c r="A42" s="11" t="s">
        <v>137</v>
      </c>
      <c r="B42" s="10" t="s">
        <v>240</v>
      </c>
      <c r="C42" s="10" t="s">
        <v>241</v>
      </c>
      <c r="D42" s="10" t="s">
        <v>242</v>
      </c>
      <c r="E42" s="10" t="s">
        <v>768</v>
      </c>
      <c r="F42" s="10" t="s">
        <v>223</v>
      </c>
      <c r="G42" s="24" t="s">
        <v>35</v>
      </c>
      <c r="H42" s="24" t="s">
        <v>35</v>
      </c>
      <c r="I42" s="23" t="s">
        <v>35</v>
      </c>
      <c r="J42" s="11"/>
      <c r="K42" s="24" t="s">
        <v>26</v>
      </c>
      <c r="L42" s="23" t="s">
        <v>26</v>
      </c>
      <c r="M42" s="24" t="s">
        <v>72</v>
      </c>
      <c r="N42" s="11"/>
      <c r="O42" s="23" t="s">
        <v>70</v>
      </c>
      <c r="P42" s="23" t="s">
        <v>114</v>
      </c>
      <c r="Q42" s="24" t="s">
        <v>243</v>
      </c>
      <c r="R42" s="11"/>
      <c r="S42" s="11" t="str">
        <f>"565,0"</f>
        <v>565,0</v>
      </c>
      <c r="T42" s="11" t="str">
        <f>"365,3855"</f>
        <v>365,3855</v>
      </c>
      <c r="U42" s="10"/>
    </row>
    <row r="43" spans="1:21">
      <c r="B43" s="6" t="s">
        <v>133</v>
      </c>
    </row>
    <row r="44" spans="1:21" ht="16">
      <c r="A44" s="39" t="s">
        <v>75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1">
      <c r="A45" s="9" t="s">
        <v>132</v>
      </c>
      <c r="B45" s="8" t="s">
        <v>244</v>
      </c>
      <c r="C45" s="8" t="s">
        <v>245</v>
      </c>
      <c r="D45" s="8" t="s">
        <v>246</v>
      </c>
      <c r="E45" s="8" t="s">
        <v>768</v>
      </c>
      <c r="F45" s="8" t="s">
        <v>15</v>
      </c>
      <c r="G45" s="21" t="s">
        <v>29</v>
      </c>
      <c r="H45" s="21" t="s">
        <v>30</v>
      </c>
      <c r="I45" s="21" t="s">
        <v>247</v>
      </c>
      <c r="J45" s="9"/>
      <c r="K45" s="21" t="s">
        <v>22</v>
      </c>
      <c r="L45" s="22" t="s">
        <v>26</v>
      </c>
      <c r="M45" s="22" t="s">
        <v>26</v>
      </c>
      <c r="N45" s="9"/>
      <c r="O45" s="21" t="s">
        <v>98</v>
      </c>
      <c r="P45" s="21" t="s">
        <v>34</v>
      </c>
      <c r="Q45" s="21" t="s">
        <v>36</v>
      </c>
      <c r="R45" s="9"/>
      <c r="S45" s="9" t="str">
        <f>"480,0"</f>
        <v>480,0</v>
      </c>
      <c r="T45" s="9" t="str">
        <f>"304,5600"</f>
        <v>304,5600</v>
      </c>
      <c r="U45" s="8" t="s">
        <v>248</v>
      </c>
    </row>
    <row r="46" spans="1:21">
      <c r="A46" s="11" t="s">
        <v>135</v>
      </c>
      <c r="B46" s="10" t="s">
        <v>249</v>
      </c>
      <c r="C46" s="10" t="s">
        <v>250</v>
      </c>
      <c r="D46" s="10" t="s">
        <v>251</v>
      </c>
      <c r="E46" s="10" t="s">
        <v>768</v>
      </c>
      <c r="F46" s="10" t="s">
        <v>252</v>
      </c>
      <c r="G46" s="23" t="s">
        <v>29</v>
      </c>
      <c r="H46" s="24" t="s">
        <v>30</v>
      </c>
      <c r="I46" s="23" t="s">
        <v>30</v>
      </c>
      <c r="J46" s="11"/>
      <c r="K46" s="23" t="s">
        <v>22</v>
      </c>
      <c r="L46" s="23" t="s">
        <v>148</v>
      </c>
      <c r="M46" s="24" t="s">
        <v>26</v>
      </c>
      <c r="N46" s="11"/>
      <c r="O46" s="23" t="s">
        <v>247</v>
      </c>
      <c r="P46" s="23" t="s">
        <v>98</v>
      </c>
      <c r="Q46" s="23" t="s">
        <v>34</v>
      </c>
      <c r="R46" s="11"/>
      <c r="S46" s="11" t="str">
        <f>"455,0"</f>
        <v>455,0</v>
      </c>
      <c r="T46" s="11" t="str">
        <f>"279,9160"</f>
        <v>279,9160</v>
      </c>
      <c r="U46" s="10" t="s">
        <v>253</v>
      </c>
    </row>
    <row r="47" spans="1:21">
      <c r="B47" s="6" t="s">
        <v>133</v>
      </c>
    </row>
    <row r="48" spans="1:21" ht="16">
      <c r="A48" s="39" t="s">
        <v>109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21">
      <c r="A49" s="9" t="s">
        <v>132</v>
      </c>
      <c r="B49" s="8" t="s">
        <v>254</v>
      </c>
      <c r="C49" s="8" t="s">
        <v>255</v>
      </c>
      <c r="D49" s="8" t="s">
        <v>256</v>
      </c>
      <c r="E49" s="8" t="s">
        <v>768</v>
      </c>
      <c r="F49" s="8" t="s">
        <v>104</v>
      </c>
      <c r="G49" s="21" t="s">
        <v>247</v>
      </c>
      <c r="H49" s="21" t="s">
        <v>98</v>
      </c>
      <c r="I49" s="21" t="s">
        <v>34</v>
      </c>
      <c r="J49" s="9"/>
      <c r="K49" s="21" t="s">
        <v>147</v>
      </c>
      <c r="L49" s="21" t="s">
        <v>148</v>
      </c>
      <c r="M49" s="22" t="s">
        <v>43</v>
      </c>
      <c r="N49" s="9"/>
      <c r="O49" s="21" t="s">
        <v>35</v>
      </c>
      <c r="P49" s="21" t="s">
        <v>36</v>
      </c>
      <c r="Q49" s="22" t="s">
        <v>73</v>
      </c>
      <c r="R49" s="9"/>
      <c r="S49" s="9" t="str">
        <f>"505,0"</f>
        <v>505,0</v>
      </c>
      <c r="T49" s="9" t="str">
        <f>"304,6160"</f>
        <v>304,6160</v>
      </c>
      <c r="U49" s="8" t="s">
        <v>248</v>
      </c>
    </row>
    <row r="50" spans="1:21">
      <c r="A50" s="11" t="s">
        <v>132</v>
      </c>
      <c r="B50" s="10" t="s">
        <v>257</v>
      </c>
      <c r="C50" s="10" t="s">
        <v>706</v>
      </c>
      <c r="D50" s="10" t="s">
        <v>258</v>
      </c>
      <c r="E50" s="10" t="s">
        <v>771</v>
      </c>
      <c r="F50" s="10" t="s">
        <v>259</v>
      </c>
      <c r="G50" s="23" t="s">
        <v>35</v>
      </c>
      <c r="H50" s="23" t="s">
        <v>36</v>
      </c>
      <c r="I50" s="23" t="s">
        <v>107</v>
      </c>
      <c r="J50" s="11"/>
      <c r="K50" s="23" t="s">
        <v>26</v>
      </c>
      <c r="L50" s="23" t="s">
        <v>44</v>
      </c>
      <c r="M50" s="23" t="s">
        <v>29</v>
      </c>
      <c r="N50" s="11"/>
      <c r="O50" s="23" t="s">
        <v>71</v>
      </c>
      <c r="P50" s="23" t="s">
        <v>88</v>
      </c>
      <c r="Q50" s="24" t="s">
        <v>61</v>
      </c>
      <c r="R50" s="11"/>
      <c r="S50" s="11" t="str">
        <f>"595,0"</f>
        <v>595,0</v>
      </c>
      <c r="T50" s="11" t="str">
        <f>"363,0237"</f>
        <v>363,0237</v>
      </c>
      <c r="U50" s="10" t="s">
        <v>260</v>
      </c>
    </row>
    <row r="51" spans="1:21">
      <c r="B51" s="6" t="s">
        <v>133</v>
      </c>
    </row>
    <row r="52" spans="1:21" ht="16">
      <c r="A52" s="39" t="s">
        <v>261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21">
      <c r="A53" s="13" t="s">
        <v>132</v>
      </c>
      <c r="B53" s="12" t="s">
        <v>262</v>
      </c>
      <c r="C53" s="12" t="s">
        <v>263</v>
      </c>
      <c r="D53" s="12" t="s">
        <v>264</v>
      </c>
      <c r="E53" s="12" t="s">
        <v>768</v>
      </c>
      <c r="F53" s="12" t="s">
        <v>265</v>
      </c>
      <c r="G53" s="28" t="s">
        <v>266</v>
      </c>
      <c r="H53" s="28" t="s">
        <v>46</v>
      </c>
      <c r="I53" s="28" t="s">
        <v>74</v>
      </c>
      <c r="J53" s="13"/>
      <c r="K53" s="28" t="s">
        <v>26</v>
      </c>
      <c r="L53" s="28" t="s">
        <v>72</v>
      </c>
      <c r="M53" s="28" t="s">
        <v>106</v>
      </c>
      <c r="N53" s="13"/>
      <c r="O53" s="28" t="s">
        <v>35</v>
      </c>
      <c r="P53" s="28" t="s">
        <v>46</v>
      </c>
      <c r="Q53" s="28" t="s">
        <v>50</v>
      </c>
      <c r="R53" s="13"/>
      <c r="S53" s="13" t="str">
        <f>"590,0"</f>
        <v>590,0</v>
      </c>
      <c r="T53" s="13" t="str">
        <f>"340,0170"</f>
        <v>340,0170</v>
      </c>
      <c r="U53" s="12" t="s">
        <v>267</v>
      </c>
    </row>
    <row r="54" spans="1:21">
      <c r="B54" s="6" t="s">
        <v>133</v>
      </c>
    </row>
    <row r="57" spans="1:21" ht="18">
      <c r="B57" s="32" t="s">
        <v>115</v>
      </c>
      <c r="C57" s="16"/>
    </row>
    <row r="58" spans="1:21" ht="16">
      <c r="B58" s="17" t="s">
        <v>123</v>
      </c>
      <c r="C58" s="17"/>
    </row>
    <row r="59" spans="1:21" ht="14">
      <c r="B59" s="19"/>
      <c r="C59" s="20" t="s">
        <v>116</v>
      </c>
    </row>
    <row r="60" spans="1:21" ht="14">
      <c r="A60" s="7"/>
      <c r="B60" s="5" t="s">
        <v>117</v>
      </c>
      <c r="C60" s="5" t="s">
        <v>118</v>
      </c>
      <c r="D60" s="5" t="s">
        <v>735</v>
      </c>
      <c r="E60" s="5" t="s">
        <v>120</v>
      </c>
      <c r="F60" s="5" t="s">
        <v>121</v>
      </c>
    </row>
    <row r="61" spans="1:21">
      <c r="A61" s="7"/>
      <c r="B61" s="6" t="s">
        <v>228</v>
      </c>
      <c r="C61" s="6" t="s">
        <v>116</v>
      </c>
      <c r="D61" s="7" t="s">
        <v>127</v>
      </c>
      <c r="E61" s="7" t="s">
        <v>271</v>
      </c>
      <c r="F61" s="7" t="s">
        <v>272</v>
      </c>
    </row>
    <row r="62" spans="1:21">
      <c r="A62" s="7"/>
      <c r="B62" s="6" t="s">
        <v>210</v>
      </c>
      <c r="C62" s="6" t="s">
        <v>116</v>
      </c>
      <c r="D62" s="7" t="s">
        <v>269</v>
      </c>
      <c r="E62" s="7" t="s">
        <v>273</v>
      </c>
      <c r="F62" s="7" t="s">
        <v>274</v>
      </c>
    </row>
    <row r="63" spans="1:21">
      <c r="A63" s="7"/>
      <c r="B63" s="6" t="s">
        <v>232</v>
      </c>
      <c r="C63" s="6" t="s">
        <v>116</v>
      </c>
      <c r="D63" s="7" t="s">
        <v>127</v>
      </c>
      <c r="E63" s="7" t="s">
        <v>275</v>
      </c>
      <c r="F63" s="7" t="s">
        <v>276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4:R24"/>
    <mergeCell ref="A27:R27"/>
    <mergeCell ref="S3:S4"/>
    <mergeCell ref="T3:T4"/>
    <mergeCell ref="U3:U4"/>
    <mergeCell ref="A5:R5"/>
    <mergeCell ref="B3:B4"/>
    <mergeCell ref="A8:R8"/>
    <mergeCell ref="A12:R12"/>
    <mergeCell ref="A15:R15"/>
    <mergeCell ref="A18:R18"/>
    <mergeCell ref="A32:R32"/>
    <mergeCell ref="A38:R38"/>
    <mergeCell ref="A44:R44"/>
    <mergeCell ref="A48:R48"/>
    <mergeCell ref="A52:R5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7.832031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2.8320312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14.1640625" style="6" bestFit="1" customWidth="1"/>
    <col min="14" max="16384" width="9.1640625" style="3"/>
  </cols>
  <sheetData>
    <row r="1" spans="1:13" s="2" customFormat="1" ht="29" customHeight="1">
      <c r="A1" s="48" t="s">
        <v>761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5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506</v>
      </c>
      <c r="C6" s="12" t="s">
        <v>507</v>
      </c>
      <c r="D6" s="12" t="s">
        <v>508</v>
      </c>
      <c r="E6" s="12" t="s">
        <v>768</v>
      </c>
      <c r="F6" s="12" t="s">
        <v>509</v>
      </c>
      <c r="G6" s="28" t="s">
        <v>107</v>
      </c>
      <c r="H6" s="28" t="s">
        <v>73</v>
      </c>
      <c r="I6" s="25" t="s">
        <v>284</v>
      </c>
      <c r="J6" s="13"/>
      <c r="K6" s="13" t="str">
        <f>"215,0"</f>
        <v>215,0</v>
      </c>
      <c r="L6" s="13" t="str">
        <f>"197,2840"</f>
        <v>197,2840</v>
      </c>
      <c r="M6" s="12" t="s">
        <v>510</v>
      </c>
    </row>
    <row r="7" spans="1:13">
      <c r="B7" s="6" t="s">
        <v>133</v>
      </c>
    </row>
    <row r="8" spans="1:13" ht="16">
      <c r="A8" s="39" t="s">
        <v>75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511</v>
      </c>
      <c r="C9" s="12" t="s">
        <v>512</v>
      </c>
      <c r="D9" s="12" t="s">
        <v>513</v>
      </c>
      <c r="E9" s="12" t="s">
        <v>768</v>
      </c>
      <c r="F9" s="12" t="s">
        <v>509</v>
      </c>
      <c r="G9" s="25" t="s">
        <v>71</v>
      </c>
      <c r="H9" s="25" t="s">
        <v>71</v>
      </c>
      <c r="I9" s="28" t="s">
        <v>71</v>
      </c>
      <c r="J9" s="13"/>
      <c r="K9" s="13" t="str">
        <f>"240,0"</f>
        <v>240,0</v>
      </c>
      <c r="L9" s="13" t="str">
        <f>"146,3040"</f>
        <v>146,3040</v>
      </c>
      <c r="M9" s="12" t="s">
        <v>514</v>
      </c>
    </row>
    <row r="10" spans="1:13">
      <c r="B10" s="6" t="s">
        <v>133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1.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21.33203125" style="6" customWidth="1"/>
    <col min="14" max="16384" width="9.1640625" style="3"/>
  </cols>
  <sheetData>
    <row r="1" spans="1:13" s="2" customFormat="1" ht="29" customHeight="1">
      <c r="A1" s="48" t="s">
        <v>745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132</v>
      </c>
      <c r="B6" s="8" t="s">
        <v>608</v>
      </c>
      <c r="C6" s="8" t="s">
        <v>721</v>
      </c>
      <c r="D6" s="8" t="s">
        <v>609</v>
      </c>
      <c r="E6" s="8" t="s">
        <v>770</v>
      </c>
      <c r="F6" s="8" t="s">
        <v>610</v>
      </c>
      <c r="G6" s="21" t="s">
        <v>22</v>
      </c>
      <c r="H6" s="22" t="s">
        <v>26</v>
      </c>
      <c r="I6" s="22" t="s">
        <v>26</v>
      </c>
      <c r="J6" s="9"/>
      <c r="K6" s="9" t="str">
        <f>"120,0"</f>
        <v>120,0</v>
      </c>
      <c r="L6" s="9" t="str">
        <f>"108,4620"</f>
        <v>108,4620</v>
      </c>
      <c r="M6" s="8" t="s">
        <v>611</v>
      </c>
    </row>
    <row r="7" spans="1:13">
      <c r="A7" s="11" t="s">
        <v>132</v>
      </c>
      <c r="B7" s="10" t="s">
        <v>608</v>
      </c>
      <c r="C7" s="10" t="s">
        <v>612</v>
      </c>
      <c r="D7" s="10" t="s">
        <v>609</v>
      </c>
      <c r="E7" s="10" t="s">
        <v>768</v>
      </c>
      <c r="F7" s="10" t="s">
        <v>610</v>
      </c>
      <c r="G7" s="23" t="s">
        <v>22</v>
      </c>
      <c r="H7" s="24" t="s">
        <v>26</v>
      </c>
      <c r="I7" s="24" t="s">
        <v>26</v>
      </c>
      <c r="J7" s="11"/>
      <c r="K7" s="11" t="str">
        <f>"120,0"</f>
        <v>120,0</v>
      </c>
      <c r="L7" s="11" t="str">
        <f>"108,4620"</f>
        <v>108,4620</v>
      </c>
      <c r="M7" s="10" t="s">
        <v>611</v>
      </c>
    </row>
    <row r="8" spans="1:13">
      <c r="B8" s="6" t="s">
        <v>133</v>
      </c>
    </row>
    <row r="9" spans="1:13" ht="16">
      <c r="A9" s="39" t="s">
        <v>205</v>
      </c>
      <c r="B9" s="39"/>
      <c r="C9" s="39"/>
      <c r="D9" s="39"/>
      <c r="E9" s="39"/>
      <c r="F9" s="39"/>
      <c r="G9" s="39"/>
      <c r="H9" s="39"/>
      <c r="I9" s="39"/>
      <c r="J9" s="39"/>
    </row>
    <row r="10" spans="1:13">
      <c r="A10" s="13" t="s">
        <v>132</v>
      </c>
      <c r="B10" s="12" t="s">
        <v>613</v>
      </c>
      <c r="C10" s="12" t="s">
        <v>614</v>
      </c>
      <c r="D10" s="12" t="s">
        <v>409</v>
      </c>
      <c r="E10" s="12" t="s">
        <v>768</v>
      </c>
      <c r="F10" s="12" t="s">
        <v>223</v>
      </c>
      <c r="G10" s="28" t="s">
        <v>35</v>
      </c>
      <c r="H10" s="25" t="s">
        <v>36</v>
      </c>
      <c r="I10" s="28" t="s">
        <v>36</v>
      </c>
      <c r="J10" s="25" t="s">
        <v>615</v>
      </c>
      <c r="K10" s="13" t="str">
        <f>"200,0"</f>
        <v>200,0</v>
      </c>
      <c r="L10" s="13" t="str">
        <f>"137,9800"</f>
        <v>137,9800</v>
      </c>
      <c r="M10" s="12" t="s">
        <v>616</v>
      </c>
    </row>
    <row r="11" spans="1:13">
      <c r="B11" s="6" t="s">
        <v>133</v>
      </c>
    </row>
    <row r="12" spans="1:13" ht="16">
      <c r="A12" s="39" t="s">
        <v>75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13" t="s">
        <v>132</v>
      </c>
      <c r="B13" s="12" t="s">
        <v>617</v>
      </c>
      <c r="C13" s="12" t="s">
        <v>618</v>
      </c>
      <c r="D13" s="12" t="s">
        <v>619</v>
      </c>
      <c r="E13" s="12" t="s">
        <v>776</v>
      </c>
      <c r="F13" s="12" t="s">
        <v>265</v>
      </c>
      <c r="G13" s="28" t="s">
        <v>34</v>
      </c>
      <c r="H13" s="28" t="s">
        <v>36</v>
      </c>
      <c r="I13" s="25" t="s">
        <v>46</v>
      </c>
      <c r="J13" s="13"/>
      <c r="K13" s="13" t="str">
        <f>"200,0"</f>
        <v>200,0</v>
      </c>
      <c r="L13" s="13" t="str">
        <f>"160,2640"</f>
        <v>160,2640</v>
      </c>
      <c r="M13" s="12"/>
    </row>
    <row r="14" spans="1:13">
      <c r="B14" s="6" t="s">
        <v>133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4"/>
  <sheetViews>
    <sheetView zoomScaleNormal="100" workbookViewId="0">
      <selection activeCell="E34" sqref="E34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8.5" style="6" bestFit="1" customWidth="1"/>
    <col min="4" max="4" width="18" style="6" customWidth="1"/>
    <col min="5" max="5" width="12.83203125" style="6" customWidth="1"/>
    <col min="6" max="6" width="37.33203125" style="6" bestFit="1" customWidth="1"/>
    <col min="7" max="10" width="5.5" style="7" customWidth="1"/>
    <col min="11" max="11" width="14.5" style="7" customWidth="1"/>
    <col min="12" max="12" width="8.5" style="7" bestFit="1" customWidth="1"/>
    <col min="13" max="13" width="17.83203125" style="6" bestFit="1" customWidth="1"/>
    <col min="14" max="16384" width="9.1640625" style="3"/>
  </cols>
  <sheetData>
    <row r="1" spans="1:13" s="2" customFormat="1" ht="29" customHeight="1">
      <c r="A1" s="48" t="s">
        <v>746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766</v>
      </c>
      <c r="B3" s="68" t="s">
        <v>0</v>
      </c>
      <c r="C3" s="66" t="s">
        <v>772</v>
      </c>
      <c r="D3" s="66" t="s">
        <v>7</v>
      </c>
      <c r="E3" s="67" t="s">
        <v>767</v>
      </c>
      <c r="F3" s="67" t="s">
        <v>6</v>
      </c>
      <c r="G3" s="67" t="s">
        <v>9</v>
      </c>
      <c r="H3" s="67"/>
      <c r="I3" s="67"/>
      <c r="J3" s="67"/>
      <c r="K3" s="67" t="s">
        <v>388</v>
      </c>
      <c r="L3" s="67" t="s">
        <v>3</v>
      </c>
      <c r="M3" s="69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132</v>
      </c>
      <c r="B6" s="8" t="s">
        <v>570</v>
      </c>
      <c r="C6" s="8" t="s">
        <v>571</v>
      </c>
      <c r="D6" s="8" t="s">
        <v>194</v>
      </c>
      <c r="E6" s="8" t="s">
        <v>768</v>
      </c>
      <c r="F6" s="8" t="s">
        <v>572</v>
      </c>
      <c r="G6" s="21" t="s">
        <v>30</v>
      </c>
      <c r="H6" s="21" t="s">
        <v>453</v>
      </c>
      <c r="I6" s="21" t="s">
        <v>98</v>
      </c>
      <c r="J6" s="21" t="s">
        <v>239</v>
      </c>
      <c r="K6" s="9" t="str">
        <f>"170,0"</f>
        <v>170,0</v>
      </c>
      <c r="L6" s="9" t="str">
        <f>"155,8305"</f>
        <v>155,8305</v>
      </c>
      <c r="M6" s="30" t="s">
        <v>691</v>
      </c>
    </row>
    <row r="7" spans="1:13">
      <c r="A7" s="11" t="s">
        <v>132</v>
      </c>
      <c r="B7" s="10" t="s">
        <v>573</v>
      </c>
      <c r="C7" s="10" t="s">
        <v>722</v>
      </c>
      <c r="D7" s="10" t="s">
        <v>311</v>
      </c>
      <c r="E7" s="10" t="s">
        <v>775</v>
      </c>
      <c r="F7" s="10" t="s">
        <v>494</v>
      </c>
      <c r="G7" s="24" t="s">
        <v>44</v>
      </c>
      <c r="H7" s="24" t="s">
        <v>44</v>
      </c>
      <c r="I7" s="23" t="s">
        <v>44</v>
      </c>
      <c r="J7" s="11"/>
      <c r="K7" s="11" t="str">
        <f>"135,0"</f>
        <v>135,0</v>
      </c>
      <c r="L7" s="11" t="str">
        <f>"156,8478"</f>
        <v>156,8478</v>
      </c>
      <c r="M7" s="10"/>
    </row>
    <row r="8" spans="1:13">
      <c r="B8" s="6" t="s">
        <v>133</v>
      </c>
    </row>
    <row r="9" spans="1:13" ht="16">
      <c r="A9" s="39" t="s">
        <v>37</v>
      </c>
      <c r="B9" s="39"/>
      <c r="C9" s="39"/>
      <c r="D9" s="39"/>
      <c r="E9" s="39"/>
      <c r="F9" s="39"/>
      <c r="G9" s="39"/>
      <c r="H9" s="39"/>
      <c r="I9" s="39"/>
      <c r="J9" s="39"/>
    </row>
    <row r="10" spans="1:13">
      <c r="A10" s="13" t="s">
        <v>132</v>
      </c>
      <c r="B10" s="12" t="s">
        <v>574</v>
      </c>
      <c r="C10" s="12" t="s">
        <v>575</v>
      </c>
      <c r="D10" s="12" t="s">
        <v>576</v>
      </c>
      <c r="E10" s="12" t="s">
        <v>768</v>
      </c>
      <c r="F10" s="12" t="s">
        <v>577</v>
      </c>
      <c r="G10" s="28" t="s">
        <v>50</v>
      </c>
      <c r="H10" s="25" t="s">
        <v>71</v>
      </c>
      <c r="I10" s="25" t="s">
        <v>71</v>
      </c>
      <c r="J10" s="13"/>
      <c r="K10" s="13" t="str">
        <f>"220,0"</f>
        <v>220,0</v>
      </c>
      <c r="L10" s="13" t="str">
        <f>"143,9900"</f>
        <v>143,9900</v>
      </c>
      <c r="M10" s="12"/>
    </row>
    <row r="11" spans="1:13">
      <c r="B11" s="6" t="s">
        <v>133</v>
      </c>
    </row>
    <row r="12" spans="1:13" ht="16">
      <c r="A12" s="39" t="s">
        <v>75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9" t="s">
        <v>132</v>
      </c>
      <c r="B13" s="8" t="s">
        <v>325</v>
      </c>
      <c r="C13" s="8" t="s">
        <v>326</v>
      </c>
      <c r="D13" s="8" t="s">
        <v>85</v>
      </c>
      <c r="E13" s="8" t="s">
        <v>768</v>
      </c>
      <c r="F13" s="8" t="s">
        <v>185</v>
      </c>
      <c r="G13" s="21" t="s">
        <v>268</v>
      </c>
      <c r="H13" s="21" t="s">
        <v>94</v>
      </c>
      <c r="I13" s="21" t="s">
        <v>80</v>
      </c>
      <c r="J13" s="22" t="s">
        <v>295</v>
      </c>
      <c r="K13" s="9" t="str">
        <f>"305,0"</f>
        <v>305,0</v>
      </c>
      <c r="L13" s="9" t="str">
        <f>"178,5317"</f>
        <v>178,5317</v>
      </c>
      <c r="M13" s="8"/>
    </row>
    <row r="14" spans="1:13">
      <c r="A14" s="15" t="s">
        <v>135</v>
      </c>
      <c r="B14" s="14" t="s">
        <v>578</v>
      </c>
      <c r="C14" s="14" t="s">
        <v>579</v>
      </c>
      <c r="D14" s="14" t="s">
        <v>580</v>
      </c>
      <c r="E14" s="14" t="s">
        <v>768</v>
      </c>
      <c r="F14" s="14" t="s">
        <v>498</v>
      </c>
      <c r="G14" s="26" t="s">
        <v>61</v>
      </c>
      <c r="H14" s="27" t="s">
        <v>62</v>
      </c>
      <c r="I14" s="27" t="s">
        <v>62</v>
      </c>
      <c r="J14" s="15"/>
      <c r="K14" s="15" t="str">
        <f>"255,0"</f>
        <v>255,0</v>
      </c>
      <c r="L14" s="15" t="str">
        <f>"148,2953"</f>
        <v>148,2953</v>
      </c>
      <c r="M14" s="14" t="s">
        <v>581</v>
      </c>
    </row>
    <row r="15" spans="1:13">
      <c r="A15" s="15" t="s">
        <v>136</v>
      </c>
      <c r="B15" s="14" t="s">
        <v>582</v>
      </c>
      <c r="C15" s="14" t="s">
        <v>583</v>
      </c>
      <c r="D15" s="14" t="s">
        <v>488</v>
      </c>
      <c r="E15" s="14" t="s">
        <v>768</v>
      </c>
      <c r="F15" s="14" t="s">
        <v>223</v>
      </c>
      <c r="G15" s="26" t="s">
        <v>70</v>
      </c>
      <c r="H15" s="26" t="s">
        <v>71</v>
      </c>
      <c r="I15" s="27" t="s">
        <v>88</v>
      </c>
      <c r="J15" s="15"/>
      <c r="K15" s="15" t="str">
        <f>"240,0"</f>
        <v>240,0</v>
      </c>
      <c r="L15" s="15" t="str">
        <f>"140,6040"</f>
        <v>140,6040</v>
      </c>
      <c r="M15" s="14"/>
    </row>
    <row r="16" spans="1:13">
      <c r="A16" s="11" t="s">
        <v>132</v>
      </c>
      <c r="B16" s="10" t="s">
        <v>582</v>
      </c>
      <c r="C16" s="10" t="s">
        <v>723</v>
      </c>
      <c r="D16" s="10" t="s">
        <v>488</v>
      </c>
      <c r="E16" s="10" t="s">
        <v>771</v>
      </c>
      <c r="F16" s="10" t="s">
        <v>223</v>
      </c>
      <c r="G16" s="23" t="s">
        <v>70</v>
      </c>
      <c r="H16" s="23" t="s">
        <v>71</v>
      </c>
      <c r="I16" s="24" t="s">
        <v>88</v>
      </c>
      <c r="J16" s="11"/>
      <c r="K16" s="11" t="str">
        <f>"240,0"</f>
        <v>240,0</v>
      </c>
      <c r="L16" s="11" t="str">
        <f>"142,0100"</f>
        <v>142,0100</v>
      </c>
      <c r="M16" s="10"/>
    </row>
    <row r="17" spans="1:13">
      <c r="B17" s="6" t="s">
        <v>133</v>
      </c>
    </row>
    <row r="18" spans="1:13" ht="16">
      <c r="A18" s="39" t="s">
        <v>109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3">
      <c r="A19" s="9" t="s">
        <v>132</v>
      </c>
      <c r="B19" s="8" t="s">
        <v>331</v>
      </c>
      <c r="C19" s="8" t="s">
        <v>332</v>
      </c>
      <c r="D19" s="8" t="s">
        <v>333</v>
      </c>
      <c r="E19" s="8" t="s">
        <v>768</v>
      </c>
      <c r="F19" s="8" t="s">
        <v>738</v>
      </c>
      <c r="G19" s="21" t="s">
        <v>378</v>
      </c>
      <c r="H19" s="21" t="s">
        <v>89</v>
      </c>
      <c r="I19" s="21" t="s">
        <v>63</v>
      </c>
      <c r="J19" s="9"/>
      <c r="K19" s="9" t="str">
        <f>"270,0"</f>
        <v>270,0</v>
      </c>
      <c r="L19" s="9" t="str">
        <f>"152,9010"</f>
        <v>152,9010</v>
      </c>
      <c r="M19" s="8"/>
    </row>
    <row r="20" spans="1:13">
      <c r="A20" s="15" t="s">
        <v>135</v>
      </c>
      <c r="B20" s="14" t="s">
        <v>584</v>
      </c>
      <c r="C20" s="14" t="s">
        <v>585</v>
      </c>
      <c r="D20" s="14" t="s">
        <v>586</v>
      </c>
      <c r="E20" s="14" t="s">
        <v>768</v>
      </c>
      <c r="F20" s="14" t="s">
        <v>15</v>
      </c>
      <c r="G20" s="26" t="s">
        <v>88</v>
      </c>
      <c r="H20" s="26" t="s">
        <v>587</v>
      </c>
      <c r="I20" s="27" t="s">
        <v>588</v>
      </c>
      <c r="J20" s="15"/>
      <c r="K20" s="15" t="str">
        <f>"257,5"</f>
        <v>257,5</v>
      </c>
      <c r="L20" s="15" t="str">
        <f>"146,2471"</f>
        <v>146,2471</v>
      </c>
      <c r="M20" s="14"/>
    </row>
    <row r="21" spans="1:13">
      <c r="A21" s="15" t="s">
        <v>136</v>
      </c>
      <c r="B21" s="14" t="s">
        <v>589</v>
      </c>
      <c r="C21" s="14" t="s">
        <v>590</v>
      </c>
      <c r="D21" s="14" t="s">
        <v>591</v>
      </c>
      <c r="E21" s="14" t="s">
        <v>768</v>
      </c>
      <c r="F21" s="14" t="s">
        <v>592</v>
      </c>
      <c r="G21" s="26" t="s">
        <v>50</v>
      </c>
      <c r="H21" s="26" t="s">
        <v>54</v>
      </c>
      <c r="I21" s="26" t="s">
        <v>290</v>
      </c>
      <c r="J21" s="15"/>
      <c r="K21" s="15" t="str">
        <f>"242,5"</f>
        <v>242,5</v>
      </c>
      <c r="L21" s="15" t="str">
        <f>"139,1465"</f>
        <v>139,1465</v>
      </c>
      <c r="M21" s="33" t="s">
        <v>690</v>
      </c>
    </row>
    <row r="22" spans="1:13">
      <c r="A22" s="15" t="s">
        <v>137</v>
      </c>
      <c r="B22" s="14" t="s">
        <v>593</v>
      </c>
      <c r="C22" s="14" t="s">
        <v>594</v>
      </c>
      <c r="D22" s="14" t="s">
        <v>595</v>
      </c>
      <c r="E22" s="14" t="s">
        <v>768</v>
      </c>
      <c r="F22" s="14" t="s">
        <v>577</v>
      </c>
      <c r="G22" s="26" t="s">
        <v>54</v>
      </c>
      <c r="H22" s="26" t="s">
        <v>290</v>
      </c>
      <c r="I22" s="27" t="s">
        <v>114</v>
      </c>
      <c r="J22" s="15"/>
      <c r="K22" s="15" t="str">
        <f>"242,5"</f>
        <v>242,5</v>
      </c>
      <c r="L22" s="15" t="str">
        <f>"136,9398"</f>
        <v>136,9398</v>
      </c>
      <c r="M22" s="33" t="s">
        <v>689</v>
      </c>
    </row>
    <row r="23" spans="1:13">
      <c r="A23" s="15" t="s">
        <v>132</v>
      </c>
      <c r="B23" s="14" t="s">
        <v>589</v>
      </c>
      <c r="C23" s="14" t="s">
        <v>724</v>
      </c>
      <c r="D23" s="14" t="s">
        <v>591</v>
      </c>
      <c r="E23" s="14" t="s">
        <v>771</v>
      </c>
      <c r="F23" s="14" t="s">
        <v>592</v>
      </c>
      <c r="G23" s="26" t="s">
        <v>50</v>
      </c>
      <c r="H23" s="26" t="s">
        <v>54</v>
      </c>
      <c r="I23" s="26" t="s">
        <v>290</v>
      </c>
      <c r="J23" s="15"/>
      <c r="K23" s="15" t="str">
        <f>"242,5"</f>
        <v>242,5</v>
      </c>
      <c r="L23" s="15" t="str">
        <f>"140,5380"</f>
        <v>140,5380</v>
      </c>
      <c r="M23" s="33" t="s">
        <v>690</v>
      </c>
    </row>
    <row r="24" spans="1:13">
      <c r="A24" s="11" t="s">
        <v>135</v>
      </c>
      <c r="B24" s="10" t="s">
        <v>593</v>
      </c>
      <c r="C24" s="10" t="s">
        <v>725</v>
      </c>
      <c r="D24" s="10" t="s">
        <v>595</v>
      </c>
      <c r="E24" s="10" t="s">
        <v>771</v>
      </c>
      <c r="F24" s="10" t="s">
        <v>577</v>
      </c>
      <c r="G24" s="23" t="s">
        <v>54</v>
      </c>
      <c r="H24" s="23" t="s">
        <v>290</v>
      </c>
      <c r="I24" s="24" t="s">
        <v>114</v>
      </c>
      <c r="J24" s="11"/>
      <c r="K24" s="11" t="str">
        <f>"242,5"</f>
        <v>242,5</v>
      </c>
      <c r="L24" s="11" t="str">
        <f>"146,2517"</f>
        <v>146,2517</v>
      </c>
      <c r="M24" s="31" t="s">
        <v>689</v>
      </c>
    </row>
    <row r="25" spans="1:13">
      <c r="B25" s="6" t="s">
        <v>133</v>
      </c>
    </row>
    <row r="26" spans="1:13" ht="16">
      <c r="A26" s="39" t="s">
        <v>261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3">
      <c r="A27" s="9" t="s">
        <v>132</v>
      </c>
      <c r="B27" s="8" t="s">
        <v>596</v>
      </c>
      <c r="C27" s="8" t="s">
        <v>597</v>
      </c>
      <c r="D27" s="8" t="s">
        <v>598</v>
      </c>
      <c r="E27" s="8" t="s">
        <v>768</v>
      </c>
      <c r="F27" s="8" t="s">
        <v>555</v>
      </c>
      <c r="G27" s="21" t="s">
        <v>88</v>
      </c>
      <c r="H27" s="21" t="s">
        <v>243</v>
      </c>
      <c r="I27" s="21" t="s">
        <v>63</v>
      </c>
      <c r="J27" s="9"/>
      <c r="K27" s="9" t="str">
        <f>"270,0"</f>
        <v>270,0</v>
      </c>
      <c r="L27" s="9" t="str">
        <f>"148,7295"</f>
        <v>148,7295</v>
      </c>
      <c r="M27" s="8"/>
    </row>
    <row r="28" spans="1:13">
      <c r="A28" s="15" t="s">
        <v>135</v>
      </c>
      <c r="B28" s="14" t="s">
        <v>371</v>
      </c>
      <c r="C28" s="14" t="s">
        <v>599</v>
      </c>
      <c r="D28" s="14" t="s">
        <v>372</v>
      </c>
      <c r="E28" s="14" t="s">
        <v>768</v>
      </c>
      <c r="F28" s="14" t="s">
        <v>185</v>
      </c>
      <c r="G28" s="26" t="s">
        <v>71</v>
      </c>
      <c r="H28" s="26" t="s">
        <v>88</v>
      </c>
      <c r="I28" s="26" t="s">
        <v>243</v>
      </c>
      <c r="J28" s="15"/>
      <c r="K28" s="15" t="str">
        <f>"260,0"</f>
        <v>260,0</v>
      </c>
      <c r="L28" s="15" t="str">
        <f>"145,6520"</f>
        <v>145,6520</v>
      </c>
      <c r="M28" s="14"/>
    </row>
    <row r="29" spans="1:13">
      <c r="A29" s="11" t="s">
        <v>132</v>
      </c>
      <c r="B29" s="10" t="s">
        <v>600</v>
      </c>
      <c r="C29" s="10" t="s">
        <v>726</v>
      </c>
      <c r="D29" s="10" t="s">
        <v>601</v>
      </c>
      <c r="E29" s="10" t="s">
        <v>771</v>
      </c>
      <c r="F29" s="10" t="s">
        <v>555</v>
      </c>
      <c r="G29" s="23" t="s">
        <v>71</v>
      </c>
      <c r="H29" s="23" t="s">
        <v>378</v>
      </c>
      <c r="I29" s="24" t="s">
        <v>61</v>
      </c>
      <c r="J29" s="11"/>
      <c r="K29" s="11" t="str">
        <f>"252,5"</f>
        <v>252,5</v>
      </c>
      <c r="L29" s="11" t="str">
        <f>"147,3880"</f>
        <v>147,3880</v>
      </c>
      <c r="M29" s="10" t="s">
        <v>602</v>
      </c>
    </row>
    <row r="30" spans="1:13">
      <c r="B30" s="6" t="s">
        <v>133</v>
      </c>
    </row>
    <row r="31" spans="1:13" ht="16">
      <c r="A31" s="39" t="s">
        <v>373</v>
      </c>
      <c r="B31" s="39"/>
      <c r="C31" s="39"/>
      <c r="D31" s="39"/>
      <c r="E31" s="39"/>
      <c r="F31" s="39"/>
      <c r="G31" s="39"/>
      <c r="H31" s="39"/>
      <c r="I31" s="39"/>
      <c r="J31" s="39"/>
    </row>
    <row r="32" spans="1:13">
      <c r="A32" s="9" t="s">
        <v>132</v>
      </c>
      <c r="B32" s="8" t="s">
        <v>379</v>
      </c>
      <c r="C32" s="8" t="s">
        <v>380</v>
      </c>
      <c r="D32" s="8" t="s">
        <v>381</v>
      </c>
      <c r="E32" s="8" t="s">
        <v>768</v>
      </c>
      <c r="F32" s="8" t="s">
        <v>382</v>
      </c>
      <c r="G32" s="22" t="s">
        <v>281</v>
      </c>
      <c r="H32" s="21" t="s">
        <v>281</v>
      </c>
      <c r="I32" s="22" t="s">
        <v>603</v>
      </c>
      <c r="J32" s="9"/>
      <c r="K32" s="9" t="str">
        <f>"315,0"</f>
        <v>315,0</v>
      </c>
      <c r="L32" s="9" t="str">
        <f>"167,6698"</f>
        <v>167,6698</v>
      </c>
      <c r="M32" s="8"/>
    </row>
    <row r="33" spans="1:13">
      <c r="A33" s="11" t="s">
        <v>132</v>
      </c>
      <c r="B33" s="10" t="s">
        <v>379</v>
      </c>
      <c r="C33" s="10" t="s">
        <v>727</v>
      </c>
      <c r="D33" s="10" t="s">
        <v>381</v>
      </c>
      <c r="E33" s="10" t="s">
        <v>775</v>
      </c>
      <c r="F33" s="10" t="s">
        <v>382</v>
      </c>
      <c r="G33" s="24" t="s">
        <v>281</v>
      </c>
      <c r="H33" s="23" t="s">
        <v>281</v>
      </c>
      <c r="I33" s="24" t="s">
        <v>603</v>
      </c>
      <c r="J33" s="11"/>
      <c r="K33" s="11" t="str">
        <f>"315,0"</f>
        <v>315,0</v>
      </c>
      <c r="L33" s="11" t="str">
        <f>"216,4617"</f>
        <v>216,4617</v>
      </c>
      <c r="M33" s="10"/>
    </row>
    <row r="34" spans="1:13">
      <c r="B34" s="6" t="s">
        <v>133</v>
      </c>
    </row>
    <row r="35" spans="1:13">
      <c r="B35" s="6" t="s">
        <v>133</v>
      </c>
    </row>
    <row r="37" spans="1:13" ht="18">
      <c r="B37" s="32" t="s">
        <v>115</v>
      </c>
      <c r="C37" s="16"/>
    </row>
    <row r="38" spans="1:13" ht="16">
      <c r="B38" s="17" t="s">
        <v>123</v>
      </c>
      <c r="C38" s="17"/>
    </row>
    <row r="39" spans="1:13" ht="14">
      <c r="B39" s="19"/>
      <c r="C39" s="20" t="s">
        <v>116</v>
      </c>
    </row>
    <row r="40" spans="1:13" ht="14">
      <c r="A40" s="7"/>
      <c r="B40" s="5" t="s">
        <v>117</v>
      </c>
      <c r="C40" s="5" t="s">
        <v>118</v>
      </c>
      <c r="D40" s="5" t="s">
        <v>735</v>
      </c>
      <c r="E40" s="5" t="s">
        <v>383</v>
      </c>
      <c r="F40" s="5" t="s">
        <v>604</v>
      </c>
    </row>
    <row r="41" spans="1:13">
      <c r="A41" s="7"/>
      <c r="B41" s="18" t="s">
        <v>325</v>
      </c>
      <c r="C41" s="6" t="s">
        <v>116</v>
      </c>
      <c r="D41" s="7" t="s">
        <v>124</v>
      </c>
      <c r="E41" s="7" t="s">
        <v>80</v>
      </c>
      <c r="F41" s="7" t="s">
        <v>605</v>
      </c>
    </row>
    <row r="42" spans="1:13">
      <c r="A42" s="7"/>
      <c r="B42" s="18" t="s">
        <v>379</v>
      </c>
      <c r="C42" s="6" t="s">
        <v>116</v>
      </c>
      <c r="D42" s="7" t="s">
        <v>385</v>
      </c>
      <c r="E42" s="7" t="s">
        <v>281</v>
      </c>
      <c r="F42" s="7" t="s">
        <v>606</v>
      </c>
    </row>
    <row r="43" spans="1:13">
      <c r="A43" s="7"/>
      <c r="B43" s="18" t="s">
        <v>331</v>
      </c>
      <c r="C43" s="6" t="s">
        <v>116</v>
      </c>
      <c r="D43" s="7" t="s">
        <v>277</v>
      </c>
      <c r="E43" s="7" t="s">
        <v>63</v>
      </c>
      <c r="F43" s="7" t="s">
        <v>607</v>
      </c>
    </row>
    <row r="44" spans="1:13">
      <c r="B44" s="6" t="s">
        <v>133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31:J31"/>
    <mergeCell ref="A5:J5"/>
    <mergeCell ref="A9:J9"/>
    <mergeCell ref="A12:J12"/>
    <mergeCell ref="A18:J18"/>
    <mergeCell ref="A26:J2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9"/>
  <sheetViews>
    <sheetView workbookViewId="0">
      <selection activeCell="E19" sqref="E19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29.6640625" style="6" customWidth="1"/>
    <col min="7" max="10" width="5.5" style="7" customWidth="1"/>
    <col min="11" max="11" width="13.33203125" style="7" customWidth="1"/>
    <col min="12" max="12" width="8.5" style="7" bestFit="1" customWidth="1"/>
    <col min="13" max="13" width="18.83203125" style="6" bestFit="1" customWidth="1"/>
    <col min="14" max="16384" width="9.1640625" style="3"/>
  </cols>
  <sheetData>
    <row r="1" spans="1:13" s="2" customFormat="1" ht="29" customHeight="1">
      <c r="A1" s="48" t="s">
        <v>747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205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132</v>
      </c>
      <c r="B6" s="8" t="s">
        <v>624</v>
      </c>
      <c r="C6" s="8" t="s">
        <v>625</v>
      </c>
      <c r="D6" s="8" t="s">
        <v>626</v>
      </c>
      <c r="E6" s="8" t="s">
        <v>768</v>
      </c>
      <c r="F6" s="8" t="s">
        <v>15</v>
      </c>
      <c r="G6" s="21" t="s">
        <v>94</v>
      </c>
      <c r="H6" s="21" t="s">
        <v>286</v>
      </c>
      <c r="I6" s="22" t="s">
        <v>65</v>
      </c>
      <c r="J6" s="9"/>
      <c r="K6" s="9" t="str">
        <f>"310,0"</f>
        <v>310,0</v>
      </c>
      <c r="L6" s="9" t="str">
        <f>"215,8065"</f>
        <v>215,8065</v>
      </c>
      <c r="M6" s="8"/>
    </row>
    <row r="7" spans="1:13">
      <c r="A7" s="11" t="s">
        <v>132</v>
      </c>
      <c r="B7" s="10" t="s">
        <v>627</v>
      </c>
      <c r="C7" s="10" t="s">
        <v>728</v>
      </c>
      <c r="D7" s="10" t="s">
        <v>628</v>
      </c>
      <c r="E7" s="10" t="s">
        <v>775</v>
      </c>
      <c r="F7" s="10" t="s">
        <v>265</v>
      </c>
      <c r="G7" s="23" t="s">
        <v>35</v>
      </c>
      <c r="H7" s="24" t="s">
        <v>107</v>
      </c>
      <c r="I7" s="23" t="s">
        <v>107</v>
      </c>
      <c r="J7" s="24" t="s">
        <v>46</v>
      </c>
      <c r="K7" s="11" t="str">
        <f>"205,0"</f>
        <v>205,0</v>
      </c>
      <c r="L7" s="11" t="str">
        <f>"161,9022"</f>
        <v>161,9022</v>
      </c>
      <c r="M7" s="31" t="s">
        <v>743</v>
      </c>
    </row>
    <row r="8" spans="1:13">
      <c r="B8" s="6" t="s">
        <v>133</v>
      </c>
    </row>
    <row r="9" spans="1:13" ht="16">
      <c r="A9" s="39" t="s">
        <v>37</v>
      </c>
      <c r="B9" s="39"/>
      <c r="C9" s="39"/>
      <c r="D9" s="39"/>
      <c r="E9" s="39"/>
      <c r="F9" s="39"/>
      <c r="G9" s="39"/>
      <c r="H9" s="39"/>
      <c r="I9" s="39"/>
      <c r="J9" s="39"/>
    </row>
    <row r="10" spans="1:13">
      <c r="A10" s="13" t="s">
        <v>132</v>
      </c>
      <c r="B10" s="12" t="s">
        <v>629</v>
      </c>
      <c r="C10" s="12" t="s">
        <v>630</v>
      </c>
      <c r="D10" s="12" t="s">
        <v>631</v>
      </c>
      <c r="E10" s="12" t="s">
        <v>768</v>
      </c>
      <c r="F10" s="12" t="s">
        <v>632</v>
      </c>
      <c r="G10" s="28" t="s">
        <v>62</v>
      </c>
      <c r="H10" s="25" t="s">
        <v>334</v>
      </c>
      <c r="I10" s="25" t="s">
        <v>334</v>
      </c>
      <c r="J10" s="13"/>
      <c r="K10" s="13" t="str">
        <f>"265,0"</f>
        <v>265,0</v>
      </c>
      <c r="L10" s="13" t="str">
        <f>"174,3170"</f>
        <v>174,3170</v>
      </c>
      <c r="M10" s="29" t="s">
        <v>688</v>
      </c>
    </row>
    <row r="11" spans="1:13">
      <c r="B11" s="6" t="s">
        <v>133</v>
      </c>
    </row>
    <row r="12" spans="1:13" ht="16">
      <c r="A12" s="39" t="s">
        <v>109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9" t="s">
        <v>132</v>
      </c>
      <c r="B13" s="8" t="s">
        <v>633</v>
      </c>
      <c r="C13" s="8" t="s">
        <v>634</v>
      </c>
      <c r="D13" s="8" t="s">
        <v>635</v>
      </c>
      <c r="E13" s="8" t="s">
        <v>768</v>
      </c>
      <c r="F13" s="8" t="s">
        <v>265</v>
      </c>
      <c r="G13" s="21" t="s">
        <v>636</v>
      </c>
      <c r="H13" s="22" t="s">
        <v>637</v>
      </c>
      <c r="I13" s="22" t="s">
        <v>270</v>
      </c>
      <c r="J13" s="9"/>
      <c r="K13" s="9" t="str">
        <f>"355,0"</f>
        <v>355,0</v>
      </c>
      <c r="L13" s="9" t="str">
        <f>"201,7997"</f>
        <v>201,7997</v>
      </c>
      <c r="M13" s="8"/>
    </row>
    <row r="14" spans="1:13">
      <c r="A14" s="11" t="s">
        <v>132</v>
      </c>
      <c r="B14" s="10" t="s">
        <v>633</v>
      </c>
      <c r="C14" s="10" t="s">
        <v>729</v>
      </c>
      <c r="D14" s="10" t="s">
        <v>635</v>
      </c>
      <c r="E14" s="10" t="s">
        <v>771</v>
      </c>
      <c r="F14" s="10" t="s">
        <v>265</v>
      </c>
      <c r="G14" s="23" t="s">
        <v>636</v>
      </c>
      <c r="H14" s="24" t="s">
        <v>637</v>
      </c>
      <c r="I14" s="24" t="s">
        <v>270</v>
      </c>
      <c r="J14" s="11"/>
      <c r="K14" s="11" t="str">
        <f>"355,0"</f>
        <v>355,0</v>
      </c>
      <c r="L14" s="11" t="str">
        <f>"215,5221"</f>
        <v>215,5221</v>
      </c>
      <c r="M14" s="10"/>
    </row>
    <row r="15" spans="1:13">
      <c r="B15" s="6" t="s">
        <v>133</v>
      </c>
    </row>
    <row r="16" spans="1:13" ht="16">
      <c r="A16" s="39" t="s">
        <v>261</v>
      </c>
      <c r="B16" s="39"/>
      <c r="C16" s="39"/>
      <c r="D16" s="39"/>
      <c r="E16" s="39"/>
      <c r="F16" s="39"/>
      <c r="G16" s="39"/>
      <c r="H16" s="39"/>
      <c r="I16" s="39"/>
      <c r="J16" s="39"/>
    </row>
    <row r="17" spans="1:13">
      <c r="A17" s="9" t="s">
        <v>132</v>
      </c>
      <c r="B17" s="8" t="s">
        <v>638</v>
      </c>
      <c r="C17" s="8" t="s">
        <v>639</v>
      </c>
      <c r="D17" s="8" t="s">
        <v>640</v>
      </c>
      <c r="E17" s="8" t="s">
        <v>768</v>
      </c>
      <c r="F17" s="8" t="s">
        <v>265</v>
      </c>
      <c r="G17" s="21" t="s">
        <v>94</v>
      </c>
      <c r="H17" s="21" t="s">
        <v>122</v>
      </c>
      <c r="I17" s="22" t="s">
        <v>641</v>
      </c>
      <c r="J17" s="9"/>
      <c r="K17" s="9" t="str">
        <f>"345,0"</f>
        <v>345,0</v>
      </c>
      <c r="L17" s="9" t="str">
        <f>"192,1650"</f>
        <v>192,1650</v>
      </c>
      <c r="M17" s="8"/>
    </row>
    <row r="18" spans="1:13">
      <c r="A18" s="11" t="s">
        <v>132</v>
      </c>
      <c r="B18" s="10" t="s">
        <v>638</v>
      </c>
      <c r="C18" s="10" t="s">
        <v>730</v>
      </c>
      <c r="D18" s="10" t="s">
        <v>640</v>
      </c>
      <c r="E18" s="10" t="s">
        <v>771</v>
      </c>
      <c r="F18" s="10" t="s">
        <v>265</v>
      </c>
      <c r="G18" s="23" t="s">
        <v>94</v>
      </c>
      <c r="H18" s="23" t="s">
        <v>122</v>
      </c>
      <c r="I18" s="24" t="s">
        <v>641</v>
      </c>
      <c r="J18" s="11"/>
      <c r="K18" s="11" t="str">
        <f>"345,0"</f>
        <v>345,0</v>
      </c>
      <c r="L18" s="11" t="str">
        <f>"202,7341"</f>
        <v>202,7341</v>
      </c>
      <c r="M18" s="10"/>
    </row>
    <row r="19" spans="1:13">
      <c r="B19" s="6" t="s">
        <v>133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5.332031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3.5" style="6" bestFit="1" customWidth="1"/>
    <col min="7" max="10" width="5.5" style="7" customWidth="1"/>
    <col min="11" max="11" width="12" style="7" customWidth="1"/>
    <col min="12" max="12" width="8.5" style="7" bestFit="1" customWidth="1"/>
    <col min="13" max="13" width="22.83203125" style="6" customWidth="1"/>
    <col min="14" max="16384" width="9.1640625" style="3"/>
  </cols>
  <sheetData>
    <row r="1" spans="1:13" s="2" customFormat="1" ht="29" customHeight="1">
      <c r="A1" s="48" t="s">
        <v>748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56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620</v>
      </c>
      <c r="C6" s="12" t="s">
        <v>621</v>
      </c>
      <c r="D6" s="12" t="s">
        <v>423</v>
      </c>
      <c r="E6" s="12" t="s">
        <v>768</v>
      </c>
      <c r="F6" s="12" t="s">
        <v>622</v>
      </c>
      <c r="G6" s="28" t="s">
        <v>93</v>
      </c>
      <c r="H6" s="28" t="s">
        <v>80</v>
      </c>
      <c r="I6" s="25" t="s">
        <v>281</v>
      </c>
      <c r="J6" s="13"/>
      <c r="K6" s="13" t="str">
        <f>"305,0"</f>
        <v>305,0</v>
      </c>
      <c r="L6" s="13" t="str">
        <f>"186,6143"</f>
        <v>186,6143</v>
      </c>
      <c r="M6" s="12" t="s">
        <v>623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E27" sqref="E27"/>
    </sheetView>
  </sheetViews>
  <sheetFormatPr baseColWidth="10" defaultColWidth="9.1640625" defaultRowHeight="13"/>
  <cols>
    <col min="1" max="1" width="7.5" style="6" bestFit="1" customWidth="1"/>
    <col min="2" max="2" width="18.5" style="6" bestFit="1" customWidth="1"/>
    <col min="3" max="3" width="27.5" style="6" bestFit="1" customWidth="1"/>
    <col min="4" max="4" width="21.5" style="6" bestFit="1" customWidth="1"/>
    <col min="5" max="5" width="18.6640625" style="6" bestFit="1" customWidth="1"/>
    <col min="6" max="6" width="31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15.5" style="6" bestFit="1" customWidth="1"/>
    <col min="14" max="16384" width="9.1640625" style="3"/>
  </cols>
  <sheetData>
    <row r="1" spans="1:13" s="2" customFormat="1" ht="29" customHeight="1">
      <c r="A1" s="48" t="s">
        <v>749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660</v>
      </c>
      <c r="C6" s="12" t="s">
        <v>661</v>
      </c>
      <c r="D6" s="12" t="s">
        <v>662</v>
      </c>
      <c r="E6" s="12" t="s">
        <v>774</v>
      </c>
      <c r="F6" s="12" t="s">
        <v>663</v>
      </c>
      <c r="G6" s="28" t="s">
        <v>178</v>
      </c>
      <c r="H6" s="28" t="s">
        <v>187</v>
      </c>
      <c r="I6" s="25" t="s">
        <v>203</v>
      </c>
      <c r="J6" s="13"/>
      <c r="K6" s="13" t="str">
        <f>"55,0"</f>
        <v>55,0</v>
      </c>
      <c r="L6" s="13" t="str">
        <f>"76,7135"</f>
        <v>76,7135</v>
      </c>
      <c r="M6" s="29" t="s">
        <v>681</v>
      </c>
    </row>
    <row r="7" spans="1:13">
      <c r="B7" s="6" t="s">
        <v>133</v>
      </c>
    </row>
    <row r="8" spans="1:13" ht="16">
      <c r="A8" s="39" t="s">
        <v>544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664</v>
      </c>
      <c r="C9" s="12" t="s">
        <v>665</v>
      </c>
      <c r="D9" s="12" t="s">
        <v>666</v>
      </c>
      <c r="E9" s="12" t="s">
        <v>776</v>
      </c>
      <c r="F9" s="12" t="s">
        <v>667</v>
      </c>
      <c r="G9" s="28" t="s">
        <v>153</v>
      </c>
      <c r="H9" s="28" t="s">
        <v>19</v>
      </c>
      <c r="I9" s="28" t="s">
        <v>20</v>
      </c>
      <c r="J9" s="13"/>
      <c r="K9" s="13" t="str">
        <f>"72,5"</f>
        <v>72,5</v>
      </c>
      <c r="L9" s="13" t="str">
        <f>"75,4212"</f>
        <v>75,4212</v>
      </c>
      <c r="M9" s="12" t="s">
        <v>681</v>
      </c>
    </row>
    <row r="10" spans="1:13">
      <c r="B10" s="6" t="s">
        <v>133</v>
      </c>
    </row>
    <row r="11" spans="1:13" ht="16">
      <c r="A11" s="39" t="s">
        <v>11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>
      <c r="A12" s="13" t="s">
        <v>132</v>
      </c>
      <c r="B12" s="12" t="s">
        <v>668</v>
      </c>
      <c r="C12" s="12" t="s">
        <v>669</v>
      </c>
      <c r="D12" s="12" t="s">
        <v>670</v>
      </c>
      <c r="E12" s="12" t="s">
        <v>775</v>
      </c>
      <c r="F12" s="29" t="s">
        <v>674</v>
      </c>
      <c r="G12" s="28" t="s">
        <v>144</v>
      </c>
      <c r="H12" s="28" t="s">
        <v>16</v>
      </c>
      <c r="I12" s="25" t="s">
        <v>406</v>
      </c>
      <c r="J12" s="13"/>
      <c r="K12" s="13" t="str">
        <f>"100,0"</f>
        <v>100,0</v>
      </c>
      <c r="L12" s="13" t="str">
        <f>"103,6943"</f>
        <v>103,6943</v>
      </c>
      <c r="M12" s="12" t="s">
        <v>681</v>
      </c>
    </row>
    <row r="13" spans="1:13">
      <c r="B13" s="6" t="s">
        <v>133</v>
      </c>
    </row>
    <row r="14" spans="1:13" ht="16">
      <c r="A14" s="39" t="s">
        <v>37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3">
      <c r="A15" s="9" t="s">
        <v>132</v>
      </c>
      <c r="B15" s="8" t="s">
        <v>671</v>
      </c>
      <c r="C15" s="8" t="s">
        <v>672</v>
      </c>
      <c r="D15" s="8" t="s">
        <v>673</v>
      </c>
      <c r="E15" s="8" t="s">
        <v>776</v>
      </c>
      <c r="F15" s="8" t="s">
        <v>674</v>
      </c>
      <c r="G15" s="21" t="s">
        <v>17</v>
      </c>
      <c r="H15" s="21" t="s">
        <v>18</v>
      </c>
      <c r="I15" s="21" t="s">
        <v>21</v>
      </c>
      <c r="J15" s="9"/>
      <c r="K15" s="9" t="str">
        <f>"112,5"</f>
        <v>112,5</v>
      </c>
      <c r="L15" s="9" t="str">
        <f>"101,6944"</f>
        <v>101,6944</v>
      </c>
      <c r="M15" s="8" t="s">
        <v>681</v>
      </c>
    </row>
    <row r="16" spans="1:13">
      <c r="A16" s="11" t="s">
        <v>135</v>
      </c>
      <c r="B16" s="10" t="s">
        <v>675</v>
      </c>
      <c r="C16" s="10" t="s">
        <v>676</v>
      </c>
      <c r="D16" s="10" t="s">
        <v>519</v>
      </c>
      <c r="E16" s="10" t="s">
        <v>776</v>
      </c>
      <c r="F16" s="10" t="s">
        <v>663</v>
      </c>
      <c r="G16" s="23" t="s">
        <v>143</v>
      </c>
      <c r="H16" s="23" t="s">
        <v>180</v>
      </c>
      <c r="I16" s="23" t="s">
        <v>17</v>
      </c>
      <c r="J16" s="11"/>
      <c r="K16" s="11" t="str">
        <f>"105,0"</f>
        <v>105,0</v>
      </c>
      <c r="L16" s="11" t="str">
        <f>"103,0068"</f>
        <v>103,0068</v>
      </c>
      <c r="M16" s="10" t="s">
        <v>681</v>
      </c>
    </row>
    <row r="17" spans="1:13">
      <c r="B17" s="6" t="s">
        <v>133</v>
      </c>
    </row>
    <row r="18" spans="1:13" ht="16">
      <c r="A18" s="39" t="s">
        <v>56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3">
      <c r="A19" s="13" t="s">
        <v>132</v>
      </c>
      <c r="B19" s="12" t="s">
        <v>677</v>
      </c>
      <c r="C19" s="12" t="s">
        <v>678</v>
      </c>
      <c r="D19" s="12" t="s">
        <v>433</v>
      </c>
      <c r="E19" s="12" t="s">
        <v>768</v>
      </c>
      <c r="F19" s="12" t="s">
        <v>667</v>
      </c>
      <c r="G19" s="28" t="s">
        <v>179</v>
      </c>
      <c r="H19" s="28" t="s">
        <v>180</v>
      </c>
      <c r="I19" s="28" t="s">
        <v>406</v>
      </c>
      <c r="J19" s="13"/>
      <c r="K19" s="13" t="str">
        <f>"102,5"</f>
        <v>102,5</v>
      </c>
      <c r="L19" s="13" t="str">
        <f>"63,8985"</f>
        <v>63,8985</v>
      </c>
      <c r="M19" s="12" t="s">
        <v>681</v>
      </c>
    </row>
    <row r="20" spans="1:13">
      <c r="B20" s="6" t="s">
        <v>133</v>
      </c>
    </row>
    <row r="21" spans="1:13" ht="16">
      <c r="A21" s="39" t="s">
        <v>75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3">
      <c r="A22" s="9" t="s">
        <v>132</v>
      </c>
      <c r="B22" s="8" t="s">
        <v>679</v>
      </c>
      <c r="C22" s="8" t="s">
        <v>680</v>
      </c>
      <c r="D22" s="8" t="s">
        <v>580</v>
      </c>
      <c r="E22" s="8" t="s">
        <v>771</v>
      </c>
      <c r="F22" s="8" t="s">
        <v>663</v>
      </c>
      <c r="G22" s="21" t="s">
        <v>19</v>
      </c>
      <c r="H22" s="21" t="s">
        <v>27</v>
      </c>
      <c r="I22" s="21" t="s">
        <v>162</v>
      </c>
      <c r="J22" s="9"/>
      <c r="K22" s="9" t="str">
        <f>"80,0"</f>
        <v>80,0</v>
      </c>
      <c r="L22" s="9" t="str">
        <f>"46,5240"</f>
        <v>46,5240</v>
      </c>
      <c r="M22" s="8" t="s">
        <v>681</v>
      </c>
    </row>
    <row r="23" spans="1:13">
      <c r="A23" s="11" t="s">
        <v>132</v>
      </c>
      <c r="B23" s="10" t="s">
        <v>682</v>
      </c>
      <c r="C23" s="10" t="s">
        <v>683</v>
      </c>
      <c r="D23" s="10" t="s">
        <v>684</v>
      </c>
      <c r="E23" s="10" t="s">
        <v>774</v>
      </c>
      <c r="F23" s="10" t="s">
        <v>663</v>
      </c>
      <c r="G23" s="23" t="s">
        <v>186</v>
      </c>
      <c r="H23" s="23" t="s">
        <v>170</v>
      </c>
      <c r="I23" s="23" t="s">
        <v>19</v>
      </c>
      <c r="J23" s="11"/>
      <c r="K23" s="11" t="str">
        <f>"70,0"</f>
        <v>70,0</v>
      </c>
      <c r="L23" s="11" t="str">
        <f>"76,7360"</f>
        <v>76,7360</v>
      </c>
      <c r="M23" s="10" t="s">
        <v>681</v>
      </c>
    </row>
    <row r="24" spans="1:13">
      <c r="B24" s="6" t="s">
        <v>133</v>
      </c>
    </row>
    <row r="25" spans="1:13" ht="16">
      <c r="A25" s="39" t="s">
        <v>109</v>
      </c>
      <c r="B25" s="39"/>
      <c r="C25" s="39"/>
      <c r="D25" s="39"/>
      <c r="E25" s="39"/>
      <c r="F25" s="39"/>
      <c r="G25" s="39"/>
      <c r="H25" s="39"/>
      <c r="I25" s="39"/>
      <c r="J25" s="39"/>
    </row>
    <row r="26" spans="1:13">
      <c r="A26" s="13" t="s">
        <v>132</v>
      </c>
      <c r="B26" s="12" t="s">
        <v>685</v>
      </c>
      <c r="C26" s="12" t="s">
        <v>686</v>
      </c>
      <c r="D26" s="12" t="s">
        <v>687</v>
      </c>
      <c r="E26" s="12" t="s">
        <v>775</v>
      </c>
      <c r="F26" s="12" t="s">
        <v>663</v>
      </c>
      <c r="G26" s="28" t="s">
        <v>18</v>
      </c>
      <c r="H26" s="28" t="s">
        <v>147</v>
      </c>
      <c r="I26" s="28" t="s">
        <v>22</v>
      </c>
      <c r="J26" s="13"/>
      <c r="K26" s="13" t="str">
        <f>"120,0"</f>
        <v>120,0</v>
      </c>
      <c r="L26" s="13" t="str">
        <f>"79,7555"</f>
        <v>79,7555</v>
      </c>
      <c r="M26" s="12"/>
    </row>
    <row r="27" spans="1:13">
      <c r="B27" s="6" t="s">
        <v>133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1:J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2.83203125" style="6" customWidth="1"/>
    <col min="3" max="3" width="29" style="6" bestFit="1" customWidth="1"/>
    <col min="4" max="4" width="21.5" style="6" bestFit="1" customWidth="1"/>
    <col min="5" max="5" width="18.6640625" style="6" bestFit="1" customWidth="1"/>
    <col min="6" max="6" width="33.5" style="6" bestFit="1" customWidth="1"/>
    <col min="7" max="10" width="5.5" style="7" customWidth="1"/>
    <col min="11" max="11" width="13" style="34" customWidth="1"/>
    <col min="12" max="12" width="8.5" style="7" bestFit="1" customWidth="1"/>
    <col min="13" max="13" width="17.5" style="6" bestFit="1" customWidth="1"/>
    <col min="14" max="16384" width="9.1640625" style="3"/>
  </cols>
  <sheetData>
    <row r="1" spans="1:13" s="2" customFormat="1" ht="29" customHeight="1">
      <c r="A1" s="48" t="s">
        <v>762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10</v>
      </c>
      <c r="H3" s="40"/>
      <c r="I3" s="40"/>
      <c r="J3" s="40"/>
      <c r="K3" s="59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60"/>
      <c r="L4" s="41"/>
      <c r="M4" s="43"/>
    </row>
    <row r="5" spans="1:13" ht="16">
      <c r="A5" s="44" t="s">
        <v>138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139</v>
      </c>
      <c r="C6" s="12" t="s">
        <v>140</v>
      </c>
      <c r="D6" s="12" t="s">
        <v>141</v>
      </c>
      <c r="E6" s="12" t="s">
        <v>768</v>
      </c>
      <c r="F6" s="12" t="s">
        <v>33</v>
      </c>
      <c r="G6" s="25" t="s">
        <v>147</v>
      </c>
      <c r="H6" s="28" t="s">
        <v>147</v>
      </c>
      <c r="I6" s="25" t="s">
        <v>148</v>
      </c>
      <c r="J6" s="13"/>
      <c r="K6" s="37" t="str">
        <f>"115,0"</f>
        <v>115,0</v>
      </c>
      <c r="L6" s="13" t="str">
        <f>"164,3925"</f>
        <v>164,3925</v>
      </c>
      <c r="M6" s="12" t="s">
        <v>149</v>
      </c>
    </row>
    <row r="7" spans="1:13">
      <c r="B7" s="6" t="s">
        <v>133</v>
      </c>
    </row>
    <row r="8" spans="1:13" ht="16">
      <c r="A8" s="39" t="s">
        <v>164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536</v>
      </c>
      <c r="C9" s="12" t="s">
        <v>537</v>
      </c>
      <c r="D9" s="12" t="s">
        <v>538</v>
      </c>
      <c r="E9" s="12" t="s">
        <v>768</v>
      </c>
      <c r="F9" s="12" t="s">
        <v>539</v>
      </c>
      <c r="G9" s="28" t="s">
        <v>17</v>
      </c>
      <c r="H9" s="28" t="s">
        <v>21</v>
      </c>
      <c r="I9" s="28" t="s">
        <v>204</v>
      </c>
      <c r="J9" s="13"/>
      <c r="K9" s="37" t="str">
        <f>"117,5"</f>
        <v>117,5</v>
      </c>
      <c r="L9" s="13" t="str">
        <f>"149,3543"</f>
        <v>149,3543</v>
      </c>
      <c r="M9" s="12" t="s">
        <v>540</v>
      </c>
    </row>
    <row r="10" spans="1:13">
      <c r="B10" s="6" t="s">
        <v>133</v>
      </c>
    </row>
    <row r="11" spans="1:13" ht="16">
      <c r="A11" s="39" t="s">
        <v>172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>
      <c r="A12" s="9" t="s">
        <v>132</v>
      </c>
      <c r="B12" s="8" t="s">
        <v>298</v>
      </c>
      <c r="C12" s="8" t="s">
        <v>299</v>
      </c>
      <c r="D12" s="8" t="s">
        <v>300</v>
      </c>
      <c r="E12" s="8" t="s">
        <v>768</v>
      </c>
      <c r="F12" s="8" t="s">
        <v>15</v>
      </c>
      <c r="G12" s="21" t="s">
        <v>247</v>
      </c>
      <c r="H12" s="21" t="s">
        <v>98</v>
      </c>
      <c r="I12" s="22" t="s">
        <v>34</v>
      </c>
      <c r="J12" s="9"/>
      <c r="K12" s="35" t="str">
        <f>"170,0"</f>
        <v>170,0</v>
      </c>
      <c r="L12" s="9" t="str">
        <f>"203,4390"</f>
        <v>203,4390</v>
      </c>
      <c r="M12" s="8" t="s">
        <v>181</v>
      </c>
    </row>
    <row r="13" spans="1:13">
      <c r="A13" s="11" t="s">
        <v>135</v>
      </c>
      <c r="B13" s="10" t="s">
        <v>541</v>
      </c>
      <c r="C13" s="10" t="s">
        <v>542</v>
      </c>
      <c r="D13" s="10" t="s">
        <v>307</v>
      </c>
      <c r="E13" s="10" t="s">
        <v>768</v>
      </c>
      <c r="F13" s="10" t="s">
        <v>223</v>
      </c>
      <c r="G13" s="23" t="s">
        <v>30</v>
      </c>
      <c r="H13" s="23" t="s">
        <v>453</v>
      </c>
      <c r="I13" s="24" t="s">
        <v>91</v>
      </c>
      <c r="J13" s="11"/>
      <c r="K13" s="36" t="str">
        <f>"162,5"</f>
        <v>162,5</v>
      </c>
      <c r="L13" s="11" t="str">
        <f>"191,1975"</f>
        <v>191,1975</v>
      </c>
      <c r="M13" s="10" t="s">
        <v>543</v>
      </c>
    </row>
    <row r="14" spans="1:13">
      <c r="B14" s="6" t="s">
        <v>133</v>
      </c>
    </row>
    <row r="15" spans="1:13" ht="16">
      <c r="A15" s="39" t="s">
        <v>37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3">
      <c r="A16" s="13" t="s">
        <v>134</v>
      </c>
      <c r="B16" s="12" t="s">
        <v>515</v>
      </c>
      <c r="C16" s="12" t="s">
        <v>731</v>
      </c>
      <c r="D16" s="12" t="s">
        <v>49</v>
      </c>
      <c r="E16" s="12" t="s">
        <v>771</v>
      </c>
      <c r="F16" s="12" t="s">
        <v>498</v>
      </c>
      <c r="G16" s="25" t="s">
        <v>247</v>
      </c>
      <c r="H16" s="25" t="s">
        <v>247</v>
      </c>
      <c r="I16" s="13"/>
      <c r="J16" s="13"/>
      <c r="K16" s="37">
        <v>0</v>
      </c>
      <c r="L16" s="13" t="str">
        <f>"0,0000"</f>
        <v>0,0000</v>
      </c>
      <c r="M16" s="12" t="s">
        <v>516</v>
      </c>
    </row>
    <row r="17" spans="1:13">
      <c r="B17" s="6" t="s">
        <v>133</v>
      </c>
    </row>
    <row r="18" spans="1:13" ht="16">
      <c r="A18" s="39" t="s">
        <v>544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3">
      <c r="A19" s="13" t="s">
        <v>132</v>
      </c>
      <c r="B19" s="12" t="s">
        <v>545</v>
      </c>
      <c r="C19" s="12" t="s">
        <v>732</v>
      </c>
      <c r="D19" s="12" t="s">
        <v>546</v>
      </c>
      <c r="E19" s="12" t="s">
        <v>769</v>
      </c>
      <c r="F19" s="12" t="s">
        <v>547</v>
      </c>
      <c r="G19" s="28" t="s">
        <v>438</v>
      </c>
      <c r="H19" s="28" t="s">
        <v>52</v>
      </c>
      <c r="I19" s="25" t="s">
        <v>453</v>
      </c>
      <c r="J19" s="13"/>
      <c r="K19" s="37" t="str">
        <f>"152,5"</f>
        <v>152,5</v>
      </c>
      <c r="L19" s="13" t="str">
        <f>"122,7015"</f>
        <v>122,7015</v>
      </c>
      <c r="M19" s="12" t="s">
        <v>315</v>
      </c>
    </row>
    <row r="20" spans="1:13">
      <c r="B20" s="6" t="s">
        <v>133</v>
      </c>
    </row>
    <row r="21" spans="1:13" ht="16">
      <c r="A21" s="39" t="s">
        <v>11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3">
      <c r="A22" s="9" t="s">
        <v>132</v>
      </c>
      <c r="B22" s="8" t="s">
        <v>548</v>
      </c>
      <c r="C22" s="8" t="s">
        <v>549</v>
      </c>
      <c r="D22" s="8" t="s">
        <v>314</v>
      </c>
      <c r="E22" s="8" t="s">
        <v>770</v>
      </c>
      <c r="F22" s="8" t="s">
        <v>33</v>
      </c>
      <c r="G22" s="22" t="s">
        <v>53</v>
      </c>
      <c r="H22" s="21" t="s">
        <v>53</v>
      </c>
      <c r="I22" s="22" t="s">
        <v>98</v>
      </c>
      <c r="J22" s="9"/>
      <c r="K22" s="35" t="str">
        <f>"155,0"</f>
        <v>155,0</v>
      </c>
      <c r="L22" s="9" t="str">
        <f>"121,3960"</f>
        <v>121,3960</v>
      </c>
      <c r="M22" s="8" t="s">
        <v>149</v>
      </c>
    </row>
    <row r="23" spans="1:13">
      <c r="A23" s="11" t="s">
        <v>132</v>
      </c>
      <c r="B23" s="10" t="s">
        <v>550</v>
      </c>
      <c r="C23" s="10" t="s">
        <v>733</v>
      </c>
      <c r="D23" s="10" t="s">
        <v>24</v>
      </c>
      <c r="E23" s="10" t="s">
        <v>769</v>
      </c>
      <c r="F23" s="10" t="s">
        <v>551</v>
      </c>
      <c r="G23" s="23" t="s">
        <v>30</v>
      </c>
      <c r="H23" s="23" t="s">
        <v>98</v>
      </c>
      <c r="I23" s="11"/>
      <c r="J23" s="11"/>
      <c r="K23" s="36" t="str">
        <f>"170,0"</f>
        <v>170,0</v>
      </c>
      <c r="L23" s="11" t="str">
        <f>"131,2230"</f>
        <v>131,2230</v>
      </c>
      <c r="M23" s="31" t="s">
        <v>693</v>
      </c>
    </row>
    <row r="24" spans="1:13">
      <c r="B24" s="6" t="s">
        <v>133</v>
      </c>
    </row>
    <row r="25" spans="1:13" ht="16">
      <c r="A25" s="39" t="s">
        <v>205</v>
      </c>
      <c r="B25" s="39"/>
      <c r="C25" s="39"/>
      <c r="D25" s="39"/>
      <c r="E25" s="39"/>
      <c r="F25" s="39"/>
      <c r="G25" s="39"/>
      <c r="H25" s="39"/>
      <c r="I25" s="39"/>
      <c r="J25" s="39"/>
    </row>
    <row r="26" spans="1:13">
      <c r="A26" s="13" t="s">
        <v>132</v>
      </c>
      <c r="B26" s="12" t="s">
        <v>552</v>
      </c>
      <c r="C26" s="12" t="s">
        <v>553</v>
      </c>
      <c r="D26" s="12" t="s">
        <v>554</v>
      </c>
      <c r="E26" s="12" t="s">
        <v>768</v>
      </c>
      <c r="F26" s="12" t="s">
        <v>555</v>
      </c>
      <c r="G26" s="28" t="s">
        <v>268</v>
      </c>
      <c r="H26" s="25" t="s">
        <v>94</v>
      </c>
      <c r="I26" s="25" t="s">
        <v>286</v>
      </c>
      <c r="J26" s="13"/>
      <c r="K26" s="37" t="str">
        <f>"290,0"</f>
        <v>290,0</v>
      </c>
      <c r="L26" s="13" t="str">
        <f>"208,3940"</f>
        <v>208,3940</v>
      </c>
      <c r="M26" s="12"/>
    </row>
    <row r="27" spans="1:13">
      <c r="B27" s="6" t="s">
        <v>133</v>
      </c>
    </row>
    <row r="28" spans="1:13" ht="16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3">
      <c r="A29" s="9" t="s">
        <v>132</v>
      </c>
      <c r="B29" s="8" t="s">
        <v>556</v>
      </c>
      <c r="C29" s="8" t="s">
        <v>557</v>
      </c>
      <c r="D29" s="8" t="s">
        <v>558</v>
      </c>
      <c r="E29" s="8" t="s">
        <v>768</v>
      </c>
      <c r="F29" s="8" t="s">
        <v>15</v>
      </c>
      <c r="G29" s="21" t="s">
        <v>26</v>
      </c>
      <c r="H29" s="21" t="s">
        <v>29</v>
      </c>
      <c r="I29" s="22" t="s">
        <v>30</v>
      </c>
      <c r="J29" s="9"/>
      <c r="K29" s="35" t="str">
        <f>"140,0"</f>
        <v>140,0</v>
      </c>
      <c r="L29" s="9" t="str">
        <f>"96,1940"</f>
        <v>96,1940</v>
      </c>
      <c r="M29" s="8" t="s">
        <v>559</v>
      </c>
    </row>
    <row r="30" spans="1:13">
      <c r="A30" s="11" t="s">
        <v>134</v>
      </c>
      <c r="B30" s="10" t="s">
        <v>560</v>
      </c>
      <c r="C30" s="10" t="s">
        <v>561</v>
      </c>
      <c r="D30" s="10" t="s">
        <v>40</v>
      </c>
      <c r="E30" s="10" t="s">
        <v>768</v>
      </c>
      <c r="F30" s="10" t="s">
        <v>539</v>
      </c>
      <c r="G30" s="24" t="s">
        <v>36</v>
      </c>
      <c r="H30" s="24" t="s">
        <v>36</v>
      </c>
      <c r="I30" s="11"/>
      <c r="J30" s="11"/>
      <c r="K30" s="36">
        <v>0</v>
      </c>
      <c r="L30" s="11" t="str">
        <f>"0,0000"</f>
        <v>0,0000</v>
      </c>
      <c r="M30" s="10" t="s">
        <v>540</v>
      </c>
    </row>
    <row r="31" spans="1:13">
      <c r="B31" s="6" t="s">
        <v>133</v>
      </c>
    </row>
    <row r="32" spans="1:13" ht="16">
      <c r="A32" s="39" t="s">
        <v>56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3">
      <c r="A33" s="9" t="s">
        <v>132</v>
      </c>
      <c r="B33" s="8" t="s">
        <v>228</v>
      </c>
      <c r="C33" s="8" t="s">
        <v>229</v>
      </c>
      <c r="D33" s="8" t="s">
        <v>230</v>
      </c>
      <c r="E33" s="8" t="s">
        <v>768</v>
      </c>
      <c r="F33" s="8" t="s">
        <v>231</v>
      </c>
      <c r="G33" s="21" t="s">
        <v>114</v>
      </c>
      <c r="H33" s="21" t="s">
        <v>62</v>
      </c>
      <c r="I33" s="21" t="s">
        <v>63</v>
      </c>
      <c r="J33" s="9"/>
      <c r="K33" s="35" t="str">
        <f>"270,0"</f>
        <v>270,0</v>
      </c>
      <c r="L33" s="9" t="str">
        <f>"175,4730"</f>
        <v>175,4730</v>
      </c>
      <c r="M33" s="8"/>
    </row>
    <row r="34" spans="1:13">
      <c r="A34" s="11" t="s">
        <v>135</v>
      </c>
      <c r="B34" s="10" t="s">
        <v>562</v>
      </c>
      <c r="C34" s="10" t="s">
        <v>563</v>
      </c>
      <c r="D34" s="10" t="s">
        <v>564</v>
      </c>
      <c r="E34" s="10" t="s">
        <v>768</v>
      </c>
      <c r="F34" s="10" t="s">
        <v>185</v>
      </c>
      <c r="G34" s="24" t="s">
        <v>34</v>
      </c>
      <c r="H34" s="23" t="s">
        <v>34</v>
      </c>
      <c r="I34" s="23" t="s">
        <v>64</v>
      </c>
      <c r="J34" s="11"/>
      <c r="K34" s="36" t="str">
        <f>"202,5"</f>
        <v>202,5</v>
      </c>
      <c r="L34" s="11" t="str">
        <f>"133,9537"</f>
        <v>133,9537</v>
      </c>
      <c r="M34" s="10" t="s">
        <v>188</v>
      </c>
    </row>
    <row r="35" spans="1:13">
      <c r="B35" s="6" t="s">
        <v>133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A32:J32"/>
    <mergeCell ref="B3:B4"/>
    <mergeCell ref="A8:J8"/>
    <mergeCell ref="A11:J11"/>
    <mergeCell ref="A15:J15"/>
    <mergeCell ref="A18:J18"/>
    <mergeCell ref="A21:J21"/>
    <mergeCell ref="A25:J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5" style="6" customWidth="1"/>
    <col min="3" max="3" width="28.5" style="6" bestFit="1" customWidth="1"/>
    <col min="4" max="4" width="19" style="6" customWidth="1"/>
    <col min="5" max="5" width="12.33203125" style="6" customWidth="1"/>
    <col min="6" max="6" width="32.5" style="6" bestFit="1" customWidth="1"/>
    <col min="7" max="10" width="5.5" style="7" customWidth="1"/>
    <col min="11" max="11" width="10.33203125" style="7" customWidth="1"/>
    <col min="12" max="12" width="8.5" style="7" bestFit="1" customWidth="1"/>
    <col min="13" max="13" width="20.5" style="6" customWidth="1"/>
    <col min="14" max="16384" width="9.1640625" style="3"/>
  </cols>
  <sheetData>
    <row r="1" spans="1:13" s="2" customFormat="1" ht="29" customHeight="1">
      <c r="A1" s="48" t="s">
        <v>763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10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515</v>
      </c>
      <c r="C6" s="12" t="s">
        <v>731</v>
      </c>
      <c r="D6" s="12" t="s">
        <v>49</v>
      </c>
      <c r="E6" s="12" t="s">
        <v>771</v>
      </c>
      <c r="F6" s="12" t="s">
        <v>498</v>
      </c>
      <c r="G6" s="28" t="s">
        <v>26</v>
      </c>
      <c r="H6" s="28" t="s">
        <v>29</v>
      </c>
      <c r="I6" s="28" t="s">
        <v>30</v>
      </c>
      <c r="J6" s="13"/>
      <c r="K6" s="13" t="str">
        <f>"150,0"</f>
        <v>150,0</v>
      </c>
      <c r="L6" s="13" t="str">
        <f>"138,1372"</f>
        <v>138,1372</v>
      </c>
      <c r="M6" s="12" t="s">
        <v>516</v>
      </c>
    </row>
    <row r="7" spans="1:13">
      <c r="B7" s="6" t="s">
        <v>133</v>
      </c>
    </row>
    <row r="8" spans="1:13" ht="16">
      <c r="A8" s="39" t="s">
        <v>37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9" t="s">
        <v>132</v>
      </c>
      <c r="B9" s="8" t="s">
        <v>517</v>
      </c>
      <c r="C9" s="8" t="s">
        <v>518</v>
      </c>
      <c r="D9" s="8" t="s">
        <v>519</v>
      </c>
      <c r="E9" s="8" t="s">
        <v>768</v>
      </c>
      <c r="F9" s="8" t="s">
        <v>744</v>
      </c>
      <c r="G9" s="21" t="s">
        <v>107</v>
      </c>
      <c r="H9" s="21" t="s">
        <v>73</v>
      </c>
      <c r="I9" s="22" t="s">
        <v>70</v>
      </c>
      <c r="J9" s="9"/>
      <c r="K9" s="9" t="str">
        <f>"215,0"</f>
        <v>215,0</v>
      </c>
      <c r="L9" s="9" t="str">
        <f>"144,9960"</f>
        <v>144,9960</v>
      </c>
      <c r="M9" s="30" t="s">
        <v>694</v>
      </c>
    </row>
    <row r="10" spans="1:13">
      <c r="A10" s="11" t="s">
        <v>135</v>
      </c>
      <c r="B10" s="10" t="s">
        <v>520</v>
      </c>
      <c r="C10" s="10" t="s">
        <v>521</v>
      </c>
      <c r="D10" s="10" t="s">
        <v>522</v>
      </c>
      <c r="E10" s="10" t="s">
        <v>768</v>
      </c>
      <c r="F10" s="10" t="s">
        <v>15</v>
      </c>
      <c r="G10" s="23" t="s">
        <v>45</v>
      </c>
      <c r="H10" s="23" t="s">
        <v>266</v>
      </c>
      <c r="I10" s="24" t="s">
        <v>36</v>
      </c>
      <c r="J10" s="11"/>
      <c r="K10" s="11" t="str">
        <f>"195,0"</f>
        <v>195,0</v>
      </c>
      <c r="L10" s="11" t="str">
        <f>"132,7170"</f>
        <v>132,7170</v>
      </c>
      <c r="M10" s="10" t="s">
        <v>181</v>
      </c>
    </row>
    <row r="11" spans="1:13">
      <c r="B11" s="6" t="s">
        <v>133</v>
      </c>
    </row>
    <row r="12" spans="1:13" ht="16">
      <c r="A12" s="39" t="s">
        <v>75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9" t="s">
        <v>132</v>
      </c>
      <c r="B13" s="8" t="s">
        <v>76</v>
      </c>
      <c r="C13" s="8" t="s">
        <v>77</v>
      </c>
      <c r="D13" s="8" t="s">
        <v>78</v>
      </c>
      <c r="E13" s="8" t="s">
        <v>768</v>
      </c>
      <c r="F13" s="8" t="s">
        <v>79</v>
      </c>
      <c r="G13" s="21" t="s">
        <v>81</v>
      </c>
      <c r="H13" s="22" t="s">
        <v>82</v>
      </c>
      <c r="I13" s="22" t="s">
        <v>82</v>
      </c>
      <c r="J13" s="9"/>
      <c r="K13" s="9" t="str">
        <f>"405,0"</f>
        <v>405,0</v>
      </c>
      <c r="L13" s="9" t="str">
        <f>"246,6855"</f>
        <v>246,6855</v>
      </c>
      <c r="M13" s="8"/>
    </row>
    <row r="14" spans="1:13">
      <c r="A14" s="15" t="s">
        <v>135</v>
      </c>
      <c r="B14" s="14" t="s">
        <v>523</v>
      </c>
      <c r="C14" s="14" t="s">
        <v>524</v>
      </c>
      <c r="D14" s="14" t="s">
        <v>97</v>
      </c>
      <c r="E14" s="14" t="s">
        <v>768</v>
      </c>
      <c r="F14" s="14" t="s">
        <v>498</v>
      </c>
      <c r="G14" s="26" t="s">
        <v>63</v>
      </c>
      <c r="H14" s="26" t="s">
        <v>94</v>
      </c>
      <c r="I14" s="15"/>
      <c r="J14" s="15"/>
      <c r="K14" s="15" t="str">
        <f>"300,0"</f>
        <v>300,0</v>
      </c>
      <c r="L14" s="15" t="str">
        <f>"184,2600"</f>
        <v>184,2600</v>
      </c>
      <c r="M14" s="14"/>
    </row>
    <row r="15" spans="1:13">
      <c r="A15" s="11" t="s">
        <v>136</v>
      </c>
      <c r="B15" s="10" t="s">
        <v>83</v>
      </c>
      <c r="C15" s="10" t="s">
        <v>84</v>
      </c>
      <c r="D15" s="10" t="s">
        <v>85</v>
      </c>
      <c r="E15" s="10" t="s">
        <v>768</v>
      </c>
      <c r="F15" s="10" t="s">
        <v>86</v>
      </c>
      <c r="G15" s="23" t="s">
        <v>92</v>
      </c>
      <c r="H15" s="23" t="s">
        <v>93</v>
      </c>
      <c r="I15" s="24" t="s">
        <v>94</v>
      </c>
      <c r="J15" s="11"/>
      <c r="K15" s="11" t="str">
        <f>"295,0"</f>
        <v>295,0</v>
      </c>
      <c r="L15" s="11" t="str">
        <f>"180,7170"</f>
        <v>180,7170</v>
      </c>
      <c r="M15" s="10"/>
    </row>
    <row r="16" spans="1:13">
      <c r="B16" s="6" t="s">
        <v>133</v>
      </c>
    </row>
    <row r="17" spans="1:13" ht="16">
      <c r="A17" s="39" t="s">
        <v>109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3">
      <c r="A18" s="9" t="s">
        <v>132</v>
      </c>
      <c r="B18" s="8" t="s">
        <v>525</v>
      </c>
      <c r="C18" s="8" t="s">
        <v>526</v>
      </c>
      <c r="D18" s="8" t="s">
        <v>352</v>
      </c>
      <c r="E18" s="8" t="s">
        <v>768</v>
      </c>
      <c r="F18" s="8" t="s">
        <v>197</v>
      </c>
      <c r="G18" s="21" t="s">
        <v>243</v>
      </c>
      <c r="H18" s="22" t="s">
        <v>527</v>
      </c>
      <c r="I18" s="22" t="s">
        <v>527</v>
      </c>
      <c r="J18" s="9"/>
      <c r="K18" s="9" t="str">
        <f>"260,0"</f>
        <v>260,0</v>
      </c>
      <c r="L18" s="9" t="str">
        <f>"153,9460"</f>
        <v>153,9460</v>
      </c>
      <c r="M18" s="8" t="s">
        <v>528</v>
      </c>
    </row>
    <row r="19" spans="1:13">
      <c r="A19" s="11" t="s">
        <v>135</v>
      </c>
      <c r="B19" s="10" t="s">
        <v>110</v>
      </c>
      <c r="C19" s="10" t="s">
        <v>111</v>
      </c>
      <c r="D19" s="10" t="s">
        <v>112</v>
      </c>
      <c r="E19" s="10" t="s">
        <v>768</v>
      </c>
      <c r="F19" s="10" t="s">
        <v>113</v>
      </c>
      <c r="G19" s="23" t="s">
        <v>16</v>
      </c>
      <c r="H19" s="23" t="s">
        <v>29</v>
      </c>
      <c r="I19" s="11"/>
      <c r="J19" s="11"/>
      <c r="K19" s="11" t="str">
        <f>"140,0"</f>
        <v>140,0</v>
      </c>
      <c r="L19" s="11" t="str">
        <f>"85,0360"</f>
        <v>85,0360</v>
      </c>
      <c r="M19" s="10"/>
    </row>
    <row r="20" spans="1:13">
      <c r="B20" s="6" t="s">
        <v>133</v>
      </c>
    </row>
    <row r="21" spans="1:13" ht="16">
      <c r="A21" s="39" t="s">
        <v>291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3">
      <c r="A22" s="13" t="s">
        <v>132</v>
      </c>
      <c r="B22" s="12" t="s">
        <v>529</v>
      </c>
      <c r="C22" s="12" t="s">
        <v>530</v>
      </c>
      <c r="D22" s="12" t="s">
        <v>531</v>
      </c>
      <c r="E22" s="12" t="s">
        <v>768</v>
      </c>
      <c r="F22" s="12" t="s">
        <v>223</v>
      </c>
      <c r="G22" s="28" t="s">
        <v>286</v>
      </c>
      <c r="H22" s="28" t="s">
        <v>282</v>
      </c>
      <c r="I22" s="28" t="s">
        <v>532</v>
      </c>
      <c r="J22" s="13"/>
      <c r="K22" s="13" t="str">
        <f>"352,5"</f>
        <v>352,5</v>
      </c>
      <c r="L22" s="13" t="str">
        <f>"196,3425"</f>
        <v>196,3425</v>
      </c>
      <c r="M22" s="12"/>
    </row>
    <row r="23" spans="1:13">
      <c r="B23" s="6" t="s">
        <v>133</v>
      </c>
    </row>
    <row r="24" spans="1:13">
      <c r="B24" s="6" t="s">
        <v>133</v>
      </c>
    </row>
    <row r="26" spans="1:13" ht="18">
      <c r="B26" s="32" t="s">
        <v>115</v>
      </c>
      <c r="C26" s="16"/>
    </row>
    <row r="27" spans="1:13" ht="16">
      <c r="B27" s="17" t="s">
        <v>123</v>
      </c>
      <c r="C27" s="17"/>
    </row>
    <row r="28" spans="1:13" ht="14">
      <c r="B28" s="19"/>
      <c r="C28" s="20" t="s">
        <v>116</v>
      </c>
    </row>
    <row r="29" spans="1:13" ht="14">
      <c r="A29" s="7"/>
      <c r="B29" s="5" t="s">
        <v>117</v>
      </c>
      <c r="C29" s="5" t="s">
        <v>118</v>
      </c>
      <c r="D29" s="5" t="s">
        <v>735</v>
      </c>
      <c r="E29" s="5" t="s">
        <v>383</v>
      </c>
      <c r="F29" s="5" t="s">
        <v>121</v>
      </c>
    </row>
    <row r="30" spans="1:13">
      <c r="A30" s="7"/>
      <c r="B30" s="18" t="s">
        <v>76</v>
      </c>
      <c r="C30" s="6" t="s">
        <v>116</v>
      </c>
      <c r="D30" s="7" t="s">
        <v>124</v>
      </c>
      <c r="E30" s="7" t="s">
        <v>81</v>
      </c>
      <c r="F30" s="7" t="s">
        <v>533</v>
      </c>
    </row>
    <row r="31" spans="1:13">
      <c r="A31" s="7"/>
      <c r="B31" s="18" t="s">
        <v>529</v>
      </c>
      <c r="C31" s="6" t="s">
        <v>116</v>
      </c>
      <c r="D31" s="7" t="s">
        <v>297</v>
      </c>
      <c r="E31" s="7" t="s">
        <v>532</v>
      </c>
      <c r="F31" s="7" t="s">
        <v>534</v>
      </c>
    </row>
    <row r="32" spans="1:13">
      <c r="A32" s="7"/>
      <c r="B32" s="18" t="s">
        <v>523</v>
      </c>
      <c r="C32" s="6" t="s">
        <v>116</v>
      </c>
      <c r="D32" s="7" t="s">
        <v>124</v>
      </c>
      <c r="E32" s="7" t="s">
        <v>94</v>
      </c>
      <c r="F32" s="7" t="s">
        <v>535</v>
      </c>
    </row>
    <row r="33" spans="2:2">
      <c r="B33" s="6" t="s">
        <v>133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7:J17"/>
    <mergeCell ref="A21:J21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9.1640625" style="6" bestFit="1" customWidth="1"/>
    <col min="7" max="9" width="5.5" style="7" customWidth="1"/>
    <col min="10" max="10" width="4.83203125" style="7" customWidth="1"/>
    <col min="11" max="11" width="11.83203125" style="7" customWidth="1"/>
    <col min="12" max="12" width="8.5" style="7" bestFit="1" customWidth="1"/>
    <col min="13" max="13" width="18.5" style="6" customWidth="1"/>
    <col min="14" max="16384" width="9.1640625" style="3"/>
  </cols>
  <sheetData>
    <row r="1" spans="1:13" s="2" customFormat="1" ht="29" customHeight="1">
      <c r="A1" s="48" t="s">
        <v>764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10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205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500</v>
      </c>
      <c r="C6" s="12" t="s">
        <v>501</v>
      </c>
      <c r="D6" s="12" t="s">
        <v>502</v>
      </c>
      <c r="E6" s="12" t="s">
        <v>768</v>
      </c>
      <c r="F6" s="12" t="s">
        <v>503</v>
      </c>
      <c r="G6" s="28" t="s">
        <v>34</v>
      </c>
      <c r="H6" s="25" t="s">
        <v>35</v>
      </c>
      <c r="I6" s="25" t="s">
        <v>36</v>
      </c>
      <c r="J6" s="13"/>
      <c r="K6" s="13" t="str">
        <f>"180,0"</f>
        <v>180,0</v>
      </c>
      <c r="L6" s="13" t="str">
        <f>"134,4420"</f>
        <v>134,4420</v>
      </c>
      <c r="M6" s="29" t="s">
        <v>692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6640625" style="6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27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20.33203125" style="6" customWidth="1"/>
    <col min="14" max="16384" width="9.1640625" style="3"/>
  </cols>
  <sheetData>
    <row r="1" spans="1:13" s="2" customFormat="1" ht="29" customHeight="1">
      <c r="A1" s="48" t="s">
        <v>765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10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544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565</v>
      </c>
      <c r="C6" s="12" t="s">
        <v>566</v>
      </c>
      <c r="D6" s="12" t="s">
        <v>567</v>
      </c>
      <c r="E6" s="12" t="s">
        <v>768</v>
      </c>
      <c r="F6" s="12" t="s">
        <v>568</v>
      </c>
      <c r="G6" s="28" t="s">
        <v>34</v>
      </c>
      <c r="H6" s="28" t="s">
        <v>36</v>
      </c>
      <c r="I6" s="28" t="s">
        <v>73</v>
      </c>
      <c r="J6" s="13"/>
      <c r="K6" s="13" t="str">
        <f>"215,0"</f>
        <v>215,0</v>
      </c>
      <c r="L6" s="13" t="str">
        <f>"178,6865"</f>
        <v>178,6865</v>
      </c>
      <c r="M6" s="12" t="s">
        <v>569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5">
    <pageSetUpPr fitToPage="1"/>
  </sheetPr>
  <dimension ref="A1:U38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66406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2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34" bestFit="1" customWidth="1"/>
    <col min="20" max="20" width="8.5" style="7" bestFit="1" customWidth="1"/>
    <col min="21" max="21" width="31.83203125" style="6" bestFit="1" customWidth="1"/>
    <col min="22" max="16384" width="9.1640625" style="3"/>
  </cols>
  <sheetData>
    <row r="1" spans="1:21" s="2" customFormat="1" ht="29" customHeight="1">
      <c r="A1" s="48" t="s">
        <v>753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59" t="s">
        <v>1</v>
      </c>
      <c r="T3" s="40" t="s">
        <v>3</v>
      </c>
      <c r="U3" s="42" t="s">
        <v>2</v>
      </c>
    </row>
    <row r="4" spans="1:21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41"/>
      <c r="U4" s="43"/>
    </row>
    <row r="5" spans="1:21" ht="16">
      <c r="A5" s="44" t="s">
        <v>11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9" t="s">
        <v>132</v>
      </c>
      <c r="B6" s="8" t="s">
        <v>12</v>
      </c>
      <c r="C6" s="8" t="s">
        <v>13</v>
      </c>
      <c r="D6" s="8" t="s">
        <v>14</v>
      </c>
      <c r="E6" s="8" t="s">
        <v>768</v>
      </c>
      <c r="F6" s="8" t="s">
        <v>15</v>
      </c>
      <c r="G6" s="21" t="s">
        <v>16</v>
      </c>
      <c r="H6" s="21" t="s">
        <v>17</v>
      </c>
      <c r="I6" s="21" t="s">
        <v>18</v>
      </c>
      <c r="J6" s="9"/>
      <c r="K6" s="21" t="s">
        <v>19</v>
      </c>
      <c r="L6" s="22" t="s">
        <v>20</v>
      </c>
      <c r="M6" s="21" t="s">
        <v>20</v>
      </c>
      <c r="N6" s="9"/>
      <c r="O6" s="21" t="s">
        <v>17</v>
      </c>
      <c r="P6" s="21" t="s">
        <v>21</v>
      </c>
      <c r="Q6" s="21" t="s">
        <v>22</v>
      </c>
      <c r="R6" s="9"/>
      <c r="S6" s="35" t="str">
        <f>"302,5"</f>
        <v>302,5</v>
      </c>
      <c r="T6" s="9" t="str">
        <f>"322,9490"</f>
        <v>322,9490</v>
      </c>
      <c r="U6" s="8"/>
    </row>
    <row r="7" spans="1:21">
      <c r="A7" s="11" t="s">
        <v>132</v>
      </c>
      <c r="B7" s="10" t="s">
        <v>23</v>
      </c>
      <c r="C7" s="10" t="s">
        <v>707</v>
      </c>
      <c r="D7" s="10" t="s">
        <v>24</v>
      </c>
      <c r="E7" s="10" t="s">
        <v>773</v>
      </c>
      <c r="F7" s="10" t="s">
        <v>25</v>
      </c>
      <c r="G7" s="23" t="s">
        <v>18</v>
      </c>
      <c r="H7" s="23" t="s">
        <v>22</v>
      </c>
      <c r="I7" s="23" t="s">
        <v>26</v>
      </c>
      <c r="J7" s="11"/>
      <c r="K7" s="24" t="s">
        <v>19</v>
      </c>
      <c r="L7" s="23" t="s">
        <v>19</v>
      </c>
      <c r="M7" s="23" t="s">
        <v>27</v>
      </c>
      <c r="N7" s="24" t="s">
        <v>28</v>
      </c>
      <c r="O7" s="23" t="s">
        <v>26</v>
      </c>
      <c r="P7" s="23" t="s">
        <v>29</v>
      </c>
      <c r="Q7" s="24" t="s">
        <v>30</v>
      </c>
      <c r="R7" s="11"/>
      <c r="S7" s="36" t="str">
        <f>"345,0"</f>
        <v>345,0</v>
      </c>
      <c r="T7" s="11" t="str">
        <f>"486,4314"</f>
        <v>486,4314</v>
      </c>
      <c r="U7" s="10"/>
    </row>
    <row r="8" spans="1:21">
      <c r="B8" s="6" t="s">
        <v>133</v>
      </c>
    </row>
    <row r="9" spans="1:21" ht="16">
      <c r="A9" s="39" t="s">
        <v>11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21">
      <c r="A10" s="13" t="s">
        <v>134</v>
      </c>
      <c r="B10" s="12" t="s">
        <v>31</v>
      </c>
      <c r="C10" s="12" t="s">
        <v>32</v>
      </c>
      <c r="D10" s="12" t="s">
        <v>24</v>
      </c>
      <c r="E10" s="12" t="s">
        <v>768</v>
      </c>
      <c r="F10" s="12" t="s">
        <v>33</v>
      </c>
      <c r="G10" s="25" t="s">
        <v>34</v>
      </c>
      <c r="H10" s="25" t="s">
        <v>35</v>
      </c>
      <c r="I10" s="25" t="s">
        <v>36</v>
      </c>
      <c r="J10" s="13"/>
      <c r="K10" s="25"/>
      <c r="L10" s="13"/>
      <c r="M10" s="13"/>
      <c r="N10" s="13"/>
      <c r="O10" s="25"/>
      <c r="P10" s="13"/>
      <c r="Q10" s="13"/>
      <c r="R10" s="13"/>
      <c r="S10" s="37">
        <v>0</v>
      </c>
      <c r="T10" s="13" t="str">
        <f>"0,0000"</f>
        <v>0,0000</v>
      </c>
      <c r="U10" s="29" t="s">
        <v>701</v>
      </c>
    </row>
    <row r="11" spans="1:21">
      <c r="B11" s="6" t="s">
        <v>133</v>
      </c>
    </row>
    <row r="12" spans="1:21" ht="16">
      <c r="A12" s="39" t="s">
        <v>37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1">
      <c r="A13" s="9" t="s">
        <v>132</v>
      </c>
      <c r="B13" s="8" t="s">
        <v>38</v>
      </c>
      <c r="C13" s="8" t="s">
        <v>39</v>
      </c>
      <c r="D13" s="8" t="s">
        <v>40</v>
      </c>
      <c r="E13" s="8" t="s">
        <v>768</v>
      </c>
      <c r="F13" s="8" t="s">
        <v>41</v>
      </c>
      <c r="G13" s="21" t="s">
        <v>35</v>
      </c>
      <c r="H13" s="22" t="s">
        <v>36</v>
      </c>
      <c r="I13" s="21" t="s">
        <v>36</v>
      </c>
      <c r="J13" s="9"/>
      <c r="K13" s="21" t="s">
        <v>42</v>
      </c>
      <c r="L13" s="21" t="s">
        <v>43</v>
      </c>
      <c r="M13" s="22" t="s">
        <v>44</v>
      </c>
      <c r="N13" s="9"/>
      <c r="O13" s="21" t="s">
        <v>45</v>
      </c>
      <c r="P13" s="21" t="s">
        <v>36</v>
      </c>
      <c r="Q13" s="22" t="s">
        <v>46</v>
      </c>
      <c r="R13" s="9"/>
      <c r="S13" s="35" t="str">
        <f>"532,5"</f>
        <v>532,5</v>
      </c>
      <c r="T13" s="9" t="str">
        <f>"358,5855"</f>
        <v>358,5855</v>
      </c>
      <c r="U13" s="30" t="s">
        <v>171</v>
      </c>
    </row>
    <row r="14" spans="1:21">
      <c r="A14" s="11" t="s">
        <v>134</v>
      </c>
      <c r="B14" s="10" t="s">
        <v>47</v>
      </c>
      <c r="C14" s="10" t="s">
        <v>48</v>
      </c>
      <c r="D14" s="10" t="s">
        <v>49</v>
      </c>
      <c r="E14" s="10" t="s">
        <v>768</v>
      </c>
      <c r="F14" s="10" t="s">
        <v>15</v>
      </c>
      <c r="G14" s="23" t="s">
        <v>36</v>
      </c>
      <c r="H14" s="23" t="s">
        <v>46</v>
      </c>
      <c r="I14" s="23" t="s">
        <v>50</v>
      </c>
      <c r="J14" s="11"/>
      <c r="K14" s="23" t="s">
        <v>51</v>
      </c>
      <c r="L14" s="23" t="s">
        <v>52</v>
      </c>
      <c r="M14" s="24" t="s">
        <v>53</v>
      </c>
      <c r="N14" s="11"/>
      <c r="O14" s="24" t="s">
        <v>54</v>
      </c>
      <c r="P14" s="24" t="s">
        <v>54</v>
      </c>
      <c r="Q14" s="24" t="s">
        <v>54</v>
      </c>
      <c r="R14" s="11"/>
      <c r="S14" s="36">
        <v>0</v>
      </c>
      <c r="T14" s="11" t="str">
        <f>"0,0000"</f>
        <v>0,0000</v>
      </c>
      <c r="U14" s="10" t="s">
        <v>55</v>
      </c>
    </row>
    <row r="15" spans="1:21">
      <c r="B15" s="6" t="s">
        <v>133</v>
      </c>
    </row>
    <row r="16" spans="1:21" ht="16">
      <c r="A16" s="39" t="s">
        <v>56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21">
      <c r="A17" s="9" t="s">
        <v>132</v>
      </c>
      <c r="B17" s="8" t="s">
        <v>57</v>
      </c>
      <c r="C17" s="8" t="s">
        <v>58</v>
      </c>
      <c r="D17" s="8" t="s">
        <v>59</v>
      </c>
      <c r="E17" s="8" t="s">
        <v>768</v>
      </c>
      <c r="F17" s="8" t="s">
        <v>60</v>
      </c>
      <c r="G17" s="21" t="s">
        <v>61</v>
      </c>
      <c r="H17" s="21" t="s">
        <v>62</v>
      </c>
      <c r="I17" s="21" t="s">
        <v>63</v>
      </c>
      <c r="J17" s="9"/>
      <c r="K17" s="21" t="s">
        <v>64</v>
      </c>
      <c r="L17" s="22" t="s">
        <v>46</v>
      </c>
      <c r="M17" s="22" t="s">
        <v>46</v>
      </c>
      <c r="N17" s="9"/>
      <c r="O17" s="21" t="s">
        <v>65</v>
      </c>
      <c r="P17" s="22" t="s">
        <v>66</v>
      </c>
      <c r="Q17" s="22" t="s">
        <v>66</v>
      </c>
      <c r="R17" s="9"/>
      <c r="S17" s="35" t="str">
        <f>"792,5"</f>
        <v>792,5</v>
      </c>
      <c r="T17" s="9" t="str">
        <f>"509,7360"</f>
        <v>509,7360</v>
      </c>
      <c r="U17" s="30" t="s">
        <v>100</v>
      </c>
    </row>
    <row r="18" spans="1:21">
      <c r="A18" s="11" t="s">
        <v>135</v>
      </c>
      <c r="B18" s="10" t="s">
        <v>67</v>
      </c>
      <c r="C18" s="10" t="s">
        <v>68</v>
      </c>
      <c r="D18" s="10" t="s">
        <v>69</v>
      </c>
      <c r="E18" s="10" t="s">
        <v>768</v>
      </c>
      <c r="F18" s="10" t="s">
        <v>41</v>
      </c>
      <c r="G18" s="23" t="s">
        <v>50</v>
      </c>
      <c r="H18" s="23" t="s">
        <v>70</v>
      </c>
      <c r="I18" s="24" t="s">
        <v>71</v>
      </c>
      <c r="J18" s="11"/>
      <c r="K18" s="23" t="s">
        <v>43</v>
      </c>
      <c r="L18" s="23" t="s">
        <v>72</v>
      </c>
      <c r="M18" s="23" t="s">
        <v>29</v>
      </c>
      <c r="N18" s="11"/>
      <c r="O18" s="23" t="s">
        <v>73</v>
      </c>
      <c r="P18" s="23" t="s">
        <v>74</v>
      </c>
      <c r="Q18" s="23" t="s">
        <v>54</v>
      </c>
      <c r="R18" s="11"/>
      <c r="S18" s="36" t="str">
        <f>"605,0"</f>
        <v>605,0</v>
      </c>
      <c r="T18" s="11" t="str">
        <f>"390,2855"</f>
        <v>390,2855</v>
      </c>
      <c r="U18" s="31" t="s">
        <v>700</v>
      </c>
    </row>
    <row r="19" spans="1:21">
      <c r="B19" s="6" t="s">
        <v>133</v>
      </c>
    </row>
    <row r="20" spans="1:21" ht="16">
      <c r="A20" s="39" t="s">
        <v>75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21">
      <c r="A21" s="9" t="s">
        <v>132</v>
      </c>
      <c r="B21" s="8" t="s">
        <v>76</v>
      </c>
      <c r="C21" s="8" t="s">
        <v>77</v>
      </c>
      <c r="D21" s="8" t="s">
        <v>78</v>
      </c>
      <c r="E21" s="8" t="s">
        <v>768</v>
      </c>
      <c r="F21" s="8" t="s">
        <v>79</v>
      </c>
      <c r="G21" s="22" t="s">
        <v>80</v>
      </c>
      <c r="H21" s="21" t="s">
        <v>80</v>
      </c>
      <c r="I21" s="22" t="s">
        <v>65</v>
      </c>
      <c r="J21" s="9"/>
      <c r="K21" s="21" t="s">
        <v>46</v>
      </c>
      <c r="L21" s="21" t="s">
        <v>50</v>
      </c>
      <c r="M21" s="21" t="s">
        <v>74</v>
      </c>
      <c r="N21" s="9"/>
      <c r="O21" s="21" t="s">
        <v>81</v>
      </c>
      <c r="P21" s="22" t="s">
        <v>82</v>
      </c>
      <c r="Q21" s="22" t="s">
        <v>82</v>
      </c>
      <c r="R21" s="9"/>
      <c r="S21" s="35" t="str">
        <f>"935,0"</f>
        <v>935,0</v>
      </c>
      <c r="T21" s="9" t="str">
        <f>"569,5085"</f>
        <v>569,5085</v>
      </c>
      <c r="U21" s="8"/>
    </row>
    <row r="22" spans="1:21">
      <c r="A22" s="15" t="s">
        <v>135</v>
      </c>
      <c r="B22" s="14" t="s">
        <v>83</v>
      </c>
      <c r="C22" s="14" t="s">
        <v>84</v>
      </c>
      <c r="D22" s="14" t="s">
        <v>85</v>
      </c>
      <c r="E22" s="14" t="s">
        <v>768</v>
      </c>
      <c r="F22" s="14" t="s">
        <v>86</v>
      </c>
      <c r="G22" s="26" t="s">
        <v>87</v>
      </c>
      <c r="H22" s="26" t="s">
        <v>88</v>
      </c>
      <c r="I22" s="27" t="s">
        <v>89</v>
      </c>
      <c r="J22" s="15"/>
      <c r="K22" s="26" t="s">
        <v>52</v>
      </c>
      <c r="L22" s="26" t="s">
        <v>90</v>
      </c>
      <c r="M22" s="27" t="s">
        <v>91</v>
      </c>
      <c r="N22" s="15"/>
      <c r="O22" s="26" t="s">
        <v>92</v>
      </c>
      <c r="P22" s="26" t="s">
        <v>93</v>
      </c>
      <c r="Q22" s="27" t="s">
        <v>94</v>
      </c>
      <c r="R22" s="15"/>
      <c r="S22" s="38" t="str">
        <f>"710,0"</f>
        <v>710,0</v>
      </c>
      <c r="T22" s="15" t="str">
        <f>"434,9460"</f>
        <v>434,9460</v>
      </c>
      <c r="U22" s="14"/>
    </row>
    <row r="23" spans="1:21">
      <c r="A23" s="15" t="s">
        <v>136</v>
      </c>
      <c r="B23" s="14" t="s">
        <v>95</v>
      </c>
      <c r="C23" s="14" t="s">
        <v>96</v>
      </c>
      <c r="D23" s="14" t="s">
        <v>97</v>
      </c>
      <c r="E23" s="14" t="s">
        <v>768</v>
      </c>
      <c r="F23" s="14" t="s">
        <v>15</v>
      </c>
      <c r="G23" s="27" t="s">
        <v>71</v>
      </c>
      <c r="H23" s="26" t="s">
        <v>71</v>
      </c>
      <c r="I23" s="26" t="s">
        <v>61</v>
      </c>
      <c r="J23" s="15"/>
      <c r="K23" s="26" t="s">
        <v>98</v>
      </c>
      <c r="L23" s="26" t="s">
        <v>99</v>
      </c>
      <c r="M23" s="27" t="s">
        <v>34</v>
      </c>
      <c r="N23" s="15"/>
      <c r="O23" s="26" t="s">
        <v>54</v>
      </c>
      <c r="P23" s="26" t="s">
        <v>88</v>
      </c>
      <c r="Q23" s="27" t="s">
        <v>61</v>
      </c>
      <c r="R23" s="15"/>
      <c r="S23" s="38" t="str">
        <f>"682,5"</f>
        <v>682,5</v>
      </c>
      <c r="T23" s="15" t="str">
        <f>"419,1915"</f>
        <v>419,1915</v>
      </c>
      <c r="U23" s="14" t="s">
        <v>100</v>
      </c>
    </row>
    <row r="24" spans="1:21">
      <c r="A24" s="11" t="s">
        <v>137</v>
      </c>
      <c r="B24" s="10" t="s">
        <v>101</v>
      </c>
      <c r="C24" s="10" t="s">
        <v>102</v>
      </c>
      <c r="D24" s="10" t="s">
        <v>103</v>
      </c>
      <c r="E24" s="10" t="s">
        <v>768</v>
      </c>
      <c r="F24" s="10" t="s">
        <v>104</v>
      </c>
      <c r="G24" s="23" t="s">
        <v>73</v>
      </c>
      <c r="H24" s="23" t="s">
        <v>74</v>
      </c>
      <c r="I24" s="23" t="s">
        <v>105</v>
      </c>
      <c r="J24" s="11"/>
      <c r="K24" s="23" t="s">
        <v>26</v>
      </c>
      <c r="L24" s="24" t="s">
        <v>29</v>
      </c>
      <c r="M24" s="23" t="s">
        <v>106</v>
      </c>
      <c r="N24" s="11"/>
      <c r="O24" s="23" t="s">
        <v>107</v>
      </c>
      <c r="P24" s="23" t="s">
        <v>108</v>
      </c>
      <c r="Q24" s="24" t="s">
        <v>70</v>
      </c>
      <c r="R24" s="11"/>
      <c r="S24" s="36" t="str">
        <f>"595,0"</f>
        <v>595,0</v>
      </c>
      <c r="T24" s="11" t="str">
        <f>"364,0210"</f>
        <v>364,0210</v>
      </c>
      <c r="U24" s="10" t="s">
        <v>100</v>
      </c>
    </row>
    <row r="25" spans="1:21">
      <c r="B25" s="6" t="s">
        <v>133</v>
      </c>
    </row>
    <row r="26" spans="1:21" ht="16">
      <c r="A26" s="39" t="s">
        <v>109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>
      <c r="A27" s="13" t="s">
        <v>132</v>
      </c>
      <c r="B27" s="12" t="s">
        <v>110</v>
      </c>
      <c r="C27" s="29" t="s">
        <v>111</v>
      </c>
      <c r="D27" s="12" t="s">
        <v>112</v>
      </c>
      <c r="E27" s="12" t="s">
        <v>768</v>
      </c>
      <c r="F27" s="12" t="s">
        <v>113</v>
      </c>
      <c r="G27" s="28" t="s">
        <v>70</v>
      </c>
      <c r="H27" s="25" t="s">
        <v>114</v>
      </c>
      <c r="I27" s="13"/>
      <c r="J27" s="13"/>
      <c r="K27" s="28" t="s">
        <v>16</v>
      </c>
      <c r="L27" s="28" t="s">
        <v>22</v>
      </c>
      <c r="M27" s="28" t="s">
        <v>29</v>
      </c>
      <c r="N27" s="13"/>
      <c r="O27" s="28" t="s">
        <v>16</v>
      </c>
      <c r="P27" s="28" t="s">
        <v>29</v>
      </c>
      <c r="Q27" s="13"/>
      <c r="R27" s="13"/>
      <c r="S27" s="37" t="str">
        <f>"510,0"</f>
        <v>510,0</v>
      </c>
      <c r="T27" s="13" t="str">
        <f>"309,7740"</f>
        <v>309,7740</v>
      </c>
      <c r="U27" s="12"/>
    </row>
    <row r="28" spans="1:21">
      <c r="B28" s="6" t="s">
        <v>133</v>
      </c>
    </row>
    <row r="30" spans="1:21">
      <c r="B30" s="6" t="s">
        <v>133</v>
      </c>
    </row>
    <row r="31" spans="1:21" ht="18">
      <c r="B31" s="32" t="s">
        <v>115</v>
      </c>
      <c r="C31" s="16"/>
    </row>
    <row r="32" spans="1:21" ht="16">
      <c r="B32" s="17" t="s">
        <v>123</v>
      </c>
      <c r="C32" s="17"/>
    </row>
    <row r="33" spans="1:6" ht="14">
      <c r="B33" s="19"/>
      <c r="C33" s="20" t="s">
        <v>116</v>
      </c>
    </row>
    <row r="34" spans="1:6" ht="14">
      <c r="A34" s="7"/>
      <c r="B34" s="5" t="s">
        <v>117</v>
      </c>
      <c r="C34" s="5" t="s">
        <v>118</v>
      </c>
      <c r="D34" s="5" t="s">
        <v>735</v>
      </c>
      <c r="E34" s="5" t="s">
        <v>120</v>
      </c>
      <c r="F34" s="5" t="s">
        <v>121</v>
      </c>
    </row>
    <row r="35" spans="1:6">
      <c r="A35" s="7"/>
      <c r="B35" s="18" t="s">
        <v>76</v>
      </c>
      <c r="C35" s="6" t="s">
        <v>116</v>
      </c>
      <c r="D35" s="7" t="s">
        <v>124</v>
      </c>
      <c r="E35" s="7" t="s">
        <v>125</v>
      </c>
      <c r="F35" s="7" t="s">
        <v>126</v>
      </c>
    </row>
    <row r="36" spans="1:6">
      <c r="A36" s="7"/>
      <c r="B36" s="18" t="s">
        <v>57</v>
      </c>
      <c r="C36" s="6" t="s">
        <v>116</v>
      </c>
      <c r="D36" s="7" t="s">
        <v>127</v>
      </c>
      <c r="E36" s="7" t="s">
        <v>128</v>
      </c>
      <c r="F36" s="7" t="s">
        <v>129</v>
      </c>
    </row>
    <row r="37" spans="1:6">
      <c r="A37" s="7"/>
      <c r="B37" s="18" t="s">
        <v>83</v>
      </c>
      <c r="C37" s="6" t="s">
        <v>116</v>
      </c>
      <c r="D37" s="7" t="s">
        <v>124</v>
      </c>
      <c r="E37" s="7" t="s">
        <v>130</v>
      </c>
      <c r="F37" s="7" t="s">
        <v>131</v>
      </c>
    </row>
    <row r="38" spans="1:6">
      <c r="B38" s="6" t="s">
        <v>133</v>
      </c>
    </row>
  </sheetData>
  <mergeCells count="19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6:R26"/>
    <mergeCell ref="B3:B4"/>
    <mergeCell ref="A5:R5"/>
    <mergeCell ref="A9:R9"/>
    <mergeCell ref="A12:R12"/>
    <mergeCell ref="A16:R16"/>
    <mergeCell ref="A20:R20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29.5" style="6" bestFit="1" customWidth="1"/>
    <col min="7" max="10" width="5.5" style="7" customWidth="1"/>
    <col min="11" max="11" width="13.5" style="34" customWidth="1"/>
    <col min="12" max="12" width="7.5" style="7" bestFit="1" customWidth="1"/>
    <col min="13" max="13" width="22.1640625" style="6" customWidth="1"/>
    <col min="14" max="16384" width="9.1640625" style="3"/>
  </cols>
  <sheetData>
    <row r="1" spans="1:13" s="2" customFormat="1" ht="29" customHeight="1">
      <c r="A1" s="48" t="s">
        <v>750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642</v>
      </c>
      <c r="H3" s="40"/>
      <c r="I3" s="40"/>
      <c r="J3" s="40"/>
      <c r="K3" s="59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60"/>
      <c r="L4" s="41"/>
      <c r="M4" s="43"/>
    </row>
    <row r="5" spans="1:13" ht="16">
      <c r="A5" s="44" t="s">
        <v>205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134</v>
      </c>
      <c r="B6" s="12" t="s">
        <v>652</v>
      </c>
      <c r="C6" s="12" t="s">
        <v>653</v>
      </c>
      <c r="D6" s="12" t="s">
        <v>654</v>
      </c>
      <c r="E6" s="12" t="s">
        <v>768</v>
      </c>
      <c r="F6" s="12" t="s">
        <v>365</v>
      </c>
      <c r="G6" s="25" t="s">
        <v>155</v>
      </c>
      <c r="H6" s="25" t="s">
        <v>155</v>
      </c>
      <c r="I6" s="13"/>
      <c r="J6" s="13"/>
      <c r="K6" s="37">
        <v>0</v>
      </c>
      <c r="L6" s="13" t="str">
        <f>"0,0000"</f>
        <v>0,0000</v>
      </c>
      <c r="M6" s="12" t="s">
        <v>315</v>
      </c>
    </row>
    <row r="7" spans="1:13">
      <c r="B7" s="6" t="s">
        <v>133</v>
      </c>
    </row>
    <row r="8" spans="1:13" ht="16">
      <c r="A8" s="39" t="s">
        <v>205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655</v>
      </c>
      <c r="C9" s="12" t="s">
        <v>656</v>
      </c>
      <c r="D9" s="12" t="s">
        <v>657</v>
      </c>
      <c r="E9" s="12" t="s">
        <v>768</v>
      </c>
      <c r="F9" s="12" t="s">
        <v>658</v>
      </c>
      <c r="G9" s="28" t="s">
        <v>178</v>
      </c>
      <c r="H9" s="28" t="s">
        <v>187</v>
      </c>
      <c r="I9" s="25" t="s">
        <v>186</v>
      </c>
      <c r="J9" s="13"/>
      <c r="K9" s="37" t="str">
        <f>"55,0"</f>
        <v>55,0</v>
      </c>
      <c r="L9" s="13" t="str">
        <f>"38,4863"</f>
        <v>38,4863</v>
      </c>
      <c r="M9" s="12"/>
    </row>
    <row r="10" spans="1:13">
      <c r="B10" s="6" t="s">
        <v>133</v>
      </c>
    </row>
    <row r="11" spans="1:13" ht="16">
      <c r="A11" s="39" t="s">
        <v>56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>
      <c r="A12" s="13" t="s">
        <v>132</v>
      </c>
      <c r="B12" s="12" t="s">
        <v>426</v>
      </c>
      <c r="C12" s="12" t="s">
        <v>427</v>
      </c>
      <c r="D12" s="12" t="s">
        <v>659</v>
      </c>
      <c r="E12" s="12" t="s">
        <v>768</v>
      </c>
      <c r="F12" s="12" t="s">
        <v>15</v>
      </c>
      <c r="G12" s="28" t="s">
        <v>19</v>
      </c>
      <c r="H12" s="28" t="s">
        <v>27</v>
      </c>
      <c r="I12" s="28" t="s">
        <v>28</v>
      </c>
      <c r="J12" s="13"/>
      <c r="K12" s="37" t="str">
        <f>"77,5"</f>
        <v>77,5</v>
      </c>
      <c r="L12" s="13" t="str">
        <f>"47,5656"</f>
        <v>47,5656</v>
      </c>
      <c r="M12" s="12" t="s">
        <v>430</v>
      </c>
    </row>
    <row r="13" spans="1:13">
      <c r="B13" s="6" t="s">
        <v>133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7"/>
  <sheetViews>
    <sheetView tabSelected="1"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3320312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2.33203125" style="6" bestFit="1" customWidth="1"/>
    <col min="7" max="10" width="5.5" style="7" customWidth="1"/>
    <col min="11" max="11" width="12.6640625" style="34" customWidth="1"/>
    <col min="12" max="12" width="9.33203125" style="7" customWidth="1"/>
    <col min="13" max="13" width="21.83203125" style="6" customWidth="1"/>
    <col min="14" max="16384" width="9.1640625" style="3"/>
  </cols>
  <sheetData>
    <row r="1" spans="1:13" s="2" customFormat="1" ht="29" customHeight="1">
      <c r="A1" s="48" t="s">
        <v>751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642</v>
      </c>
      <c r="H3" s="40"/>
      <c r="I3" s="40"/>
      <c r="J3" s="40"/>
      <c r="K3" s="59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60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574</v>
      </c>
      <c r="C6" s="12" t="s">
        <v>575</v>
      </c>
      <c r="D6" s="12" t="s">
        <v>576</v>
      </c>
      <c r="E6" s="12" t="s">
        <v>768</v>
      </c>
      <c r="F6" s="12" t="s">
        <v>577</v>
      </c>
      <c r="G6" s="25" t="s">
        <v>170</v>
      </c>
      <c r="H6" s="28" t="s">
        <v>170</v>
      </c>
      <c r="I6" s="25" t="s">
        <v>20</v>
      </c>
      <c r="J6" s="13"/>
      <c r="K6" s="37" t="str">
        <f>"65,0"</f>
        <v>65,0</v>
      </c>
      <c r="L6" s="13" t="str">
        <f>"42,5425"</f>
        <v>42,5425</v>
      </c>
      <c r="M6" s="12"/>
    </row>
    <row r="7" spans="1:13">
      <c r="B7" s="6" t="s">
        <v>133</v>
      </c>
    </row>
    <row r="8" spans="1:13" ht="16">
      <c r="A8" s="39" t="s">
        <v>56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9" t="s">
        <v>132</v>
      </c>
      <c r="B9" s="8" t="s">
        <v>643</v>
      </c>
      <c r="C9" s="8" t="s">
        <v>644</v>
      </c>
      <c r="D9" s="8" t="s">
        <v>645</v>
      </c>
      <c r="E9" s="8" t="s">
        <v>768</v>
      </c>
      <c r="F9" s="8" t="s">
        <v>646</v>
      </c>
      <c r="G9" s="21" t="s">
        <v>170</v>
      </c>
      <c r="H9" s="21" t="s">
        <v>20</v>
      </c>
      <c r="I9" s="22" t="s">
        <v>27</v>
      </c>
      <c r="J9" s="9"/>
      <c r="K9" s="35" t="str">
        <f>"72,5"</f>
        <v>72,5</v>
      </c>
      <c r="L9" s="9" t="str">
        <f>"45,7982"</f>
        <v>45,7982</v>
      </c>
      <c r="M9" s="8"/>
    </row>
    <row r="10" spans="1:13">
      <c r="A10" s="11" t="s">
        <v>132</v>
      </c>
      <c r="B10" s="10" t="s">
        <v>316</v>
      </c>
      <c r="C10" s="10" t="s">
        <v>734</v>
      </c>
      <c r="D10" s="10" t="s">
        <v>317</v>
      </c>
      <c r="E10" s="10" t="s">
        <v>771</v>
      </c>
      <c r="F10" s="10" t="s">
        <v>318</v>
      </c>
      <c r="G10" s="23" t="s">
        <v>19</v>
      </c>
      <c r="H10" s="24" t="s">
        <v>27</v>
      </c>
      <c r="I10" s="23" t="s">
        <v>27</v>
      </c>
      <c r="J10" s="11"/>
      <c r="K10" s="36" t="str">
        <f>"75,0"</f>
        <v>75,0</v>
      </c>
      <c r="L10" s="11" t="str">
        <f>"48,1077"</f>
        <v>48,1077</v>
      </c>
      <c r="M10" s="10" t="s">
        <v>319</v>
      </c>
    </row>
    <row r="11" spans="1:13">
      <c r="B11" s="6" t="s">
        <v>133</v>
      </c>
    </row>
    <row r="12" spans="1:13" ht="16">
      <c r="A12" s="39" t="s">
        <v>75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13" t="s">
        <v>134</v>
      </c>
      <c r="B13" s="12" t="s">
        <v>578</v>
      </c>
      <c r="C13" s="12" t="s">
        <v>579</v>
      </c>
      <c r="D13" s="12" t="s">
        <v>580</v>
      </c>
      <c r="E13" s="12" t="s">
        <v>768</v>
      </c>
      <c r="F13" s="12" t="s">
        <v>498</v>
      </c>
      <c r="G13" s="25" t="s">
        <v>176</v>
      </c>
      <c r="H13" s="25" t="s">
        <v>176</v>
      </c>
      <c r="I13" s="13"/>
      <c r="J13" s="13"/>
      <c r="K13" s="37">
        <v>0</v>
      </c>
      <c r="L13" s="13" t="str">
        <f>"0,0000"</f>
        <v>0,0000</v>
      </c>
      <c r="M13" s="12" t="s">
        <v>581</v>
      </c>
    </row>
    <row r="14" spans="1:13">
      <c r="B14" s="6" t="s">
        <v>133</v>
      </c>
    </row>
    <row r="15" spans="1:13" ht="16">
      <c r="A15" s="39" t="s">
        <v>261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3">
      <c r="A16" s="13" t="s">
        <v>132</v>
      </c>
      <c r="B16" s="12" t="s">
        <v>647</v>
      </c>
      <c r="C16" s="12" t="s">
        <v>648</v>
      </c>
      <c r="D16" s="12" t="s">
        <v>649</v>
      </c>
      <c r="E16" s="12" t="s">
        <v>768</v>
      </c>
      <c r="F16" s="12" t="s">
        <v>650</v>
      </c>
      <c r="G16" s="28" t="s">
        <v>143</v>
      </c>
      <c r="H16" s="28" t="s">
        <v>180</v>
      </c>
      <c r="I16" s="25" t="s">
        <v>651</v>
      </c>
      <c r="J16" s="13"/>
      <c r="K16" s="37" t="str">
        <f>"97,5"</f>
        <v>97,5</v>
      </c>
      <c r="L16" s="13" t="str">
        <f>"54,0101"</f>
        <v>54,0101</v>
      </c>
      <c r="M16" s="12"/>
    </row>
    <row r="17" spans="2:2">
      <c r="B17" s="6" t="s">
        <v>133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0.1640625" style="6" bestFit="1" customWidth="1"/>
    <col min="3" max="3" width="28.5" style="6" bestFit="1" customWidth="1"/>
    <col min="4" max="4" width="17.6640625" style="6" customWidth="1"/>
    <col min="5" max="5" width="18.6640625" style="6" bestFit="1" customWidth="1"/>
    <col min="6" max="6" width="17.3320312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19.83203125" style="6" customWidth="1"/>
    <col min="22" max="16384" width="9.1640625" style="3"/>
  </cols>
  <sheetData>
    <row r="1" spans="1:21" s="2" customFormat="1" ht="29" customHeight="1">
      <c r="A1" s="48" t="s">
        <v>754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172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9" t="s">
        <v>132</v>
      </c>
      <c r="B6" s="8" t="s">
        <v>298</v>
      </c>
      <c r="C6" s="8" t="s">
        <v>299</v>
      </c>
      <c r="D6" s="8" t="s">
        <v>300</v>
      </c>
      <c r="E6" s="8" t="s">
        <v>768</v>
      </c>
      <c r="F6" s="8" t="s">
        <v>15</v>
      </c>
      <c r="G6" s="21" t="s">
        <v>53</v>
      </c>
      <c r="H6" s="22" t="s">
        <v>247</v>
      </c>
      <c r="I6" s="21" t="s">
        <v>247</v>
      </c>
      <c r="J6" s="9"/>
      <c r="K6" s="21" t="s">
        <v>19</v>
      </c>
      <c r="L6" s="21" t="s">
        <v>27</v>
      </c>
      <c r="M6" s="9"/>
      <c r="N6" s="9"/>
      <c r="O6" s="21" t="s">
        <v>247</v>
      </c>
      <c r="P6" s="21" t="s">
        <v>98</v>
      </c>
      <c r="Q6" s="22" t="s">
        <v>34</v>
      </c>
      <c r="R6" s="9"/>
      <c r="S6" s="9" t="str">
        <f>"405,0"</f>
        <v>405,0</v>
      </c>
      <c r="T6" s="9" t="str">
        <f>"484,6635"</f>
        <v>484,6635</v>
      </c>
      <c r="U6" s="8" t="s">
        <v>181</v>
      </c>
    </row>
    <row r="7" spans="1:21">
      <c r="A7" s="11" t="s">
        <v>132</v>
      </c>
      <c r="B7" s="10" t="s">
        <v>298</v>
      </c>
      <c r="C7" s="10" t="s">
        <v>708</v>
      </c>
      <c r="D7" s="10" t="s">
        <v>300</v>
      </c>
      <c r="E7" s="10" t="s">
        <v>771</v>
      </c>
      <c r="F7" s="10" t="s">
        <v>15</v>
      </c>
      <c r="G7" s="23" t="s">
        <v>53</v>
      </c>
      <c r="H7" s="24" t="s">
        <v>247</v>
      </c>
      <c r="I7" s="23" t="s">
        <v>247</v>
      </c>
      <c r="J7" s="11"/>
      <c r="K7" s="23" t="s">
        <v>19</v>
      </c>
      <c r="L7" s="23" t="s">
        <v>27</v>
      </c>
      <c r="M7" s="11"/>
      <c r="N7" s="11"/>
      <c r="O7" s="23" t="s">
        <v>247</v>
      </c>
      <c r="P7" s="23" t="s">
        <v>98</v>
      </c>
      <c r="Q7" s="24" t="s">
        <v>34</v>
      </c>
      <c r="R7" s="11"/>
      <c r="S7" s="11" t="str">
        <f>"405,0"</f>
        <v>405,0</v>
      </c>
      <c r="T7" s="11" t="str">
        <f>"498,2341"</f>
        <v>498,2341</v>
      </c>
      <c r="U7" s="10" t="s">
        <v>181</v>
      </c>
    </row>
    <row r="8" spans="1:21">
      <c r="B8" s="6" t="s">
        <v>133</v>
      </c>
    </row>
    <row r="9" spans="1:21" ht="16">
      <c r="A9" s="39" t="s">
        <v>75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21">
      <c r="A10" s="13" t="s">
        <v>132</v>
      </c>
      <c r="B10" s="12" t="s">
        <v>301</v>
      </c>
      <c r="C10" s="12" t="s">
        <v>302</v>
      </c>
      <c r="D10" s="12" t="s">
        <v>303</v>
      </c>
      <c r="E10" s="12" t="s">
        <v>768</v>
      </c>
      <c r="F10" s="12" t="s">
        <v>15</v>
      </c>
      <c r="G10" s="25" t="s">
        <v>70</v>
      </c>
      <c r="H10" s="28" t="s">
        <v>70</v>
      </c>
      <c r="I10" s="25" t="s">
        <v>88</v>
      </c>
      <c r="J10" s="13"/>
      <c r="K10" s="28" t="s">
        <v>106</v>
      </c>
      <c r="L10" s="28" t="s">
        <v>30</v>
      </c>
      <c r="M10" s="28" t="s">
        <v>304</v>
      </c>
      <c r="N10" s="13"/>
      <c r="O10" s="28" t="s">
        <v>50</v>
      </c>
      <c r="P10" s="28" t="s">
        <v>54</v>
      </c>
      <c r="Q10" s="25" t="s">
        <v>114</v>
      </c>
      <c r="R10" s="13"/>
      <c r="S10" s="13" t="str">
        <f>"622,5"</f>
        <v>622,5</v>
      </c>
      <c r="T10" s="13" t="str">
        <f>"386,6348"</f>
        <v>386,6348</v>
      </c>
      <c r="U10" s="12" t="s">
        <v>181</v>
      </c>
    </row>
    <row r="11" spans="1:21">
      <c r="B11" s="6" t="s">
        <v>133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19" style="6" bestFit="1" customWidth="1"/>
    <col min="3" max="3" width="28.5" style="6" bestFit="1" customWidth="1"/>
    <col min="4" max="4" width="16.83203125" style="6" customWidth="1"/>
    <col min="5" max="5" width="18.6640625" style="6" bestFit="1" customWidth="1"/>
    <col min="6" max="6" width="37" style="6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16.5" style="6" bestFit="1" customWidth="1"/>
    <col min="22" max="16384" width="9.1640625" style="3"/>
  </cols>
  <sheetData>
    <row r="1" spans="1:21" s="2" customFormat="1" ht="29" customHeight="1">
      <c r="A1" s="48" t="s">
        <v>755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3" t="s">
        <v>132</v>
      </c>
      <c r="B6" s="12" t="s">
        <v>76</v>
      </c>
      <c r="C6" s="12" t="s">
        <v>77</v>
      </c>
      <c r="D6" s="12" t="s">
        <v>78</v>
      </c>
      <c r="E6" s="12" t="s">
        <v>768</v>
      </c>
      <c r="F6" s="12" t="s">
        <v>79</v>
      </c>
      <c r="G6" s="25" t="s">
        <v>80</v>
      </c>
      <c r="H6" s="28" t="s">
        <v>80</v>
      </c>
      <c r="I6" s="25" t="s">
        <v>65</v>
      </c>
      <c r="J6" s="13"/>
      <c r="K6" s="28" t="s">
        <v>46</v>
      </c>
      <c r="L6" s="28" t="s">
        <v>50</v>
      </c>
      <c r="M6" s="28" t="s">
        <v>74</v>
      </c>
      <c r="N6" s="13"/>
      <c r="O6" s="28" t="s">
        <v>81</v>
      </c>
      <c r="P6" s="25" t="s">
        <v>82</v>
      </c>
      <c r="Q6" s="25" t="s">
        <v>82</v>
      </c>
      <c r="R6" s="13"/>
      <c r="S6" s="13" t="str">
        <f>"935,0"</f>
        <v>935,0</v>
      </c>
      <c r="T6" s="13" t="str">
        <f>"569,5085"</f>
        <v>569,5085</v>
      </c>
      <c r="U6" s="12"/>
    </row>
    <row r="7" spans="1:21">
      <c r="B7" s="6" t="s">
        <v>133</v>
      </c>
    </row>
    <row r="8" spans="1:21" ht="16">
      <c r="A8" s="39" t="s">
        <v>261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21">
      <c r="A9" s="9" t="s">
        <v>132</v>
      </c>
      <c r="B9" s="8" t="s">
        <v>278</v>
      </c>
      <c r="C9" s="8" t="s">
        <v>279</v>
      </c>
      <c r="D9" s="8" t="s">
        <v>280</v>
      </c>
      <c r="E9" s="8" t="s">
        <v>768</v>
      </c>
      <c r="F9" s="8" t="s">
        <v>736</v>
      </c>
      <c r="G9" s="21" t="s">
        <v>281</v>
      </c>
      <c r="H9" s="21" t="s">
        <v>282</v>
      </c>
      <c r="I9" s="22" t="s">
        <v>283</v>
      </c>
      <c r="J9" s="9"/>
      <c r="K9" s="21" t="s">
        <v>73</v>
      </c>
      <c r="L9" s="21" t="s">
        <v>284</v>
      </c>
      <c r="M9" s="21" t="s">
        <v>285</v>
      </c>
      <c r="N9" s="9"/>
      <c r="O9" s="21" t="s">
        <v>286</v>
      </c>
      <c r="P9" s="21" t="s">
        <v>287</v>
      </c>
      <c r="Q9" s="21" t="s">
        <v>65</v>
      </c>
      <c r="R9" s="9"/>
      <c r="S9" s="9" t="str">
        <f>"877,5"</f>
        <v>877,5</v>
      </c>
      <c r="T9" s="9" t="str">
        <f>"506,3175"</f>
        <v>506,3175</v>
      </c>
      <c r="U9" s="30" t="s">
        <v>100</v>
      </c>
    </row>
    <row r="10" spans="1:21">
      <c r="A10" s="11" t="s">
        <v>132</v>
      </c>
      <c r="B10" s="10" t="s">
        <v>288</v>
      </c>
      <c r="C10" s="10" t="s">
        <v>709</v>
      </c>
      <c r="D10" s="10" t="s">
        <v>289</v>
      </c>
      <c r="E10" s="10" t="s">
        <v>771</v>
      </c>
      <c r="F10" s="10" t="s">
        <v>737</v>
      </c>
      <c r="G10" s="23" t="s">
        <v>284</v>
      </c>
      <c r="H10" s="23" t="s">
        <v>105</v>
      </c>
      <c r="I10" s="24" t="s">
        <v>290</v>
      </c>
      <c r="J10" s="11"/>
      <c r="K10" s="23" t="s">
        <v>247</v>
      </c>
      <c r="L10" s="23" t="s">
        <v>98</v>
      </c>
      <c r="M10" s="24" t="s">
        <v>239</v>
      </c>
      <c r="N10" s="11"/>
      <c r="O10" s="24" t="s">
        <v>70</v>
      </c>
      <c r="P10" s="23" t="s">
        <v>70</v>
      </c>
      <c r="Q10" s="23" t="s">
        <v>88</v>
      </c>
      <c r="R10" s="11"/>
      <c r="S10" s="11" t="str">
        <f>"652,5"</f>
        <v>652,5</v>
      </c>
      <c r="T10" s="11" t="str">
        <f>"392,3089"</f>
        <v>392,3089</v>
      </c>
      <c r="U10" s="31" t="s">
        <v>699</v>
      </c>
    </row>
    <row r="11" spans="1:21">
      <c r="B11" s="6" t="s">
        <v>133</v>
      </c>
    </row>
    <row r="12" spans="1:21" ht="16">
      <c r="A12" s="39" t="s">
        <v>291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1">
      <c r="A13" s="13" t="s">
        <v>132</v>
      </c>
      <c r="B13" s="12" t="s">
        <v>292</v>
      </c>
      <c r="C13" s="12" t="s">
        <v>293</v>
      </c>
      <c r="D13" s="12" t="s">
        <v>294</v>
      </c>
      <c r="E13" s="12" t="s">
        <v>768</v>
      </c>
      <c r="F13" s="12" t="s">
        <v>41</v>
      </c>
      <c r="G13" s="28" t="s">
        <v>93</v>
      </c>
      <c r="H13" s="28" t="s">
        <v>295</v>
      </c>
      <c r="I13" s="28" t="s">
        <v>65</v>
      </c>
      <c r="J13" s="13"/>
      <c r="K13" s="28" t="s">
        <v>45</v>
      </c>
      <c r="L13" s="28" t="s">
        <v>266</v>
      </c>
      <c r="M13" s="28" t="s">
        <v>64</v>
      </c>
      <c r="N13" s="13"/>
      <c r="O13" s="25" t="s">
        <v>92</v>
      </c>
      <c r="P13" s="25" t="s">
        <v>92</v>
      </c>
      <c r="Q13" s="28" t="s">
        <v>92</v>
      </c>
      <c r="R13" s="13"/>
      <c r="S13" s="13" t="str">
        <f>"797,5"</f>
        <v>797,5</v>
      </c>
      <c r="T13" s="13" t="str">
        <f>"439,9807"</f>
        <v>439,9807</v>
      </c>
      <c r="U13" s="12" t="s">
        <v>235</v>
      </c>
    </row>
    <row r="14" spans="1:21">
      <c r="B14" s="6" t="s">
        <v>133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B3:B4"/>
    <mergeCell ref="S3:S4"/>
    <mergeCell ref="T3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66406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17.3320312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21" style="6" customWidth="1"/>
    <col min="14" max="16384" width="9.1640625" style="3"/>
  </cols>
  <sheetData>
    <row r="1" spans="1:13" s="2" customFormat="1" ht="29" customHeight="1">
      <c r="A1" s="48" t="s">
        <v>756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8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47</v>
      </c>
      <c r="C6" s="12" t="s">
        <v>48</v>
      </c>
      <c r="D6" s="12" t="s">
        <v>49</v>
      </c>
      <c r="E6" s="12" t="s">
        <v>768</v>
      </c>
      <c r="F6" s="12" t="s">
        <v>15</v>
      </c>
      <c r="G6" s="28" t="s">
        <v>36</v>
      </c>
      <c r="H6" s="28" t="s">
        <v>46</v>
      </c>
      <c r="I6" s="28" t="s">
        <v>50</v>
      </c>
      <c r="J6" s="13"/>
      <c r="K6" s="13" t="str">
        <f>"220,0"</f>
        <v>220,0</v>
      </c>
      <c r="L6" s="13" t="str">
        <f>"148,9180"</f>
        <v>148,9180</v>
      </c>
      <c r="M6" s="12" t="s">
        <v>100</v>
      </c>
    </row>
    <row r="7" spans="1:13">
      <c r="B7" s="6" t="s">
        <v>133</v>
      </c>
    </row>
    <row r="8" spans="1:13">
      <c r="B8" s="6" t="s">
        <v>133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3"/>
  <sheetViews>
    <sheetView topLeftCell="A17" workbookViewId="0">
      <selection activeCell="E54" sqref="E54"/>
    </sheetView>
  </sheetViews>
  <sheetFormatPr baseColWidth="10" defaultColWidth="9.1640625" defaultRowHeight="13"/>
  <cols>
    <col min="1" max="1" width="8.6640625" style="6" customWidth="1"/>
    <col min="2" max="2" width="20" style="6" bestFit="1" customWidth="1"/>
    <col min="3" max="3" width="28.5" style="6" bestFit="1" customWidth="1"/>
    <col min="4" max="4" width="21.5" style="6" bestFit="1" customWidth="1"/>
    <col min="5" max="5" width="12.5" style="6" customWidth="1"/>
    <col min="6" max="6" width="33.5" style="6" bestFit="1" customWidth="1"/>
    <col min="7" max="10" width="6" style="7" customWidth="1"/>
    <col min="11" max="11" width="11.6640625" style="34" customWidth="1"/>
    <col min="12" max="12" width="8.5" style="7" bestFit="1" customWidth="1"/>
    <col min="13" max="13" width="19.5" style="6" bestFit="1" customWidth="1"/>
    <col min="14" max="16384" width="9.1640625" style="3"/>
  </cols>
  <sheetData>
    <row r="1" spans="1:13" s="2" customFormat="1" ht="29" customHeight="1">
      <c r="A1" s="48" t="s">
        <v>757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59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60"/>
      <c r="L4" s="41"/>
      <c r="M4" s="43"/>
    </row>
    <row r="5" spans="1:13" ht="16">
      <c r="A5" s="44" t="s">
        <v>150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390</v>
      </c>
      <c r="C6" s="12" t="s">
        <v>391</v>
      </c>
      <c r="D6" s="12" t="s">
        <v>392</v>
      </c>
      <c r="E6" s="12" t="s">
        <v>768</v>
      </c>
      <c r="F6" s="12" t="s">
        <v>393</v>
      </c>
      <c r="G6" s="28" t="s">
        <v>19</v>
      </c>
      <c r="H6" s="25" t="s">
        <v>27</v>
      </c>
      <c r="I6" s="28" t="s">
        <v>27</v>
      </c>
      <c r="J6" s="25" t="s">
        <v>162</v>
      </c>
      <c r="K6" s="37" t="str">
        <f>"75,0"</f>
        <v>75,0</v>
      </c>
      <c r="L6" s="13" t="str">
        <f>"100,8675"</f>
        <v>100,8675</v>
      </c>
      <c r="M6" s="29" t="s">
        <v>696</v>
      </c>
    </row>
    <row r="7" spans="1:13">
      <c r="B7" s="6" t="s">
        <v>133</v>
      </c>
    </row>
    <row r="8" spans="1:13" ht="16">
      <c r="A8" s="39" t="s">
        <v>172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394</v>
      </c>
      <c r="C9" s="12" t="s">
        <v>395</v>
      </c>
      <c r="D9" s="12" t="s">
        <v>175</v>
      </c>
      <c r="E9" s="12" t="s">
        <v>770</v>
      </c>
      <c r="F9" s="12" t="s">
        <v>223</v>
      </c>
      <c r="G9" s="28" t="s">
        <v>186</v>
      </c>
      <c r="H9" s="28" t="s">
        <v>396</v>
      </c>
      <c r="I9" s="28" t="s">
        <v>170</v>
      </c>
      <c r="J9" s="13"/>
      <c r="K9" s="37" t="str">
        <f>"65,0"</f>
        <v>65,0</v>
      </c>
      <c r="L9" s="13" t="str">
        <f>"78,0130"</f>
        <v>78,0130</v>
      </c>
      <c r="M9" s="12" t="s">
        <v>397</v>
      </c>
    </row>
    <row r="10" spans="1:13">
      <c r="B10" s="6" t="s">
        <v>133</v>
      </c>
    </row>
    <row r="11" spans="1:13" ht="16">
      <c r="A11" s="39" t="s">
        <v>205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>
      <c r="A12" s="13" t="s">
        <v>132</v>
      </c>
      <c r="B12" s="12" t="s">
        <v>398</v>
      </c>
      <c r="C12" s="12" t="s">
        <v>399</v>
      </c>
      <c r="D12" s="12" t="s">
        <v>400</v>
      </c>
      <c r="E12" s="12" t="s">
        <v>768</v>
      </c>
      <c r="F12" s="12" t="s">
        <v>401</v>
      </c>
      <c r="G12" s="28" t="s">
        <v>186</v>
      </c>
      <c r="H12" s="25" t="s">
        <v>170</v>
      </c>
      <c r="I12" s="28" t="s">
        <v>170</v>
      </c>
      <c r="J12" s="13"/>
      <c r="K12" s="37" t="str">
        <f>"65,0"</f>
        <v>65,0</v>
      </c>
      <c r="L12" s="13" t="str">
        <f>"62,8095"</f>
        <v>62,8095</v>
      </c>
      <c r="M12" s="12"/>
    </row>
    <row r="13" spans="1:13">
      <c r="B13" s="6" t="s">
        <v>133</v>
      </c>
    </row>
    <row r="14" spans="1:13" ht="16">
      <c r="A14" s="39" t="s">
        <v>402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3">
      <c r="A15" s="13" t="s">
        <v>132</v>
      </c>
      <c r="B15" s="12" t="s">
        <v>403</v>
      </c>
      <c r="C15" s="12" t="s">
        <v>404</v>
      </c>
      <c r="D15" s="12" t="s">
        <v>405</v>
      </c>
      <c r="E15" s="12" t="s">
        <v>770</v>
      </c>
      <c r="F15" s="12" t="s">
        <v>15</v>
      </c>
      <c r="G15" s="28" t="s">
        <v>179</v>
      </c>
      <c r="H15" s="28" t="s">
        <v>180</v>
      </c>
      <c r="I15" s="28" t="s">
        <v>406</v>
      </c>
      <c r="J15" s="13"/>
      <c r="K15" s="37" t="str">
        <f>"102,5"</f>
        <v>102,5</v>
      </c>
      <c r="L15" s="13" t="str">
        <f>"88,3653"</f>
        <v>88,3653</v>
      </c>
      <c r="M15" s="12" t="s">
        <v>315</v>
      </c>
    </row>
    <row r="16" spans="1:13">
      <c r="B16" s="6" t="s">
        <v>133</v>
      </c>
    </row>
    <row r="17" spans="1:13" ht="16">
      <c r="A17" s="39" t="s">
        <v>205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3">
      <c r="A18" s="13" t="s">
        <v>132</v>
      </c>
      <c r="B18" s="12" t="s">
        <v>407</v>
      </c>
      <c r="C18" s="12" t="s">
        <v>408</v>
      </c>
      <c r="D18" s="12" t="s">
        <v>409</v>
      </c>
      <c r="E18" s="12" t="s">
        <v>768</v>
      </c>
      <c r="F18" s="12" t="s">
        <v>223</v>
      </c>
      <c r="G18" s="28" t="s">
        <v>26</v>
      </c>
      <c r="H18" s="28" t="s">
        <v>44</v>
      </c>
      <c r="I18" s="28" t="s">
        <v>29</v>
      </c>
      <c r="J18" s="13"/>
      <c r="K18" s="37" t="str">
        <f>"140,0"</f>
        <v>140,0</v>
      </c>
      <c r="L18" s="13" t="str">
        <f>"99,9460"</f>
        <v>99,9460</v>
      </c>
      <c r="M18" s="12" t="s">
        <v>410</v>
      </c>
    </row>
    <row r="19" spans="1:13">
      <c r="B19" s="6" t="s">
        <v>133</v>
      </c>
    </row>
    <row r="20" spans="1:13" ht="16">
      <c r="A20" s="39" t="s">
        <v>37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3">
      <c r="A21" s="9" t="s">
        <v>132</v>
      </c>
      <c r="B21" s="8" t="s">
        <v>411</v>
      </c>
      <c r="C21" s="8" t="s">
        <v>412</v>
      </c>
      <c r="D21" s="8" t="s">
        <v>413</v>
      </c>
      <c r="E21" s="8" t="s">
        <v>768</v>
      </c>
      <c r="F21" s="8" t="s">
        <v>223</v>
      </c>
      <c r="G21" s="21" t="s">
        <v>247</v>
      </c>
      <c r="H21" s="22" t="s">
        <v>90</v>
      </c>
      <c r="I21" s="21" t="s">
        <v>90</v>
      </c>
      <c r="J21" s="9"/>
      <c r="K21" s="35" t="str">
        <f>"165,0"</f>
        <v>165,0</v>
      </c>
      <c r="L21" s="9" t="str">
        <f>"110,5335"</f>
        <v>110,5335</v>
      </c>
      <c r="M21" s="8" t="s">
        <v>414</v>
      </c>
    </row>
    <row r="22" spans="1:13">
      <c r="A22" s="11" t="s">
        <v>135</v>
      </c>
      <c r="B22" s="10" t="s">
        <v>415</v>
      </c>
      <c r="C22" s="10" t="s">
        <v>416</v>
      </c>
      <c r="D22" s="10" t="s">
        <v>417</v>
      </c>
      <c r="E22" s="10" t="s">
        <v>768</v>
      </c>
      <c r="F22" s="10" t="s">
        <v>113</v>
      </c>
      <c r="G22" s="23" t="s">
        <v>72</v>
      </c>
      <c r="H22" s="23" t="s">
        <v>106</v>
      </c>
      <c r="I22" s="23" t="s">
        <v>30</v>
      </c>
      <c r="J22" s="11"/>
      <c r="K22" s="36" t="str">
        <f>"150,0"</f>
        <v>150,0</v>
      </c>
      <c r="L22" s="11" t="str">
        <f>"100,5600"</f>
        <v>100,5600</v>
      </c>
      <c r="M22" s="31" t="s">
        <v>697</v>
      </c>
    </row>
    <row r="23" spans="1:13">
      <c r="B23" s="6" t="s">
        <v>133</v>
      </c>
    </row>
    <row r="24" spans="1:13" ht="16">
      <c r="A24" s="39" t="s">
        <v>56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3">
      <c r="A25" s="9" t="s">
        <v>132</v>
      </c>
      <c r="B25" s="8" t="s">
        <v>418</v>
      </c>
      <c r="C25" s="8" t="s">
        <v>419</v>
      </c>
      <c r="D25" s="8" t="s">
        <v>420</v>
      </c>
      <c r="E25" s="8" t="s">
        <v>770</v>
      </c>
      <c r="F25" s="8" t="s">
        <v>185</v>
      </c>
      <c r="G25" s="21" t="s">
        <v>145</v>
      </c>
      <c r="H25" s="21" t="s">
        <v>161</v>
      </c>
      <c r="I25" s="22" t="s">
        <v>187</v>
      </c>
      <c r="J25" s="9"/>
      <c r="K25" s="35" t="str">
        <f>"45,0"</f>
        <v>45,0</v>
      </c>
      <c r="L25" s="9" t="str">
        <f>"29,4525"</f>
        <v>29,4525</v>
      </c>
      <c r="M25" s="8" t="s">
        <v>188</v>
      </c>
    </row>
    <row r="26" spans="1:13">
      <c r="A26" s="15" t="s">
        <v>132</v>
      </c>
      <c r="B26" s="14" t="s">
        <v>421</v>
      </c>
      <c r="C26" s="14" t="s">
        <v>422</v>
      </c>
      <c r="D26" s="14" t="s">
        <v>423</v>
      </c>
      <c r="E26" s="14" t="s">
        <v>768</v>
      </c>
      <c r="F26" s="14" t="s">
        <v>424</v>
      </c>
      <c r="G26" s="26" t="s">
        <v>425</v>
      </c>
      <c r="H26" s="27" t="s">
        <v>64</v>
      </c>
      <c r="I26" s="27" t="s">
        <v>64</v>
      </c>
      <c r="J26" s="15"/>
      <c r="K26" s="38" t="str">
        <f>"192,5"</f>
        <v>192,5</v>
      </c>
      <c r="L26" s="15" t="str">
        <f>"122,8920"</f>
        <v>122,8920</v>
      </c>
      <c r="M26" s="14" t="s">
        <v>739</v>
      </c>
    </row>
    <row r="27" spans="1:13">
      <c r="A27" s="15" t="s">
        <v>135</v>
      </c>
      <c r="B27" s="14" t="s">
        <v>426</v>
      </c>
      <c r="C27" s="14" t="s">
        <v>427</v>
      </c>
      <c r="D27" s="14" t="s">
        <v>428</v>
      </c>
      <c r="E27" s="14" t="s">
        <v>768</v>
      </c>
      <c r="F27" s="14" t="s">
        <v>15</v>
      </c>
      <c r="G27" s="27" t="s">
        <v>34</v>
      </c>
      <c r="H27" s="26" t="s">
        <v>429</v>
      </c>
      <c r="I27" s="27" t="s">
        <v>45</v>
      </c>
      <c r="J27" s="15"/>
      <c r="K27" s="38" t="str">
        <f>"182,5"</f>
        <v>182,5</v>
      </c>
      <c r="L27" s="15" t="str">
        <f>"118,4608"</f>
        <v>118,4608</v>
      </c>
      <c r="M27" s="14" t="s">
        <v>430</v>
      </c>
    </row>
    <row r="28" spans="1:13">
      <c r="A28" s="15" t="s">
        <v>136</v>
      </c>
      <c r="B28" s="14" t="s">
        <v>236</v>
      </c>
      <c r="C28" s="14" t="s">
        <v>237</v>
      </c>
      <c r="D28" s="14" t="s">
        <v>238</v>
      </c>
      <c r="E28" s="14" t="s">
        <v>768</v>
      </c>
      <c r="F28" s="14" t="s">
        <v>15</v>
      </c>
      <c r="G28" s="26" t="s">
        <v>90</v>
      </c>
      <c r="H28" s="26" t="s">
        <v>98</v>
      </c>
      <c r="I28" s="27" t="s">
        <v>239</v>
      </c>
      <c r="J28" s="15"/>
      <c r="K28" s="38" t="str">
        <f>"170,0"</f>
        <v>170,0</v>
      </c>
      <c r="L28" s="15" t="str">
        <f>"109,2080"</f>
        <v>109,2080</v>
      </c>
      <c r="M28" s="14" t="s">
        <v>100</v>
      </c>
    </row>
    <row r="29" spans="1:13">
      <c r="A29" s="15" t="s">
        <v>137</v>
      </c>
      <c r="B29" s="14" t="s">
        <v>431</v>
      </c>
      <c r="C29" s="14" t="s">
        <v>432</v>
      </c>
      <c r="D29" s="14" t="s">
        <v>433</v>
      </c>
      <c r="E29" s="14" t="s">
        <v>768</v>
      </c>
      <c r="F29" s="14" t="s">
        <v>434</v>
      </c>
      <c r="G29" s="27" t="s">
        <v>44</v>
      </c>
      <c r="H29" s="27" t="s">
        <v>44</v>
      </c>
      <c r="I29" s="26" t="s">
        <v>44</v>
      </c>
      <c r="J29" s="15"/>
      <c r="K29" s="38" t="str">
        <f>"135,0"</f>
        <v>135,0</v>
      </c>
      <c r="L29" s="15" t="str">
        <f>"87,6825"</f>
        <v>87,6825</v>
      </c>
      <c r="M29" s="14"/>
    </row>
    <row r="30" spans="1:13">
      <c r="A30" s="15" t="s">
        <v>389</v>
      </c>
      <c r="B30" s="14" t="s">
        <v>435</v>
      </c>
      <c r="C30" s="14" t="s">
        <v>436</v>
      </c>
      <c r="D30" s="14" t="s">
        <v>437</v>
      </c>
      <c r="E30" s="14" t="s">
        <v>768</v>
      </c>
      <c r="F30" s="14" t="s">
        <v>15</v>
      </c>
      <c r="G30" s="26" t="s">
        <v>26</v>
      </c>
      <c r="H30" s="26" t="s">
        <v>44</v>
      </c>
      <c r="I30" s="27" t="s">
        <v>438</v>
      </c>
      <c r="J30" s="15"/>
      <c r="K30" s="38" t="str">
        <f>"135,0"</f>
        <v>135,0</v>
      </c>
      <c r="L30" s="15" t="str">
        <f>"86,8860"</f>
        <v>86,8860</v>
      </c>
      <c r="M30" s="14"/>
    </row>
    <row r="31" spans="1:13">
      <c r="A31" s="11" t="s">
        <v>132</v>
      </c>
      <c r="B31" s="10" t="s">
        <v>327</v>
      </c>
      <c r="C31" s="10" t="s">
        <v>710</v>
      </c>
      <c r="D31" s="10" t="s">
        <v>439</v>
      </c>
      <c r="E31" s="10" t="s">
        <v>774</v>
      </c>
      <c r="F31" s="10" t="s">
        <v>15</v>
      </c>
      <c r="G31" s="23" t="s">
        <v>53</v>
      </c>
      <c r="H31" s="23" t="s">
        <v>90</v>
      </c>
      <c r="I31" s="24" t="s">
        <v>98</v>
      </c>
      <c r="J31" s="11"/>
      <c r="K31" s="36" t="str">
        <f>"165,0"</f>
        <v>165,0</v>
      </c>
      <c r="L31" s="11" t="str">
        <f>"132,2062"</f>
        <v>132,2062</v>
      </c>
      <c r="M31" s="10"/>
    </row>
    <row r="32" spans="1:13">
      <c r="B32" s="6" t="s">
        <v>133</v>
      </c>
    </row>
    <row r="33" spans="1:13" ht="16">
      <c r="A33" s="39" t="s">
        <v>75</v>
      </c>
      <c r="B33" s="39"/>
      <c r="C33" s="39"/>
      <c r="D33" s="39"/>
      <c r="E33" s="39"/>
      <c r="F33" s="39"/>
      <c r="G33" s="39"/>
      <c r="H33" s="39"/>
      <c r="I33" s="39"/>
      <c r="J33" s="39"/>
    </row>
    <row r="34" spans="1:13">
      <c r="A34" s="9" t="s">
        <v>132</v>
      </c>
      <c r="B34" s="8" t="s">
        <v>440</v>
      </c>
      <c r="C34" s="8" t="s">
        <v>441</v>
      </c>
      <c r="D34" s="8" t="s">
        <v>85</v>
      </c>
      <c r="E34" s="8" t="s">
        <v>768</v>
      </c>
      <c r="F34" s="8" t="s">
        <v>185</v>
      </c>
      <c r="G34" s="21" t="s">
        <v>30</v>
      </c>
      <c r="H34" s="22" t="s">
        <v>247</v>
      </c>
      <c r="I34" s="22" t="s">
        <v>247</v>
      </c>
      <c r="J34" s="9"/>
      <c r="K34" s="35" t="str">
        <f>"150,0"</f>
        <v>150,0</v>
      </c>
      <c r="L34" s="9" t="str">
        <f>"91,8900"</f>
        <v>91,8900</v>
      </c>
      <c r="M34" s="8" t="s">
        <v>188</v>
      </c>
    </row>
    <row r="35" spans="1:13">
      <c r="A35" s="11" t="s">
        <v>135</v>
      </c>
      <c r="B35" s="10" t="s">
        <v>442</v>
      </c>
      <c r="C35" s="10" t="s">
        <v>443</v>
      </c>
      <c r="D35" s="10" t="s">
        <v>303</v>
      </c>
      <c r="E35" s="10" t="s">
        <v>768</v>
      </c>
      <c r="F35" s="10" t="s">
        <v>185</v>
      </c>
      <c r="G35" s="23" t="s">
        <v>22</v>
      </c>
      <c r="H35" s="23" t="s">
        <v>26</v>
      </c>
      <c r="I35" s="24" t="s">
        <v>29</v>
      </c>
      <c r="J35" s="11"/>
      <c r="K35" s="36" t="str">
        <f>"130,0"</f>
        <v>130,0</v>
      </c>
      <c r="L35" s="11" t="str">
        <f>"80,7430"</f>
        <v>80,7430</v>
      </c>
      <c r="M35" s="10" t="s">
        <v>188</v>
      </c>
    </row>
    <row r="36" spans="1:13">
      <c r="B36" s="6" t="s">
        <v>133</v>
      </c>
    </row>
    <row r="37" spans="1:13" ht="16">
      <c r="A37" s="39" t="s">
        <v>109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13">
      <c r="A38" s="9" t="s">
        <v>132</v>
      </c>
      <c r="B38" s="8" t="s">
        <v>444</v>
      </c>
      <c r="C38" s="8" t="s">
        <v>711</v>
      </c>
      <c r="D38" s="8" t="s">
        <v>342</v>
      </c>
      <c r="E38" s="8" t="s">
        <v>769</v>
      </c>
      <c r="F38" s="8" t="s">
        <v>445</v>
      </c>
      <c r="G38" s="21" t="s">
        <v>148</v>
      </c>
      <c r="H38" s="21" t="s">
        <v>43</v>
      </c>
      <c r="I38" s="21" t="s">
        <v>44</v>
      </c>
      <c r="J38" s="9"/>
      <c r="K38" s="35" t="str">
        <f>"135,0"</f>
        <v>135,0</v>
      </c>
      <c r="L38" s="9" t="str">
        <f>"80,2035"</f>
        <v>80,2035</v>
      </c>
      <c r="M38" s="8" t="s">
        <v>315</v>
      </c>
    </row>
    <row r="39" spans="1:13">
      <c r="A39" s="15" t="s">
        <v>132</v>
      </c>
      <c r="B39" s="14" t="s">
        <v>446</v>
      </c>
      <c r="C39" s="14" t="s">
        <v>447</v>
      </c>
      <c r="D39" s="14" t="s">
        <v>448</v>
      </c>
      <c r="E39" s="14" t="s">
        <v>768</v>
      </c>
      <c r="F39" s="14" t="s">
        <v>449</v>
      </c>
      <c r="G39" s="26" t="s">
        <v>45</v>
      </c>
      <c r="H39" s="27" t="s">
        <v>266</v>
      </c>
      <c r="I39" s="26" t="s">
        <v>266</v>
      </c>
      <c r="J39" s="15"/>
      <c r="K39" s="38" t="str">
        <f>"195,0"</f>
        <v>195,0</v>
      </c>
      <c r="L39" s="15" t="str">
        <f>"118,1700"</f>
        <v>118,1700</v>
      </c>
      <c r="M39" s="14" t="s">
        <v>181</v>
      </c>
    </row>
    <row r="40" spans="1:13">
      <c r="A40" s="15" t="s">
        <v>135</v>
      </c>
      <c r="B40" s="14" t="s">
        <v>450</v>
      </c>
      <c r="C40" s="14" t="s">
        <v>451</v>
      </c>
      <c r="D40" s="14" t="s">
        <v>452</v>
      </c>
      <c r="E40" s="14" t="s">
        <v>768</v>
      </c>
      <c r="F40" s="14" t="s">
        <v>185</v>
      </c>
      <c r="G40" s="26" t="s">
        <v>30</v>
      </c>
      <c r="H40" s="27" t="s">
        <v>453</v>
      </c>
      <c r="I40" s="26" t="s">
        <v>453</v>
      </c>
      <c r="J40" s="15"/>
      <c r="K40" s="38" t="str">
        <f>"162,5"</f>
        <v>162,5</v>
      </c>
      <c r="L40" s="15" t="str">
        <f>"97,1100"</f>
        <v>97,1100</v>
      </c>
      <c r="M40" s="14" t="s">
        <v>188</v>
      </c>
    </row>
    <row r="41" spans="1:13">
      <c r="A41" s="15" t="s">
        <v>134</v>
      </c>
      <c r="B41" s="14" t="s">
        <v>454</v>
      </c>
      <c r="C41" s="14" t="s">
        <v>455</v>
      </c>
      <c r="D41" s="14" t="s">
        <v>456</v>
      </c>
      <c r="E41" s="14" t="s">
        <v>768</v>
      </c>
      <c r="F41" s="14" t="s">
        <v>33</v>
      </c>
      <c r="G41" s="27" t="s">
        <v>239</v>
      </c>
      <c r="H41" s="27" t="s">
        <v>239</v>
      </c>
      <c r="I41" s="27" t="s">
        <v>239</v>
      </c>
      <c r="J41" s="15"/>
      <c r="K41" s="38">
        <v>0</v>
      </c>
      <c r="L41" s="15" t="str">
        <f>"0,0000"</f>
        <v>0,0000</v>
      </c>
      <c r="M41" s="14"/>
    </row>
    <row r="42" spans="1:13">
      <c r="A42" s="11" t="s">
        <v>132</v>
      </c>
      <c r="B42" s="10" t="s">
        <v>457</v>
      </c>
      <c r="C42" s="10" t="s">
        <v>712</v>
      </c>
      <c r="D42" s="10" t="s">
        <v>458</v>
      </c>
      <c r="E42" s="10" t="s">
        <v>771</v>
      </c>
      <c r="F42" s="10" t="s">
        <v>185</v>
      </c>
      <c r="G42" s="23" t="s">
        <v>53</v>
      </c>
      <c r="H42" s="24" t="s">
        <v>453</v>
      </c>
      <c r="I42" s="23" t="s">
        <v>98</v>
      </c>
      <c r="J42" s="11"/>
      <c r="K42" s="36" t="str">
        <f>"170,0"</f>
        <v>170,0</v>
      </c>
      <c r="L42" s="11" t="str">
        <f>"101,1261"</f>
        <v>101,1261</v>
      </c>
      <c r="M42" s="10" t="s">
        <v>188</v>
      </c>
    </row>
    <row r="43" spans="1:13">
      <c r="B43" s="6" t="s">
        <v>133</v>
      </c>
    </row>
    <row r="44" spans="1:13" ht="16">
      <c r="A44" s="39" t="s">
        <v>261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3">
      <c r="A45" s="9" t="s">
        <v>132</v>
      </c>
      <c r="B45" s="8" t="s">
        <v>459</v>
      </c>
      <c r="C45" s="8" t="s">
        <v>460</v>
      </c>
      <c r="D45" s="8" t="s">
        <v>461</v>
      </c>
      <c r="E45" s="8" t="s">
        <v>770</v>
      </c>
      <c r="F45" s="8" t="s">
        <v>185</v>
      </c>
      <c r="G45" s="21" t="s">
        <v>143</v>
      </c>
      <c r="H45" s="22" t="s">
        <v>16</v>
      </c>
      <c r="I45" s="21" t="s">
        <v>16</v>
      </c>
      <c r="J45" s="9"/>
      <c r="K45" s="35" t="str">
        <f>"100,0"</f>
        <v>100,0</v>
      </c>
      <c r="L45" s="9" t="str">
        <f>"57,7200"</f>
        <v>57,7200</v>
      </c>
      <c r="M45" s="8" t="s">
        <v>188</v>
      </c>
    </row>
    <row r="46" spans="1:13">
      <c r="A46" s="15" t="s">
        <v>132</v>
      </c>
      <c r="B46" s="14" t="s">
        <v>462</v>
      </c>
      <c r="C46" s="14" t="s">
        <v>713</v>
      </c>
      <c r="D46" s="14" t="s">
        <v>463</v>
      </c>
      <c r="E46" s="14" t="s">
        <v>769</v>
      </c>
      <c r="F46" s="14" t="s">
        <v>185</v>
      </c>
      <c r="G46" s="26" t="s">
        <v>36</v>
      </c>
      <c r="H46" s="26" t="s">
        <v>46</v>
      </c>
      <c r="I46" s="27" t="s">
        <v>50</v>
      </c>
      <c r="J46" s="15"/>
      <c r="K46" s="38" t="str">
        <f>"210,0"</f>
        <v>210,0</v>
      </c>
      <c r="L46" s="15" t="str">
        <f>"120,0990"</f>
        <v>120,0990</v>
      </c>
      <c r="M46" s="14" t="s">
        <v>188</v>
      </c>
    </row>
    <row r="47" spans="1:13">
      <c r="A47" s="11" t="s">
        <v>132</v>
      </c>
      <c r="B47" s="10" t="s">
        <v>464</v>
      </c>
      <c r="C47" s="10" t="s">
        <v>465</v>
      </c>
      <c r="D47" s="10" t="s">
        <v>466</v>
      </c>
      <c r="E47" s="10" t="s">
        <v>768</v>
      </c>
      <c r="F47" s="10" t="s">
        <v>33</v>
      </c>
      <c r="G47" s="23" t="s">
        <v>46</v>
      </c>
      <c r="H47" s="23" t="s">
        <v>50</v>
      </c>
      <c r="I47" s="23" t="s">
        <v>285</v>
      </c>
      <c r="J47" s="11"/>
      <c r="K47" s="36" t="str">
        <f>"227,5"</f>
        <v>227,5</v>
      </c>
      <c r="L47" s="11" t="str">
        <f>"131,7907"</f>
        <v>131,7907</v>
      </c>
      <c r="M47" s="10"/>
    </row>
    <row r="48" spans="1:13">
      <c r="B48" s="6" t="s">
        <v>133</v>
      </c>
    </row>
    <row r="49" spans="1:21" ht="16">
      <c r="A49" s="39" t="s">
        <v>373</v>
      </c>
      <c r="B49" s="39"/>
      <c r="C49" s="39"/>
      <c r="D49" s="39"/>
      <c r="E49" s="39"/>
      <c r="F49" s="39"/>
      <c r="G49" s="39"/>
      <c r="H49" s="39"/>
      <c r="I49" s="39"/>
      <c r="J49" s="39"/>
    </row>
    <row r="50" spans="1:21">
      <c r="A50" s="9" t="s">
        <v>132</v>
      </c>
      <c r="B50" s="8" t="s">
        <v>467</v>
      </c>
      <c r="C50" s="8" t="s">
        <v>468</v>
      </c>
      <c r="D50" s="8" t="s">
        <v>469</v>
      </c>
      <c r="E50" s="8" t="s">
        <v>770</v>
      </c>
      <c r="F50" s="8" t="s">
        <v>185</v>
      </c>
      <c r="G50" s="21" t="s">
        <v>162</v>
      </c>
      <c r="H50" s="21" t="s">
        <v>142</v>
      </c>
      <c r="I50" s="21" t="s">
        <v>143</v>
      </c>
      <c r="J50" s="9"/>
      <c r="K50" s="35" t="str">
        <f>"90,0"</f>
        <v>90,0</v>
      </c>
      <c r="L50" s="9" t="str">
        <f>"51,1650"</f>
        <v>51,1650</v>
      </c>
      <c r="M50" s="8" t="s">
        <v>188</v>
      </c>
    </row>
    <row r="51" spans="1:21">
      <c r="A51" s="15" t="s">
        <v>132</v>
      </c>
      <c r="B51" s="14" t="s">
        <v>470</v>
      </c>
      <c r="C51" s="14" t="s">
        <v>471</v>
      </c>
      <c r="D51" s="14" t="s">
        <v>472</v>
      </c>
      <c r="E51" s="14" t="s">
        <v>768</v>
      </c>
      <c r="F51" s="14" t="s">
        <v>473</v>
      </c>
      <c r="G51" s="26" t="s">
        <v>36</v>
      </c>
      <c r="H51" s="26" t="s">
        <v>46</v>
      </c>
      <c r="I51" s="27" t="s">
        <v>73</v>
      </c>
      <c r="J51" s="15"/>
      <c r="K51" s="38" t="str">
        <f>"210,0"</f>
        <v>210,0</v>
      </c>
      <c r="L51" s="15" t="str">
        <f>"117,4740"</f>
        <v>117,4740</v>
      </c>
      <c r="M51" s="14"/>
    </row>
    <row r="52" spans="1:21">
      <c r="A52" s="15" t="s">
        <v>135</v>
      </c>
      <c r="B52" s="14" t="s">
        <v>474</v>
      </c>
      <c r="C52" s="14" t="s">
        <v>475</v>
      </c>
      <c r="D52" s="14" t="s">
        <v>476</v>
      </c>
      <c r="E52" s="14" t="s">
        <v>768</v>
      </c>
      <c r="F52" s="14" t="s">
        <v>223</v>
      </c>
      <c r="G52" s="26" t="s">
        <v>247</v>
      </c>
      <c r="H52" s="26" t="s">
        <v>98</v>
      </c>
      <c r="I52" s="27" t="s">
        <v>99</v>
      </c>
      <c r="J52" s="15"/>
      <c r="K52" s="38" t="str">
        <f>"170,0"</f>
        <v>170,0</v>
      </c>
      <c r="L52" s="15" t="str">
        <f>"96,0670"</f>
        <v>96,0670</v>
      </c>
      <c r="M52" s="14" t="s">
        <v>477</v>
      </c>
    </row>
    <row r="53" spans="1:21">
      <c r="A53" s="11" t="s">
        <v>132</v>
      </c>
      <c r="B53" s="10" t="s">
        <v>478</v>
      </c>
      <c r="C53" s="10" t="s">
        <v>714</v>
      </c>
      <c r="D53" s="10" t="s">
        <v>479</v>
      </c>
      <c r="E53" s="10" t="s">
        <v>774</v>
      </c>
      <c r="F53" s="10" t="s">
        <v>15</v>
      </c>
      <c r="G53" s="23" t="s">
        <v>453</v>
      </c>
      <c r="H53" s="23" t="s">
        <v>98</v>
      </c>
      <c r="I53" s="24" t="s">
        <v>239</v>
      </c>
      <c r="J53" s="11"/>
      <c r="K53" s="36" t="str">
        <f>"170,0"</f>
        <v>170,0</v>
      </c>
      <c r="L53" s="11" t="str">
        <f>"122,8560"</f>
        <v>122,8560</v>
      </c>
      <c r="M53" s="10"/>
    </row>
    <row r="54" spans="1:21">
      <c r="B54" s="6" t="s">
        <v>133</v>
      </c>
    </row>
    <row r="56" spans="1:21">
      <c r="B56" s="6" t="s">
        <v>133</v>
      </c>
    </row>
    <row r="57" spans="1:21" ht="18">
      <c r="B57" s="32" t="s">
        <v>115</v>
      </c>
      <c r="C57" s="16"/>
    </row>
    <row r="58" spans="1:21" ht="16">
      <c r="B58" s="17" t="s">
        <v>123</v>
      </c>
      <c r="C58" s="17"/>
      <c r="M58" s="7"/>
      <c r="N58" s="7"/>
      <c r="O58" s="7"/>
      <c r="P58" s="7"/>
      <c r="Q58" s="7"/>
      <c r="R58" s="7"/>
      <c r="S58" s="7"/>
      <c r="T58" s="7"/>
      <c r="U58" s="6"/>
    </row>
    <row r="59" spans="1:21" ht="13.5" customHeight="1">
      <c r="B59" s="19"/>
      <c r="C59" s="20" t="s">
        <v>116</v>
      </c>
    </row>
    <row r="60" spans="1:21" ht="13.5" customHeight="1">
      <c r="A60" s="7"/>
      <c r="B60" s="5" t="s">
        <v>117</v>
      </c>
      <c r="C60" s="5" t="s">
        <v>118</v>
      </c>
      <c r="D60" s="5" t="s">
        <v>735</v>
      </c>
      <c r="E60" s="5" t="s">
        <v>383</v>
      </c>
      <c r="F60" s="5" t="s">
        <v>121</v>
      </c>
    </row>
    <row r="61" spans="1:21" ht="13.5" customHeight="1">
      <c r="A61" s="7"/>
      <c r="B61" s="6" t="s">
        <v>464</v>
      </c>
      <c r="C61" s="6" t="s">
        <v>116</v>
      </c>
      <c r="D61" s="7" t="s">
        <v>296</v>
      </c>
      <c r="E61" s="7" t="s">
        <v>285</v>
      </c>
      <c r="F61" s="7" t="s">
        <v>480</v>
      </c>
    </row>
    <row r="62" spans="1:21" ht="13.5" customHeight="1">
      <c r="A62" s="7"/>
      <c r="B62" s="6" t="s">
        <v>421</v>
      </c>
      <c r="C62" s="6" t="s">
        <v>116</v>
      </c>
      <c r="D62" s="7" t="s">
        <v>127</v>
      </c>
      <c r="E62" s="7" t="s">
        <v>425</v>
      </c>
      <c r="F62" s="7" t="s">
        <v>481</v>
      </c>
    </row>
    <row r="63" spans="1:21" ht="13.5" customHeight="1">
      <c r="A63" s="7"/>
      <c r="B63" s="6" t="s">
        <v>426</v>
      </c>
      <c r="C63" s="6" t="s">
        <v>116</v>
      </c>
      <c r="D63" s="7" t="s">
        <v>127</v>
      </c>
      <c r="E63" s="7" t="s">
        <v>429</v>
      </c>
      <c r="F63" s="7" t="s">
        <v>482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3:J33"/>
    <mergeCell ref="A37:J37"/>
    <mergeCell ref="A44:J44"/>
    <mergeCell ref="A49:J49"/>
    <mergeCell ref="B3:B4"/>
    <mergeCell ref="A8:J8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4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39" style="6" bestFit="1" customWidth="1"/>
    <col min="7" max="10" width="5.5" style="7" customWidth="1"/>
    <col min="11" max="11" width="14.5" style="34" customWidth="1"/>
    <col min="12" max="12" width="8.5" style="7" bestFit="1" customWidth="1"/>
    <col min="13" max="13" width="23.83203125" style="6" bestFit="1" customWidth="1"/>
    <col min="14" max="16384" width="9.1640625" style="3"/>
  </cols>
  <sheetData>
    <row r="1" spans="1:13" s="2" customFormat="1" ht="29" customHeight="1">
      <c r="A1" s="48" t="s">
        <v>758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59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60"/>
      <c r="L4" s="41"/>
      <c r="M4" s="43"/>
    </row>
    <row r="5" spans="1:13" ht="16">
      <c r="A5" s="44" t="s">
        <v>172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305</v>
      </c>
      <c r="C6" s="12" t="s">
        <v>306</v>
      </c>
      <c r="D6" s="12" t="s">
        <v>307</v>
      </c>
      <c r="E6" s="12" t="s">
        <v>768</v>
      </c>
      <c r="F6" s="12" t="s">
        <v>15</v>
      </c>
      <c r="G6" s="25" t="s">
        <v>169</v>
      </c>
      <c r="H6" s="25" t="s">
        <v>154</v>
      </c>
      <c r="I6" s="28" t="s">
        <v>154</v>
      </c>
      <c r="J6" s="13"/>
      <c r="K6" s="37" t="str">
        <f>"35,0"</f>
        <v>35,0</v>
      </c>
      <c r="L6" s="13" t="str">
        <f>"41,1810"</f>
        <v>41,1810</v>
      </c>
      <c r="M6" s="12" t="s">
        <v>308</v>
      </c>
    </row>
    <row r="7" spans="1:13">
      <c r="B7" s="6" t="s">
        <v>133</v>
      </c>
    </row>
    <row r="8" spans="1:13" ht="16">
      <c r="A8" s="39" t="s">
        <v>11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9" t="s">
        <v>132</v>
      </c>
      <c r="B9" s="8" t="s">
        <v>309</v>
      </c>
      <c r="C9" s="8" t="s">
        <v>310</v>
      </c>
      <c r="D9" s="8" t="s">
        <v>311</v>
      </c>
      <c r="E9" s="8" t="s">
        <v>768</v>
      </c>
      <c r="F9" s="8" t="s">
        <v>223</v>
      </c>
      <c r="G9" s="21" t="s">
        <v>44</v>
      </c>
      <c r="H9" s="21" t="s">
        <v>29</v>
      </c>
      <c r="I9" s="21" t="s">
        <v>106</v>
      </c>
      <c r="J9" s="9"/>
      <c r="K9" s="35" t="str">
        <f>"145,0"</f>
        <v>145,0</v>
      </c>
      <c r="L9" s="9" t="str">
        <f>"147,9870"</f>
        <v>147,9870</v>
      </c>
      <c r="M9" s="8" t="s">
        <v>235</v>
      </c>
    </row>
    <row r="10" spans="1:13">
      <c r="A10" s="11" t="s">
        <v>135</v>
      </c>
      <c r="B10" s="10" t="s">
        <v>312</v>
      </c>
      <c r="C10" s="10" t="s">
        <v>313</v>
      </c>
      <c r="D10" s="10" t="s">
        <v>314</v>
      </c>
      <c r="E10" s="10" t="s">
        <v>768</v>
      </c>
      <c r="F10" s="10" t="s">
        <v>15</v>
      </c>
      <c r="G10" s="23" t="s">
        <v>177</v>
      </c>
      <c r="H10" s="23" t="s">
        <v>179</v>
      </c>
      <c r="I10" s="23" t="s">
        <v>144</v>
      </c>
      <c r="J10" s="11"/>
      <c r="K10" s="36" t="str">
        <f>"95,0"</f>
        <v>95,0</v>
      </c>
      <c r="L10" s="11" t="str">
        <f>"98,3345"</f>
        <v>98,3345</v>
      </c>
      <c r="M10" s="10" t="s">
        <v>315</v>
      </c>
    </row>
    <row r="11" spans="1:13">
      <c r="B11" s="6" t="s">
        <v>133</v>
      </c>
    </row>
    <row r="12" spans="1:13" ht="16">
      <c r="A12" s="39" t="s">
        <v>56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13" t="s">
        <v>132</v>
      </c>
      <c r="B13" s="12" t="s">
        <v>316</v>
      </c>
      <c r="C13" s="12" t="s">
        <v>715</v>
      </c>
      <c r="D13" s="12" t="s">
        <v>317</v>
      </c>
      <c r="E13" s="12" t="s">
        <v>771</v>
      </c>
      <c r="F13" s="12" t="s">
        <v>318</v>
      </c>
      <c r="G13" s="28" t="s">
        <v>98</v>
      </c>
      <c r="H13" s="28" t="s">
        <v>239</v>
      </c>
      <c r="I13" s="28" t="s">
        <v>34</v>
      </c>
      <c r="J13" s="13"/>
      <c r="K13" s="37" t="str">
        <f>"180,0"</f>
        <v>180,0</v>
      </c>
      <c r="L13" s="13" t="str">
        <f>"119,9614"</f>
        <v>119,9614</v>
      </c>
      <c r="M13" s="12" t="s">
        <v>319</v>
      </c>
    </row>
    <row r="14" spans="1:13">
      <c r="B14" s="6" t="s">
        <v>133</v>
      </c>
    </row>
    <row r="15" spans="1:13" ht="16">
      <c r="A15" s="39" t="s">
        <v>75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3">
      <c r="A16" s="9" t="s">
        <v>132</v>
      </c>
      <c r="B16" s="8" t="s">
        <v>320</v>
      </c>
      <c r="C16" s="8" t="s">
        <v>321</v>
      </c>
      <c r="D16" s="8" t="s">
        <v>322</v>
      </c>
      <c r="E16" s="8" t="s">
        <v>768</v>
      </c>
      <c r="F16" s="8" t="s">
        <v>15</v>
      </c>
      <c r="G16" s="21" t="s">
        <v>36</v>
      </c>
      <c r="H16" s="21" t="s">
        <v>323</v>
      </c>
      <c r="I16" s="22" t="s">
        <v>74</v>
      </c>
      <c r="J16" s="9"/>
      <c r="K16" s="35" t="str">
        <f>"212,5"</f>
        <v>212,5</v>
      </c>
      <c r="L16" s="9" t="str">
        <f>"133,4925"</f>
        <v>133,4925</v>
      </c>
      <c r="M16" s="8" t="s">
        <v>324</v>
      </c>
    </row>
    <row r="17" spans="1:13">
      <c r="A17" s="15" t="s">
        <v>135</v>
      </c>
      <c r="B17" s="14" t="s">
        <v>325</v>
      </c>
      <c r="C17" s="14" t="s">
        <v>326</v>
      </c>
      <c r="D17" s="14" t="s">
        <v>85</v>
      </c>
      <c r="E17" s="14" t="s">
        <v>768</v>
      </c>
      <c r="F17" s="14" t="s">
        <v>185</v>
      </c>
      <c r="G17" s="26" t="s">
        <v>107</v>
      </c>
      <c r="H17" s="26" t="s">
        <v>323</v>
      </c>
      <c r="I17" s="27" t="s">
        <v>108</v>
      </c>
      <c r="J17" s="15"/>
      <c r="K17" s="38" t="str">
        <f>"212,5"</f>
        <v>212,5</v>
      </c>
      <c r="L17" s="15" t="str">
        <f>"130,1775"</f>
        <v>130,1775</v>
      </c>
      <c r="M17" s="14"/>
    </row>
    <row r="18" spans="1:13">
      <c r="A18" s="11" t="s">
        <v>136</v>
      </c>
      <c r="B18" s="10" t="s">
        <v>327</v>
      </c>
      <c r="C18" s="10" t="s">
        <v>328</v>
      </c>
      <c r="D18" s="10" t="s">
        <v>329</v>
      </c>
      <c r="E18" s="10" t="s">
        <v>768</v>
      </c>
      <c r="F18" s="10" t="s">
        <v>15</v>
      </c>
      <c r="G18" s="23" t="s">
        <v>34</v>
      </c>
      <c r="H18" s="23" t="s">
        <v>330</v>
      </c>
      <c r="I18" s="23" t="s">
        <v>35</v>
      </c>
      <c r="J18" s="11"/>
      <c r="K18" s="36" t="str">
        <f>"190,0"</f>
        <v>190,0</v>
      </c>
      <c r="L18" s="11" t="str">
        <f>"115,9570"</f>
        <v>115,9570</v>
      </c>
      <c r="M18" s="31" t="s">
        <v>698</v>
      </c>
    </row>
    <row r="19" spans="1:13">
      <c r="B19" s="6" t="s">
        <v>133</v>
      </c>
    </row>
    <row r="20" spans="1:13" ht="16">
      <c r="A20" s="39" t="s">
        <v>109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3">
      <c r="A21" s="9" t="s">
        <v>132</v>
      </c>
      <c r="B21" s="8" t="s">
        <v>331</v>
      </c>
      <c r="C21" s="8" t="s">
        <v>332</v>
      </c>
      <c r="D21" s="8" t="s">
        <v>333</v>
      </c>
      <c r="E21" s="8" t="s">
        <v>768</v>
      </c>
      <c r="F21" s="8" t="s">
        <v>738</v>
      </c>
      <c r="G21" s="21" t="s">
        <v>36</v>
      </c>
      <c r="H21" s="21" t="s">
        <v>107</v>
      </c>
      <c r="I21" s="21" t="s">
        <v>46</v>
      </c>
      <c r="J21" s="9"/>
      <c r="K21" s="35" t="str">
        <f>"210,0"</f>
        <v>210,0</v>
      </c>
      <c r="L21" s="9" t="str">
        <f>"124,4880"</f>
        <v>124,4880</v>
      </c>
      <c r="M21" s="8"/>
    </row>
    <row r="22" spans="1:13">
      <c r="A22" s="15" t="s">
        <v>135</v>
      </c>
      <c r="B22" s="14" t="s">
        <v>335</v>
      </c>
      <c r="C22" s="14" t="s">
        <v>336</v>
      </c>
      <c r="D22" s="14" t="s">
        <v>337</v>
      </c>
      <c r="E22" s="8" t="s">
        <v>768</v>
      </c>
      <c r="F22" s="14" t="s">
        <v>740</v>
      </c>
      <c r="G22" s="26" t="s">
        <v>36</v>
      </c>
      <c r="H22" s="26" t="s">
        <v>107</v>
      </c>
      <c r="I22" s="27" t="s">
        <v>338</v>
      </c>
      <c r="J22" s="15"/>
      <c r="K22" s="38" t="str">
        <f>"205,0"</f>
        <v>205,0</v>
      </c>
      <c r="L22" s="15" t="str">
        <f>"124,0865"</f>
        <v>124,0865</v>
      </c>
      <c r="M22" s="14" t="s">
        <v>339</v>
      </c>
    </row>
    <row r="23" spans="1:13">
      <c r="A23" s="15" t="s">
        <v>136</v>
      </c>
      <c r="B23" s="14" t="s">
        <v>340</v>
      </c>
      <c r="C23" s="14" t="s">
        <v>341</v>
      </c>
      <c r="D23" s="14" t="s">
        <v>342</v>
      </c>
      <c r="E23" s="8" t="s">
        <v>768</v>
      </c>
      <c r="F23" s="14" t="s">
        <v>343</v>
      </c>
      <c r="G23" s="26" t="s">
        <v>344</v>
      </c>
      <c r="H23" s="26" t="s">
        <v>107</v>
      </c>
      <c r="I23" s="27" t="s">
        <v>338</v>
      </c>
      <c r="J23" s="15"/>
      <c r="K23" s="38" t="str">
        <f>"205,0"</f>
        <v>205,0</v>
      </c>
      <c r="L23" s="15" t="str">
        <f>"121,7905"</f>
        <v>121,7905</v>
      </c>
      <c r="M23" s="14" t="s">
        <v>345</v>
      </c>
    </row>
    <row r="24" spans="1:13">
      <c r="A24" s="15" t="s">
        <v>137</v>
      </c>
      <c r="B24" s="14" t="s">
        <v>346</v>
      </c>
      <c r="C24" s="14" t="s">
        <v>347</v>
      </c>
      <c r="D24" s="14" t="s">
        <v>348</v>
      </c>
      <c r="E24" s="8" t="s">
        <v>768</v>
      </c>
      <c r="F24" s="14" t="s">
        <v>741</v>
      </c>
      <c r="G24" s="26" t="s">
        <v>98</v>
      </c>
      <c r="H24" s="26" t="s">
        <v>34</v>
      </c>
      <c r="I24" s="27" t="s">
        <v>35</v>
      </c>
      <c r="J24" s="15"/>
      <c r="K24" s="38" t="str">
        <f>"180,0"</f>
        <v>180,0</v>
      </c>
      <c r="L24" s="15" t="str">
        <f>"106,0740"</f>
        <v>106,0740</v>
      </c>
      <c r="M24" s="14" t="s">
        <v>349</v>
      </c>
    </row>
    <row r="25" spans="1:13">
      <c r="A25" s="15" t="s">
        <v>389</v>
      </c>
      <c r="B25" s="14" t="s">
        <v>350</v>
      </c>
      <c r="C25" s="14" t="s">
        <v>351</v>
      </c>
      <c r="D25" s="14" t="s">
        <v>352</v>
      </c>
      <c r="E25" s="8" t="s">
        <v>768</v>
      </c>
      <c r="F25" s="14" t="s">
        <v>353</v>
      </c>
      <c r="G25" s="26" t="s">
        <v>144</v>
      </c>
      <c r="H25" s="26" t="s">
        <v>17</v>
      </c>
      <c r="I25" s="26" t="s">
        <v>147</v>
      </c>
      <c r="J25" s="15"/>
      <c r="K25" s="38" t="str">
        <f>"115,0"</f>
        <v>115,0</v>
      </c>
      <c r="L25" s="15" t="str">
        <f>"68,0915"</f>
        <v>68,0915</v>
      </c>
      <c r="M25" s="14" t="s">
        <v>354</v>
      </c>
    </row>
    <row r="26" spans="1:13">
      <c r="A26" s="11" t="s">
        <v>134</v>
      </c>
      <c r="B26" s="10" t="s">
        <v>355</v>
      </c>
      <c r="C26" s="10" t="s">
        <v>336</v>
      </c>
      <c r="D26" s="10" t="s">
        <v>356</v>
      </c>
      <c r="E26" s="8" t="s">
        <v>768</v>
      </c>
      <c r="F26" s="10" t="s">
        <v>86</v>
      </c>
      <c r="G26" s="24" t="s">
        <v>54</v>
      </c>
      <c r="H26" s="24" t="s">
        <v>54</v>
      </c>
      <c r="I26" s="24" t="s">
        <v>54</v>
      </c>
      <c r="J26" s="11"/>
      <c r="K26" s="36">
        <v>0</v>
      </c>
      <c r="L26" s="11" t="str">
        <f>"0,0000"</f>
        <v>0,0000</v>
      </c>
      <c r="M26" s="10"/>
    </row>
    <row r="27" spans="1:13">
      <c r="B27" s="6" t="s">
        <v>133</v>
      </c>
    </row>
    <row r="28" spans="1:13" ht="16">
      <c r="A28" s="39" t="s">
        <v>261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3">
      <c r="A29" s="9" t="s">
        <v>132</v>
      </c>
      <c r="B29" s="8" t="s">
        <v>357</v>
      </c>
      <c r="C29" s="8" t="s">
        <v>358</v>
      </c>
      <c r="D29" s="8" t="s">
        <v>359</v>
      </c>
      <c r="E29" s="8" t="s">
        <v>768</v>
      </c>
      <c r="F29" s="8" t="s">
        <v>360</v>
      </c>
      <c r="G29" s="21" t="s">
        <v>71</v>
      </c>
      <c r="H29" s="21" t="s">
        <v>361</v>
      </c>
      <c r="I29" s="22" t="s">
        <v>88</v>
      </c>
      <c r="J29" s="9"/>
      <c r="K29" s="35" t="str">
        <f>"247,5"</f>
        <v>247,5</v>
      </c>
      <c r="L29" s="9" t="str">
        <f>"141,0255"</f>
        <v>141,0255</v>
      </c>
      <c r="M29" s="8" t="s">
        <v>742</v>
      </c>
    </row>
    <row r="30" spans="1:13">
      <c r="A30" s="15" t="s">
        <v>135</v>
      </c>
      <c r="B30" s="14" t="s">
        <v>362</v>
      </c>
      <c r="C30" s="14" t="s">
        <v>363</v>
      </c>
      <c r="D30" s="14" t="s">
        <v>364</v>
      </c>
      <c r="E30" s="14" t="s">
        <v>768</v>
      </c>
      <c r="F30" s="14" t="s">
        <v>365</v>
      </c>
      <c r="G30" s="26" t="s">
        <v>50</v>
      </c>
      <c r="H30" s="26" t="s">
        <v>70</v>
      </c>
      <c r="I30" s="27" t="s">
        <v>54</v>
      </c>
      <c r="J30" s="15"/>
      <c r="K30" s="38" t="str">
        <f>"230,0"</f>
        <v>230,0</v>
      </c>
      <c r="L30" s="15" t="str">
        <f>"133,0550"</f>
        <v>133,0550</v>
      </c>
      <c r="M30" s="14" t="s">
        <v>235</v>
      </c>
    </row>
    <row r="31" spans="1:13">
      <c r="A31" s="15" t="s">
        <v>136</v>
      </c>
      <c r="B31" s="14" t="s">
        <v>366</v>
      </c>
      <c r="C31" s="14" t="s">
        <v>367</v>
      </c>
      <c r="D31" s="14" t="s">
        <v>368</v>
      </c>
      <c r="E31" s="14" t="s">
        <v>768</v>
      </c>
      <c r="F31" s="14" t="s">
        <v>369</v>
      </c>
      <c r="G31" s="27" t="s">
        <v>50</v>
      </c>
      <c r="H31" s="26" t="s">
        <v>50</v>
      </c>
      <c r="I31" s="27" t="s">
        <v>74</v>
      </c>
      <c r="J31" s="15"/>
      <c r="K31" s="38" t="str">
        <f>"220,0"</f>
        <v>220,0</v>
      </c>
      <c r="L31" s="15" t="str">
        <f>"125,7740"</f>
        <v>125,7740</v>
      </c>
      <c r="M31" s="14" t="s">
        <v>370</v>
      </c>
    </row>
    <row r="32" spans="1:13">
      <c r="A32" s="15" t="s">
        <v>132</v>
      </c>
      <c r="B32" s="14" t="s">
        <v>362</v>
      </c>
      <c r="C32" s="14" t="s">
        <v>716</v>
      </c>
      <c r="D32" s="14" t="s">
        <v>364</v>
      </c>
      <c r="E32" s="14" t="s">
        <v>771</v>
      </c>
      <c r="F32" s="14" t="s">
        <v>365</v>
      </c>
      <c r="G32" s="26" t="s">
        <v>50</v>
      </c>
      <c r="H32" s="26" t="s">
        <v>70</v>
      </c>
      <c r="I32" s="27" t="s">
        <v>54</v>
      </c>
      <c r="J32" s="15"/>
      <c r="K32" s="38" t="str">
        <f>"230,0"</f>
        <v>230,0</v>
      </c>
      <c r="L32" s="15" t="str">
        <f>"136,7805"</f>
        <v>136,7805</v>
      </c>
      <c r="M32" s="14" t="s">
        <v>235</v>
      </c>
    </row>
    <row r="33" spans="1:13">
      <c r="A33" s="11" t="s">
        <v>132</v>
      </c>
      <c r="B33" s="10" t="s">
        <v>371</v>
      </c>
      <c r="C33" s="10" t="s">
        <v>717</v>
      </c>
      <c r="D33" s="10" t="s">
        <v>372</v>
      </c>
      <c r="E33" s="10" t="s">
        <v>775</v>
      </c>
      <c r="F33" s="10" t="s">
        <v>185</v>
      </c>
      <c r="G33" s="23" t="s">
        <v>36</v>
      </c>
      <c r="H33" s="23" t="s">
        <v>107</v>
      </c>
      <c r="I33" s="11"/>
      <c r="J33" s="11"/>
      <c r="K33" s="36" t="str">
        <f>"205,0"</f>
        <v>205,0</v>
      </c>
      <c r="L33" s="11" t="str">
        <f>"127,2943"</f>
        <v>127,2943</v>
      </c>
      <c r="M33" s="10"/>
    </row>
    <row r="34" spans="1:13">
      <c r="B34" s="6" t="s">
        <v>133</v>
      </c>
    </row>
    <row r="35" spans="1:13" ht="16">
      <c r="A35" s="39" t="s">
        <v>373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3">
      <c r="A36" s="9" t="s">
        <v>132</v>
      </c>
      <c r="B36" s="8" t="s">
        <v>374</v>
      </c>
      <c r="C36" s="8" t="s">
        <v>375</v>
      </c>
      <c r="D36" s="8" t="s">
        <v>376</v>
      </c>
      <c r="E36" s="8" t="s">
        <v>768</v>
      </c>
      <c r="F36" s="8" t="s">
        <v>377</v>
      </c>
      <c r="G36" s="21" t="s">
        <v>71</v>
      </c>
      <c r="H36" s="21" t="s">
        <v>361</v>
      </c>
      <c r="I36" s="22" t="s">
        <v>378</v>
      </c>
      <c r="J36" s="9"/>
      <c r="K36" s="35" t="str">
        <f>"247,5"</f>
        <v>247,5</v>
      </c>
      <c r="L36" s="9" t="str">
        <f>"139,6890"</f>
        <v>139,6890</v>
      </c>
      <c r="M36" s="8"/>
    </row>
    <row r="37" spans="1:13">
      <c r="A37" s="15" t="s">
        <v>135</v>
      </c>
      <c r="B37" s="14" t="s">
        <v>379</v>
      </c>
      <c r="C37" s="14" t="s">
        <v>380</v>
      </c>
      <c r="D37" s="14" t="s">
        <v>381</v>
      </c>
      <c r="E37" s="14" t="s">
        <v>768</v>
      </c>
      <c r="F37" s="14" t="s">
        <v>382</v>
      </c>
      <c r="G37" s="26" t="s">
        <v>338</v>
      </c>
      <c r="H37" s="26" t="s">
        <v>73</v>
      </c>
      <c r="I37" s="27" t="s">
        <v>50</v>
      </c>
      <c r="J37" s="15"/>
      <c r="K37" s="38" t="str">
        <f>"215,0"</f>
        <v>215,0</v>
      </c>
      <c r="L37" s="15" t="str">
        <f>"120,3140"</f>
        <v>120,3140</v>
      </c>
      <c r="M37" s="14"/>
    </row>
    <row r="38" spans="1:13">
      <c r="A38" s="11" t="s">
        <v>132</v>
      </c>
      <c r="B38" s="10" t="s">
        <v>379</v>
      </c>
      <c r="C38" s="10" t="s">
        <v>718</v>
      </c>
      <c r="D38" s="10" t="s">
        <v>381</v>
      </c>
      <c r="E38" s="10" t="s">
        <v>774</v>
      </c>
      <c r="F38" s="10" t="s">
        <v>382</v>
      </c>
      <c r="G38" s="23" t="s">
        <v>338</v>
      </c>
      <c r="H38" s="23" t="s">
        <v>73</v>
      </c>
      <c r="I38" s="24" t="s">
        <v>50</v>
      </c>
      <c r="J38" s="11"/>
      <c r="K38" s="36" t="str">
        <f>"215,0"</f>
        <v>215,0</v>
      </c>
      <c r="L38" s="11" t="str">
        <f>"159,0551"</f>
        <v>159,0551</v>
      </c>
      <c r="M38" s="10"/>
    </row>
    <row r="39" spans="1:13">
      <c r="B39" s="6" t="s">
        <v>133</v>
      </c>
    </row>
    <row r="41" spans="1:13">
      <c r="B41" s="6" t="s">
        <v>133</v>
      </c>
    </row>
    <row r="42" spans="1:13" ht="18">
      <c r="B42" s="32" t="s">
        <v>115</v>
      </c>
      <c r="C42" s="16"/>
    </row>
    <row r="43" spans="1:13" ht="16">
      <c r="B43" s="17" t="s">
        <v>123</v>
      </c>
      <c r="C43" s="17"/>
    </row>
    <row r="44" spans="1:13" ht="14">
      <c r="B44" s="19"/>
      <c r="C44" s="20" t="s">
        <v>116</v>
      </c>
    </row>
    <row r="45" spans="1:13" ht="14">
      <c r="A45" s="7"/>
      <c r="B45" s="5" t="s">
        <v>117</v>
      </c>
      <c r="C45" s="5" t="s">
        <v>118</v>
      </c>
      <c r="D45" s="5" t="s">
        <v>119</v>
      </c>
      <c r="E45" s="5" t="s">
        <v>383</v>
      </c>
      <c r="F45" s="5" t="s">
        <v>121</v>
      </c>
    </row>
    <row r="46" spans="1:13">
      <c r="A46" s="7"/>
      <c r="B46" s="6" t="s">
        <v>357</v>
      </c>
      <c r="C46" s="6" t="s">
        <v>116</v>
      </c>
      <c r="D46" s="7" t="s">
        <v>296</v>
      </c>
      <c r="E46" s="7" t="s">
        <v>361</v>
      </c>
      <c r="F46" s="7" t="s">
        <v>384</v>
      </c>
    </row>
    <row r="47" spans="1:13">
      <c r="A47" s="7"/>
      <c r="B47" s="6" t="s">
        <v>374</v>
      </c>
      <c r="C47" s="6" t="s">
        <v>116</v>
      </c>
      <c r="D47" s="7" t="s">
        <v>385</v>
      </c>
      <c r="E47" s="7" t="s">
        <v>361</v>
      </c>
      <c r="F47" s="7" t="s">
        <v>386</v>
      </c>
    </row>
    <row r="48" spans="1:13">
      <c r="A48" s="7"/>
      <c r="B48" s="6" t="s">
        <v>320</v>
      </c>
      <c r="C48" s="6" t="s">
        <v>116</v>
      </c>
      <c r="D48" s="7" t="s">
        <v>124</v>
      </c>
      <c r="E48" s="7" t="s">
        <v>323</v>
      </c>
      <c r="F48" s="7" t="s">
        <v>387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5:J35"/>
    <mergeCell ref="K3:K4"/>
    <mergeCell ref="L3:L4"/>
    <mergeCell ref="M3:M4"/>
    <mergeCell ref="A5:J5"/>
    <mergeCell ref="B3:B4"/>
    <mergeCell ref="A8:J8"/>
    <mergeCell ref="A12:J12"/>
    <mergeCell ref="A15:J15"/>
    <mergeCell ref="A20:J20"/>
    <mergeCell ref="A28:J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6.33203125" style="6" bestFit="1" customWidth="1"/>
    <col min="4" max="4" width="21.5" style="6" bestFit="1" customWidth="1"/>
    <col min="5" max="5" width="18.6640625" style="6" bestFit="1" customWidth="1"/>
    <col min="6" max="6" width="30.5" style="6" bestFit="1" customWidth="1"/>
    <col min="7" max="10" width="5.5" style="7" customWidth="1"/>
    <col min="11" max="11" width="12" style="7" customWidth="1"/>
    <col min="12" max="12" width="8.5" style="7" bestFit="1" customWidth="1"/>
    <col min="13" max="13" width="25.33203125" style="6" customWidth="1"/>
    <col min="14" max="16384" width="9.1640625" style="3"/>
  </cols>
  <sheetData>
    <row r="1" spans="1:13" s="2" customFormat="1" ht="29" customHeight="1">
      <c r="A1" s="48" t="s">
        <v>759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205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500</v>
      </c>
      <c r="C6" s="12" t="s">
        <v>501</v>
      </c>
      <c r="D6" s="12" t="s">
        <v>502</v>
      </c>
      <c r="E6" s="12" t="s">
        <v>768</v>
      </c>
      <c r="F6" s="12" t="s">
        <v>503</v>
      </c>
      <c r="G6" s="28" t="s">
        <v>22</v>
      </c>
      <c r="H6" s="25" t="s">
        <v>26</v>
      </c>
      <c r="I6" s="25" t="s">
        <v>26</v>
      </c>
      <c r="J6" s="13"/>
      <c r="K6" s="13" t="str">
        <f>"120,0"</f>
        <v>120,0</v>
      </c>
      <c r="L6" s="13" t="str">
        <f>"89,6280"</f>
        <v>89,6280</v>
      </c>
      <c r="M6" s="29" t="s">
        <v>695</v>
      </c>
    </row>
    <row r="7" spans="1:13">
      <c r="B7" s="6" t="s">
        <v>133</v>
      </c>
    </row>
    <row r="8" spans="1:13" ht="16">
      <c r="A8" s="39" t="s">
        <v>37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13" t="s">
        <v>132</v>
      </c>
      <c r="B9" s="12" t="s">
        <v>504</v>
      </c>
      <c r="C9" s="12" t="s">
        <v>505</v>
      </c>
      <c r="D9" s="12" t="s">
        <v>216</v>
      </c>
      <c r="E9" s="12" t="s">
        <v>768</v>
      </c>
      <c r="F9" s="12" t="s">
        <v>33</v>
      </c>
      <c r="G9" s="28" t="s">
        <v>425</v>
      </c>
      <c r="H9" s="28" t="s">
        <v>107</v>
      </c>
      <c r="I9" s="25" t="s">
        <v>108</v>
      </c>
      <c r="J9" s="13"/>
      <c r="K9" s="13" t="str">
        <f>"205,0"</f>
        <v>205,0</v>
      </c>
      <c r="L9" s="13" t="str">
        <f>"139,4000"</f>
        <v>139,4000</v>
      </c>
      <c r="M9" s="12"/>
    </row>
    <row r="10" spans="1:13">
      <c r="B10" s="6" t="s">
        <v>133</v>
      </c>
    </row>
    <row r="11" spans="1:13" ht="16">
      <c r="A11" s="39" t="s">
        <v>109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>
      <c r="A12" s="13" t="s">
        <v>132</v>
      </c>
      <c r="B12" s="12" t="s">
        <v>491</v>
      </c>
      <c r="C12" s="12" t="s">
        <v>492</v>
      </c>
      <c r="D12" s="12" t="s">
        <v>493</v>
      </c>
      <c r="E12" s="12" t="s">
        <v>768</v>
      </c>
      <c r="F12" s="12" t="s">
        <v>494</v>
      </c>
      <c r="G12" s="28" t="s">
        <v>70</v>
      </c>
      <c r="H12" s="25" t="s">
        <v>378</v>
      </c>
      <c r="I12" s="25" t="s">
        <v>378</v>
      </c>
      <c r="J12" s="13"/>
      <c r="K12" s="13" t="str">
        <f>"230,0"</f>
        <v>230,0</v>
      </c>
      <c r="L12" s="13" t="str">
        <f>"136,2290"</f>
        <v>136,2290</v>
      </c>
      <c r="M12" s="12"/>
    </row>
    <row r="13" spans="1:13">
      <c r="B13" s="6" t="s">
        <v>133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5" style="6" bestFit="1" customWidth="1"/>
    <col min="3" max="3" width="28.5" style="6" bestFit="1" customWidth="1"/>
    <col min="4" max="4" width="21.5" style="6" bestFit="1" customWidth="1"/>
    <col min="5" max="5" width="18.6640625" style="6" bestFit="1" customWidth="1"/>
    <col min="6" max="6" width="29.83203125" style="6" bestFit="1" customWidth="1"/>
    <col min="7" max="10" width="5.5" style="7" customWidth="1"/>
    <col min="11" max="11" width="13.5" style="7" customWidth="1"/>
    <col min="12" max="12" width="8.5" style="7" bestFit="1" customWidth="1"/>
    <col min="13" max="13" width="18.6640625" style="6" customWidth="1"/>
    <col min="14" max="16384" width="9.1640625" style="3"/>
  </cols>
  <sheetData>
    <row r="1" spans="1:13" s="2" customFormat="1" ht="29" customHeight="1">
      <c r="A1" s="48" t="s">
        <v>760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766</v>
      </c>
      <c r="B3" s="46" t="s">
        <v>0</v>
      </c>
      <c r="C3" s="58" t="s">
        <v>772</v>
      </c>
      <c r="D3" s="58" t="s">
        <v>7</v>
      </c>
      <c r="E3" s="40" t="s">
        <v>767</v>
      </c>
      <c r="F3" s="40" t="s">
        <v>6</v>
      </c>
      <c r="G3" s="40" t="s">
        <v>9</v>
      </c>
      <c r="H3" s="40"/>
      <c r="I3" s="40"/>
      <c r="J3" s="40"/>
      <c r="K3" s="40" t="s">
        <v>388</v>
      </c>
      <c r="L3" s="40" t="s">
        <v>3</v>
      </c>
      <c r="M3" s="42" t="s">
        <v>2</v>
      </c>
    </row>
    <row r="4" spans="1:13" s="1" customFormat="1" ht="21" customHeight="1" thickBot="1">
      <c r="A4" s="57"/>
      <c r="B4" s="4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37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132</v>
      </c>
      <c r="B6" s="12" t="s">
        <v>483</v>
      </c>
      <c r="C6" s="12" t="s">
        <v>484</v>
      </c>
      <c r="D6" s="12" t="s">
        <v>413</v>
      </c>
      <c r="E6" s="12" t="s">
        <v>768</v>
      </c>
      <c r="F6" s="12" t="s">
        <v>485</v>
      </c>
      <c r="G6" s="28" t="s">
        <v>107</v>
      </c>
      <c r="H6" s="28" t="s">
        <v>73</v>
      </c>
      <c r="I6" s="25" t="s">
        <v>50</v>
      </c>
      <c r="J6" s="13"/>
      <c r="K6" s="13" t="str">
        <f>"215,0"</f>
        <v>215,0</v>
      </c>
      <c r="L6" s="13" t="str">
        <f>"144,0285"</f>
        <v>144,0285</v>
      </c>
      <c r="M6" s="12"/>
    </row>
    <row r="7" spans="1:13">
      <c r="B7" s="6" t="s">
        <v>133</v>
      </c>
    </row>
    <row r="8" spans="1:13" ht="16">
      <c r="A8" s="39" t="s">
        <v>75</v>
      </c>
      <c r="B8" s="39"/>
      <c r="C8" s="39"/>
      <c r="D8" s="39"/>
      <c r="E8" s="39"/>
      <c r="F8" s="39"/>
      <c r="G8" s="39"/>
      <c r="H8" s="39"/>
      <c r="I8" s="39"/>
      <c r="J8" s="39"/>
    </row>
    <row r="9" spans="1:13">
      <c r="A9" s="9" t="s">
        <v>132</v>
      </c>
      <c r="B9" s="8" t="s">
        <v>486</v>
      </c>
      <c r="C9" s="8" t="s">
        <v>487</v>
      </c>
      <c r="D9" s="8" t="s">
        <v>488</v>
      </c>
      <c r="E9" s="8" t="s">
        <v>768</v>
      </c>
      <c r="F9" s="8" t="s">
        <v>265</v>
      </c>
      <c r="G9" s="21" t="s">
        <v>63</v>
      </c>
      <c r="H9" s="21" t="s">
        <v>489</v>
      </c>
      <c r="I9" s="21" t="s">
        <v>490</v>
      </c>
      <c r="J9" s="9"/>
      <c r="K9" s="9" t="str">
        <f>"305,5"</f>
        <v>305,5</v>
      </c>
      <c r="L9" s="9" t="str">
        <f>"187,3020"</f>
        <v>187,3020</v>
      </c>
      <c r="M9" s="8"/>
    </row>
    <row r="10" spans="1:13">
      <c r="A10" s="11" t="s">
        <v>132</v>
      </c>
      <c r="B10" s="10" t="s">
        <v>486</v>
      </c>
      <c r="C10" s="10" t="s">
        <v>719</v>
      </c>
      <c r="D10" s="10" t="s">
        <v>488</v>
      </c>
      <c r="E10" s="10" t="s">
        <v>775</v>
      </c>
      <c r="F10" s="10" t="s">
        <v>265</v>
      </c>
      <c r="G10" s="23" t="s">
        <v>63</v>
      </c>
      <c r="H10" s="23" t="s">
        <v>489</v>
      </c>
      <c r="I10" s="23" t="s">
        <v>490</v>
      </c>
      <c r="J10" s="11"/>
      <c r="K10" s="11" t="str">
        <f>"305,5"</f>
        <v>305,5</v>
      </c>
      <c r="L10" s="11" t="str">
        <f>"205,2830"</f>
        <v>205,2830</v>
      </c>
      <c r="M10" s="10"/>
    </row>
    <row r="11" spans="1:13">
      <c r="B11" s="6" t="s">
        <v>133</v>
      </c>
    </row>
    <row r="12" spans="1:13" ht="16">
      <c r="A12" s="39" t="s">
        <v>109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3">
      <c r="A13" s="13" t="s">
        <v>132</v>
      </c>
      <c r="B13" s="12" t="s">
        <v>491</v>
      </c>
      <c r="C13" s="12" t="s">
        <v>492</v>
      </c>
      <c r="D13" s="12" t="s">
        <v>493</v>
      </c>
      <c r="E13" s="12" t="s">
        <v>768</v>
      </c>
      <c r="F13" s="12" t="s">
        <v>494</v>
      </c>
      <c r="G13" s="25" t="s">
        <v>378</v>
      </c>
      <c r="H13" s="28" t="s">
        <v>378</v>
      </c>
      <c r="I13" s="13"/>
      <c r="J13" s="13"/>
      <c r="K13" s="13" t="str">
        <f>"252,5"</f>
        <v>252,5</v>
      </c>
      <c r="L13" s="13" t="str">
        <f>"149,5557"</f>
        <v>149,5557</v>
      </c>
      <c r="M13" s="12"/>
    </row>
    <row r="14" spans="1:13">
      <c r="B14" s="6" t="s">
        <v>133</v>
      </c>
    </row>
    <row r="15" spans="1:13" ht="16">
      <c r="A15" s="39" t="s">
        <v>261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3">
      <c r="A16" s="9" t="s">
        <v>132</v>
      </c>
      <c r="B16" s="8" t="s">
        <v>495</v>
      </c>
      <c r="C16" s="8" t="s">
        <v>496</v>
      </c>
      <c r="D16" s="8" t="s">
        <v>497</v>
      </c>
      <c r="E16" s="8" t="s">
        <v>768</v>
      </c>
      <c r="F16" s="8" t="s">
        <v>498</v>
      </c>
      <c r="G16" s="21" t="s">
        <v>268</v>
      </c>
      <c r="H16" s="21" t="s">
        <v>94</v>
      </c>
      <c r="I16" s="22" t="s">
        <v>286</v>
      </c>
      <c r="J16" s="9"/>
      <c r="K16" s="9" t="str">
        <f>"300,0"</f>
        <v>300,0</v>
      </c>
      <c r="L16" s="9" t="str">
        <f>"173,8500"</f>
        <v>173,8500</v>
      </c>
      <c r="M16" s="8" t="s">
        <v>499</v>
      </c>
    </row>
    <row r="17" spans="1:13">
      <c r="A17" s="11" t="s">
        <v>132</v>
      </c>
      <c r="B17" s="10" t="s">
        <v>495</v>
      </c>
      <c r="C17" s="10" t="s">
        <v>720</v>
      </c>
      <c r="D17" s="10" t="s">
        <v>497</v>
      </c>
      <c r="E17" s="10" t="s">
        <v>776</v>
      </c>
      <c r="F17" s="10" t="s">
        <v>498</v>
      </c>
      <c r="G17" s="23" t="s">
        <v>268</v>
      </c>
      <c r="H17" s="23" t="s">
        <v>94</v>
      </c>
      <c r="I17" s="24" t="s">
        <v>286</v>
      </c>
      <c r="J17" s="11"/>
      <c r="K17" s="11" t="str">
        <f>"300,0"</f>
        <v>300,0</v>
      </c>
      <c r="L17" s="11" t="str">
        <f>"199,9275"</f>
        <v>199,9275</v>
      </c>
      <c r="M17" s="10" t="s">
        <v>499</v>
      </c>
    </row>
    <row r="18" spans="1:13">
      <c r="B18" s="6" t="s">
        <v>133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ПЛ без экипировки ДК</vt:lpstr>
      <vt:lpstr>ПЛ без экипировки</vt:lpstr>
      <vt:lpstr>ПЛ в бинтах ДК</vt:lpstr>
      <vt:lpstr>ПЛ в бинтах</vt:lpstr>
      <vt:lpstr>Присед без экипировки</vt:lpstr>
      <vt:lpstr>Жим без экипировки ДК</vt:lpstr>
      <vt:lpstr>Жим без экипировки</vt:lpstr>
      <vt:lpstr>Жим однослой ДК</vt:lpstr>
      <vt:lpstr>Жим однослой</vt:lpstr>
      <vt:lpstr>Жим многослой</vt:lpstr>
      <vt:lpstr>Жим софт однопетельная ДК</vt:lpstr>
      <vt:lpstr>Жим софт однопетельная</vt:lpstr>
      <vt:lpstr>Жим софт многопетельная ДК</vt:lpstr>
      <vt:lpstr>Жим софт многопетельная</vt:lpstr>
      <vt:lpstr>Жим СФО</vt:lpstr>
      <vt:lpstr>Тяга без экипировки ДК</vt:lpstr>
      <vt:lpstr>Тяга без экипировки</vt:lpstr>
      <vt:lpstr>Тяга однослой ДК</vt:lpstr>
      <vt:lpstr>Тяга однослой</vt:lpstr>
      <vt:lpstr>Подъем на бицепс ДК</vt:lpstr>
      <vt:lpstr>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2020-09-08T18:28:44Z</dcterms:modified>
</cp:coreProperties>
</file>