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28" documentId="8_{EC9B0766-0647-46B9-B670-132C69892899}" xr6:coauthVersionLast="47" xr6:coauthVersionMax="47" xr10:uidLastSave="{0DECD59A-AF9B-43CB-BAE5-D09D3042676A}"/>
  <bookViews>
    <workbookView xWindow="4065" yWindow="195" windowWidth="21885" windowHeight="15585" tabRatio="934" xr2:uid="{00000000-000D-0000-FFFF-FFFF00000000}"/>
  </bookViews>
  <sheets>
    <sheet name="AWPC  PL Raw" sheetId="17" r:id="rId1"/>
    <sheet name="AWPC CL PL" sheetId="16" r:id="rId2"/>
    <sheet name="AWPC PL SP" sheetId="15" r:id="rId3"/>
    <sheet name="AWPC PL" sheetId="14" r:id="rId4"/>
    <sheet name="WPC CL PL" sheetId="21" r:id="rId5"/>
    <sheet name="WPC PL Raw" sheetId="22" r:id="rId6"/>
    <sheet name="AWPC BP Raw" sheetId="13" r:id="rId7"/>
    <sheet name="AWPC BP Mil" sheetId="12" r:id="rId8"/>
    <sheet name="WPC BP Soft" sheetId="18" r:id="rId9"/>
    <sheet name="AWPC BP MP soft " sheetId="11" r:id="rId10"/>
    <sheet name="WPC BP Raw" sheetId="19" r:id="rId11"/>
    <sheet name="WPC PL SP" sheetId="20" r:id="rId12"/>
    <sheet name="WPC BP" sheetId="1" r:id="rId13"/>
    <sheet name="AWPC  DL" sheetId="6" r:id="rId14"/>
    <sheet name="AWPC DL SP" sheetId="7" r:id="rId15"/>
    <sheet name="AWPC DL Raw" sheetId="8" r:id="rId16"/>
    <sheet name="WPC DL SP" sheetId="9" r:id="rId17"/>
    <sheet name="WPC DL Raw" sheetId="10" r:id="rId18"/>
    <sheet name="AWPC SC" sheetId="5" r:id="rId19"/>
    <sheet name="WPC SC" sheetId="4" r:id="rId20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" i="13" l="1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7" i="17"/>
  <c r="V6" i="17"/>
  <c r="V5" i="17"/>
  <c r="V4" i="17"/>
  <c r="V8" i="22"/>
  <c r="V7" i="22"/>
  <c r="V6" i="22"/>
  <c r="V5" i="22"/>
  <c r="V4" i="22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4" i="19"/>
  <c r="V20" i="16"/>
  <c r="V19" i="16"/>
  <c r="V18" i="16"/>
  <c r="V17" i="16"/>
  <c r="V16" i="16"/>
  <c r="V15" i="16"/>
  <c r="V14" i="16"/>
  <c r="V13" i="16"/>
  <c r="V12" i="16"/>
  <c r="V11" i="16"/>
  <c r="V10" i="16"/>
  <c r="V9" i="16"/>
  <c r="V8" i="16"/>
  <c r="V7" i="16"/>
  <c r="V6" i="16"/>
  <c r="V5" i="16"/>
  <c r="N82" i="13"/>
  <c r="N81" i="13"/>
  <c r="N80" i="13"/>
  <c r="N79" i="13"/>
  <c r="N78" i="13"/>
  <c r="N77" i="13"/>
  <c r="N76" i="13"/>
  <c r="N74" i="13"/>
  <c r="N73" i="13"/>
  <c r="N72" i="13"/>
  <c r="N71" i="13"/>
  <c r="N70" i="13"/>
  <c r="N69" i="13"/>
  <c r="N68" i="13"/>
  <c r="N67" i="13"/>
  <c r="N66" i="13"/>
  <c r="N65" i="13"/>
  <c r="N62" i="13"/>
  <c r="N61" i="13"/>
  <c r="N60" i="13"/>
  <c r="N59" i="13"/>
  <c r="N58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1" i="13"/>
  <c r="N38" i="13"/>
  <c r="N37" i="13"/>
  <c r="N36" i="13"/>
  <c r="N35" i="13"/>
  <c r="N34" i="13"/>
  <c r="N33" i="13"/>
  <c r="N32" i="13"/>
  <c r="N31" i="13"/>
  <c r="N30" i="13"/>
  <c r="N29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4" i="13"/>
  <c r="N13" i="13"/>
  <c r="N12" i="13"/>
  <c r="N11" i="13"/>
  <c r="N10" i="13"/>
  <c r="N9" i="13"/>
  <c r="N13" i="10"/>
  <c r="N12" i="10"/>
  <c r="N11" i="10"/>
  <c r="N10" i="10"/>
  <c r="N9" i="10"/>
  <c r="N8" i="10"/>
  <c r="N7" i="10"/>
  <c r="N6" i="10"/>
  <c r="N5" i="10"/>
  <c r="N4" i="10"/>
  <c r="N19" i="8"/>
  <c r="N18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13" i="5"/>
  <c r="N12" i="5"/>
  <c r="N11" i="5"/>
  <c r="N10" i="5"/>
  <c r="N9" i="5"/>
  <c r="N8" i="5"/>
  <c r="N6" i="5"/>
  <c r="N5" i="5"/>
  <c r="N4" i="5"/>
</calcChain>
</file>

<file path=xl/sharedStrings.xml><?xml version="1.0" encoding="utf-8"?>
<sst xmlns="http://schemas.openxmlformats.org/spreadsheetml/2006/main" count="2538" uniqueCount="763">
  <si>
    <t>Result</t>
  </si>
  <si>
    <t>88,90</t>
  </si>
  <si>
    <t>272,5</t>
  </si>
  <si>
    <t>280,0</t>
  </si>
  <si>
    <t>287,5</t>
  </si>
  <si>
    <t>97,20</t>
  </si>
  <si>
    <t>245,0</t>
  </si>
  <si>
    <t>255,0</t>
  </si>
  <si>
    <t>98,70</t>
  </si>
  <si>
    <t>270,0</t>
  </si>
  <si>
    <t>285,0</t>
  </si>
  <si>
    <t>106,40</t>
  </si>
  <si>
    <t>290,0</t>
  </si>
  <si>
    <t>116,40</t>
  </si>
  <si>
    <t>300,0</t>
  </si>
  <si>
    <t>310,0</t>
  </si>
  <si>
    <t>114,30</t>
  </si>
  <si>
    <t>295,0</t>
  </si>
  <si>
    <t>305,0</t>
  </si>
  <si>
    <t>114,00</t>
  </si>
  <si>
    <t>340,0</t>
  </si>
  <si>
    <t>350,0</t>
  </si>
  <si>
    <t>100</t>
  </si>
  <si>
    <t>75,0</t>
  </si>
  <si>
    <t>81,70</t>
  </si>
  <si>
    <t>82,5</t>
  </si>
  <si>
    <t>30,0</t>
  </si>
  <si>
    <t>85,00</t>
  </si>
  <si>
    <t>85,0</t>
  </si>
  <si>
    <t>48,40</t>
  </si>
  <si>
    <t>50,0</t>
  </si>
  <si>
    <t>55,0</t>
  </si>
  <si>
    <t>70,00</t>
  </si>
  <si>
    <t>70,0</t>
  </si>
  <si>
    <t>74,50</t>
  </si>
  <si>
    <t>87,20</t>
  </si>
  <si>
    <t>87,5</t>
  </si>
  <si>
    <t>98,20</t>
  </si>
  <si>
    <t>100,0</t>
  </si>
  <si>
    <t>96,60</t>
  </si>
  <si>
    <t>97,5</t>
  </si>
  <si>
    <t>105,0</t>
  </si>
  <si>
    <t>35,0</t>
  </si>
  <si>
    <t>275,0</t>
  </si>
  <si>
    <t>56,50</t>
  </si>
  <si>
    <t>25,0</t>
  </si>
  <si>
    <t>27,5</t>
  </si>
  <si>
    <t>63,50</t>
  </si>
  <si>
    <t>32,5</t>
  </si>
  <si>
    <t>74,30</t>
  </si>
  <si>
    <t>60,0</t>
  </si>
  <si>
    <t>67,5</t>
  </si>
  <si>
    <t>90,00</t>
  </si>
  <si>
    <t>65,0</t>
  </si>
  <si>
    <t>108,40</t>
  </si>
  <si>
    <t>72,5</t>
  </si>
  <si>
    <t>77,5</t>
  </si>
  <si>
    <t>105,30</t>
  </si>
  <si>
    <t>55,90</t>
  </si>
  <si>
    <t>69,40</t>
  </si>
  <si>
    <t>37,5</t>
  </si>
  <si>
    <t>40,0</t>
  </si>
  <si>
    <t>45,0</t>
  </si>
  <si>
    <t>67,10</t>
  </si>
  <si>
    <t>52,5</t>
  </si>
  <si>
    <t>67,50</t>
  </si>
  <si>
    <t>75,00</t>
  </si>
  <si>
    <t>57,5</t>
  </si>
  <si>
    <t>62,5</t>
  </si>
  <si>
    <t>81,80</t>
  </si>
  <si>
    <t>97,10</t>
  </si>
  <si>
    <t>105,60</t>
  </si>
  <si>
    <t>51,60</t>
  </si>
  <si>
    <t>117,5</t>
  </si>
  <si>
    <t>125,0</t>
  </si>
  <si>
    <t>130,0</t>
  </si>
  <si>
    <t>135,0</t>
  </si>
  <si>
    <t>59,50</t>
  </si>
  <si>
    <t>150,0</t>
  </si>
  <si>
    <t>162,5</t>
  </si>
  <si>
    <t>185,0</t>
  </si>
  <si>
    <t>80,90</t>
  </si>
  <si>
    <t>160,0</t>
  </si>
  <si>
    <t>172,5</t>
  </si>
  <si>
    <t>195,0</t>
  </si>
  <si>
    <t>180,0</t>
  </si>
  <si>
    <t>190,0</t>
  </si>
  <si>
    <t>202,5</t>
  </si>
  <si>
    <t>95,70</t>
  </si>
  <si>
    <t>230,0</t>
  </si>
  <si>
    <t>242,5</t>
  </si>
  <si>
    <t>46,80</t>
  </si>
  <si>
    <t>112,5</t>
  </si>
  <si>
    <t>55,70</t>
  </si>
  <si>
    <t>155,0</t>
  </si>
  <si>
    <t>157,5</t>
  </si>
  <si>
    <t>140,0</t>
  </si>
  <si>
    <t>59,90</t>
  </si>
  <si>
    <t>110,0</t>
  </si>
  <si>
    <t>127,5</t>
  </si>
  <si>
    <t>65,10</t>
  </si>
  <si>
    <t>55,20</t>
  </si>
  <si>
    <t>142,5</t>
  </si>
  <si>
    <t>170,0</t>
  </si>
  <si>
    <t>181,0</t>
  </si>
  <si>
    <t>187,5</t>
  </si>
  <si>
    <t>66,80</t>
  </si>
  <si>
    <t>145,0</t>
  </si>
  <si>
    <t>165,0</t>
  </si>
  <si>
    <t>72,50</t>
  </si>
  <si>
    <t>177,5</t>
  </si>
  <si>
    <t>74,60</t>
  </si>
  <si>
    <t>232,5</t>
  </si>
  <si>
    <t>81,50</t>
  </si>
  <si>
    <t>205,0</t>
  </si>
  <si>
    <t>207,5</t>
  </si>
  <si>
    <t>88,00</t>
  </si>
  <si>
    <t>200,0</t>
  </si>
  <si>
    <t>89,90</t>
  </si>
  <si>
    <t>315,0</t>
  </si>
  <si>
    <t>330,5</t>
  </si>
  <si>
    <t>97,80</t>
  </si>
  <si>
    <t>120,00</t>
  </si>
  <si>
    <t>88,80</t>
  </si>
  <si>
    <t>50,80</t>
  </si>
  <si>
    <t>80,0</t>
  </si>
  <si>
    <t>90,0</t>
  </si>
  <si>
    <t>56,00</t>
  </si>
  <si>
    <t>54,40</t>
  </si>
  <si>
    <t>80,70</t>
  </si>
  <si>
    <t>222,5</t>
  </si>
  <si>
    <t>220,0</t>
  </si>
  <si>
    <t>235,0</t>
  </si>
  <si>
    <t>250,0</t>
  </si>
  <si>
    <t>85,30</t>
  </si>
  <si>
    <t>99,20</t>
  </si>
  <si>
    <t>104,40</t>
  </si>
  <si>
    <t>240,0</t>
  </si>
  <si>
    <t>262,5</t>
  </si>
  <si>
    <t>100,30</t>
  </si>
  <si>
    <t>116,90</t>
  </si>
  <si>
    <t>252,5</t>
  </si>
  <si>
    <t>265,0</t>
  </si>
  <si>
    <t>126,00</t>
  </si>
  <si>
    <t>89,00</t>
  </si>
  <si>
    <t>215,0</t>
  </si>
  <si>
    <t>89,40</t>
  </si>
  <si>
    <t>103,90</t>
  </si>
  <si>
    <t>105,80</t>
  </si>
  <si>
    <t>108,00</t>
  </si>
  <si>
    <t>212,5</t>
  </si>
  <si>
    <t>88,20</t>
  </si>
  <si>
    <t>92,5</t>
  </si>
  <si>
    <t>129,00</t>
  </si>
  <si>
    <t>47,30</t>
  </si>
  <si>
    <t>49,60</t>
  </si>
  <si>
    <t>53,00</t>
  </si>
  <si>
    <t>55,10</t>
  </si>
  <si>
    <t>56,80</t>
  </si>
  <si>
    <t>58,00</t>
  </si>
  <si>
    <t>62,90</t>
  </si>
  <si>
    <t>102,5</t>
  </si>
  <si>
    <t>107,5</t>
  </si>
  <si>
    <t>66,10</t>
  </si>
  <si>
    <t>64,00</t>
  </si>
  <si>
    <t>61,80</t>
  </si>
  <si>
    <t>66,00</t>
  </si>
  <si>
    <t>70,90</t>
  </si>
  <si>
    <t>95,0</t>
  </si>
  <si>
    <t>59,20</t>
  </si>
  <si>
    <t>122,5</t>
  </si>
  <si>
    <t>65,40</t>
  </si>
  <si>
    <t>115,0</t>
  </si>
  <si>
    <t>120,0</t>
  </si>
  <si>
    <t>74,80</t>
  </si>
  <si>
    <t>73,00</t>
  </si>
  <si>
    <t>74,00</t>
  </si>
  <si>
    <t>137,5</t>
  </si>
  <si>
    <t>73,70</t>
  </si>
  <si>
    <t>73,10</t>
  </si>
  <si>
    <t>81,30</t>
  </si>
  <si>
    <t>Filatov Dmitriy</t>
  </si>
  <si>
    <t>82,20</t>
  </si>
  <si>
    <t>167,5</t>
  </si>
  <si>
    <t>81,00</t>
  </si>
  <si>
    <t>81,20</t>
  </si>
  <si>
    <t>79,00</t>
  </si>
  <si>
    <t>79,50</t>
  </si>
  <si>
    <t>78,80</t>
  </si>
  <si>
    <t>82,30</t>
  </si>
  <si>
    <t>86,90</t>
  </si>
  <si>
    <t>147,5</t>
  </si>
  <si>
    <t>152,5</t>
  </si>
  <si>
    <t>89,60</t>
  </si>
  <si>
    <t>175,0</t>
  </si>
  <si>
    <t>88,30</t>
  </si>
  <si>
    <t>88,50</t>
  </si>
  <si>
    <t>87,30</t>
  </si>
  <si>
    <t>132,5</t>
  </si>
  <si>
    <t>89,10</t>
  </si>
  <si>
    <t>88,70</t>
  </si>
  <si>
    <t>89,50</t>
  </si>
  <si>
    <t>87,00</t>
  </si>
  <si>
    <t>88,10</t>
  </si>
  <si>
    <t>98,90</t>
  </si>
  <si>
    <t>97,50</t>
  </si>
  <si>
    <t>92,40</t>
  </si>
  <si>
    <t>99,00</t>
  </si>
  <si>
    <t>90,90</t>
  </si>
  <si>
    <t>97,70</t>
  </si>
  <si>
    <t>98,50</t>
  </si>
  <si>
    <t>109,00</t>
  </si>
  <si>
    <t>197,5</t>
  </si>
  <si>
    <t>105,50</t>
  </si>
  <si>
    <t>107,80</t>
  </si>
  <si>
    <t>106,20</t>
  </si>
  <si>
    <t>107,20</t>
  </si>
  <si>
    <t>122,60</t>
  </si>
  <si>
    <t>213,0</t>
  </si>
  <si>
    <t>124,90</t>
  </si>
  <si>
    <t>192,5</t>
  </si>
  <si>
    <t>157,30</t>
  </si>
  <si>
    <t>Uskov Valeriy</t>
  </si>
  <si>
    <t>140,60</t>
  </si>
  <si>
    <t>140+</t>
  </si>
  <si>
    <t>71,80</t>
  </si>
  <si>
    <t>182,5</t>
  </si>
  <si>
    <t>60,00</t>
  </si>
  <si>
    <t>42,5</t>
  </si>
  <si>
    <t>47,5</t>
  </si>
  <si>
    <t>61,40</t>
  </si>
  <si>
    <t>64,40</t>
  </si>
  <si>
    <t>71,70</t>
  </si>
  <si>
    <t>74,70</t>
  </si>
  <si>
    <t>68,80</t>
  </si>
  <si>
    <t>210,0</t>
  </si>
  <si>
    <t>217,5</t>
  </si>
  <si>
    <t>86,70</t>
  </si>
  <si>
    <t>88,60</t>
  </si>
  <si>
    <t>98,60</t>
  </si>
  <si>
    <t>247,5</t>
  </si>
  <si>
    <t>257,5</t>
  </si>
  <si>
    <t>96,40</t>
  </si>
  <si>
    <t>102,30</t>
  </si>
  <si>
    <t>260,0</t>
  </si>
  <si>
    <t>108,50</t>
  </si>
  <si>
    <t>102,40</t>
  </si>
  <si>
    <t>110,00</t>
  </si>
  <si>
    <t>65,60</t>
  </si>
  <si>
    <t>82,40</t>
  </si>
  <si>
    <t>87,50</t>
  </si>
  <si>
    <t>94,00</t>
  </si>
  <si>
    <t>94,50</t>
  </si>
  <si>
    <t>96,50</t>
  </si>
  <si>
    <t>105,20</t>
  </si>
  <si>
    <t>130,40</t>
  </si>
  <si>
    <t>54,20</t>
  </si>
  <si>
    <t>65,00</t>
  </si>
  <si>
    <t>41,0</t>
  </si>
  <si>
    <t>Petrov Aleksandr</t>
  </si>
  <si>
    <t>80,50</t>
  </si>
  <si>
    <t>99,70</t>
  </si>
  <si>
    <t>91,00</t>
  </si>
  <si>
    <t>93,00</t>
  </si>
  <si>
    <t>200,5</t>
  </si>
  <si>
    <t>121,50</t>
  </si>
  <si>
    <t>98,80</t>
  </si>
  <si>
    <t>Kuznetsov Yevgeniy</t>
  </si>
  <si>
    <t>80,00</t>
  </si>
  <si>
    <t>89,80</t>
  </si>
  <si>
    <t>122,00</t>
  </si>
  <si>
    <t>320,0</t>
  </si>
  <si>
    <t>330,0</t>
  </si>
  <si>
    <t>48,00</t>
  </si>
  <si>
    <t>55,60</t>
  </si>
  <si>
    <t>Taranukhin G.Yu.</t>
  </si>
  <si>
    <t>73,20</t>
  </si>
  <si>
    <t>96,45</t>
  </si>
  <si>
    <t>114,80</t>
  </si>
  <si>
    <t>225,0</t>
  </si>
  <si>
    <t>344,8575</t>
  </si>
  <si>
    <t>имя</t>
  </si>
  <si>
    <t>пол</t>
  </si>
  <si>
    <t>вес</t>
  </si>
  <si>
    <t>в/к</t>
  </si>
  <si>
    <t>1</t>
  </si>
  <si>
    <t>2</t>
  </si>
  <si>
    <t>3</t>
  </si>
  <si>
    <t>4</t>
  </si>
  <si>
    <t>f</t>
  </si>
  <si>
    <t>m</t>
  </si>
  <si>
    <t xml:space="preserve">рожд </t>
  </si>
  <si>
    <t>возрастная группа</t>
  </si>
  <si>
    <t>O</t>
  </si>
  <si>
    <t>J</t>
  </si>
  <si>
    <t>T3</t>
  </si>
  <si>
    <t>M2</t>
  </si>
  <si>
    <t>M1</t>
  </si>
  <si>
    <t>20.10.1991</t>
  </si>
  <si>
    <t>25.09.1986</t>
  </si>
  <si>
    <t>23.02.2002</t>
  </si>
  <si>
    <t>11.05.1982</t>
  </si>
  <si>
    <t>28.04.1997</t>
  </si>
  <si>
    <t>04.07.1993</t>
  </si>
  <si>
    <t>03.12.1994</t>
  </si>
  <si>
    <t>30.09.1981</t>
  </si>
  <si>
    <t>01.04.2001</t>
  </si>
  <si>
    <t>14.06.1998</t>
  </si>
  <si>
    <t>19.09.1988</t>
  </si>
  <si>
    <t>18.01.1987</t>
  </si>
  <si>
    <t>19.12.1987</t>
  </si>
  <si>
    <t>10.04.1993</t>
  </si>
  <si>
    <t>08.05.1996</t>
  </si>
  <si>
    <t>18.10.1983</t>
  </si>
  <si>
    <t>07.06.1991</t>
  </si>
  <si>
    <t>23.09.1984</t>
  </si>
  <si>
    <t>12.09.1981</t>
  </si>
  <si>
    <t>08.12.1975</t>
  </si>
  <si>
    <t>18.09.1979</t>
  </si>
  <si>
    <t>присед</t>
  </si>
  <si>
    <t>жим</t>
  </si>
  <si>
    <t>тяга</t>
  </si>
  <si>
    <t>итог</t>
  </si>
  <si>
    <t>очки</t>
  </si>
  <si>
    <t>Тейково</t>
  </si>
  <si>
    <t>Москва</t>
  </si>
  <si>
    <t>Клин</t>
  </si>
  <si>
    <t>Химки</t>
  </si>
  <si>
    <t>Видное</t>
  </si>
  <si>
    <t>Липецк</t>
  </si>
  <si>
    <t>Солнечногорск</t>
  </si>
  <si>
    <t>Курск</t>
  </si>
  <si>
    <t>Ростов-на-Дону</t>
  </si>
  <si>
    <t>Курчатов</t>
  </si>
  <si>
    <t>Тула</t>
  </si>
  <si>
    <t>Брянск</t>
  </si>
  <si>
    <t>Ставрополь</t>
  </si>
  <si>
    <t>Якутск</t>
  </si>
  <si>
    <t>Санкт-Петербург</t>
  </si>
  <si>
    <t xml:space="preserve">Всеволожск </t>
  </si>
  <si>
    <t>Орск</t>
  </si>
  <si>
    <t>Егорьевск</t>
  </si>
  <si>
    <t>Балабаново</t>
  </si>
  <si>
    <t>Красноярск</t>
  </si>
  <si>
    <t>Чехов</t>
  </si>
  <si>
    <t>Зеленоград</t>
  </si>
  <si>
    <t>Раменское</t>
  </si>
  <si>
    <t>Орел</t>
  </si>
  <si>
    <t>Красногорск</t>
  </si>
  <si>
    <t>Московский</t>
  </si>
  <si>
    <t>Кубинка</t>
  </si>
  <si>
    <t>Харовск</t>
  </si>
  <si>
    <t>Благовещенск</t>
  </si>
  <si>
    <t>Королев</t>
  </si>
  <si>
    <t xml:space="preserve">Казань </t>
  </si>
  <si>
    <t>Одинцово</t>
  </si>
  <si>
    <t>Козмодемьянск</t>
  </si>
  <si>
    <t>Жуковский</t>
  </si>
  <si>
    <t>Павлово</t>
  </si>
  <si>
    <t>Новомосковск</t>
  </si>
  <si>
    <t>Домодедово</t>
  </si>
  <si>
    <t>Калининград</t>
  </si>
  <si>
    <t>Нижний Новгород</t>
  </si>
  <si>
    <t>Сергиев Посад</t>
  </si>
  <si>
    <t>Донской</t>
  </si>
  <si>
    <t>Подольск</t>
  </si>
  <si>
    <t>Выборг</t>
  </si>
  <si>
    <t>Саратов</t>
  </si>
  <si>
    <t>Белоозерский</t>
  </si>
  <si>
    <t xml:space="preserve">Тольятти </t>
  </si>
  <si>
    <t>Новоалтайск</t>
  </si>
  <si>
    <t>Балашиха</t>
  </si>
  <si>
    <t>Рязань</t>
  </si>
  <si>
    <t>Иркутск</t>
  </si>
  <si>
    <t>Надым</t>
  </si>
  <si>
    <t>29.11.1996</t>
  </si>
  <si>
    <t>23.12.1977</t>
  </si>
  <si>
    <t>01.02.1983</t>
  </si>
  <si>
    <t>09.01.1991</t>
  </si>
  <si>
    <t>09.02.1972</t>
  </si>
  <si>
    <t>08.11.1974</t>
  </si>
  <si>
    <t>06.05.1995</t>
  </si>
  <si>
    <t>17.05.1990</t>
  </si>
  <si>
    <t>13.09.1982</t>
  </si>
  <si>
    <t>15.08.1979</t>
  </si>
  <si>
    <t>27.11.1993</t>
  </si>
  <si>
    <t>03.06.1978</t>
  </si>
  <si>
    <t>14.03.1990</t>
  </si>
  <si>
    <t>24.06.1994</t>
  </si>
  <si>
    <t>11.06.1990</t>
  </si>
  <si>
    <t>22.01.1982</t>
  </si>
  <si>
    <t>14.11.1992</t>
  </si>
  <si>
    <t>рожд</t>
  </si>
  <si>
    <t>Возрастная группа</t>
  </si>
  <si>
    <t>город</t>
  </si>
  <si>
    <t>№</t>
  </si>
  <si>
    <t>T2</t>
  </si>
  <si>
    <t>01.03.2004</t>
  </si>
  <si>
    <t>Толмачева Ольга</t>
  </si>
  <si>
    <t>тренер</t>
  </si>
  <si>
    <t>01.04.1986</t>
  </si>
  <si>
    <t>29.06.1982</t>
  </si>
  <si>
    <t>18.06.1980</t>
  </si>
  <si>
    <t>06.06.2004</t>
  </si>
  <si>
    <t>03.05.1988</t>
  </si>
  <si>
    <t>23.03.1989</t>
  </si>
  <si>
    <t xml:space="preserve">Minin Dmitriy </t>
  </si>
  <si>
    <t>M3</t>
  </si>
  <si>
    <t>03.10.1994</t>
  </si>
  <si>
    <t>08.09.1994</t>
  </si>
  <si>
    <t>07.05.1992</t>
  </si>
  <si>
    <t>06.04.1980</t>
  </si>
  <si>
    <t>27.03.1968</t>
  </si>
  <si>
    <t>69,10</t>
  </si>
  <si>
    <t>68,55</t>
  </si>
  <si>
    <t>86,24</t>
  </si>
  <si>
    <t>14.10.1985</t>
  </si>
  <si>
    <t>17.12.1977</t>
  </si>
  <si>
    <t>20.04.1966</t>
  </si>
  <si>
    <t>27.06.2003</t>
  </si>
  <si>
    <t>06.05.1988</t>
  </si>
  <si>
    <t>21.01.1981</t>
  </si>
  <si>
    <t>03.03.1962</t>
  </si>
  <si>
    <t>M4</t>
  </si>
  <si>
    <t>M6</t>
  </si>
  <si>
    <t>M5</t>
  </si>
  <si>
    <t>T1</t>
  </si>
  <si>
    <t>57,24</t>
  </si>
  <si>
    <t>54,13</t>
  </si>
  <si>
    <t>07.10.1985</t>
  </si>
  <si>
    <t>100,70</t>
  </si>
  <si>
    <t>158,63</t>
  </si>
  <si>
    <t>132,37</t>
  </si>
  <si>
    <t>168,09</t>
  </si>
  <si>
    <t>177,55</t>
  </si>
  <si>
    <t>126,64</t>
  </si>
  <si>
    <t>121,41</t>
  </si>
  <si>
    <t>84,93</t>
  </si>
  <si>
    <t>22.02.2007</t>
  </si>
  <si>
    <t>13.05.1975</t>
  </si>
  <si>
    <t>24.04.1944</t>
  </si>
  <si>
    <t>31.07.1979</t>
  </si>
  <si>
    <t>16.12.1992</t>
  </si>
  <si>
    <t>20.04.1990</t>
  </si>
  <si>
    <t>27.04.1985</t>
  </si>
  <si>
    <t>06.05.1972</t>
  </si>
  <si>
    <t>25.04.1985</t>
  </si>
  <si>
    <t>30.03.1989</t>
  </si>
  <si>
    <t>07.04.1993</t>
  </si>
  <si>
    <t>25.03.1974</t>
  </si>
  <si>
    <t>17.06.1962</t>
  </si>
  <si>
    <t>17.07.1960</t>
  </si>
  <si>
    <t>01.08.1991</t>
  </si>
  <si>
    <t>14.08.1970</t>
  </si>
  <si>
    <t>M8</t>
  </si>
  <si>
    <t>Фокин Денис</t>
  </si>
  <si>
    <t>04.09.1987</t>
  </si>
  <si>
    <t>172,49</t>
  </si>
  <si>
    <t>144,19</t>
  </si>
  <si>
    <t>171,95</t>
  </si>
  <si>
    <t>169,88</t>
  </si>
  <si>
    <t>Енина Елена</t>
  </si>
  <si>
    <t>10.05.1989</t>
  </si>
  <si>
    <t>10.04.2005</t>
  </si>
  <si>
    <t>30.01.1982</t>
  </si>
  <si>
    <t>14.05.1995</t>
  </si>
  <si>
    <t>30.05.1992</t>
  </si>
  <si>
    <t>Чепель Андрей</t>
  </si>
  <si>
    <t>Лесных Сергей</t>
  </si>
  <si>
    <t>Тропин Игорь</t>
  </si>
  <si>
    <t>Винтовкин Иван</t>
  </si>
  <si>
    <t>28.04.1979</t>
  </si>
  <si>
    <t>12.06.1984</t>
  </si>
  <si>
    <t>24.12.2003</t>
  </si>
  <si>
    <t>19.10.1987</t>
  </si>
  <si>
    <t>22.10.1983</t>
  </si>
  <si>
    <t>04.09.1999</t>
  </si>
  <si>
    <t>14.05.1997</t>
  </si>
  <si>
    <t>21.09.1978</t>
  </si>
  <si>
    <t>12.09.1986</t>
  </si>
  <si>
    <t>21.12.1999</t>
  </si>
  <si>
    <t>15.07.1987</t>
  </si>
  <si>
    <t>10.09.1998</t>
  </si>
  <si>
    <t>25.10.1955</t>
  </si>
  <si>
    <t>127,11</t>
  </si>
  <si>
    <t>03.09.1977</t>
  </si>
  <si>
    <t>Кондратьев Александр</t>
  </si>
  <si>
    <t>23.12.2005</t>
  </si>
  <si>
    <t>01.02.2010</t>
  </si>
  <si>
    <t>16.10.2001</t>
  </si>
  <si>
    <t>05.03.1971</t>
  </si>
  <si>
    <t>30.05.1985</t>
  </si>
  <si>
    <t>30.05.1987</t>
  </si>
  <si>
    <t>06.10.1984</t>
  </si>
  <si>
    <t>09.11.1996</t>
  </si>
  <si>
    <t>33,97</t>
  </si>
  <si>
    <t>13.05.1981</t>
  </si>
  <si>
    <t>13.05.1963</t>
  </si>
  <si>
    <t>21.11.1997</t>
  </si>
  <si>
    <t>06.04.1992</t>
  </si>
  <si>
    <t>25,91</t>
  </si>
  <si>
    <t>25.07.1983</t>
  </si>
  <si>
    <t>08.12.1982</t>
  </si>
  <si>
    <t>22.07.1986</t>
  </si>
  <si>
    <t>22.03.1977</t>
  </si>
  <si>
    <t>25.03.1978</t>
  </si>
  <si>
    <t>Литкина Алла</t>
  </si>
  <si>
    <t>Сергеева Виктория</t>
  </si>
  <si>
    <t>Деев Александр</t>
  </si>
  <si>
    <t>Ефремочкин Николай</t>
  </si>
  <si>
    <t>Кушнир Владимир</t>
  </si>
  <si>
    <t>Князьков Михаил</t>
  </si>
  <si>
    <t>Умеренков Даниил</t>
  </si>
  <si>
    <t>17.06.1980</t>
  </si>
  <si>
    <t>Караев Рауль</t>
  </si>
  <si>
    <t>Калашников Станислав</t>
  </si>
  <si>
    <t>Зайцев Александр</t>
  </si>
  <si>
    <t>Иванов Александр</t>
  </si>
  <si>
    <t>Жук Юлия</t>
  </si>
  <si>
    <t>Абрамова Юлия</t>
  </si>
  <si>
    <t>Бондарчук Елена</t>
  </si>
  <si>
    <t>Пискунов Александр</t>
  </si>
  <si>
    <t>Капутин Денис</t>
  </si>
  <si>
    <t>Голев Николай</t>
  </si>
  <si>
    <t>Сацевич Владимир</t>
  </si>
  <si>
    <t>Левшин Владимир</t>
  </si>
  <si>
    <t>Икаев Сармат</t>
  </si>
  <si>
    <t>Жильцов Игорь</t>
  </si>
  <si>
    <t>Чуб Игорь</t>
  </si>
  <si>
    <t>Ли Владимир</t>
  </si>
  <si>
    <t>Верзилов Сергей</t>
  </si>
  <si>
    <t>Фрицлер Андрей</t>
  </si>
  <si>
    <t>Ярков Василий</t>
  </si>
  <si>
    <t>Мочалова Надежда</t>
  </si>
  <si>
    <t>Лях Елена</t>
  </si>
  <si>
    <t>Жильцова Кира</t>
  </si>
  <si>
    <t>Артеменко Елена</t>
  </si>
  <si>
    <t>Распопов Юрий</t>
  </si>
  <si>
    <t>Марин Никита</t>
  </si>
  <si>
    <t>Симонов Максим</t>
  </si>
  <si>
    <t>Павлов Юрий</t>
  </si>
  <si>
    <t>Баруков Игорь</t>
  </si>
  <si>
    <t>Артяков Михаил</t>
  </si>
  <si>
    <t>Байдук Сергей</t>
  </si>
  <si>
    <t>Солнцев Иван</t>
  </si>
  <si>
    <t>Дон Вадим</t>
  </si>
  <si>
    <t>Петров Александр</t>
  </si>
  <si>
    <t>Базанов Евгений</t>
  </si>
  <si>
    <t>Семенихин Иван</t>
  </si>
  <si>
    <t>Мельников Алексей</t>
  </si>
  <si>
    <t>Порядин Иван</t>
  </si>
  <si>
    <t>Бегалко Антон</t>
  </si>
  <si>
    <t>Горбачев Дмитрий</t>
  </si>
  <si>
    <t>Мамедов Эмин</t>
  </si>
  <si>
    <t>Кочеткова Елена</t>
  </si>
  <si>
    <t>Уганина Ольга</t>
  </si>
  <si>
    <t>Вереникина Мария</t>
  </si>
  <si>
    <t>Голунова Ольга</t>
  </si>
  <si>
    <t>Шурова Светлана</t>
  </si>
  <si>
    <t>Андреев Александр</t>
  </si>
  <si>
    <t>Фомин Александр</t>
  </si>
  <si>
    <t>Лазуков Дмитрий</t>
  </si>
  <si>
    <t>Карапетян Сос</t>
  </si>
  <si>
    <t>Бризицкий Иван</t>
  </si>
  <si>
    <t>Кочетков Александр</t>
  </si>
  <si>
    <t>Фомин Роман</t>
  </si>
  <si>
    <t>Давтян Давид</t>
  </si>
  <si>
    <t>Алиев Рамазан-Исмаил</t>
  </si>
  <si>
    <t>Ломанов Кирилл</t>
  </si>
  <si>
    <t>Беркун Олег</t>
  </si>
  <si>
    <t>Лукьянов Сергей</t>
  </si>
  <si>
    <t>Жарков Михаил</t>
  </si>
  <si>
    <t>Пашков Максим</t>
  </si>
  <si>
    <t>Исаев Владимир</t>
  </si>
  <si>
    <t>Сагитов Марат</t>
  </si>
  <si>
    <t>Павлов Сергей</t>
  </si>
  <si>
    <t>Савчин Богдан</t>
  </si>
  <si>
    <t>Пашков Алексей</t>
  </si>
  <si>
    <t>Лимарева Елена</t>
  </si>
  <si>
    <t>Минин Дмитрий</t>
  </si>
  <si>
    <t>Ильченко Василий</t>
  </si>
  <si>
    <t>Крылов Данила</t>
  </si>
  <si>
    <t>Чеснягин Антон</t>
  </si>
  <si>
    <t>Аристов Дмитрий</t>
  </si>
  <si>
    <t>Рабехов Темур</t>
  </si>
  <si>
    <t>Франк Вячеслав</t>
  </si>
  <si>
    <t>Фомина Виктория</t>
  </si>
  <si>
    <t>Ондже Алина</t>
  </si>
  <si>
    <t>Григорьева Наталия</t>
  </si>
  <si>
    <t>Москвичева Людмила</t>
  </si>
  <si>
    <t>Лукьянова Марина</t>
  </si>
  <si>
    <t>Храбовская Оксана</t>
  </si>
  <si>
    <t>Бобришев Кирилл</t>
  </si>
  <si>
    <t>Лотовский Дмитрий</t>
  </si>
  <si>
    <t>Малолетнев Владимир</t>
  </si>
  <si>
    <t>Парфенов Сергей</t>
  </si>
  <si>
    <t>Щербаков Матвей</t>
  </si>
  <si>
    <t>Пигров Сергей</t>
  </si>
  <si>
    <t>Сатров Андрей</t>
  </si>
  <si>
    <t>Репкин Артем</t>
  </si>
  <si>
    <t>Меркулов Виталий</t>
  </si>
  <si>
    <t>Морковкин Александр</t>
  </si>
  <si>
    <t>Привезенцев Артем</t>
  </si>
  <si>
    <t>Храмцова Елена</t>
  </si>
  <si>
    <t>Процюк Анна</t>
  </si>
  <si>
    <t>Чупракова Екатерина</t>
  </si>
  <si>
    <t>Титова Анатасия</t>
  </si>
  <si>
    <t>Кобец Евгения</t>
  </si>
  <si>
    <t>Фольваркова Катерина</t>
  </si>
  <si>
    <t>Пруцкова Екатерина</t>
  </si>
  <si>
    <t>Гончаров Максим</t>
  </si>
  <si>
    <t>Колебошин Дмитрий</t>
  </si>
  <si>
    <t>Дроздов Никита</t>
  </si>
  <si>
    <t>Лихачев Борис</t>
  </si>
  <si>
    <t>Головийчук Алексей</t>
  </si>
  <si>
    <t>Евлаш Глеб</t>
  </si>
  <si>
    <t>Иванцов Алексей</t>
  </si>
  <si>
    <t>Каминский Евгений</t>
  </si>
  <si>
    <t>Катаев Олег</t>
  </si>
  <si>
    <t>Полукаров Андрей</t>
  </si>
  <si>
    <t>Макаров Андрей</t>
  </si>
  <si>
    <t>Иляшат Дмитрий</t>
  </si>
  <si>
    <t>Бажина Екатерина</t>
  </si>
  <si>
    <t>Андреева Светлана</t>
  </si>
  <si>
    <t>Антонова Екатерина</t>
  </si>
  <si>
    <t>Драбкина Ольга</t>
  </si>
  <si>
    <t>Контарь Инесса</t>
  </si>
  <si>
    <t>Коваленко Евгения</t>
  </si>
  <si>
    <t>Сотникова Светлана</t>
  </si>
  <si>
    <t>Баталова Татьяна</t>
  </si>
  <si>
    <t>Лоскутова Галина</t>
  </si>
  <si>
    <t>Богомолова Мария</t>
  </si>
  <si>
    <t>Фокин Николай</t>
  </si>
  <si>
    <t>Перевалов Сергей</t>
  </si>
  <si>
    <t>Морозов Алексей</t>
  </si>
  <si>
    <t>Колесников Василий</t>
  </si>
  <si>
    <t>Суслопаров Алексей</t>
  </si>
  <si>
    <t>Некрасов Сергей</t>
  </si>
  <si>
    <t>Авдюнин Алексей</t>
  </si>
  <si>
    <t>Царев Александр</t>
  </si>
  <si>
    <t>Бельцев Иван</t>
  </si>
  <si>
    <t>Гусев Егор</t>
  </si>
  <si>
    <t>Трякин Даниил</t>
  </si>
  <si>
    <t>Плаксин Евгений</t>
  </si>
  <si>
    <t>Церунян Артем</t>
  </si>
  <si>
    <t>Салиев Кудрат</t>
  </si>
  <si>
    <t>Хориев Данияр</t>
  </si>
  <si>
    <t>Спирин Геннадий</t>
  </si>
  <si>
    <t>Шишков Иван</t>
  </si>
  <si>
    <t>Бабаев Кирилл</t>
  </si>
  <si>
    <t>Бригадзе Дмитрий</t>
  </si>
  <si>
    <t>Яцковский Андрей</t>
  </si>
  <si>
    <t>Саенков Владимир</t>
  </si>
  <si>
    <t>Мухамадов Иззатулло</t>
  </si>
  <si>
    <t>Лебедев Александр</t>
  </si>
  <si>
    <t>Атрашков Павел</t>
  </si>
  <si>
    <t>Козак Константин</t>
  </si>
  <si>
    <t>Мордвинов Дмитрий</t>
  </si>
  <si>
    <t>Измайлов Руслан</t>
  </si>
  <si>
    <t>Никонов Денис</t>
  </si>
  <si>
    <t>Грунтов Илья</t>
  </si>
  <si>
    <t>Марценюк Иван</t>
  </si>
  <si>
    <t>Паршакин Алексей</t>
  </si>
  <si>
    <t>Малюгин Андрей</t>
  </si>
  <si>
    <t>Богданов Евгений</t>
  </si>
  <si>
    <t>Тумм Павел</t>
  </si>
  <si>
    <t>Анисимов Олег</t>
  </si>
  <si>
    <t>Плетнев Матвей</t>
  </si>
  <si>
    <t>Кравченко Виталий</t>
  </si>
  <si>
    <t>Степанов Федор</t>
  </si>
  <si>
    <t>Серегин Александр</t>
  </si>
  <si>
    <t>Бойко Константин</t>
  </si>
  <si>
    <t>Мустаев Тимур</t>
  </si>
  <si>
    <t>Минков Алексей</t>
  </si>
  <si>
    <t>Скобликов Александр</t>
  </si>
  <si>
    <t>Кострюков Владимир</t>
  </si>
  <si>
    <t>Брагин Андрей</t>
  </si>
  <si>
    <t>Кулемин Андрей</t>
  </si>
  <si>
    <t>Сапачев Александр</t>
  </si>
  <si>
    <t>Булгак Виорел</t>
  </si>
  <si>
    <t>Грачев Вадим</t>
  </si>
  <si>
    <t>Грунтов Виктор</t>
  </si>
  <si>
    <t>Киреев Дмитрий</t>
  </si>
  <si>
    <t>Бычков Игорь</t>
  </si>
  <si>
    <t>Усольцев Евгений</t>
  </si>
  <si>
    <t>Селезнев Владимир</t>
  </si>
  <si>
    <t>Безруков Дмитрий</t>
  </si>
  <si>
    <t>Филатов Артем</t>
  </si>
  <si>
    <t>04.04.1983</t>
  </si>
  <si>
    <t>17.10.1983</t>
  </si>
  <si>
    <t>06.12.2000</t>
  </si>
  <si>
    <t>13.11.1972</t>
  </si>
  <si>
    <t>25.01.1980</t>
  </si>
  <si>
    <t>21.03.1982</t>
  </si>
  <si>
    <t>30.01.1983</t>
  </si>
  <si>
    <t>20.05.1997</t>
  </si>
  <si>
    <t>17.05.1987</t>
  </si>
  <si>
    <t>17.04.1972</t>
  </si>
  <si>
    <t>26.06.1998</t>
  </si>
  <si>
    <t>12.03.1981</t>
  </si>
  <si>
    <t>15.01.1982</t>
  </si>
  <si>
    <t>17.02.1994</t>
  </si>
  <si>
    <t>20.04.1982</t>
  </si>
  <si>
    <t>30.12.1965</t>
  </si>
  <si>
    <t>23.04.1987</t>
  </si>
  <si>
    <t>01.03.1991</t>
  </si>
  <si>
    <t>24.08.1988</t>
  </si>
  <si>
    <t>17.06.2005</t>
  </si>
  <si>
    <t>03.04.1998</t>
  </si>
  <si>
    <t>26.12.1987</t>
  </si>
  <si>
    <t>23.01.1984</t>
  </si>
  <si>
    <t>20.01.1996</t>
  </si>
  <si>
    <t>18.12.1986</t>
  </si>
  <si>
    <t>26.10.1987</t>
  </si>
  <si>
    <t>06.04.1996</t>
  </si>
  <si>
    <t>30.05.1978</t>
  </si>
  <si>
    <t>27.12.1975</t>
  </si>
  <si>
    <t>14.08.1969</t>
  </si>
  <si>
    <t>24.03.1959</t>
  </si>
  <si>
    <t>11.08.1998</t>
  </si>
  <si>
    <t>05.08.1986</t>
  </si>
  <si>
    <t>25.04.1986</t>
  </si>
  <si>
    <t>08.10.1993</t>
  </si>
  <si>
    <t>16.02.1994</t>
  </si>
  <si>
    <t>18.01.1997</t>
  </si>
  <si>
    <t>20.09.1995</t>
  </si>
  <si>
    <t>19.02.1988</t>
  </si>
  <si>
    <t>27.01.1993</t>
  </si>
  <si>
    <t>06.05.1982</t>
  </si>
  <si>
    <t>25.06.1978</t>
  </si>
  <si>
    <t>10.06.1976</t>
  </si>
  <si>
    <t>01.09.1970</t>
  </si>
  <si>
    <t>14.12.2000</t>
  </si>
  <si>
    <t>16.06.1982</t>
  </si>
  <si>
    <t>13.04.1987</t>
  </si>
  <si>
    <t>15.12.1982</t>
  </si>
  <si>
    <t>12.04.1988</t>
  </si>
  <si>
    <t>25.01.1987</t>
  </si>
  <si>
    <t>21.07.1977</t>
  </si>
  <si>
    <t>09.05.1977</t>
  </si>
  <si>
    <t>23.04.1979</t>
  </si>
  <si>
    <t>07.05.1976</t>
  </si>
  <si>
    <t>28.08.1964</t>
  </si>
  <si>
    <t>13.12.1965</t>
  </si>
  <si>
    <t>10.10.1985</t>
  </si>
  <si>
    <t>19.08.1986</t>
  </si>
  <si>
    <t>27.05.1972</t>
  </si>
  <si>
    <t>25.08.1969</t>
  </si>
  <si>
    <t>18.06.1970</t>
  </si>
  <si>
    <t>01.02.1970</t>
  </si>
  <si>
    <t>02.10.1981</t>
  </si>
  <si>
    <t>26.09.1986</t>
  </si>
  <si>
    <t>19.06.1996</t>
  </si>
  <si>
    <t>16.10.1951</t>
  </si>
  <si>
    <t>15.10.1986</t>
  </si>
  <si>
    <t>11.04.1984</t>
  </si>
  <si>
    <t>20.06.1970</t>
  </si>
  <si>
    <t>30.03.1991</t>
  </si>
  <si>
    <t>22.10.1987</t>
  </si>
  <si>
    <t>06.06.1982</t>
  </si>
  <si>
    <t>06.11.1986</t>
  </si>
  <si>
    <t>06.03.1970</t>
  </si>
  <si>
    <t>31.08.1974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</si>
</sst>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 Cyr"/>
      <charset val="204"/>
    </font>
    <font>
      <b/>
      <sz val="10"/>
      <name val="Arial Cyr"/>
      <charset val="204"/>
    </font>
    <font>
      <strike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0" borderId="0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 indent="1"/>
    </xf>
    <xf numFmtId="0" fontId="0" fillId="0" borderId="0" xfId="0" applyFont="1" applyBorder="1" applyAlignment="1">
      <alignment horizontal="center"/>
    </xf>
    <xf numFmtId="0" fontId="0" fillId="0" borderId="0" xfId="0" applyFont="1"/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 indent="1"/>
    </xf>
    <xf numFmtId="49" fontId="1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1" fillId="0" borderId="0" xfId="0" applyNumberFormat="1" applyFont="1" applyBorder="1" applyAlignment="1"/>
    <xf numFmtId="49" fontId="0" fillId="0" borderId="0" xfId="0" applyNumberFormat="1" applyFont="1" applyBorder="1" applyAlignment="1"/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/>
    <xf numFmtId="0" fontId="0" fillId="0" borderId="4" xfId="0" applyFont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9" fontId="1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71"/>
  <sheetViews>
    <sheetView tabSelected="1" zoomScaleNormal="100" workbookViewId="0">
      <selection activeCell="A2" sqref="A2"/>
    </sheetView>
  </sheetViews>
  <sheetFormatPr defaultColWidth="9.140625" defaultRowHeight="12.75" customHeight="1"/>
  <cols>
    <col min="1" max="1" width="25.42578125" style="1" customWidth="1"/>
    <col min="2" max="2" width="4.42578125" style="1" bestFit="1" customWidth="1"/>
    <col min="3" max="3" width="10.140625" style="10" bestFit="1" customWidth="1"/>
    <col min="4" max="5" width="7.5703125" style="9" customWidth="1"/>
    <col min="6" max="6" width="5.42578125" style="9" customWidth="1"/>
    <col min="7" max="7" width="19" style="9" bestFit="1" customWidth="1"/>
    <col min="8" max="8" width="14" style="10" bestFit="1" customWidth="1"/>
    <col min="9" max="11" width="5.5703125" style="9" customWidth="1"/>
    <col min="12" max="12" width="2.140625" style="9" customWidth="1"/>
    <col min="13" max="15" width="5.5703125" style="9" customWidth="1"/>
    <col min="16" max="16" width="2.140625" style="9" customWidth="1"/>
    <col min="17" max="19" width="5.5703125" style="9" customWidth="1"/>
    <col min="20" max="20" width="3.28515625" style="9" customWidth="1"/>
    <col min="21" max="21" width="8" style="7" customWidth="1"/>
    <col min="22" max="22" width="11" style="7" customWidth="1"/>
    <col min="23" max="1025" width="9.140625" style="7"/>
    <col min="1026" max="16384" width="9.140625" style="8"/>
  </cols>
  <sheetData>
    <row r="1" spans="1:22" s="12" customFormat="1" ht="12.75" customHeight="1">
      <c r="A1" s="24" t="s">
        <v>281</v>
      </c>
      <c r="B1" s="24" t="s">
        <v>282</v>
      </c>
      <c r="C1" s="25" t="s">
        <v>291</v>
      </c>
      <c r="D1" s="29" t="s">
        <v>283</v>
      </c>
      <c r="E1" s="29" t="s">
        <v>284</v>
      </c>
      <c r="F1" s="29" t="s">
        <v>395</v>
      </c>
      <c r="G1" s="29" t="s">
        <v>292</v>
      </c>
      <c r="H1" s="24" t="s">
        <v>394</v>
      </c>
      <c r="I1" s="51" t="s">
        <v>319</v>
      </c>
      <c r="J1" s="52"/>
      <c r="K1" s="53"/>
      <c r="L1" s="24"/>
      <c r="M1" s="51" t="s">
        <v>320</v>
      </c>
      <c r="N1" s="52"/>
      <c r="O1" s="52"/>
      <c r="P1" s="53"/>
      <c r="Q1" s="51" t="s">
        <v>321</v>
      </c>
      <c r="R1" s="52"/>
      <c r="S1" s="53"/>
      <c r="T1" s="24"/>
      <c r="U1" s="16" t="s">
        <v>322</v>
      </c>
      <c r="V1" s="16" t="s">
        <v>323</v>
      </c>
    </row>
    <row r="2" spans="1:22" s="12" customFormat="1" ht="12.75" customHeight="1">
      <c r="A2" s="24"/>
      <c r="B2" s="24"/>
      <c r="C2" s="25"/>
      <c r="D2" s="29"/>
      <c r="E2" s="29"/>
      <c r="F2" s="29"/>
      <c r="G2" s="29"/>
      <c r="H2" s="24"/>
      <c r="I2" s="26">
        <v>1</v>
      </c>
      <c r="J2" s="26">
        <v>2</v>
      </c>
      <c r="K2" s="26">
        <v>3</v>
      </c>
      <c r="L2" s="26">
        <v>4</v>
      </c>
      <c r="M2" s="44">
        <v>1</v>
      </c>
      <c r="N2" s="44">
        <v>2</v>
      </c>
      <c r="O2" s="44">
        <v>3</v>
      </c>
      <c r="P2" s="44">
        <v>4</v>
      </c>
      <c r="Q2" s="44">
        <v>1</v>
      </c>
      <c r="R2" s="44">
        <v>2</v>
      </c>
      <c r="S2" s="44">
        <v>3</v>
      </c>
      <c r="T2" s="41">
        <v>4</v>
      </c>
      <c r="U2" s="16"/>
      <c r="V2" s="16"/>
    </row>
    <row r="3" spans="1:22" s="9" customFormat="1" ht="12.75" customHeight="1">
      <c r="A3" s="20" t="s">
        <v>554</v>
      </c>
      <c r="B3" s="20" t="s">
        <v>289</v>
      </c>
      <c r="C3" s="19" t="s">
        <v>298</v>
      </c>
      <c r="D3" s="3" t="s">
        <v>91</v>
      </c>
      <c r="E3" s="28">
        <v>48</v>
      </c>
      <c r="F3" s="28">
        <v>1</v>
      </c>
      <c r="G3" s="28" t="s">
        <v>293</v>
      </c>
      <c r="H3" s="19" t="s">
        <v>324</v>
      </c>
      <c r="I3" s="4" t="s">
        <v>28</v>
      </c>
      <c r="J3" s="4" t="s">
        <v>126</v>
      </c>
      <c r="K3" s="30" t="s">
        <v>152</v>
      </c>
      <c r="L3" s="30"/>
      <c r="M3" s="4" t="s">
        <v>30</v>
      </c>
      <c r="N3" s="4" t="s">
        <v>31</v>
      </c>
      <c r="O3" s="4" t="s">
        <v>67</v>
      </c>
      <c r="P3" s="30"/>
      <c r="Q3" s="4" t="s">
        <v>41</v>
      </c>
      <c r="R3" s="4" t="s">
        <v>92</v>
      </c>
      <c r="S3" s="4" t="s">
        <v>73</v>
      </c>
      <c r="T3" s="21"/>
      <c r="U3" s="33">
        <v>265</v>
      </c>
      <c r="V3" s="28">
        <v>318.5</v>
      </c>
    </row>
    <row r="4" spans="1:22" ht="12.75" customHeight="1">
      <c r="A4" s="2" t="s">
        <v>603</v>
      </c>
      <c r="B4" s="20" t="s">
        <v>289</v>
      </c>
      <c r="C4" s="4" t="s">
        <v>299</v>
      </c>
      <c r="D4" s="3" t="s">
        <v>124</v>
      </c>
      <c r="E4" s="28">
        <v>52</v>
      </c>
      <c r="F4" s="28">
        <v>1</v>
      </c>
      <c r="G4" s="28" t="s">
        <v>293</v>
      </c>
      <c r="H4" s="4" t="s">
        <v>325</v>
      </c>
      <c r="I4" s="30" t="s">
        <v>38</v>
      </c>
      <c r="J4" s="4" t="s">
        <v>38</v>
      </c>
      <c r="K4" s="4" t="s">
        <v>41</v>
      </c>
      <c r="L4" s="30"/>
      <c r="M4" s="4" t="s">
        <v>30</v>
      </c>
      <c r="N4" s="4" t="s">
        <v>31</v>
      </c>
      <c r="O4" s="4" t="s">
        <v>67</v>
      </c>
      <c r="P4" s="30"/>
      <c r="Q4" s="4" t="s">
        <v>38</v>
      </c>
      <c r="R4" s="4" t="s">
        <v>161</v>
      </c>
      <c r="S4" s="4" t="s">
        <v>162</v>
      </c>
      <c r="T4" s="5"/>
      <c r="U4" s="32">
        <v>270</v>
      </c>
      <c r="V4" s="11" t="str">
        <f>"304,6140"</f>
        <v>304,6140</v>
      </c>
    </row>
    <row r="5" spans="1:22" ht="12.75" customHeight="1">
      <c r="A5" s="2" t="s">
        <v>604</v>
      </c>
      <c r="B5" s="20" t="s">
        <v>289</v>
      </c>
      <c r="C5" s="4" t="s">
        <v>300</v>
      </c>
      <c r="D5" s="3" t="s">
        <v>158</v>
      </c>
      <c r="E5" s="28">
        <v>60</v>
      </c>
      <c r="F5" s="28">
        <v>1</v>
      </c>
      <c r="G5" s="28" t="s">
        <v>295</v>
      </c>
      <c r="H5" s="4" t="s">
        <v>326</v>
      </c>
      <c r="I5" s="4" t="s">
        <v>125</v>
      </c>
      <c r="J5" s="4" t="s">
        <v>126</v>
      </c>
      <c r="K5" s="30" t="s">
        <v>38</v>
      </c>
      <c r="L5" s="30"/>
      <c r="M5" s="4" t="s">
        <v>30</v>
      </c>
      <c r="N5" s="30" t="s">
        <v>67</v>
      </c>
      <c r="O5" s="30" t="s">
        <v>67</v>
      </c>
      <c r="P5" s="30"/>
      <c r="Q5" s="4" t="s">
        <v>125</v>
      </c>
      <c r="R5" s="4" t="s">
        <v>126</v>
      </c>
      <c r="S5" s="4" t="s">
        <v>38</v>
      </c>
      <c r="T5" s="5"/>
      <c r="U5" s="32">
        <v>240</v>
      </c>
      <c r="V5" s="11" t="str">
        <f>"247,7040"</f>
        <v>247,7040</v>
      </c>
    </row>
    <row r="6" spans="1:22" ht="12.75" customHeight="1">
      <c r="A6" s="20" t="s">
        <v>605</v>
      </c>
      <c r="B6" s="20" t="s">
        <v>289</v>
      </c>
      <c r="C6" s="19" t="s">
        <v>301</v>
      </c>
      <c r="D6" s="3" t="s">
        <v>248</v>
      </c>
      <c r="E6" s="28">
        <v>67.5</v>
      </c>
      <c r="F6" s="28">
        <v>1</v>
      </c>
      <c r="G6" s="28" t="s">
        <v>293</v>
      </c>
      <c r="H6" s="19" t="s">
        <v>325</v>
      </c>
      <c r="I6" s="4" t="s">
        <v>41</v>
      </c>
      <c r="J6" s="4" t="s">
        <v>92</v>
      </c>
      <c r="K6" s="30" t="s">
        <v>173</v>
      </c>
      <c r="L6" s="30"/>
      <c r="M6" s="4" t="s">
        <v>31</v>
      </c>
      <c r="N6" s="4" t="s">
        <v>50</v>
      </c>
      <c r="O6" s="4" t="s">
        <v>68</v>
      </c>
      <c r="P6" s="30"/>
      <c r="Q6" s="4" t="s">
        <v>172</v>
      </c>
      <c r="R6" s="4" t="s">
        <v>173</v>
      </c>
      <c r="S6" s="4" t="s">
        <v>74</v>
      </c>
      <c r="T6" s="21"/>
      <c r="U6" s="32">
        <v>300</v>
      </c>
      <c r="V6" s="11" t="str">
        <f>"275,9850"</f>
        <v>275,9850</v>
      </c>
    </row>
    <row r="7" spans="1:22" ht="12.75" customHeight="1">
      <c r="A7" s="2" t="s">
        <v>606</v>
      </c>
      <c r="B7" s="20" t="s">
        <v>289</v>
      </c>
      <c r="C7" s="4" t="s">
        <v>302</v>
      </c>
      <c r="D7" s="3" t="s">
        <v>231</v>
      </c>
      <c r="E7" s="28">
        <v>67.5</v>
      </c>
      <c r="F7" s="28">
        <v>2</v>
      </c>
      <c r="G7" s="28" t="s">
        <v>293</v>
      </c>
      <c r="H7" s="4" t="s">
        <v>325</v>
      </c>
      <c r="I7" s="4" t="s">
        <v>28</v>
      </c>
      <c r="J7" s="30" t="s">
        <v>126</v>
      </c>
      <c r="K7" s="30" t="s">
        <v>168</v>
      </c>
      <c r="L7" s="30"/>
      <c r="M7" s="4" t="s">
        <v>53</v>
      </c>
      <c r="N7" s="4" t="s">
        <v>33</v>
      </c>
      <c r="O7" s="30" t="s">
        <v>55</v>
      </c>
      <c r="P7" s="30"/>
      <c r="Q7" s="4" t="s">
        <v>74</v>
      </c>
      <c r="R7" s="4" t="s">
        <v>75</v>
      </c>
      <c r="S7" s="4" t="s">
        <v>76</v>
      </c>
      <c r="T7" s="5"/>
      <c r="U7" s="32">
        <v>290</v>
      </c>
      <c r="V7" s="11" t="str">
        <f>"270,7005"</f>
        <v>270,7005</v>
      </c>
    </row>
    <row r="8" spans="1:22" ht="12.75" customHeight="1">
      <c r="A8" s="2" t="s">
        <v>607</v>
      </c>
      <c r="B8" s="20" t="s">
        <v>289</v>
      </c>
      <c r="C8" s="4" t="s">
        <v>303</v>
      </c>
      <c r="D8" s="3" t="s">
        <v>34</v>
      </c>
      <c r="E8" s="28">
        <v>75</v>
      </c>
      <c r="F8" s="28">
        <v>1</v>
      </c>
      <c r="G8" s="28" t="s">
        <v>293</v>
      </c>
      <c r="H8" s="4" t="s">
        <v>325</v>
      </c>
      <c r="I8" s="4" t="s">
        <v>23</v>
      </c>
      <c r="J8" s="4" t="s">
        <v>28</v>
      </c>
      <c r="K8" s="4" t="s">
        <v>168</v>
      </c>
      <c r="L8" s="30"/>
      <c r="M8" s="4" t="s">
        <v>68</v>
      </c>
      <c r="N8" s="4" t="s">
        <v>33</v>
      </c>
      <c r="O8" s="4" t="s">
        <v>23</v>
      </c>
      <c r="P8" s="30"/>
      <c r="Q8" s="4" t="s">
        <v>28</v>
      </c>
      <c r="R8" s="4" t="s">
        <v>38</v>
      </c>
      <c r="S8" s="4" t="s">
        <v>98</v>
      </c>
      <c r="T8" s="5"/>
      <c r="U8" s="32">
        <v>280</v>
      </c>
      <c r="V8" s="11" t="str">
        <f>"235,1720"</f>
        <v>235,1720</v>
      </c>
    </row>
    <row r="9" spans="1:22" ht="12.75" customHeight="1">
      <c r="A9" s="20" t="s">
        <v>608</v>
      </c>
      <c r="B9" s="20" t="s">
        <v>289</v>
      </c>
      <c r="C9" s="19" t="s">
        <v>304</v>
      </c>
      <c r="D9" s="3" t="s">
        <v>111</v>
      </c>
      <c r="E9" s="28">
        <v>75</v>
      </c>
      <c r="F9" s="28">
        <v>2</v>
      </c>
      <c r="G9" s="28" t="s">
        <v>293</v>
      </c>
      <c r="H9" s="19" t="s">
        <v>325</v>
      </c>
      <c r="I9" s="4" t="s">
        <v>23</v>
      </c>
      <c r="J9" s="4" t="s">
        <v>125</v>
      </c>
      <c r="K9" s="4" t="s">
        <v>28</v>
      </c>
      <c r="L9" s="30"/>
      <c r="M9" s="30" t="s">
        <v>62</v>
      </c>
      <c r="N9" s="4" t="s">
        <v>62</v>
      </c>
      <c r="O9" s="30" t="s">
        <v>229</v>
      </c>
      <c r="P9" s="30"/>
      <c r="Q9" s="4" t="s">
        <v>41</v>
      </c>
      <c r="R9" s="4" t="s">
        <v>98</v>
      </c>
      <c r="S9" s="4" t="s">
        <v>173</v>
      </c>
      <c r="T9" s="21"/>
      <c r="U9" s="32">
        <v>250</v>
      </c>
      <c r="V9" s="11" t="str">
        <f>"209,7750"</f>
        <v>209,7750</v>
      </c>
    </row>
    <row r="10" spans="1:22" ht="12.75" customHeight="1">
      <c r="A10" s="2" t="s">
        <v>609</v>
      </c>
      <c r="B10" s="20" t="s">
        <v>289</v>
      </c>
      <c r="C10" s="4" t="s">
        <v>305</v>
      </c>
      <c r="D10" s="3" t="s">
        <v>167</v>
      </c>
      <c r="E10" s="28">
        <v>75</v>
      </c>
      <c r="F10" s="28">
        <v>3</v>
      </c>
      <c r="G10" s="28" t="s">
        <v>293</v>
      </c>
      <c r="H10" s="4" t="s">
        <v>326</v>
      </c>
      <c r="I10" s="30" t="s">
        <v>125</v>
      </c>
      <c r="J10" s="30" t="s">
        <v>125</v>
      </c>
      <c r="K10" s="4" t="s">
        <v>125</v>
      </c>
      <c r="L10" s="30"/>
      <c r="M10" s="30" t="s">
        <v>30</v>
      </c>
      <c r="N10" s="4" t="s">
        <v>30</v>
      </c>
      <c r="O10" s="30" t="s">
        <v>67</v>
      </c>
      <c r="P10" s="30"/>
      <c r="Q10" s="4" t="s">
        <v>126</v>
      </c>
      <c r="R10" s="4" t="s">
        <v>38</v>
      </c>
      <c r="S10" s="4" t="s">
        <v>98</v>
      </c>
      <c r="T10" s="5"/>
      <c r="U10" s="32">
        <v>240</v>
      </c>
      <c r="V10" s="11" t="str">
        <f>"208,4880"</f>
        <v>208,4880</v>
      </c>
    </row>
    <row r="11" spans="1:22" ht="12.75" customHeight="1">
      <c r="A11" s="2" t="s">
        <v>610</v>
      </c>
      <c r="B11" s="2" t="s">
        <v>290</v>
      </c>
      <c r="C11" s="4" t="s">
        <v>306</v>
      </c>
      <c r="D11" s="3" t="s">
        <v>63</v>
      </c>
      <c r="E11" s="28">
        <v>67.5</v>
      </c>
      <c r="F11" s="28">
        <v>1</v>
      </c>
      <c r="G11" s="28" t="s">
        <v>294</v>
      </c>
      <c r="H11" s="4" t="s">
        <v>325</v>
      </c>
      <c r="I11" s="4" t="s">
        <v>194</v>
      </c>
      <c r="J11" s="4" t="s">
        <v>80</v>
      </c>
      <c r="K11" s="30" t="s">
        <v>84</v>
      </c>
      <c r="L11" s="30"/>
      <c r="M11" s="4" t="s">
        <v>173</v>
      </c>
      <c r="N11" s="4" t="s">
        <v>74</v>
      </c>
      <c r="O11" s="4" t="s">
        <v>198</v>
      </c>
      <c r="P11" s="30"/>
      <c r="Q11" s="4" t="s">
        <v>103</v>
      </c>
      <c r="R11" s="4" t="s">
        <v>85</v>
      </c>
      <c r="S11" s="4" t="s">
        <v>86</v>
      </c>
      <c r="T11" s="5"/>
      <c r="U11" s="32">
        <v>507.5</v>
      </c>
      <c r="V11" s="11" t="str">
        <f>"381,7415"</f>
        <v>381,7415</v>
      </c>
    </row>
    <row r="12" spans="1:22" ht="12.75" customHeight="1">
      <c r="A12" s="20" t="s">
        <v>611</v>
      </c>
      <c r="B12" s="2" t="s">
        <v>290</v>
      </c>
      <c r="C12" s="19" t="s">
        <v>307</v>
      </c>
      <c r="D12" s="3" t="s">
        <v>233</v>
      </c>
      <c r="E12" s="28">
        <v>75</v>
      </c>
      <c r="F12" s="28">
        <v>1</v>
      </c>
      <c r="G12" s="28" t="s">
        <v>294</v>
      </c>
      <c r="H12" s="19" t="s">
        <v>327</v>
      </c>
      <c r="I12" s="4" t="s">
        <v>85</v>
      </c>
      <c r="J12" s="30" t="s">
        <v>80</v>
      </c>
      <c r="K12" s="30" t="s">
        <v>80</v>
      </c>
      <c r="L12" s="30"/>
      <c r="M12" s="30" t="s">
        <v>41</v>
      </c>
      <c r="N12" s="30" t="s">
        <v>98</v>
      </c>
      <c r="O12" s="4" t="s">
        <v>98</v>
      </c>
      <c r="P12" s="30"/>
      <c r="Q12" s="4" t="s">
        <v>86</v>
      </c>
      <c r="R12" s="30" t="s">
        <v>117</v>
      </c>
      <c r="S12" s="4" t="s">
        <v>117</v>
      </c>
      <c r="T12" s="21"/>
      <c r="U12" s="32">
        <v>490</v>
      </c>
      <c r="V12" s="11" t="str">
        <f>"338,3940"</f>
        <v>338,3940</v>
      </c>
    </row>
    <row r="13" spans="1:22" ht="12.75" customHeight="1">
      <c r="A13" s="2" t="s">
        <v>564</v>
      </c>
      <c r="B13" s="2" t="s">
        <v>290</v>
      </c>
      <c r="C13" s="4" t="s">
        <v>308</v>
      </c>
      <c r="D13" s="3" t="s">
        <v>113</v>
      </c>
      <c r="E13" s="28">
        <v>82.5</v>
      </c>
      <c r="F13" s="28">
        <v>1</v>
      </c>
      <c r="G13" s="28" t="s">
        <v>293</v>
      </c>
      <c r="H13" s="4" t="s">
        <v>324</v>
      </c>
      <c r="I13" s="4" t="s">
        <v>108</v>
      </c>
      <c r="J13" s="4" t="s">
        <v>83</v>
      </c>
      <c r="K13" s="4" t="s">
        <v>110</v>
      </c>
      <c r="L13" s="30"/>
      <c r="M13" s="4" t="s">
        <v>78</v>
      </c>
      <c r="N13" s="4" t="s">
        <v>94</v>
      </c>
      <c r="O13" s="30" t="s">
        <v>95</v>
      </c>
      <c r="P13" s="30"/>
      <c r="Q13" s="4" t="s">
        <v>6</v>
      </c>
      <c r="R13" s="30" t="s">
        <v>7</v>
      </c>
      <c r="S13" s="4" t="s">
        <v>7</v>
      </c>
      <c r="T13" s="5"/>
      <c r="U13" s="32">
        <v>587.5</v>
      </c>
      <c r="V13" s="11" t="str">
        <f>"381,7281"</f>
        <v>381,7281</v>
      </c>
    </row>
    <row r="14" spans="1:22" ht="12.75" customHeight="1">
      <c r="A14" s="2" t="s">
        <v>612</v>
      </c>
      <c r="B14" s="2" t="s">
        <v>290</v>
      </c>
      <c r="C14" s="4" t="s">
        <v>309</v>
      </c>
      <c r="D14" s="3" t="s">
        <v>189</v>
      </c>
      <c r="E14" s="28">
        <v>82.5</v>
      </c>
      <c r="F14" s="28">
        <v>2</v>
      </c>
      <c r="G14" s="28" t="s">
        <v>293</v>
      </c>
      <c r="H14" s="4" t="s">
        <v>325</v>
      </c>
      <c r="I14" s="4" t="s">
        <v>94</v>
      </c>
      <c r="J14" s="4" t="s">
        <v>103</v>
      </c>
      <c r="K14" s="30" t="s">
        <v>110</v>
      </c>
      <c r="L14" s="30"/>
      <c r="M14" s="4" t="s">
        <v>38</v>
      </c>
      <c r="N14" s="4" t="s">
        <v>98</v>
      </c>
      <c r="O14" s="30" t="s">
        <v>172</v>
      </c>
      <c r="P14" s="30"/>
      <c r="Q14" s="4" t="s">
        <v>103</v>
      </c>
      <c r="R14" s="4" t="s">
        <v>86</v>
      </c>
      <c r="S14" s="30" t="s">
        <v>235</v>
      </c>
      <c r="T14" s="5"/>
      <c r="U14" s="32">
        <v>470</v>
      </c>
      <c r="V14" s="11" t="str">
        <f>"303,4320"</f>
        <v>303,4320</v>
      </c>
    </row>
    <row r="15" spans="1:22" ht="12.75" customHeight="1">
      <c r="A15" s="2" t="s">
        <v>613</v>
      </c>
      <c r="B15" s="2" t="s">
        <v>290</v>
      </c>
      <c r="C15" s="4" t="s">
        <v>310</v>
      </c>
      <c r="D15" s="3" t="s">
        <v>249</v>
      </c>
      <c r="E15" s="28">
        <v>82.5</v>
      </c>
      <c r="F15" s="28">
        <v>3</v>
      </c>
      <c r="G15" s="28" t="s">
        <v>293</v>
      </c>
      <c r="H15" s="4" t="s">
        <v>325</v>
      </c>
      <c r="I15" s="4" t="s">
        <v>75</v>
      </c>
      <c r="J15" s="4" t="s">
        <v>78</v>
      </c>
      <c r="K15" s="4" t="s">
        <v>82</v>
      </c>
      <c r="L15" s="30"/>
      <c r="M15" s="30" t="s">
        <v>38</v>
      </c>
      <c r="N15" s="4" t="s">
        <v>98</v>
      </c>
      <c r="O15" s="4" t="s">
        <v>173</v>
      </c>
      <c r="P15" s="30"/>
      <c r="Q15" s="4" t="s">
        <v>82</v>
      </c>
      <c r="R15" s="4" t="s">
        <v>226</v>
      </c>
      <c r="S15" s="4" t="s">
        <v>86</v>
      </c>
      <c r="T15" s="5"/>
      <c r="U15" s="32">
        <v>470</v>
      </c>
      <c r="V15" s="11" t="str">
        <f>"303,1970"</f>
        <v>303,1970</v>
      </c>
    </row>
    <row r="16" spans="1:22" ht="12.75" customHeight="1">
      <c r="A16" s="20" t="s">
        <v>614</v>
      </c>
      <c r="B16" s="2" t="s">
        <v>290</v>
      </c>
      <c r="C16" s="19" t="s">
        <v>311</v>
      </c>
      <c r="D16" s="3" t="s">
        <v>186</v>
      </c>
      <c r="E16" s="28">
        <v>82.5</v>
      </c>
      <c r="F16" s="28">
        <v>4</v>
      </c>
      <c r="G16" s="28" t="s">
        <v>293</v>
      </c>
      <c r="H16" s="19" t="s">
        <v>326</v>
      </c>
      <c r="I16" s="4" t="s">
        <v>96</v>
      </c>
      <c r="J16" s="4" t="s">
        <v>78</v>
      </c>
      <c r="K16" s="4" t="s">
        <v>82</v>
      </c>
      <c r="L16" s="30"/>
      <c r="M16" s="4" t="s">
        <v>98</v>
      </c>
      <c r="N16" s="30" t="s">
        <v>173</v>
      </c>
      <c r="O16" s="4" t="s">
        <v>173</v>
      </c>
      <c r="P16" s="30"/>
      <c r="Q16" s="4" t="s">
        <v>78</v>
      </c>
      <c r="R16" s="4" t="s">
        <v>82</v>
      </c>
      <c r="S16" s="4" t="s">
        <v>103</v>
      </c>
      <c r="T16" s="21"/>
      <c r="U16" s="32">
        <v>450</v>
      </c>
      <c r="V16" s="11" t="str">
        <f>"298,5750"</f>
        <v>298,5750</v>
      </c>
    </row>
    <row r="17" spans="1:22" ht="12.75" customHeight="1">
      <c r="A17" s="2" t="s">
        <v>615</v>
      </c>
      <c r="B17" s="2" t="s">
        <v>290</v>
      </c>
      <c r="C17" s="4" t="s">
        <v>312</v>
      </c>
      <c r="D17" s="3" t="s">
        <v>250</v>
      </c>
      <c r="E17" s="28">
        <v>90</v>
      </c>
      <c r="F17" s="28">
        <v>1</v>
      </c>
      <c r="G17" s="28" t="s">
        <v>293</v>
      </c>
      <c r="H17" s="4" t="s">
        <v>325</v>
      </c>
      <c r="I17" s="4" t="s">
        <v>103</v>
      </c>
      <c r="J17" s="4" t="s">
        <v>85</v>
      </c>
      <c r="K17" s="4" t="s">
        <v>86</v>
      </c>
      <c r="L17" s="30"/>
      <c r="M17" s="4" t="s">
        <v>173</v>
      </c>
      <c r="N17" s="4" t="s">
        <v>75</v>
      </c>
      <c r="O17" s="4" t="s">
        <v>96</v>
      </c>
      <c r="P17" s="30"/>
      <c r="Q17" s="4" t="s">
        <v>117</v>
      </c>
      <c r="R17" s="4" t="s">
        <v>235</v>
      </c>
      <c r="S17" s="4" t="s">
        <v>89</v>
      </c>
      <c r="T17" s="5"/>
      <c r="U17" s="32">
        <v>560</v>
      </c>
      <c r="V17" s="11" t="str">
        <f>"348,1800"</f>
        <v>348,1800</v>
      </c>
    </row>
    <row r="18" spans="1:22" ht="12.75" customHeight="1">
      <c r="A18" s="2" t="s">
        <v>616</v>
      </c>
      <c r="B18" s="2" t="s">
        <v>290</v>
      </c>
      <c r="C18" s="4" t="s">
        <v>313</v>
      </c>
      <c r="D18" s="3" t="s">
        <v>52</v>
      </c>
      <c r="E18" s="28">
        <v>90</v>
      </c>
      <c r="F18" s="28">
        <v>2</v>
      </c>
      <c r="G18" s="28" t="s">
        <v>293</v>
      </c>
      <c r="H18" s="4" t="s">
        <v>328</v>
      </c>
      <c r="I18" s="4" t="s">
        <v>86</v>
      </c>
      <c r="J18" s="4" t="s">
        <v>84</v>
      </c>
      <c r="K18" s="4" t="s">
        <v>117</v>
      </c>
      <c r="L18" s="30"/>
      <c r="M18" s="30" t="s">
        <v>76</v>
      </c>
      <c r="N18" s="4" t="s">
        <v>96</v>
      </c>
      <c r="O18" s="4" t="s">
        <v>107</v>
      </c>
      <c r="P18" s="30"/>
      <c r="Q18" s="4" t="s">
        <v>117</v>
      </c>
      <c r="R18" s="4" t="s">
        <v>235</v>
      </c>
      <c r="S18" s="30" t="s">
        <v>145</v>
      </c>
      <c r="T18" s="5"/>
      <c r="U18" s="32">
        <v>555</v>
      </c>
      <c r="V18" s="11" t="str">
        <f>"339,5768"</f>
        <v>339,5768</v>
      </c>
    </row>
    <row r="19" spans="1:22" ht="12.75" customHeight="1">
      <c r="A19" s="2" t="s">
        <v>617</v>
      </c>
      <c r="B19" s="2" t="s">
        <v>290</v>
      </c>
      <c r="C19" s="4" t="s">
        <v>314</v>
      </c>
      <c r="D19" s="3" t="s">
        <v>135</v>
      </c>
      <c r="E19" s="28">
        <v>100</v>
      </c>
      <c r="F19" s="28">
        <v>1</v>
      </c>
      <c r="G19" s="28" t="s">
        <v>293</v>
      </c>
      <c r="H19" s="4" t="s">
        <v>325</v>
      </c>
      <c r="I19" s="4" t="s">
        <v>235</v>
      </c>
      <c r="J19" s="4" t="s">
        <v>89</v>
      </c>
      <c r="K19" s="4" t="s">
        <v>6</v>
      </c>
      <c r="L19" s="30"/>
      <c r="M19" s="30" t="s">
        <v>94</v>
      </c>
      <c r="N19" s="4" t="s">
        <v>82</v>
      </c>
      <c r="O19" s="4" t="s">
        <v>108</v>
      </c>
      <c r="P19" s="30"/>
      <c r="Q19" s="4" t="s">
        <v>10</v>
      </c>
      <c r="R19" s="4" t="s">
        <v>18</v>
      </c>
      <c r="S19" s="30" t="s">
        <v>119</v>
      </c>
      <c r="T19" s="5"/>
      <c r="U19" s="32">
        <v>715</v>
      </c>
      <c r="V19" s="11" t="str">
        <f>"417,0595"</f>
        <v>417,0595</v>
      </c>
    </row>
    <row r="20" spans="1:22" ht="12.75" customHeight="1">
      <c r="A20" s="2" t="s">
        <v>618</v>
      </c>
      <c r="B20" s="2" t="s">
        <v>290</v>
      </c>
      <c r="C20" s="4" t="s">
        <v>315</v>
      </c>
      <c r="D20" s="3" t="s">
        <v>251</v>
      </c>
      <c r="E20" s="28">
        <v>101</v>
      </c>
      <c r="F20" s="28">
        <v>2</v>
      </c>
      <c r="G20" s="28" t="s">
        <v>293</v>
      </c>
      <c r="H20" s="4" t="s">
        <v>325</v>
      </c>
      <c r="I20" s="4" t="s">
        <v>75</v>
      </c>
      <c r="J20" s="4" t="s">
        <v>96</v>
      </c>
      <c r="K20" s="4" t="s">
        <v>78</v>
      </c>
      <c r="L20" s="30"/>
      <c r="M20" s="4" t="s">
        <v>172</v>
      </c>
      <c r="N20" s="4" t="s">
        <v>74</v>
      </c>
      <c r="O20" s="4" t="s">
        <v>76</v>
      </c>
      <c r="P20" s="30"/>
      <c r="Q20" s="4" t="s">
        <v>78</v>
      </c>
      <c r="R20" s="4" t="s">
        <v>103</v>
      </c>
      <c r="S20" s="4" t="s">
        <v>80</v>
      </c>
      <c r="T20" s="5"/>
      <c r="U20" s="32">
        <v>470</v>
      </c>
      <c r="V20" s="11" t="str">
        <f>"281,0600"</f>
        <v>281,0600</v>
      </c>
    </row>
    <row r="21" spans="1:22" ht="12.75" customHeight="1">
      <c r="A21" s="20" t="s">
        <v>619</v>
      </c>
      <c r="B21" s="2" t="s">
        <v>290</v>
      </c>
      <c r="C21" s="19" t="s">
        <v>316</v>
      </c>
      <c r="D21" s="3" t="s">
        <v>252</v>
      </c>
      <c r="E21" s="28">
        <v>102</v>
      </c>
      <c r="F21" s="28">
        <v>3</v>
      </c>
      <c r="G21" s="28" t="s">
        <v>293</v>
      </c>
      <c r="H21" s="19" t="s">
        <v>329</v>
      </c>
      <c r="I21" s="4" t="s">
        <v>173</v>
      </c>
      <c r="J21" s="4" t="s">
        <v>198</v>
      </c>
      <c r="K21" s="4" t="s">
        <v>96</v>
      </c>
      <c r="L21" s="30"/>
      <c r="M21" s="4" t="s">
        <v>98</v>
      </c>
      <c r="N21" s="4" t="s">
        <v>73</v>
      </c>
      <c r="O21" s="4" t="s">
        <v>173</v>
      </c>
      <c r="P21" s="30"/>
      <c r="Q21" s="30" t="s">
        <v>78</v>
      </c>
      <c r="R21" s="4" t="s">
        <v>108</v>
      </c>
      <c r="S21" s="4" t="s">
        <v>194</v>
      </c>
      <c r="T21" s="21"/>
      <c r="U21" s="32">
        <v>435</v>
      </c>
      <c r="V21" s="11" t="str">
        <f>"259,4557"</f>
        <v>259,4557</v>
      </c>
    </row>
    <row r="22" spans="1:22" ht="12.75" customHeight="1">
      <c r="A22" s="2" t="s">
        <v>621</v>
      </c>
      <c r="B22" s="2" t="s">
        <v>290</v>
      </c>
      <c r="C22" s="4" t="s">
        <v>317</v>
      </c>
      <c r="D22" s="3" t="s">
        <v>253</v>
      </c>
      <c r="E22" s="28">
        <v>103</v>
      </c>
      <c r="F22" s="28">
        <v>1</v>
      </c>
      <c r="G22" s="28" t="s">
        <v>296</v>
      </c>
      <c r="H22" s="4" t="s">
        <v>330</v>
      </c>
      <c r="I22" s="4" t="s">
        <v>78</v>
      </c>
      <c r="J22" s="4" t="s">
        <v>82</v>
      </c>
      <c r="K22" s="30" t="s">
        <v>103</v>
      </c>
      <c r="L22" s="30"/>
      <c r="M22" s="4" t="s">
        <v>38</v>
      </c>
      <c r="N22" s="4" t="s">
        <v>98</v>
      </c>
      <c r="O22" s="30" t="s">
        <v>173</v>
      </c>
      <c r="P22" s="30"/>
      <c r="Q22" s="4" t="s">
        <v>108</v>
      </c>
      <c r="R22" s="4" t="s">
        <v>194</v>
      </c>
      <c r="S22" s="4" t="s">
        <v>226</v>
      </c>
      <c r="T22" s="5"/>
      <c r="U22" s="32">
        <v>452.5</v>
      </c>
      <c r="V22" s="11" t="str">
        <f>"281,8973"</f>
        <v>281,8973</v>
      </c>
    </row>
    <row r="23" spans="1:22" ht="12.75" customHeight="1">
      <c r="A23" s="2" t="s">
        <v>620</v>
      </c>
      <c r="B23" s="2" t="s">
        <v>290</v>
      </c>
      <c r="C23" s="4" t="s">
        <v>318</v>
      </c>
      <c r="D23" s="3" t="s">
        <v>254</v>
      </c>
      <c r="E23" s="28">
        <v>110</v>
      </c>
      <c r="F23" s="28">
        <v>1</v>
      </c>
      <c r="G23" s="28" t="s">
        <v>297</v>
      </c>
      <c r="H23" s="4" t="s">
        <v>325</v>
      </c>
      <c r="I23" s="4" t="s">
        <v>85</v>
      </c>
      <c r="J23" s="4" t="s">
        <v>84</v>
      </c>
      <c r="K23" s="4" t="s">
        <v>114</v>
      </c>
      <c r="L23" s="30"/>
      <c r="M23" s="4" t="s">
        <v>76</v>
      </c>
      <c r="N23" s="4" t="s">
        <v>107</v>
      </c>
      <c r="O23" s="30" t="s">
        <v>78</v>
      </c>
      <c r="P23" s="30"/>
      <c r="Q23" s="4" t="s">
        <v>131</v>
      </c>
      <c r="R23" s="30" t="s">
        <v>137</v>
      </c>
      <c r="S23" s="30" t="s">
        <v>137</v>
      </c>
      <c r="T23" s="5"/>
      <c r="U23" s="32">
        <v>570</v>
      </c>
      <c r="V23" s="11" t="str">
        <f>"328,3217"</f>
        <v>328,3217</v>
      </c>
    </row>
    <row r="24" spans="1:22" ht="12.75" customHeight="1">
      <c r="A24" s="22"/>
      <c r="B24" s="22"/>
      <c r="C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7" spans="1:22" ht="12.75" customHeight="1">
      <c r="A27" s="22"/>
      <c r="B27" s="22"/>
      <c r="C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33" spans="1:20" ht="12.75" customHeight="1">
      <c r="A33" s="22"/>
      <c r="B33" s="22"/>
      <c r="C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ht="12.75" customHeight="1">
      <c r="A34" s="13"/>
      <c r="B34" s="13"/>
      <c r="C34" s="17"/>
    </row>
    <row r="35" spans="1:20" ht="12.75" customHeight="1">
      <c r="A35" s="15"/>
      <c r="B35" s="15"/>
      <c r="C35" s="17"/>
    </row>
    <row r="36" spans="1:20" ht="12.75" customHeight="1">
      <c r="A36" s="16"/>
      <c r="B36" s="16"/>
      <c r="C36" s="18"/>
      <c r="D36" s="16"/>
      <c r="E36" s="12"/>
      <c r="F36" s="12"/>
      <c r="G36" s="12"/>
    </row>
    <row r="37" spans="1:20" ht="12.75" customHeight="1">
      <c r="A37" s="22"/>
      <c r="B37" s="22"/>
      <c r="C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9" spans="1:20" ht="12.75" customHeight="1">
      <c r="A39" s="15"/>
      <c r="B39" s="15"/>
      <c r="C39" s="17"/>
    </row>
    <row r="40" spans="1:20" ht="12.75" customHeight="1">
      <c r="A40" s="16"/>
      <c r="B40" s="16"/>
      <c r="C40" s="18"/>
      <c r="D40" s="16"/>
      <c r="E40" s="12"/>
      <c r="F40" s="12"/>
      <c r="G40" s="12"/>
    </row>
    <row r="41" spans="1:20" ht="12.75" customHeight="1">
      <c r="A41" s="6"/>
      <c r="B41" s="6"/>
    </row>
    <row r="42" spans="1:20" ht="12.75" customHeight="1">
      <c r="A42" s="6"/>
      <c r="B42" s="6"/>
    </row>
    <row r="43" spans="1:20" ht="12.75" customHeight="1">
      <c r="A43" s="22"/>
      <c r="B43" s="22"/>
      <c r="C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 ht="12.75" customHeight="1">
      <c r="A44" s="6"/>
      <c r="B44" s="6"/>
    </row>
    <row r="45" spans="1:20" ht="12.75" customHeight="1">
      <c r="A45" s="6"/>
      <c r="B45" s="6"/>
    </row>
    <row r="46" spans="1:20" ht="12.75" customHeight="1">
      <c r="A46" s="6"/>
      <c r="B46" s="6"/>
    </row>
    <row r="47" spans="1:20" ht="12.75" customHeight="1">
      <c r="A47" s="6"/>
      <c r="B47" s="6"/>
    </row>
    <row r="50" spans="1:7" ht="12.75" customHeight="1">
      <c r="A50" s="13"/>
      <c r="B50" s="13"/>
      <c r="C50" s="17"/>
    </row>
    <row r="51" spans="1:7" ht="12.75" customHeight="1">
      <c r="A51" s="15"/>
      <c r="B51" s="15"/>
      <c r="C51" s="17"/>
    </row>
    <row r="52" spans="1:7" ht="12.75" customHeight="1">
      <c r="A52" s="16"/>
      <c r="B52" s="16"/>
      <c r="C52" s="18"/>
      <c r="D52" s="16"/>
      <c r="E52" s="12"/>
      <c r="F52" s="12"/>
      <c r="G52" s="12"/>
    </row>
    <row r="53" spans="1:7" ht="12.75" customHeight="1">
      <c r="A53" s="6"/>
      <c r="B53" s="6"/>
    </row>
    <row r="54" spans="1:7" ht="12.75" customHeight="1">
      <c r="A54" s="6"/>
      <c r="B54" s="6"/>
    </row>
    <row r="56" spans="1:7" ht="12.75" customHeight="1">
      <c r="A56" s="15"/>
      <c r="B56" s="15"/>
      <c r="C56" s="17"/>
    </row>
    <row r="57" spans="1:7" ht="12.75" customHeight="1">
      <c r="A57" s="16"/>
      <c r="B57" s="16"/>
      <c r="C57" s="18"/>
      <c r="D57" s="16"/>
      <c r="E57" s="12"/>
      <c r="F57" s="12"/>
      <c r="G57" s="12"/>
    </row>
    <row r="58" spans="1:7" ht="12.75" customHeight="1">
      <c r="A58" s="6"/>
      <c r="B58" s="6"/>
    </row>
    <row r="59" spans="1:7" ht="12.75" customHeight="1">
      <c r="A59" s="6"/>
      <c r="B59" s="6"/>
    </row>
    <row r="60" spans="1:7" ht="12.75" customHeight="1">
      <c r="A60" s="6"/>
      <c r="B60" s="6"/>
    </row>
    <row r="61" spans="1:7" ht="12.75" customHeight="1">
      <c r="A61" s="6"/>
      <c r="B61" s="6"/>
    </row>
    <row r="62" spans="1:7" ht="12.75" customHeight="1">
      <c r="A62" s="6"/>
      <c r="B62" s="6"/>
    </row>
    <row r="63" spans="1:7" ht="12.75" customHeight="1">
      <c r="A63" s="6"/>
      <c r="B63" s="6"/>
    </row>
    <row r="64" spans="1:7" ht="12.75" customHeight="1">
      <c r="A64" s="6"/>
      <c r="B64" s="6"/>
    </row>
    <row r="65" spans="1:7" ht="12.75" customHeight="1">
      <c r="A65" s="6"/>
      <c r="B65" s="6"/>
    </row>
    <row r="66" spans="1:7" ht="12.75" customHeight="1">
      <c r="A66" s="6"/>
      <c r="B66" s="6"/>
    </row>
    <row r="68" spans="1:7" ht="12.75" customHeight="1">
      <c r="A68" s="15"/>
      <c r="B68" s="15"/>
      <c r="C68" s="17"/>
    </row>
    <row r="69" spans="1:7" ht="12.75" customHeight="1">
      <c r="A69" s="16"/>
      <c r="B69" s="16"/>
      <c r="C69" s="18"/>
      <c r="D69" s="16"/>
      <c r="E69" s="12"/>
      <c r="F69" s="12"/>
      <c r="G69" s="12"/>
    </row>
    <row r="70" spans="1:7" ht="12.75" customHeight="1">
      <c r="A70" s="6"/>
      <c r="B70" s="6"/>
    </row>
    <row r="71" spans="1:7" ht="12.75" customHeight="1">
      <c r="A71" s="6"/>
      <c r="B71" s="6"/>
    </row>
  </sheetData>
  <mergeCells count="3">
    <mergeCell ref="I1:K1"/>
    <mergeCell ref="Q1:S1"/>
    <mergeCell ref="M1:P1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L28"/>
  <sheetViews>
    <sheetView zoomScaleNormal="100" workbookViewId="0">
      <selection activeCell="A2" sqref="A2"/>
    </sheetView>
  </sheetViews>
  <sheetFormatPr defaultColWidth="9.140625" defaultRowHeight="12.75"/>
  <cols>
    <col min="1" max="1" width="17.5703125" style="1" bestFit="1" customWidth="1"/>
    <col min="2" max="2" width="4.42578125" style="1" bestFit="1" customWidth="1"/>
    <col min="3" max="3" width="10.140625" style="10" bestFit="1" customWidth="1"/>
    <col min="4" max="5" width="7.5703125" style="9" customWidth="1"/>
    <col min="6" max="6" width="4" style="9" customWidth="1"/>
    <col min="7" max="7" width="19" style="9" bestFit="1" customWidth="1"/>
    <col min="8" max="8" width="14.7109375" style="10" customWidth="1"/>
    <col min="9" max="11" width="5.5703125" style="9" customWidth="1"/>
    <col min="12" max="12" width="2.140625" style="9" customWidth="1"/>
    <col min="13" max="13" width="8" style="7" customWidth="1"/>
    <col min="14" max="14" width="6.5703125" style="7" bestFit="1" customWidth="1"/>
    <col min="15" max="1026" width="9.140625" style="7"/>
    <col min="1027" max="16384" width="9.140625" style="8"/>
  </cols>
  <sheetData>
    <row r="1" spans="1:15" s="12" customFormat="1" ht="12.75" customHeight="1">
      <c r="A1" s="24" t="s">
        <v>281</v>
      </c>
      <c r="B1" s="24" t="s">
        <v>282</v>
      </c>
      <c r="C1" s="35" t="s">
        <v>392</v>
      </c>
      <c r="D1" s="25" t="s">
        <v>283</v>
      </c>
      <c r="E1" s="25" t="s">
        <v>284</v>
      </c>
      <c r="F1" s="25" t="s">
        <v>395</v>
      </c>
      <c r="G1" s="25" t="s">
        <v>292</v>
      </c>
      <c r="H1" s="24" t="s">
        <v>394</v>
      </c>
      <c r="I1" s="54" t="s">
        <v>320</v>
      </c>
      <c r="J1" s="54"/>
      <c r="K1" s="54"/>
      <c r="L1" s="54"/>
      <c r="M1" s="16" t="s">
        <v>322</v>
      </c>
      <c r="N1" s="16" t="s">
        <v>323</v>
      </c>
    </row>
    <row r="2" spans="1:15" s="12" customFormat="1" ht="11.25" customHeight="1">
      <c r="A2" s="24"/>
      <c r="B2" s="24"/>
      <c r="C2" s="35"/>
      <c r="D2" s="25"/>
      <c r="E2" s="25"/>
      <c r="F2" s="25"/>
      <c r="G2" s="25"/>
      <c r="H2" s="24"/>
      <c r="I2" s="44">
        <v>1</v>
      </c>
      <c r="J2" s="44">
        <v>2</v>
      </c>
      <c r="K2" s="44">
        <v>3</v>
      </c>
      <c r="L2" s="44">
        <v>4</v>
      </c>
      <c r="M2" s="16"/>
      <c r="N2" s="16"/>
    </row>
    <row r="3" spans="1:15" s="9" customFormat="1">
      <c r="A3" s="2" t="s">
        <v>528</v>
      </c>
      <c r="B3" s="2" t="s">
        <v>290</v>
      </c>
      <c r="C3" s="4" t="s">
        <v>752</v>
      </c>
      <c r="D3" s="3" t="s">
        <v>144</v>
      </c>
      <c r="E3" s="28">
        <v>90</v>
      </c>
      <c r="F3" s="28">
        <v>1</v>
      </c>
      <c r="G3" s="3" t="s">
        <v>293</v>
      </c>
      <c r="H3" s="19" t="s">
        <v>344</v>
      </c>
      <c r="I3" s="19" t="s">
        <v>145</v>
      </c>
      <c r="J3" s="5" t="s">
        <v>89</v>
      </c>
      <c r="K3" s="5" t="s">
        <v>89</v>
      </c>
      <c r="L3" s="5"/>
      <c r="M3" s="33">
        <v>215</v>
      </c>
      <c r="N3" s="3" t="s">
        <v>432</v>
      </c>
      <c r="O3" s="47"/>
    </row>
    <row r="4" spans="1:15" s="9" customFormat="1">
      <c r="A4" s="2" t="s">
        <v>529</v>
      </c>
      <c r="B4" s="2" t="s">
        <v>290</v>
      </c>
      <c r="C4" s="4" t="s">
        <v>753</v>
      </c>
      <c r="D4" s="3" t="s">
        <v>146</v>
      </c>
      <c r="E4" s="28">
        <v>90</v>
      </c>
      <c r="F4" s="28">
        <v>1</v>
      </c>
      <c r="G4" s="3" t="s">
        <v>424</v>
      </c>
      <c r="H4" s="4" t="s">
        <v>325</v>
      </c>
      <c r="I4" s="5" t="s">
        <v>103</v>
      </c>
      <c r="J4" s="5" t="s">
        <v>103</v>
      </c>
      <c r="K4" s="3" t="s">
        <v>103</v>
      </c>
      <c r="L4" s="5"/>
      <c r="M4" s="33">
        <v>170</v>
      </c>
      <c r="N4" s="3" t="s">
        <v>433</v>
      </c>
      <c r="O4" s="48"/>
    </row>
    <row r="5" spans="1:15">
      <c r="A5" s="2" t="s">
        <v>530</v>
      </c>
      <c r="B5" s="2" t="s">
        <v>290</v>
      </c>
      <c r="C5" s="4" t="s">
        <v>754</v>
      </c>
      <c r="D5" s="3" t="s">
        <v>147</v>
      </c>
      <c r="E5" s="28">
        <v>110</v>
      </c>
      <c r="F5" s="28">
        <v>1</v>
      </c>
      <c r="G5" s="3" t="s">
        <v>293</v>
      </c>
      <c r="H5" s="4" t="s">
        <v>325</v>
      </c>
      <c r="I5" s="3" t="s">
        <v>3</v>
      </c>
      <c r="J5" s="3" t="s">
        <v>14</v>
      </c>
      <c r="K5" s="3" t="s">
        <v>15</v>
      </c>
      <c r="L5" s="5"/>
      <c r="M5" s="32">
        <v>310</v>
      </c>
      <c r="N5" s="11" t="s">
        <v>434</v>
      </c>
      <c r="O5" s="37"/>
    </row>
    <row r="6" spans="1:15">
      <c r="A6" s="2" t="s">
        <v>531</v>
      </c>
      <c r="B6" s="2" t="s">
        <v>290</v>
      </c>
      <c r="C6" s="4" t="s">
        <v>755</v>
      </c>
      <c r="D6" s="3" t="s">
        <v>148</v>
      </c>
      <c r="E6" s="28">
        <v>110</v>
      </c>
      <c r="F6" s="28">
        <v>2</v>
      </c>
      <c r="G6" s="3" t="s">
        <v>293</v>
      </c>
      <c r="H6" s="4" t="s">
        <v>361</v>
      </c>
      <c r="I6" s="3" t="s">
        <v>117</v>
      </c>
      <c r="J6" s="3" t="s">
        <v>130</v>
      </c>
      <c r="K6" s="5" t="s">
        <v>89</v>
      </c>
      <c r="L6" s="5"/>
      <c r="M6" s="32">
        <v>222.5</v>
      </c>
      <c r="N6" s="11" t="s">
        <v>435</v>
      </c>
      <c r="O6" s="49"/>
    </row>
    <row r="7" spans="1:15">
      <c r="A7" s="2" t="s">
        <v>532</v>
      </c>
      <c r="B7" s="2" t="s">
        <v>290</v>
      </c>
      <c r="C7" s="4" t="s">
        <v>756</v>
      </c>
      <c r="D7" s="3" t="s">
        <v>149</v>
      </c>
      <c r="E7" s="28">
        <v>110</v>
      </c>
      <c r="F7" s="28">
        <v>1</v>
      </c>
      <c r="G7" s="3" t="s">
        <v>407</v>
      </c>
      <c r="H7" s="4" t="s">
        <v>325</v>
      </c>
      <c r="I7" s="5" t="s">
        <v>86</v>
      </c>
      <c r="J7" s="3" t="s">
        <v>86</v>
      </c>
      <c r="K7" s="5" t="s">
        <v>150</v>
      </c>
      <c r="L7" s="5"/>
      <c r="M7" s="32">
        <v>190</v>
      </c>
      <c r="N7" s="11" t="s">
        <v>436</v>
      </c>
      <c r="O7" s="38"/>
    </row>
    <row r="18" spans="1:7">
      <c r="A18" s="13"/>
      <c r="B18" s="13"/>
      <c r="C18" s="17"/>
    </row>
    <row r="19" spans="1:7">
      <c r="A19" s="15"/>
      <c r="B19" s="15"/>
      <c r="C19" s="17"/>
    </row>
    <row r="20" spans="1:7">
      <c r="A20" s="16"/>
      <c r="B20" s="16"/>
      <c r="C20" s="18"/>
      <c r="D20" s="16"/>
      <c r="E20" s="12"/>
      <c r="F20" s="12"/>
      <c r="G20" s="12"/>
    </row>
    <row r="21" spans="1:7">
      <c r="A21" s="6"/>
      <c r="B21" s="6"/>
    </row>
    <row r="22" spans="1:7">
      <c r="A22" s="6"/>
      <c r="B22" s="6"/>
    </row>
    <row r="23" spans="1:7">
      <c r="A23" s="6"/>
      <c r="B23" s="6"/>
    </row>
    <row r="25" spans="1:7">
      <c r="A25" s="15"/>
      <c r="B25" s="15"/>
      <c r="C25" s="17"/>
    </row>
    <row r="26" spans="1:7">
      <c r="A26" s="16"/>
      <c r="B26" s="16"/>
      <c r="C26" s="18"/>
      <c r="D26" s="16"/>
      <c r="E26" s="12"/>
      <c r="F26" s="12"/>
      <c r="G26" s="12"/>
    </row>
    <row r="27" spans="1:7">
      <c r="A27" s="6"/>
      <c r="B27" s="6"/>
    </row>
    <row r="28" spans="1:7">
      <c r="A28" s="6"/>
      <c r="B28" s="6"/>
    </row>
  </sheetData>
  <mergeCells count="1"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L18"/>
  <sheetViews>
    <sheetView zoomScaleNormal="100" workbookViewId="0">
      <selection activeCell="H5" sqref="H5"/>
    </sheetView>
  </sheetViews>
  <sheetFormatPr defaultColWidth="9.140625" defaultRowHeight="12.75"/>
  <cols>
    <col min="1" max="1" width="21.5703125" style="1" customWidth="1"/>
    <col min="2" max="2" width="4.42578125" style="1" bestFit="1" customWidth="1"/>
    <col min="3" max="3" width="10.140625" style="10" bestFit="1" customWidth="1"/>
    <col min="4" max="5" width="7.5703125" style="9" customWidth="1"/>
    <col min="6" max="6" width="7" style="9" customWidth="1"/>
    <col min="7" max="7" width="19.7109375" style="10" customWidth="1"/>
    <col min="8" max="8" width="19" style="10" bestFit="1" customWidth="1"/>
    <col min="9" max="11" width="5.5703125" style="9" customWidth="1"/>
    <col min="12" max="12" width="2.140625" style="9" customWidth="1"/>
    <col min="13" max="13" width="7" style="7" customWidth="1"/>
    <col min="14" max="14" width="10" style="7" customWidth="1"/>
    <col min="15" max="15" width="14.7109375" style="7" customWidth="1"/>
    <col min="16" max="1026" width="9.140625" style="7"/>
    <col min="1027" max="16384" width="9.140625" style="8"/>
  </cols>
  <sheetData>
    <row r="1" spans="1:15" s="12" customFormat="1" ht="12.75" customHeight="1">
      <c r="A1" s="24" t="s">
        <v>281</v>
      </c>
      <c r="B1" s="24" t="s">
        <v>282</v>
      </c>
      <c r="C1" s="35" t="s">
        <v>392</v>
      </c>
      <c r="D1" s="25" t="s">
        <v>283</v>
      </c>
      <c r="E1" s="25" t="s">
        <v>284</v>
      </c>
      <c r="F1" s="25" t="s">
        <v>395</v>
      </c>
      <c r="G1" s="24" t="s">
        <v>394</v>
      </c>
      <c r="H1" s="50" t="s">
        <v>292</v>
      </c>
      <c r="I1" s="51" t="s">
        <v>320</v>
      </c>
      <c r="J1" s="52"/>
      <c r="K1" s="52"/>
      <c r="L1" s="53"/>
      <c r="M1" s="16" t="s">
        <v>0</v>
      </c>
      <c r="N1" s="16"/>
      <c r="O1" s="16"/>
    </row>
    <row r="2" spans="1:15" s="12" customFormat="1" ht="11.25" customHeight="1">
      <c r="A2" s="24"/>
      <c r="B2" s="24"/>
      <c r="C2" s="35"/>
      <c r="D2" s="25"/>
      <c r="E2" s="25"/>
      <c r="F2" s="25"/>
      <c r="G2" s="24"/>
      <c r="H2" s="24"/>
      <c r="I2" s="44">
        <v>1</v>
      </c>
      <c r="J2" s="44">
        <v>2</v>
      </c>
      <c r="K2" s="44">
        <v>3</v>
      </c>
      <c r="L2" s="44">
        <v>4</v>
      </c>
      <c r="M2" s="16"/>
      <c r="N2" s="16"/>
      <c r="O2" s="16"/>
    </row>
    <row r="3" spans="1:15" s="9" customFormat="1">
      <c r="A3" s="2" t="s">
        <v>533</v>
      </c>
      <c r="B3" s="2" t="s">
        <v>289</v>
      </c>
      <c r="C3" s="4" t="s">
        <v>438</v>
      </c>
      <c r="D3" s="3" t="s">
        <v>29</v>
      </c>
      <c r="E3" s="28">
        <v>52</v>
      </c>
      <c r="F3" s="28">
        <v>1</v>
      </c>
      <c r="G3" s="19" t="s">
        <v>325</v>
      </c>
      <c r="H3" s="19" t="s">
        <v>426</v>
      </c>
      <c r="I3" s="19" t="s">
        <v>33</v>
      </c>
      <c r="J3" s="3" t="s">
        <v>55</v>
      </c>
      <c r="K3" s="5" t="s">
        <v>23</v>
      </c>
      <c r="L3" s="5"/>
      <c r="M3" s="28">
        <v>72.5</v>
      </c>
      <c r="N3" s="3" t="s">
        <v>437</v>
      </c>
      <c r="O3" s="3"/>
    </row>
    <row r="4" spans="1:15">
      <c r="A4" s="2" t="s">
        <v>534</v>
      </c>
      <c r="B4" s="2" t="s">
        <v>289</v>
      </c>
      <c r="C4" s="4" t="s">
        <v>439</v>
      </c>
      <c r="D4" s="3" t="s">
        <v>256</v>
      </c>
      <c r="E4" s="28">
        <v>56</v>
      </c>
      <c r="F4" s="28">
        <v>1</v>
      </c>
      <c r="G4" s="4" t="s">
        <v>362</v>
      </c>
      <c r="H4" s="4" t="s">
        <v>296</v>
      </c>
      <c r="I4" s="3" t="s">
        <v>50</v>
      </c>
      <c r="J4" s="5" t="s">
        <v>53</v>
      </c>
      <c r="K4" s="3" t="s">
        <v>53</v>
      </c>
      <c r="L4" s="5"/>
      <c r="M4" s="11">
        <v>65</v>
      </c>
      <c r="N4" s="11" t="str">
        <f>"74,3905"</f>
        <v>74,3905</v>
      </c>
      <c r="O4" s="11"/>
    </row>
    <row r="5" spans="1:15">
      <c r="A5" s="2" t="s">
        <v>535</v>
      </c>
      <c r="B5" s="2" t="s">
        <v>289</v>
      </c>
      <c r="C5" s="4" t="s">
        <v>440</v>
      </c>
      <c r="D5" s="3" t="s">
        <v>257</v>
      </c>
      <c r="E5" s="28">
        <v>67.5</v>
      </c>
      <c r="F5" s="28">
        <v>1</v>
      </c>
      <c r="G5" s="4" t="s">
        <v>360</v>
      </c>
      <c r="H5" s="4" t="s">
        <v>454</v>
      </c>
      <c r="I5" s="3" t="s">
        <v>42</v>
      </c>
      <c r="J5" s="3" t="s">
        <v>258</v>
      </c>
      <c r="K5" s="3" t="s">
        <v>62</v>
      </c>
      <c r="L5" s="5"/>
      <c r="M5" s="11">
        <v>45</v>
      </c>
      <c r="N5" s="11" t="str">
        <f>"79,9792"</f>
        <v>79,9792</v>
      </c>
      <c r="O5" s="11" t="s">
        <v>259</v>
      </c>
    </row>
    <row r="6" spans="1:15">
      <c r="A6" s="2" t="s">
        <v>536</v>
      </c>
      <c r="B6" s="2" t="s">
        <v>289</v>
      </c>
      <c r="C6" s="4" t="s">
        <v>441</v>
      </c>
      <c r="D6" s="3" t="s">
        <v>32</v>
      </c>
      <c r="E6" s="28">
        <v>75</v>
      </c>
      <c r="F6" s="28">
        <v>1</v>
      </c>
      <c r="G6" s="4" t="s">
        <v>363</v>
      </c>
      <c r="H6" s="4" t="s">
        <v>297</v>
      </c>
      <c r="I6" s="3" t="s">
        <v>168</v>
      </c>
      <c r="J6" s="5" t="s">
        <v>38</v>
      </c>
      <c r="K6" s="3" t="s">
        <v>38</v>
      </c>
      <c r="L6" s="5"/>
      <c r="M6" s="11">
        <v>100</v>
      </c>
      <c r="N6" s="11" t="str">
        <f>"88,5215"</f>
        <v>88,5215</v>
      </c>
      <c r="O6" s="11"/>
    </row>
    <row r="7" spans="1:15">
      <c r="A7" s="2" t="s">
        <v>537</v>
      </c>
      <c r="B7" s="2" t="s">
        <v>290</v>
      </c>
      <c r="C7" s="4" t="s">
        <v>442</v>
      </c>
      <c r="D7" s="3" t="s">
        <v>69</v>
      </c>
      <c r="E7" s="28">
        <v>82.5</v>
      </c>
      <c r="F7" s="28">
        <v>1</v>
      </c>
      <c r="G7" s="4" t="s">
        <v>364</v>
      </c>
      <c r="H7" s="4" t="s">
        <v>293</v>
      </c>
      <c r="I7" s="3" t="s">
        <v>84</v>
      </c>
      <c r="J7" s="5" t="s">
        <v>212</v>
      </c>
      <c r="K7" s="5" t="s">
        <v>212</v>
      </c>
      <c r="L7" s="5"/>
      <c r="M7" s="11">
        <v>195</v>
      </c>
      <c r="N7" s="11" t="str">
        <f>"126,3990"</f>
        <v>126,3990</v>
      </c>
      <c r="O7" s="11"/>
    </row>
    <row r="8" spans="1:15">
      <c r="A8" s="2" t="s">
        <v>538</v>
      </c>
      <c r="B8" s="2" t="s">
        <v>290</v>
      </c>
      <c r="C8" s="4" t="s">
        <v>443</v>
      </c>
      <c r="D8" s="3" t="s">
        <v>260</v>
      </c>
      <c r="E8" s="28">
        <v>82.5</v>
      </c>
      <c r="F8" s="28">
        <v>2</v>
      </c>
      <c r="G8" s="4" t="s">
        <v>325</v>
      </c>
      <c r="H8" s="4" t="s">
        <v>293</v>
      </c>
      <c r="I8" s="3" t="s">
        <v>103</v>
      </c>
      <c r="J8" s="5" t="s">
        <v>194</v>
      </c>
      <c r="K8" s="3" t="s">
        <v>110</v>
      </c>
      <c r="L8" s="5"/>
      <c r="M8" s="11">
        <v>177.5</v>
      </c>
      <c r="N8" s="11" t="str">
        <f>"116,2714"</f>
        <v>116,2714</v>
      </c>
      <c r="O8" s="11"/>
    </row>
    <row r="9" spans="1:15">
      <c r="A9" s="2" t="s">
        <v>539</v>
      </c>
      <c r="B9" s="2" t="s">
        <v>290</v>
      </c>
      <c r="C9" s="4" t="s">
        <v>444</v>
      </c>
      <c r="D9" s="3" t="s">
        <v>129</v>
      </c>
      <c r="E9" s="28">
        <v>82.5</v>
      </c>
      <c r="F9" s="28">
        <v>3</v>
      </c>
      <c r="G9" s="4" t="s">
        <v>325</v>
      </c>
      <c r="H9" s="4" t="s">
        <v>293</v>
      </c>
      <c r="I9" s="3" t="s">
        <v>172</v>
      </c>
      <c r="J9" s="5" t="s">
        <v>74</v>
      </c>
      <c r="K9" s="5" t="s">
        <v>74</v>
      </c>
      <c r="L9" s="5"/>
      <c r="M9" s="11">
        <v>115</v>
      </c>
      <c r="N9" s="11" t="str">
        <f>"75,2100"</f>
        <v>75,2100</v>
      </c>
      <c r="O9" s="11"/>
    </row>
    <row r="10" spans="1:15">
      <c r="A10" s="2" t="s">
        <v>540</v>
      </c>
      <c r="B10" s="2" t="s">
        <v>290</v>
      </c>
      <c r="C10" s="4" t="s">
        <v>445</v>
      </c>
      <c r="D10" s="3" t="s">
        <v>35</v>
      </c>
      <c r="E10" s="28">
        <v>90</v>
      </c>
      <c r="F10" s="28">
        <v>1</v>
      </c>
      <c r="G10" s="4" t="s">
        <v>341</v>
      </c>
      <c r="H10" s="4" t="s">
        <v>296</v>
      </c>
      <c r="I10" s="3" t="s">
        <v>78</v>
      </c>
      <c r="J10" s="3" t="s">
        <v>79</v>
      </c>
      <c r="K10" s="3" t="s">
        <v>103</v>
      </c>
      <c r="L10" s="5"/>
      <c r="M10" s="11">
        <v>170</v>
      </c>
      <c r="N10" s="11" t="str">
        <f>"117,8778"</f>
        <v>117,8778</v>
      </c>
      <c r="O10" s="11"/>
    </row>
    <row r="11" spans="1:15">
      <c r="A11" s="2" t="s">
        <v>541</v>
      </c>
      <c r="B11" s="2" t="s">
        <v>290</v>
      </c>
      <c r="C11" s="4" t="s">
        <v>446</v>
      </c>
      <c r="D11" s="3" t="s">
        <v>261</v>
      </c>
      <c r="E11" s="28">
        <v>100</v>
      </c>
      <c r="F11" s="28">
        <v>1</v>
      </c>
      <c r="G11" s="4" t="s">
        <v>325</v>
      </c>
      <c r="H11" s="4" t="s">
        <v>293</v>
      </c>
      <c r="I11" s="3" t="s">
        <v>145</v>
      </c>
      <c r="J11" s="3" t="s">
        <v>131</v>
      </c>
      <c r="K11" s="3" t="s">
        <v>130</v>
      </c>
      <c r="L11" s="5"/>
      <c r="M11" s="11">
        <v>222.5</v>
      </c>
      <c r="N11" s="11" t="str">
        <f>"129,5061"</f>
        <v>129,5061</v>
      </c>
      <c r="O11" s="11"/>
    </row>
    <row r="12" spans="1:15">
      <c r="A12" s="2" t="s">
        <v>542</v>
      </c>
      <c r="B12" s="2" t="s">
        <v>290</v>
      </c>
      <c r="C12" s="4" t="s">
        <v>447</v>
      </c>
      <c r="D12" s="3" t="s">
        <v>207</v>
      </c>
      <c r="E12" s="28">
        <v>100</v>
      </c>
      <c r="F12" s="28">
        <v>2</v>
      </c>
      <c r="G12" s="4" t="s">
        <v>365</v>
      </c>
      <c r="H12" s="4" t="s">
        <v>293</v>
      </c>
      <c r="I12" s="3" t="s">
        <v>85</v>
      </c>
      <c r="J12" s="3" t="s">
        <v>86</v>
      </c>
      <c r="K12" s="3" t="s">
        <v>84</v>
      </c>
      <c r="L12" s="5"/>
      <c r="M12" s="11">
        <v>195</v>
      </c>
      <c r="N12" s="11" t="str">
        <f>"113,8410"</f>
        <v>113,8410</v>
      </c>
      <c r="O12" s="11"/>
    </row>
    <row r="13" spans="1:15">
      <c r="A13" s="2" t="s">
        <v>543</v>
      </c>
      <c r="B13" s="2" t="s">
        <v>290</v>
      </c>
      <c r="C13" s="4" t="s">
        <v>448</v>
      </c>
      <c r="D13" s="3" t="s">
        <v>70</v>
      </c>
      <c r="E13" s="28">
        <v>100</v>
      </c>
      <c r="F13" s="28">
        <v>3</v>
      </c>
      <c r="G13" s="4" t="s">
        <v>325</v>
      </c>
      <c r="H13" s="4" t="s">
        <v>293</v>
      </c>
      <c r="I13" s="3" t="s">
        <v>108</v>
      </c>
      <c r="J13" s="3" t="s">
        <v>103</v>
      </c>
      <c r="K13" s="3" t="s">
        <v>83</v>
      </c>
      <c r="L13" s="5"/>
      <c r="M13" s="11">
        <v>172.5</v>
      </c>
      <c r="N13" s="11" t="str">
        <f>"101,5766"</f>
        <v>101,5766</v>
      </c>
      <c r="O13" s="11"/>
    </row>
    <row r="14" spans="1:15">
      <c r="A14" s="2" t="s">
        <v>544</v>
      </c>
      <c r="B14" s="2" t="s">
        <v>290</v>
      </c>
      <c r="C14" s="4" t="s">
        <v>449</v>
      </c>
      <c r="D14" s="3" t="s">
        <v>5</v>
      </c>
      <c r="E14" s="28">
        <v>100</v>
      </c>
      <c r="F14" s="28">
        <v>1</v>
      </c>
      <c r="G14" s="4" t="s">
        <v>366</v>
      </c>
      <c r="H14" s="4" t="s">
        <v>296</v>
      </c>
      <c r="I14" s="3" t="s">
        <v>194</v>
      </c>
      <c r="J14" s="3" t="s">
        <v>80</v>
      </c>
      <c r="K14" s="5" t="s">
        <v>220</v>
      </c>
      <c r="L14" s="5"/>
      <c r="M14" s="11">
        <v>185</v>
      </c>
      <c r="N14" s="11" t="str">
        <f>"117,8100"</f>
        <v>117,8100</v>
      </c>
      <c r="O14" s="11"/>
    </row>
    <row r="15" spans="1:15">
      <c r="A15" s="2" t="s">
        <v>545</v>
      </c>
      <c r="B15" s="2" t="s">
        <v>290</v>
      </c>
      <c r="C15" s="4" t="s">
        <v>450</v>
      </c>
      <c r="D15" s="3" t="s">
        <v>262</v>
      </c>
      <c r="E15" s="28">
        <v>100</v>
      </c>
      <c r="F15" s="28">
        <v>1</v>
      </c>
      <c r="G15" s="4" t="s">
        <v>328</v>
      </c>
      <c r="H15" s="4" t="s">
        <v>423</v>
      </c>
      <c r="I15" s="3" t="s">
        <v>23</v>
      </c>
      <c r="J15" s="3" t="s">
        <v>125</v>
      </c>
      <c r="K15" s="3" t="s">
        <v>25</v>
      </c>
      <c r="L15" s="5"/>
      <c r="M15" s="11">
        <v>82.5</v>
      </c>
      <c r="N15" s="11" t="str">
        <f>"64,7779"</f>
        <v>64,7779</v>
      </c>
      <c r="O15" s="11"/>
    </row>
    <row r="16" spans="1:15">
      <c r="A16" s="2" t="s">
        <v>546</v>
      </c>
      <c r="B16" s="2" t="s">
        <v>290</v>
      </c>
      <c r="C16" s="4" t="s">
        <v>451</v>
      </c>
      <c r="D16" s="3" t="s">
        <v>263</v>
      </c>
      <c r="E16" s="28">
        <v>100</v>
      </c>
      <c r="F16" s="28">
        <v>1</v>
      </c>
      <c r="G16" s="4" t="s">
        <v>360</v>
      </c>
      <c r="H16" s="4" t="s">
        <v>425</v>
      </c>
      <c r="I16" s="3" t="s">
        <v>85</v>
      </c>
      <c r="J16" s="3" t="s">
        <v>86</v>
      </c>
      <c r="K16" s="3" t="s">
        <v>264</v>
      </c>
      <c r="L16" s="5"/>
      <c r="M16" s="11">
        <v>200</v>
      </c>
      <c r="N16" s="11" t="str">
        <f>"161,1484"</f>
        <v>161,1484</v>
      </c>
      <c r="O16" s="11"/>
    </row>
    <row r="17" spans="1:15">
      <c r="A17" s="2" t="s">
        <v>547</v>
      </c>
      <c r="B17" s="2" t="s">
        <v>290</v>
      </c>
      <c r="C17" s="4" t="s">
        <v>452</v>
      </c>
      <c r="D17" s="3" t="s">
        <v>265</v>
      </c>
      <c r="E17" s="28">
        <v>125</v>
      </c>
      <c r="F17" s="28">
        <v>1</v>
      </c>
      <c r="G17" s="4" t="s">
        <v>325</v>
      </c>
      <c r="H17" s="4" t="s">
        <v>293</v>
      </c>
      <c r="I17" s="3" t="s">
        <v>86</v>
      </c>
      <c r="J17" s="5" t="s">
        <v>117</v>
      </c>
      <c r="K17" s="5" t="s">
        <v>87</v>
      </c>
      <c r="L17" s="5"/>
      <c r="M17" s="11">
        <v>190</v>
      </c>
      <c r="N17" s="11" t="str">
        <f>"104,3860"</f>
        <v>104,3860</v>
      </c>
      <c r="O17" s="11"/>
    </row>
    <row r="18" spans="1:15">
      <c r="A18" s="2" t="s">
        <v>527</v>
      </c>
      <c r="B18" s="2" t="s">
        <v>290</v>
      </c>
      <c r="C18" s="4" t="s">
        <v>453</v>
      </c>
      <c r="D18" s="3" t="s">
        <v>255</v>
      </c>
      <c r="E18" s="28">
        <v>140</v>
      </c>
      <c r="F18" s="28">
        <v>1</v>
      </c>
      <c r="G18" s="4" t="s">
        <v>360</v>
      </c>
      <c r="H18" s="4" t="s">
        <v>407</v>
      </c>
      <c r="I18" s="3" t="s">
        <v>82</v>
      </c>
      <c r="J18" s="3" t="s">
        <v>103</v>
      </c>
      <c r="K18" s="3" t="s">
        <v>194</v>
      </c>
      <c r="L18" s="5"/>
      <c r="M18" s="11">
        <v>175</v>
      </c>
      <c r="N18" s="11" t="str">
        <f>"106,7712"</f>
        <v>106,7712</v>
      </c>
      <c r="O18" s="11"/>
    </row>
  </sheetData>
  <mergeCells count="1">
    <mergeCell ref="I1:L1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L4"/>
  <sheetViews>
    <sheetView zoomScaleNormal="100" workbookViewId="0">
      <selection activeCell="A2" sqref="A2"/>
    </sheetView>
  </sheetViews>
  <sheetFormatPr defaultColWidth="9.140625" defaultRowHeight="12.75"/>
  <cols>
    <col min="1" max="1" width="17.140625" style="1" customWidth="1"/>
    <col min="2" max="2" width="4.42578125" style="1" bestFit="1" customWidth="1"/>
    <col min="3" max="3" width="10.140625" style="9" bestFit="1" customWidth="1"/>
    <col min="4" max="5" width="7.5703125" style="9" customWidth="1"/>
    <col min="6" max="6" width="7.42578125" style="10" bestFit="1" customWidth="1"/>
    <col min="7" max="7" width="4.5703125" style="10" customWidth="1"/>
    <col min="8" max="8" width="19" style="10" bestFit="1" customWidth="1"/>
    <col min="9" max="10" width="5.5703125" style="9" customWidth="1"/>
    <col min="11" max="12" width="2.140625" style="9" customWidth="1"/>
    <col min="13" max="13" width="5.5703125" style="9" customWidth="1"/>
    <col min="14" max="16" width="2.140625" style="9" customWidth="1"/>
    <col min="17" max="17" width="5.5703125" style="9" customWidth="1"/>
    <col min="18" max="20" width="3.28515625" style="9" customWidth="1"/>
    <col min="21" max="21" width="7" style="7" customWidth="1"/>
    <col min="22" max="22" width="9" style="7" customWidth="1"/>
    <col min="23" max="23" width="17.42578125" style="7" customWidth="1"/>
    <col min="24" max="1026" width="9.140625" style="7"/>
    <col min="1027" max="16384" width="9.140625" style="8"/>
  </cols>
  <sheetData>
    <row r="1" spans="1:23" s="12" customFormat="1" ht="12.75" customHeight="1">
      <c r="A1" s="24" t="s">
        <v>281</v>
      </c>
      <c r="B1" s="24" t="s">
        <v>282</v>
      </c>
      <c r="C1" s="25" t="s">
        <v>392</v>
      </c>
      <c r="D1" s="25" t="s">
        <v>283</v>
      </c>
      <c r="E1" s="25" t="s">
        <v>284</v>
      </c>
      <c r="F1" s="24" t="s">
        <v>394</v>
      </c>
      <c r="G1" s="24" t="s">
        <v>395</v>
      </c>
      <c r="H1" s="24" t="s">
        <v>292</v>
      </c>
      <c r="I1" s="54" t="s">
        <v>319</v>
      </c>
      <c r="J1" s="54"/>
      <c r="K1" s="54"/>
      <c r="L1" s="54"/>
      <c r="M1" s="54" t="s">
        <v>320</v>
      </c>
      <c r="N1" s="54"/>
      <c r="O1" s="54"/>
      <c r="P1" s="54"/>
      <c r="Q1" s="54" t="s">
        <v>321</v>
      </c>
      <c r="R1" s="54"/>
      <c r="S1" s="54"/>
      <c r="T1" s="54"/>
      <c r="U1" s="16" t="s">
        <v>322</v>
      </c>
      <c r="V1" s="16" t="s">
        <v>323</v>
      </c>
      <c r="W1" s="16" t="s">
        <v>399</v>
      </c>
    </row>
    <row r="2" spans="1:23" s="12" customFormat="1" ht="15" customHeight="1">
      <c r="A2" s="24"/>
      <c r="B2" s="24"/>
      <c r="C2" s="25"/>
      <c r="D2" s="25"/>
      <c r="E2" s="25"/>
      <c r="F2" s="24"/>
      <c r="G2" s="24"/>
      <c r="H2" s="24"/>
      <c r="I2" s="26">
        <v>1</v>
      </c>
      <c r="J2" s="26">
        <v>2</v>
      </c>
      <c r="K2" s="26">
        <v>3</v>
      </c>
      <c r="L2" s="26">
        <v>4</v>
      </c>
      <c r="M2" s="44">
        <v>1</v>
      </c>
      <c r="N2" s="44">
        <v>2</v>
      </c>
      <c r="O2" s="44">
        <v>3</v>
      </c>
      <c r="P2" s="44">
        <v>4</v>
      </c>
      <c r="Q2" s="44">
        <v>1</v>
      </c>
      <c r="R2" s="44">
        <v>2</v>
      </c>
      <c r="S2" s="44">
        <v>3</v>
      </c>
      <c r="T2" s="44">
        <v>4</v>
      </c>
      <c r="U2" s="16"/>
      <c r="V2" s="16"/>
      <c r="W2" s="16"/>
    </row>
    <row r="3" spans="1:23" s="9" customFormat="1">
      <c r="A3" s="2" t="s">
        <v>455</v>
      </c>
      <c r="B3" s="2" t="s">
        <v>290</v>
      </c>
      <c r="C3" s="3" t="s">
        <v>456</v>
      </c>
      <c r="D3" s="3" t="s">
        <v>266</v>
      </c>
      <c r="E3" s="3" t="s">
        <v>22</v>
      </c>
      <c r="F3" s="4" t="s">
        <v>325</v>
      </c>
      <c r="G3" s="4"/>
      <c r="H3" s="4" t="s">
        <v>293</v>
      </c>
      <c r="I3" s="5" t="s">
        <v>43</v>
      </c>
      <c r="J3" s="5" t="s">
        <v>43</v>
      </c>
      <c r="K3" s="28">
        <v>0</v>
      </c>
      <c r="L3" s="3"/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3" t="s">
        <v>267</v>
      </c>
    </row>
    <row r="4" spans="1:23" s="9" customFormat="1">
      <c r="A4" s="1"/>
      <c r="B4" s="1"/>
      <c r="F4" s="10"/>
      <c r="G4" s="10"/>
      <c r="H4" s="10"/>
    </row>
  </sheetData>
  <mergeCells count="3">
    <mergeCell ref="I1:L1"/>
    <mergeCell ref="M1:P1"/>
    <mergeCell ref="Q1:T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6"/>
  <sheetViews>
    <sheetView zoomScaleNormal="100" workbookViewId="0">
      <selection activeCell="A2" sqref="A2"/>
    </sheetView>
  </sheetViews>
  <sheetFormatPr defaultColWidth="9.140625" defaultRowHeight="12.75"/>
  <cols>
    <col min="1" max="1" width="23" style="1" customWidth="1"/>
    <col min="2" max="2" width="4.42578125" style="1" bestFit="1" customWidth="1"/>
    <col min="3" max="3" width="10.140625" style="9" bestFit="1" customWidth="1"/>
    <col min="4" max="6" width="7.5703125" style="9" customWidth="1"/>
    <col min="7" max="7" width="15.85546875" style="10" customWidth="1"/>
    <col min="8" max="10" width="5.5703125" style="9" customWidth="1"/>
    <col min="11" max="11" width="2.140625" style="9" customWidth="1"/>
    <col min="12" max="12" width="8" style="42" customWidth="1"/>
    <col min="13" max="13" width="11" style="7" customWidth="1"/>
    <col min="14" max="1025" width="9.140625" style="7"/>
    <col min="1026" max="16384" width="9.140625" style="8"/>
  </cols>
  <sheetData>
    <row r="1" spans="1:14" s="12" customFormat="1" ht="12.75" customHeight="1">
      <c r="A1" s="24" t="s">
        <v>281</v>
      </c>
      <c r="B1" s="24" t="s">
        <v>282</v>
      </c>
      <c r="C1" s="25" t="s">
        <v>392</v>
      </c>
      <c r="D1" s="25" t="s">
        <v>283</v>
      </c>
      <c r="E1" s="29" t="s">
        <v>284</v>
      </c>
      <c r="F1" s="29" t="s">
        <v>395</v>
      </c>
      <c r="G1" s="24" t="s">
        <v>394</v>
      </c>
      <c r="H1" s="54" t="s">
        <v>320</v>
      </c>
      <c r="I1" s="54"/>
      <c r="J1" s="54"/>
      <c r="K1" s="54"/>
      <c r="L1" s="43" t="s">
        <v>322</v>
      </c>
      <c r="M1" s="16" t="s">
        <v>323</v>
      </c>
    </row>
    <row r="2" spans="1:14" s="12" customFormat="1" ht="11.25" customHeight="1">
      <c r="A2" s="24"/>
      <c r="B2" s="24"/>
      <c r="C2" s="25"/>
      <c r="D2" s="25"/>
      <c r="E2" s="29"/>
      <c r="F2" s="29"/>
      <c r="G2" s="24"/>
      <c r="H2" s="26" t="s">
        <v>285</v>
      </c>
      <c r="I2" s="26" t="s">
        <v>286</v>
      </c>
      <c r="J2" s="26" t="s">
        <v>287</v>
      </c>
      <c r="K2" s="27" t="s">
        <v>288</v>
      </c>
      <c r="L2" s="43"/>
      <c r="M2" s="16"/>
    </row>
    <row r="3" spans="1:14" s="9" customFormat="1">
      <c r="A3" s="2" t="s">
        <v>548</v>
      </c>
      <c r="B3" s="2" t="s">
        <v>290</v>
      </c>
      <c r="C3" s="3" t="s">
        <v>757</v>
      </c>
      <c r="D3" s="3" t="s">
        <v>1</v>
      </c>
      <c r="E3" s="28">
        <v>90</v>
      </c>
      <c r="F3" s="28">
        <v>1</v>
      </c>
      <c r="G3" s="19" t="s">
        <v>367</v>
      </c>
      <c r="H3" s="3" t="s">
        <v>2</v>
      </c>
      <c r="I3" s="3" t="s">
        <v>3</v>
      </c>
      <c r="J3" s="5" t="s">
        <v>4</v>
      </c>
      <c r="K3" s="5"/>
      <c r="L3" s="33">
        <v>280</v>
      </c>
      <c r="M3" s="3" t="s">
        <v>457</v>
      </c>
      <c r="N3" s="36"/>
    </row>
    <row r="4" spans="1:14">
      <c r="A4" s="2" t="s">
        <v>544</v>
      </c>
      <c r="B4" s="2" t="s">
        <v>290</v>
      </c>
      <c r="C4" s="3" t="s">
        <v>449</v>
      </c>
      <c r="D4" s="3" t="s">
        <v>5</v>
      </c>
      <c r="E4" s="28">
        <v>100</v>
      </c>
      <c r="F4" s="28">
        <v>1</v>
      </c>
      <c r="G4" s="4" t="s">
        <v>366</v>
      </c>
      <c r="H4" s="3" t="s">
        <v>6</v>
      </c>
      <c r="I4" s="5" t="s">
        <v>7</v>
      </c>
      <c r="J4" s="5" t="s">
        <v>7</v>
      </c>
      <c r="K4" s="5"/>
      <c r="L4" s="32">
        <v>245</v>
      </c>
      <c r="M4" s="11" t="s">
        <v>458</v>
      </c>
      <c r="N4" s="37"/>
    </row>
    <row r="5" spans="1:14">
      <c r="A5" s="2" t="s">
        <v>549</v>
      </c>
      <c r="B5" s="2" t="s">
        <v>290</v>
      </c>
      <c r="C5" s="3" t="s">
        <v>758</v>
      </c>
      <c r="D5" s="3" t="s">
        <v>8</v>
      </c>
      <c r="E5" s="28">
        <v>100</v>
      </c>
      <c r="F5" s="3"/>
      <c r="G5" s="4" t="s">
        <v>325</v>
      </c>
      <c r="H5" s="5" t="s">
        <v>9</v>
      </c>
      <c r="I5" s="5" t="s">
        <v>3</v>
      </c>
      <c r="J5" s="5" t="s">
        <v>10</v>
      </c>
      <c r="K5" s="5"/>
      <c r="L5" s="32">
        <v>0</v>
      </c>
      <c r="M5" s="11">
        <v>0</v>
      </c>
      <c r="N5" s="38"/>
    </row>
    <row r="6" spans="1:14">
      <c r="A6" s="2" t="s">
        <v>550</v>
      </c>
      <c r="B6" s="2" t="s">
        <v>290</v>
      </c>
      <c r="C6" s="3" t="s">
        <v>759</v>
      </c>
      <c r="D6" s="3" t="s">
        <v>11</v>
      </c>
      <c r="E6" s="28">
        <v>110</v>
      </c>
      <c r="F6" s="3"/>
      <c r="G6" s="4" t="s">
        <v>368</v>
      </c>
      <c r="H6" s="5" t="s">
        <v>3</v>
      </c>
      <c r="I6" s="5" t="s">
        <v>12</v>
      </c>
      <c r="J6" s="5" t="s">
        <v>12</v>
      </c>
      <c r="K6" s="5"/>
      <c r="L6" s="32">
        <v>0</v>
      </c>
      <c r="M6" s="11">
        <v>0</v>
      </c>
      <c r="N6" s="46"/>
    </row>
    <row r="7" spans="1:14">
      <c r="A7" s="2" t="s">
        <v>551</v>
      </c>
      <c r="B7" s="2" t="s">
        <v>290</v>
      </c>
      <c r="C7" s="3" t="s">
        <v>760</v>
      </c>
      <c r="D7" s="3" t="s">
        <v>13</v>
      </c>
      <c r="E7" s="28">
        <v>125</v>
      </c>
      <c r="F7" s="28">
        <v>1</v>
      </c>
      <c r="G7" s="4" t="s">
        <v>325</v>
      </c>
      <c r="H7" s="3" t="s">
        <v>14</v>
      </c>
      <c r="I7" s="5" t="s">
        <v>15</v>
      </c>
      <c r="J7" s="3" t="s">
        <v>15</v>
      </c>
      <c r="K7" s="5"/>
      <c r="L7" s="32">
        <v>310</v>
      </c>
      <c r="M7" s="11" t="s">
        <v>459</v>
      </c>
      <c r="N7" s="37"/>
    </row>
    <row r="8" spans="1:14">
      <c r="A8" s="2" t="s">
        <v>552</v>
      </c>
      <c r="B8" s="2" t="s">
        <v>290</v>
      </c>
      <c r="C8" s="3" t="s">
        <v>761</v>
      </c>
      <c r="D8" s="3" t="s">
        <v>16</v>
      </c>
      <c r="E8" s="28">
        <v>125</v>
      </c>
      <c r="F8" s="28">
        <v>2</v>
      </c>
      <c r="G8" s="4" t="s">
        <v>346</v>
      </c>
      <c r="H8" s="3" t="s">
        <v>17</v>
      </c>
      <c r="I8" s="3" t="s">
        <v>18</v>
      </c>
      <c r="J8" s="5" t="s">
        <v>15</v>
      </c>
      <c r="K8" s="5"/>
      <c r="L8" s="32">
        <v>305</v>
      </c>
      <c r="M8" s="11" t="s">
        <v>460</v>
      </c>
      <c r="N8" s="49"/>
    </row>
    <row r="9" spans="1:14">
      <c r="A9" s="2" t="s">
        <v>553</v>
      </c>
      <c r="B9" s="2" t="s">
        <v>290</v>
      </c>
      <c r="C9" s="3" t="s">
        <v>762</v>
      </c>
      <c r="D9" s="3" t="s">
        <v>19</v>
      </c>
      <c r="E9" s="28">
        <v>125</v>
      </c>
      <c r="F9" s="3"/>
      <c r="G9" s="4" t="s">
        <v>369</v>
      </c>
      <c r="H9" s="5" t="s">
        <v>20</v>
      </c>
      <c r="I9" s="5" t="s">
        <v>20</v>
      </c>
      <c r="J9" s="5" t="s">
        <v>21</v>
      </c>
      <c r="K9" s="5"/>
      <c r="L9" s="32">
        <v>0</v>
      </c>
      <c r="M9" s="11">
        <v>0</v>
      </c>
      <c r="N9" s="38"/>
    </row>
    <row r="20" spans="1:6">
      <c r="A20" s="13"/>
      <c r="B20" s="13"/>
      <c r="C20" s="14"/>
    </row>
    <row r="21" spans="1:6">
      <c r="A21" s="15"/>
      <c r="B21" s="15"/>
      <c r="C21" s="14"/>
    </row>
    <row r="22" spans="1:6">
      <c r="A22" s="16"/>
      <c r="B22" s="16"/>
      <c r="C22" s="16"/>
      <c r="D22" s="16"/>
      <c r="E22" s="12"/>
      <c r="F22" s="12"/>
    </row>
    <row r="23" spans="1:6">
      <c r="A23" s="6"/>
      <c r="B23" s="6"/>
    </row>
    <row r="24" spans="1:6">
      <c r="A24" s="6"/>
      <c r="B24" s="6"/>
    </row>
    <row r="25" spans="1:6">
      <c r="A25" s="6"/>
      <c r="B25" s="6"/>
    </row>
    <row r="26" spans="1:6">
      <c r="A26" s="6"/>
      <c r="B26" s="6"/>
    </row>
  </sheetData>
  <mergeCells count="1">
    <mergeCell ref="H1:K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L17"/>
  <sheetViews>
    <sheetView zoomScaleNormal="100" workbookViewId="0">
      <selection activeCell="F6" sqref="F6"/>
    </sheetView>
  </sheetViews>
  <sheetFormatPr defaultColWidth="9.140625" defaultRowHeight="12.75"/>
  <cols>
    <col min="1" max="1" width="13.140625" style="1" bestFit="1" customWidth="1"/>
    <col min="2" max="2" width="4.42578125" style="1" bestFit="1" customWidth="1"/>
    <col min="3" max="3" width="10.140625" style="9" bestFit="1" customWidth="1"/>
    <col min="4" max="5" width="7.5703125" style="9" customWidth="1"/>
    <col min="6" max="6" width="4.85546875" style="9" customWidth="1"/>
    <col min="7" max="7" width="19" style="9" bestFit="1" customWidth="1"/>
    <col min="8" max="8" width="6.28515625" style="10" bestFit="1" customWidth="1"/>
    <col min="9" max="12" width="5.5703125" style="9" customWidth="1"/>
    <col min="13" max="13" width="8" style="7" customWidth="1"/>
    <col min="14" max="14" width="6.5703125" style="7" bestFit="1" customWidth="1"/>
    <col min="15" max="1026" width="9.140625" style="7"/>
    <col min="1027" max="16384" width="9.140625" style="8"/>
  </cols>
  <sheetData>
    <row r="1" spans="1:15" s="12" customFormat="1" ht="12.75" customHeight="1">
      <c r="A1" s="24" t="s">
        <v>281</v>
      </c>
      <c r="B1" s="24" t="s">
        <v>282</v>
      </c>
      <c r="C1" s="25" t="s">
        <v>392</v>
      </c>
      <c r="D1" s="25" t="s">
        <v>283</v>
      </c>
      <c r="E1" s="25" t="s">
        <v>284</v>
      </c>
      <c r="F1" s="25" t="s">
        <v>395</v>
      </c>
      <c r="G1" s="25" t="s">
        <v>292</v>
      </c>
      <c r="H1" s="24" t="s">
        <v>394</v>
      </c>
      <c r="I1" s="54" t="s">
        <v>320</v>
      </c>
      <c r="J1" s="54"/>
      <c r="K1" s="54"/>
      <c r="L1" s="54"/>
      <c r="M1" s="16" t="s">
        <v>322</v>
      </c>
      <c r="N1" s="16" t="s">
        <v>323</v>
      </c>
    </row>
    <row r="2" spans="1:15" s="12" customFormat="1" ht="14.25" customHeight="1">
      <c r="A2" s="24"/>
      <c r="B2" s="24"/>
      <c r="C2" s="25"/>
      <c r="D2" s="25"/>
      <c r="E2" s="25"/>
      <c r="F2" s="25"/>
      <c r="G2" s="25"/>
      <c r="H2" s="24"/>
      <c r="I2" s="27" t="s">
        <v>285</v>
      </c>
      <c r="J2" s="27" t="s">
        <v>286</v>
      </c>
      <c r="K2" s="27" t="s">
        <v>286</v>
      </c>
      <c r="L2" s="27" t="s">
        <v>288</v>
      </c>
      <c r="M2" s="16"/>
      <c r="N2" s="16"/>
    </row>
    <row r="3" spans="1:15" s="9" customFormat="1">
      <c r="A3" s="2" t="s">
        <v>461</v>
      </c>
      <c r="B3" s="2" t="s">
        <v>289</v>
      </c>
      <c r="C3" s="3" t="s">
        <v>462</v>
      </c>
      <c r="D3" s="3" t="s">
        <v>72</v>
      </c>
      <c r="E3" s="28">
        <v>52</v>
      </c>
      <c r="F3" s="28">
        <v>1</v>
      </c>
      <c r="G3" s="3" t="s">
        <v>293</v>
      </c>
      <c r="H3" s="4" t="s">
        <v>331</v>
      </c>
      <c r="I3" s="3" t="s">
        <v>73</v>
      </c>
      <c r="J3" s="3" t="s">
        <v>74</v>
      </c>
      <c r="K3" s="3" t="s">
        <v>75</v>
      </c>
      <c r="L3" s="3" t="s">
        <v>76</v>
      </c>
      <c r="M3" s="28">
        <v>130</v>
      </c>
      <c r="N3" s="28">
        <v>144.87</v>
      </c>
      <c r="O3" s="36"/>
    </row>
    <row r="4" spans="1:15" s="9" customFormat="1">
      <c r="A4" s="1"/>
      <c r="B4" s="1"/>
      <c r="H4" s="10"/>
    </row>
    <row r="14" spans="1:15">
      <c r="A14" s="13"/>
      <c r="B14" s="13"/>
      <c r="C14" s="14"/>
    </row>
    <row r="15" spans="1:15">
      <c r="A15" s="15"/>
      <c r="B15" s="15"/>
      <c r="C15" s="14"/>
    </row>
    <row r="16" spans="1:15">
      <c r="A16" s="16"/>
      <c r="B16" s="16"/>
      <c r="C16" s="16"/>
      <c r="D16" s="16"/>
      <c r="E16" s="12"/>
      <c r="F16" s="12"/>
      <c r="G16" s="12"/>
    </row>
    <row r="17" spans="1:2">
      <c r="A17" s="6"/>
      <c r="B17" s="6"/>
    </row>
  </sheetData>
  <mergeCells count="1"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L26"/>
  <sheetViews>
    <sheetView zoomScaleNormal="100" workbookViewId="0">
      <selection activeCell="A2" sqref="A2"/>
    </sheetView>
  </sheetViews>
  <sheetFormatPr defaultColWidth="9.140625" defaultRowHeight="12.75"/>
  <cols>
    <col min="1" max="1" width="16.42578125" style="1" bestFit="1" customWidth="1"/>
    <col min="2" max="2" width="4.42578125" style="1" bestFit="1" customWidth="1"/>
    <col min="3" max="3" width="10.140625" style="10" bestFit="1" customWidth="1"/>
    <col min="4" max="5" width="7.5703125" style="9" customWidth="1"/>
    <col min="6" max="6" width="5" style="9" customWidth="1"/>
    <col min="7" max="7" width="19" style="9" bestFit="1" customWidth="1"/>
    <col min="8" max="8" width="8.140625" style="10" bestFit="1" customWidth="1"/>
    <col min="9" max="11" width="5.5703125" style="9" customWidth="1"/>
    <col min="12" max="12" width="3.28515625" style="9" customWidth="1"/>
    <col min="13" max="13" width="8" style="7" customWidth="1"/>
    <col min="14" max="14" width="11" style="7" customWidth="1"/>
    <col min="15" max="1026" width="9.140625" style="7"/>
    <col min="1027" max="16384" width="9.140625" style="8"/>
  </cols>
  <sheetData>
    <row r="1" spans="1:15" s="12" customFormat="1" ht="12.75" customHeight="1">
      <c r="A1" s="24" t="s">
        <v>281</v>
      </c>
      <c r="B1" s="24" t="s">
        <v>282</v>
      </c>
      <c r="C1" s="35" t="s">
        <v>392</v>
      </c>
      <c r="D1" s="25" t="s">
        <v>283</v>
      </c>
      <c r="E1" s="25" t="s">
        <v>284</v>
      </c>
      <c r="F1" s="25" t="s">
        <v>395</v>
      </c>
      <c r="G1" s="25" t="s">
        <v>292</v>
      </c>
      <c r="H1" s="24" t="s">
        <v>394</v>
      </c>
      <c r="I1" s="54" t="s">
        <v>321</v>
      </c>
      <c r="J1" s="54"/>
      <c r="K1" s="54"/>
      <c r="L1" s="54"/>
      <c r="M1" s="16" t="s">
        <v>322</v>
      </c>
      <c r="N1" s="16"/>
    </row>
    <row r="2" spans="1:15" s="12" customFormat="1" ht="14.25" customHeight="1">
      <c r="A2" s="24"/>
      <c r="B2" s="24"/>
      <c r="C2" s="35"/>
      <c r="D2" s="25"/>
      <c r="E2" s="25"/>
      <c r="F2" s="25"/>
      <c r="G2" s="25"/>
      <c r="H2" s="24"/>
      <c r="I2" s="26" t="s">
        <v>285</v>
      </c>
      <c r="J2" s="26" t="s">
        <v>286</v>
      </c>
      <c r="K2" s="26" t="s">
        <v>287</v>
      </c>
      <c r="L2" s="26" t="s">
        <v>288</v>
      </c>
      <c r="M2" s="16"/>
      <c r="N2" s="16"/>
    </row>
    <row r="3" spans="1:15" s="9" customFormat="1">
      <c r="A3" s="2" t="s">
        <v>467</v>
      </c>
      <c r="B3" s="45" t="s">
        <v>290</v>
      </c>
      <c r="C3" s="4" t="s">
        <v>463</v>
      </c>
      <c r="D3" s="3" t="s">
        <v>77</v>
      </c>
      <c r="E3" s="28">
        <v>60</v>
      </c>
      <c r="F3" s="28">
        <v>1</v>
      </c>
      <c r="G3" s="3" t="s">
        <v>396</v>
      </c>
      <c r="H3" s="19" t="s">
        <v>353</v>
      </c>
      <c r="I3" s="19" t="s">
        <v>78</v>
      </c>
      <c r="J3" s="3" t="s">
        <v>79</v>
      </c>
      <c r="K3" s="5" t="s">
        <v>80</v>
      </c>
      <c r="L3" s="5"/>
      <c r="M3" s="33">
        <v>162.5</v>
      </c>
      <c r="N3" s="28">
        <v>136.44</v>
      </c>
      <c r="O3" s="36"/>
    </row>
    <row r="4" spans="1:15">
      <c r="A4" s="2" t="s">
        <v>468</v>
      </c>
      <c r="B4" s="45" t="s">
        <v>290</v>
      </c>
      <c r="C4" s="4" t="s">
        <v>464</v>
      </c>
      <c r="D4" s="3" t="s">
        <v>81</v>
      </c>
      <c r="E4" s="28">
        <v>82.5</v>
      </c>
      <c r="F4" s="28">
        <v>1</v>
      </c>
      <c r="G4" s="3" t="s">
        <v>293</v>
      </c>
      <c r="H4" s="4" t="s">
        <v>353</v>
      </c>
      <c r="I4" s="3" t="s">
        <v>82</v>
      </c>
      <c r="J4" s="3" t="s">
        <v>83</v>
      </c>
      <c r="K4" s="5" t="s">
        <v>84</v>
      </c>
      <c r="L4" s="5"/>
      <c r="M4" s="32">
        <v>172.5</v>
      </c>
      <c r="N4" s="11">
        <v>112.62</v>
      </c>
      <c r="O4" s="46"/>
    </row>
    <row r="5" spans="1:15">
      <c r="A5" s="2" t="s">
        <v>469</v>
      </c>
      <c r="B5" s="45" t="s">
        <v>290</v>
      </c>
      <c r="C5" s="4" t="s">
        <v>465</v>
      </c>
      <c r="D5" s="3" t="s">
        <v>27</v>
      </c>
      <c r="E5" s="28">
        <v>90</v>
      </c>
      <c r="F5" s="28">
        <v>1</v>
      </c>
      <c r="G5" s="3" t="s">
        <v>293</v>
      </c>
      <c r="H5" s="4" t="s">
        <v>353</v>
      </c>
      <c r="I5" s="3" t="s">
        <v>85</v>
      </c>
      <c r="J5" s="5" t="s">
        <v>86</v>
      </c>
      <c r="K5" s="5" t="s">
        <v>87</v>
      </c>
      <c r="L5" s="5"/>
      <c r="M5" s="32">
        <v>180</v>
      </c>
      <c r="N5" s="11">
        <v>113.86</v>
      </c>
      <c r="O5" s="46"/>
    </row>
    <row r="6" spans="1:15">
      <c r="A6" s="2" t="s">
        <v>470</v>
      </c>
      <c r="B6" s="45" t="s">
        <v>290</v>
      </c>
      <c r="C6" s="4" t="s">
        <v>466</v>
      </c>
      <c r="D6" s="3" t="s">
        <v>88</v>
      </c>
      <c r="E6" s="28">
        <v>100</v>
      </c>
      <c r="F6" s="28">
        <v>1</v>
      </c>
      <c r="G6" s="3" t="s">
        <v>293</v>
      </c>
      <c r="H6" s="4" t="s">
        <v>353</v>
      </c>
      <c r="I6" s="3" t="s">
        <v>89</v>
      </c>
      <c r="J6" s="5" t="s">
        <v>90</v>
      </c>
      <c r="K6" s="5" t="s">
        <v>90</v>
      </c>
      <c r="L6" s="5"/>
      <c r="M6" s="32">
        <v>230</v>
      </c>
      <c r="N6" s="11">
        <v>136.35</v>
      </c>
      <c r="O6" s="46"/>
    </row>
    <row r="17" spans="1:7">
      <c r="A17" s="13"/>
      <c r="B17" s="13"/>
      <c r="C17" s="17"/>
    </row>
    <row r="18" spans="1:7">
      <c r="A18" s="15"/>
      <c r="B18" s="15"/>
      <c r="C18" s="17"/>
    </row>
    <row r="19" spans="1:7">
      <c r="A19" s="16"/>
      <c r="B19" s="16"/>
      <c r="C19" s="18"/>
      <c r="D19" s="16"/>
      <c r="E19" s="12"/>
      <c r="F19" s="12"/>
      <c r="G19" s="12"/>
    </row>
    <row r="20" spans="1:7">
      <c r="A20" s="6"/>
      <c r="B20" s="6"/>
    </row>
    <row r="22" spans="1:7">
      <c r="A22" s="15"/>
      <c r="B22" s="15"/>
      <c r="C22" s="17"/>
    </row>
    <row r="23" spans="1:7">
      <c r="A23" s="16"/>
      <c r="B23" s="16"/>
      <c r="C23" s="18"/>
      <c r="D23" s="16"/>
      <c r="E23" s="12"/>
      <c r="F23" s="12"/>
      <c r="G23" s="12"/>
    </row>
    <row r="24" spans="1:7">
      <c r="A24" s="6"/>
      <c r="B24" s="6"/>
    </row>
    <row r="25" spans="1:7">
      <c r="A25" s="6"/>
      <c r="B25" s="6"/>
    </row>
    <row r="26" spans="1:7">
      <c r="A26" s="6"/>
      <c r="B26" s="6"/>
    </row>
  </sheetData>
  <mergeCells count="1"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L19"/>
  <sheetViews>
    <sheetView zoomScaleNormal="100" workbookViewId="0">
      <selection activeCell="A2" sqref="A2"/>
    </sheetView>
  </sheetViews>
  <sheetFormatPr defaultColWidth="9.140625" defaultRowHeight="12.75"/>
  <cols>
    <col min="1" max="1" width="26" style="1" customWidth="1"/>
    <col min="2" max="2" width="4.42578125" style="1" bestFit="1" customWidth="1"/>
    <col min="3" max="3" width="10.140625" style="10" bestFit="1" customWidth="1"/>
    <col min="4" max="5" width="7.5703125" style="9" customWidth="1"/>
    <col min="6" max="6" width="5.42578125" style="9" customWidth="1"/>
    <col min="7" max="7" width="19" style="9" bestFit="1" customWidth="1"/>
    <col min="8" max="8" width="14.85546875" style="10" customWidth="1"/>
    <col min="9" max="11" width="5.5703125" style="9" customWidth="1"/>
    <col min="12" max="12" width="3.28515625" style="9" customWidth="1"/>
    <col min="13" max="13" width="8" style="42" customWidth="1"/>
    <col min="14" max="14" width="8.5703125" style="7" bestFit="1" customWidth="1"/>
    <col min="15" max="1026" width="9.140625" style="7"/>
    <col min="1027" max="16384" width="9.140625" style="8"/>
  </cols>
  <sheetData>
    <row r="1" spans="1:15" s="12" customFormat="1" ht="12.75" customHeight="1">
      <c r="A1" s="24" t="s">
        <v>281</v>
      </c>
      <c r="B1" s="24" t="s">
        <v>282</v>
      </c>
      <c r="C1" s="35" t="s">
        <v>392</v>
      </c>
      <c r="D1" s="25" t="s">
        <v>283</v>
      </c>
      <c r="E1" s="25" t="s">
        <v>284</v>
      </c>
      <c r="F1" s="25" t="s">
        <v>395</v>
      </c>
      <c r="G1" s="25" t="s">
        <v>292</v>
      </c>
      <c r="H1" s="24" t="s">
        <v>394</v>
      </c>
      <c r="I1" s="54" t="s">
        <v>321</v>
      </c>
      <c r="J1" s="54"/>
      <c r="K1" s="54"/>
      <c r="L1" s="54"/>
      <c r="M1" s="43" t="s">
        <v>322</v>
      </c>
      <c r="N1" s="16" t="s">
        <v>323</v>
      </c>
    </row>
    <row r="2" spans="1:15" s="12" customFormat="1" ht="14.25" customHeight="1">
      <c r="A2" s="24"/>
      <c r="B2" s="24"/>
      <c r="C2" s="35"/>
      <c r="D2" s="25"/>
      <c r="E2" s="25"/>
      <c r="F2" s="25"/>
      <c r="G2" s="25"/>
      <c r="H2" s="24"/>
      <c r="I2" s="44">
        <v>1</v>
      </c>
      <c r="J2" s="44">
        <v>2</v>
      </c>
      <c r="K2" s="44">
        <v>3</v>
      </c>
      <c r="L2" s="44">
        <v>4</v>
      </c>
      <c r="M2" s="43"/>
      <c r="N2" s="16"/>
    </row>
    <row r="3" spans="1:15" s="9" customFormat="1">
      <c r="A3" s="2" t="s">
        <v>554</v>
      </c>
      <c r="B3" s="2" t="s">
        <v>289</v>
      </c>
      <c r="C3" s="4" t="s">
        <v>298</v>
      </c>
      <c r="D3" s="3" t="s">
        <v>91</v>
      </c>
      <c r="E3" s="28">
        <v>48</v>
      </c>
      <c r="F3" s="28">
        <v>1</v>
      </c>
      <c r="G3" s="3" t="s">
        <v>293</v>
      </c>
      <c r="H3" s="19" t="s">
        <v>324</v>
      </c>
      <c r="I3" s="19" t="s">
        <v>41</v>
      </c>
      <c r="J3" s="3" t="s">
        <v>92</v>
      </c>
      <c r="K3" s="3" t="s">
        <v>73</v>
      </c>
      <c r="L3" s="5"/>
      <c r="M3" s="33">
        <v>117.5</v>
      </c>
      <c r="N3" s="28">
        <v>141.22</v>
      </c>
      <c r="O3" s="36"/>
    </row>
    <row r="4" spans="1:15">
      <c r="A4" s="2" t="s">
        <v>555</v>
      </c>
      <c r="B4" s="2" t="s">
        <v>289</v>
      </c>
      <c r="C4" s="4" t="s">
        <v>471</v>
      </c>
      <c r="D4" s="3" t="s">
        <v>93</v>
      </c>
      <c r="E4" s="28">
        <v>56</v>
      </c>
      <c r="F4" s="28">
        <v>1</v>
      </c>
      <c r="G4" s="3" t="s">
        <v>293</v>
      </c>
      <c r="H4" s="4" t="s">
        <v>344</v>
      </c>
      <c r="I4" s="3" t="s">
        <v>78</v>
      </c>
      <c r="J4" s="3" t="s">
        <v>94</v>
      </c>
      <c r="K4" s="3" t="s">
        <v>95</v>
      </c>
      <c r="L4" s="5"/>
      <c r="M4" s="32">
        <v>157.5</v>
      </c>
      <c r="N4" s="11" t="str">
        <f>"165,1230"</f>
        <v>165,1230</v>
      </c>
      <c r="O4" s="37"/>
    </row>
    <row r="5" spans="1:15">
      <c r="A5" s="2" t="s">
        <v>556</v>
      </c>
      <c r="B5" s="2" t="s">
        <v>289</v>
      </c>
      <c r="C5" s="4" t="s">
        <v>416</v>
      </c>
      <c r="D5" s="3" t="s">
        <v>58</v>
      </c>
      <c r="E5" s="28">
        <v>56</v>
      </c>
      <c r="F5" s="28">
        <v>2</v>
      </c>
      <c r="G5" s="3" t="s">
        <v>293</v>
      </c>
      <c r="H5" s="4" t="s">
        <v>325</v>
      </c>
      <c r="I5" s="5" t="s">
        <v>74</v>
      </c>
      <c r="J5" s="5" t="s">
        <v>96</v>
      </c>
      <c r="K5" s="3" t="s">
        <v>96</v>
      </c>
      <c r="L5" s="5"/>
      <c r="M5" s="32">
        <v>140</v>
      </c>
      <c r="N5" s="11" t="str">
        <f>"146,3560"</f>
        <v>146,3560</v>
      </c>
      <c r="O5" s="38"/>
    </row>
    <row r="6" spans="1:15">
      <c r="A6" s="2" t="s">
        <v>557</v>
      </c>
      <c r="B6" s="2" t="s">
        <v>289</v>
      </c>
      <c r="C6" s="4" t="s">
        <v>472</v>
      </c>
      <c r="D6" s="3" t="s">
        <v>97</v>
      </c>
      <c r="E6" s="28">
        <v>60</v>
      </c>
      <c r="F6" s="28">
        <v>1</v>
      </c>
      <c r="G6" s="3" t="s">
        <v>293</v>
      </c>
      <c r="H6" s="4" t="s">
        <v>325</v>
      </c>
      <c r="I6" s="5" t="s">
        <v>38</v>
      </c>
      <c r="J6" s="3" t="s">
        <v>98</v>
      </c>
      <c r="K6" s="5" t="s">
        <v>99</v>
      </c>
      <c r="L6" s="5"/>
      <c r="M6" s="32">
        <v>110</v>
      </c>
      <c r="N6" s="11" t="str">
        <f>"108,7790"</f>
        <v>108,7790</v>
      </c>
      <c r="O6" s="46"/>
    </row>
    <row r="7" spans="1:15">
      <c r="A7" s="2" t="s">
        <v>558</v>
      </c>
      <c r="B7" s="2" t="s">
        <v>289</v>
      </c>
      <c r="C7" s="4" t="s">
        <v>417</v>
      </c>
      <c r="D7" s="3" t="s">
        <v>100</v>
      </c>
      <c r="E7" s="28">
        <v>67.5</v>
      </c>
      <c r="F7" s="28">
        <v>1</v>
      </c>
      <c r="G7" s="3" t="s">
        <v>297</v>
      </c>
      <c r="H7" s="4" t="s">
        <v>325</v>
      </c>
      <c r="I7" s="5" t="s">
        <v>38</v>
      </c>
      <c r="J7" s="3" t="s">
        <v>38</v>
      </c>
      <c r="K7" s="3" t="s">
        <v>73</v>
      </c>
      <c r="L7" s="5"/>
      <c r="M7" s="32">
        <v>117.5</v>
      </c>
      <c r="N7" s="11" t="str">
        <f>"112,1174"</f>
        <v>112,1174</v>
      </c>
      <c r="O7" s="46"/>
    </row>
    <row r="8" spans="1:15">
      <c r="A8" s="2" t="s">
        <v>559</v>
      </c>
      <c r="B8" s="2" t="s">
        <v>290</v>
      </c>
      <c r="C8" s="4" t="s">
        <v>473</v>
      </c>
      <c r="D8" s="3" t="s">
        <v>101</v>
      </c>
      <c r="E8" s="28">
        <v>56</v>
      </c>
      <c r="F8" s="28">
        <v>1</v>
      </c>
      <c r="G8" s="3" t="s">
        <v>396</v>
      </c>
      <c r="H8" s="4" t="s">
        <v>325</v>
      </c>
      <c r="I8" s="5" t="s">
        <v>102</v>
      </c>
      <c r="J8" s="3" t="s">
        <v>102</v>
      </c>
      <c r="K8" s="3" t="s">
        <v>79</v>
      </c>
      <c r="L8" s="5"/>
      <c r="M8" s="32">
        <v>162.5</v>
      </c>
      <c r="N8" s="11" t="str">
        <f>"147,2331"</f>
        <v>147,2331</v>
      </c>
      <c r="O8" s="37"/>
    </row>
    <row r="9" spans="1:15">
      <c r="A9" s="2" t="s">
        <v>560</v>
      </c>
      <c r="B9" s="2" t="s">
        <v>290</v>
      </c>
      <c r="C9" s="4" t="s">
        <v>474</v>
      </c>
      <c r="D9" s="3" t="s">
        <v>58</v>
      </c>
      <c r="E9" s="28">
        <v>56</v>
      </c>
      <c r="F9" s="28">
        <v>1</v>
      </c>
      <c r="G9" s="3" t="s">
        <v>293</v>
      </c>
      <c r="H9" s="4" t="s">
        <v>370</v>
      </c>
      <c r="I9" s="3" t="s">
        <v>103</v>
      </c>
      <c r="J9" s="3" t="s">
        <v>104</v>
      </c>
      <c r="K9" s="5" t="s">
        <v>105</v>
      </c>
      <c r="L9" s="5"/>
      <c r="M9" s="32">
        <v>180</v>
      </c>
      <c r="N9" s="11" t="str">
        <f>"160,9560"</f>
        <v>160,9560</v>
      </c>
      <c r="O9" s="38"/>
    </row>
    <row r="10" spans="1:15">
      <c r="A10" s="2" t="s">
        <v>561</v>
      </c>
      <c r="B10" s="2" t="s">
        <v>290</v>
      </c>
      <c r="C10" s="4" t="s">
        <v>475</v>
      </c>
      <c r="D10" s="3" t="s">
        <v>106</v>
      </c>
      <c r="E10" s="28">
        <v>67.5</v>
      </c>
      <c r="F10" s="28">
        <v>1</v>
      </c>
      <c r="G10" s="3" t="s">
        <v>293</v>
      </c>
      <c r="H10" s="4" t="s">
        <v>325</v>
      </c>
      <c r="I10" s="3" t="s">
        <v>107</v>
      </c>
      <c r="J10" s="3" t="s">
        <v>108</v>
      </c>
      <c r="K10" s="3" t="s">
        <v>103</v>
      </c>
      <c r="L10" s="5"/>
      <c r="M10" s="32">
        <v>170</v>
      </c>
      <c r="N10" s="11" t="str">
        <f>"128,3670"</f>
        <v>128,3670</v>
      </c>
      <c r="O10" s="46"/>
    </row>
    <row r="11" spans="1:15">
      <c r="A11" s="2" t="s">
        <v>562</v>
      </c>
      <c r="B11" s="2" t="s">
        <v>290</v>
      </c>
      <c r="C11" s="4" t="s">
        <v>476</v>
      </c>
      <c r="D11" s="3" t="s">
        <v>109</v>
      </c>
      <c r="E11" s="28">
        <v>75</v>
      </c>
      <c r="F11" s="28">
        <v>1</v>
      </c>
      <c r="G11" s="3" t="s">
        <v>294</v>
      </c>
      <c r="H11" s="4" t="s">
        <v>325</v>
      </c>
      <c r="I11" s="3" t="s">
        <v>110</v>
      </c>
      <c r="J11" s="3" t="s">
        <v>80</v>
      </c>
      <c r="K11" s="3" t="s">
        <v>87</v>
      </c>
      <c r="L11" s="5"/>
      <c r="M11" s="32">
        <v>202.5</v>
      </c>
      <c r="N11" s="11" t="str">
        <f>"143,0460"</f>
        <v>143,0460</v>
      </c>
      <c r="O11" s="37"/>
    </row>
    <row r="12" spans="1:15">
      <c r="A12" s="2" t="s">
        <v>563</v>
      </c>
      <c r="B12" s="2" t="s">
        <v>290</v>
      </c>
      <c r="C12" s="4" t="s">
        <v>477</v>
      </c>
      <c r="D12" s="3" t="s">
        <v>111</v>
      </c>
      <c r="E12" s="28">
        <v>75</v>
      </c>
      <c r="F12" s="28">
        <v>1</v>
      </c>
      <c r="G12" s="3" t="s">
        <v>293</v>
      </c>
      <c r="H12" s="4" t="s">
        <v>325</v>
      </c>
      <c r="I12" s="3" t="s">
        <v>87</v>
      </c>
      <c r="J12" s="5" t="s">
        <v>112</v>
      </c>
      <c r="K12" s="5" t="s">
        <v>112</v>
      </c>
      <c r="L12" s="5"/>
      <c r="M12" s="32">
        <v>202.5</v>
      </c>
      <c r="N12" s="11" t="str">
        <f>"139,9781"</f>
        <v>139,9781</v>
      </c>
      <c r="O12" s="38"/>
    </row>
    <row r="13" spans="1:15">
      <c r="A13" s="2" t="s">
        <v>564</v>
      </c>
      <c r="B13" s="2" t="s">
        <v>290</v>
      </c>
      <c r="C13" s="4" t="s">
        <v>308</v>
      </c>
      <c r="D13" s="3" t="s">
        <v>113</v>
      </c>
      <c r="E13" s="28">
        <v>82.5</v>
      </c>
      <c r="F13" s="28">
        <v>1</v>
      </c>
      <c r="G13" s="3" t="s">
        <v>293</v>
      </c>
      <c r="H13" s="4" t="s">
        <v>324</v>
      </c>
      <c r="I13" s="3" t="s">
        <v>6</v>
      </c>
      <c r="J13" s="5" t="s">
        <v>7</v>
      </c>
      <c r="K13" s="3" t="s">
        <v>7</v>
      </c>
      <c r="L13" s="5"/>
      <c r="M13" s="32">
        <v>255</v>
      </c>
      <c r="N13" s="11" t="str">
        <f>"165,6862"</f>
        <v>165,6862</v>
      </c>
      <c r="O13" s="37"/>
    </row>
    <row r="14" spans="1:15">
      <c r="A14" s="2" t="s">
        <v>565</v>
      </c>
      <c r="B14" s="2" t="s">
        <v>290</v>
      </c>
      <c r="C14" s="4" t="s">
        <v>478</v>
      </c>
      <c r="D14" s="3" t="s">
        <v>69</v>
      </c>
      <c r="E14" s="28">
        <v>82.5</v>
      </c>
      <c r="F14" s="28">
        <v>2</v>
      </c>
      <c r="G14" s="3" t="s">
        <v>293</v>
      </c>
      <c r="H14" s="4" t="s">
        <v>325</v>
      </c>
      <c r="I14" s="3" t="s">
        <v>84</v>
      </c>
      <c r="J14" s="3" t="s">
        <v>114</v>
      </c>
      <c r="K14" s="3" t="s">
        <v>115</v>
      </c>
      <c r="L14" s="5"/>
      <c r="M14" s="32">
        <v>207.5</v>
      </c>
      <c r="N14" s="11" t="str">
        <f>"134,5015"</f>
        <v>134,5015</v>
      </c>
      <c r="O14" s="49"/>
    </row>
    <row r="15" spans="1:15">
      <c r="A15" s="2" t="s">
        <v>566</v>
      </c>
      <c r="B15" s="2" t="s">
        <v>290</v>
      </c>
      <c r="C15" s="4" t="s">
        <v>479</v>
      </c>
      <c r="D15" s="3" t="s">
        <v>81</v>
      </c>
      <c r="E15" s="28">
        <v>82.5</v>
      </c>
      <c r="F15" s="28">
        <v>3</v>
      </c>
      <c r="G15" s="3" t="s">
        <v>293</v>
      </c>
      <c r="H15" s="4" t="s">
        <v>325</v>
      </c>
      <c r="I15" s="3" t="s">
        <v>94</v>
      </c>
      <c r="J15" s="3" t="s">
        <v>103</v>
      </c>
      <c r="K15" s="3" t="s">
        <v>80</v>
      </c>
      <c r="L15" s="5"/>
      <c r="M15" s="32">
        <v>185</v>
      </c>
      <c r="N15" s="11" t="str">
        <f>"120,7865"</f>
        <v>120,7865</v>
      </c>
      <c r="O15" s="38"/>
    </row>
    <row r="16" spans="1:15">
      <c r="A16" s="2" t="s">
        <v>567</v>
      </c>
      <c r="B16" s="2" t="s">
        <v>290</v>
      </c>
      <c r="C16" s="4" t="s">
        <v>480</v>
      </c>
      <c r="D16" s="3" t="s">
        <v>116</v>
      </c>
      <c r="E16" s="28">
        <v>90</v>
      </c>
      <c r="F16" s="28">
        <v>1</v>
      </c>
      <c r="G16" s="3" t="s">
        <v>294</v>
      </c>
      <c r="H16" s="4" t="s">
        <v>371</v>
      </c>
      <c r="I16" s="3" t="s">
        <v>85</v>
      </c>
      <c r="J16" s="3" t="s">
        <v>84</v>
      </c>
      <c r="K16" s="3" t="s">
        <v>117</v>
      </c>
      <c r="L16" s="5"/>
      <c r="M16" s="32">
        <v>200</v>
      </c>
      <c r="N16" s="11" t="str">
        <f>"123,9400"</f>
        <v>123,9400</v>
      </c>
      <c r="O16" s="37"/>
    </row>
    <row r="17" spans="1:15">
      <c r="A17" s="2" t="s">
        <v>568</v>
      </c>
      <c r="B17" s="2" t="s">
        <v>290</v>
      </c>
      <c r="C17" s="4" t="s">
        <v>481</v>
      </c>
      <c r="D17" s="3" t="s">
        <v>118</v>
      </c>
      <c r="E17" s="28">
        <v>90</v>
      </c>
      <c r="F17" s="3"/>
      <c r="G17" s="3" t="s">
        <v>293</v>
      </c>
      <c r="H17" s="4" t="s">
        <v>325</v>
      </c>
      <c r="I17" s="5" t="s">
        <v>14</v>
      </c>
      <c r="J17" s="5" t="s">
        <v>119</v>
      </c>
      <c r="K17" s="5" t="s">
        <v>120</v>
      </c>
      <c r="L17" s="5"/>
      <c r="M17" s="32">
        <v>0</v>
      </c>
      <c r="N17" s="11">
        <v>0</v>
      </c>
      <c r="O17" s="38"/>
    </row>
    <row r="18" spans="1:15">
      <c r="A18" s="2" t="s">
        <v>569</v>
      </c>
      <c r="B18" s="2" t="s">
        <v>290</v>
      </c>
      <c r="C18" s="4" t="s">
        <v>482</v>
      </c>
      <c r="D18" s="3" t="s">
        <v>121</v>
      </c>
      <c r="E18" s="28">
        <v>100</v>
      </c>
      <c r="F18" s="28">
        <v>1</v>
      </c>
      <c r="G18" s="3" t="s">
        <v>294</v>
      </c>
      <c r="H18" s="4" t="s">
        <v>325</v>
      </c>
      <c r="I18" s="3" t="s">
        <v>86</v>
      </c>
      <c r="J18" s="3" t="s">
        <v>87</v>
      </c>
      <c r="K18" s="3" t="s">
        <v>115</v>
      </c>
      <c r="L18" s="5"/>
      <c r="M18" s="32">
        <v>207.5</v>
      </c>
      <c r="N18" s="11" t="str">
        <f>"121,7921"</f>
        <v>121,7921</v>
      </c>
      <c r="O18" s="46"/>
    </row>
    <row r="19" spans="1:15">
      <c r="A19" s="2" t="s">
        <v>570</v>
      </c>
      <c r="B19" s="2" t="s">
        <v>290</v>
      </c>
      <c r="C19" s="4" t="s">
        <v>483</v>
      </c>
      <c r="D19" s="3" t="s">
        <v>122</v>
      </c>
      <c r="E19" s="28">
        <v>125</v>
      </c>
      <c r="F19" s="28">
        <v>1</v>
      </c>
      <c r="G19" s="3" t="s">
        <v>424</v>
      </c>
      <c r="H19" s="4" t="s">
        <v>325</v>
      </c>
      <c r="I19" s="3" t="s">
        <v>85</v>
      </c>
      <c r="J19" s="3" t="s">
        <v>86</v>
      </c>
      <c r="K19" s="3" t="s">
        <v>117</v>
      </c>
      <c r="L19" s="5"/>
      <c r="M19" s="32">
        <v>200</v>
      </c>
      <c r="N19" s="11" t="str">
        <f>"163,0812"</f>
        <v>163,0812</v>
      </c>
      <c r="O19" s="46"/>
    </row>
  </sheetData>
  <mergeCells count="1"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L17"/>
  <sheetViews>
    <sheetView zoomScaleNormal="100" workbookViewId="0">
      <selection activeCell="E6" sqref="E6"/>
    </sheetView>
  </sheetViews>
  <sheetFormatPr defaultColWidth="9.140625" defaultRowHeight="12.75"/>
  <cols>
    <col min="1" max="1" width="23.28515625" style="1" bestFit="1" customWidth="1"/>
    <col min="2" max="2" width="4.42578125" style="1" bestFit="1" customWidth="1"/>
    <col min="3" max="3" width="10.140625" style="9" bestFit="1" customWidth="1"/>
    <col min="4" max="6" width="7.5703125" style="9" customWidth="1"/>
    <col min="7" max="7" width="19" style="9" bestFit="1" customWidth="1"/>
    <col min="8" max="8" width="7.42578125" style="10" bestFit="1" customWidth="1"/>
    <col min="9" max="11" width="5.5703125" style="9" customWidth="1"/>
    <col min="12" max="12" width="3.28515625" style="9" customWidth="1"/>
    <col min="13" max="13" width="8" style="7" customWidth="1"/>
    <col min="14" max="14" width="6.5703125" style="7" bestFit="1" customWidth="1"/>
    <col min="15" max="1026" width="9.140625" style="7"/>
    <col min="1027" max="16384" width="9.140625" style="8"/>
  </cols>
  <sheetData>
    <row r="1" spans="1:15" s="12" customFormat="1" ht="12.75" customHeight="1">
      <c r="A1" s="24" t="s">
        <v>281</v>
      </c>
      <c r="B1" s="24" t="s">
        <v>282</v>
      </c>
      <c r="C1" s="25" t="s">
        <v>392</v>
      </c>
      <c r="D1" s="25" t="s">
        <v>283</v>
      </c>
      <c r="E1" s="25" t="s">
        <v>284</v>
      </c>
      <c r="F1" s="25" t="s">
        <v>395</v>
      </c>
      <c r="G1" s="25" t="s">
        <v>292</v>
      </c>
      <c r="H1" s="24" t="s">
        <v>394</v>
      </c>
      <c r="I1" s="51" t="s">
        <v>321</v>
      </c>
      <c r="J1" s="52"/>
      <c r="K1" s="52"/>
      <c r="L1" s="53"/>
      <c r="M1" s="16" t="s">
        <v>322</v>
      </c>
      <c r="N1" s="16" t="s">
        <v>323</v>
      </c>
    </row>
    <row r="2" spans="1:15" s="12" customFormat="1" ht="9.75" customHeight="1">
      <c r="A2" s="24"/>
      <c r="B2" s="24"/>
      <c r="C2" s="25"/>
      <c r="D2" s="25"/>
      <c r="E2" s="25"/>
      <c r="F2" s="25"/>
      <c r="G2" s="25"/>
      <c r="H2" s="24"/>
      <c r="I2" s="26" t="s">
        <v>285</v>
      </c>
      <c r="J2" s="26" t="s">
        <v>286</v>
      </c>
      <c r="K2" s="26" t="s">
        <v>287</v>
      </c>
      <c r="L2" s="26" t="s">
        <v>288</v>
      </c>
      <c r="M2" s="16"/>
      <c r="N2" s="16"/>
    </row>
    <row r="3" spans="1:15" s="9" customFormat="1">
      <c r="A3" s="2" t="s">
        <v>486</v>
      </c>
      <c r="B3" s="2" t="s">
        <v>290</v>
      </c>
      <c r="C3" s="3" t="s">
        <v>485</v>
      </c>
      <c r="D3" s="3" t="s">
        <v>123</v>
      </c>
      <c r="E3" s="28">
        <v>90</v>
      </c>
      <c r="F3" s="28">
        <v>1</v>
      </c>
      <c r="G3" s="3" t="s">
        <v>297</v>
      </c>
      <c r="H3" s="19" t="s">
        <v>325</v>
      </c>
      <c r="I3" s="19" t="s">
        <v>86</v>
      </c>
      <c r="J3" s="3" t="s">
        <v>117</v>
      </c>
      <c r="K3" s="5" t="s">
        <v>115</v>
      </c>
      <c r="L3" s="5"/>
      <c r="M3" s="28">
        <v>200</v>
      </c>
      <c r="N3" s="3" t="s">
        <v>484</v>
      </c>
      <c r="O3" s="36"/>
    </row>
    <row r="4" spans="1:15" s="9" customFormat="1">
      <c r="A4" s="1"/>
      <c r="B4" s="1"/>
      <c r="H4" s="10"/>
    </row>
    <row r="14" spans="1:15">
      <c r="A14" s="13"/>
      <c r="B14" s="13"/>
      <c r="C14" s="14"/>
    </row>
    <row r="15" spans="1:15">
      <c r="A15" s="15"/>
      <c r="B15" s="15"/>
      <c r="C15" s="14"/>
    </row>
    <row r="16" spans="1:15">
      <c r="A16" s="16"/>
      <c r="B16" s="16"/>
      <c r="C16" s="16"/>
      <c r="D16" s="16"/>
      <c r="E16" s="12"/>
      <c r="F16" s="12"/>
      <c r="G16" s="12"/>
    </row>
    <row r="17" spans="1:2">
      <c r="A17" s="6"/>
      <c r="B17" s="6"/>
    </row>
  </sheetData>
  <mergeCells count="1"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13"/>
  <sheetViews>
    <sheetView zoomScaleNormal="100" workbookViewId="0">
      <selection activeCell="B13" sqref="B13"/>
    </sheetView>
  </sheetViews>
  <sheetFormatPr defaultColWidth="9.140625" defaultRowHeight="12.75"/>
  <cols>
    <col min="1" max="1" width="24.42578125" style="1" customWidth="1"/>
    <col min="2" max="2" width="4.42578125" style="1" bestFit="1" customWidth="1"/>
    <col min="3" max="3" width="10.140625" style="10" bestFit="1" customWidth="1"/>
    <col min="4" max="5" width="7.5703125" style="9" customWidth="1"/>
    <col min="6" max="6" width="4.140625" style="9" customWidth="1"/>
    <col min="7" max="7" width="19" style="9" bestFit="1" customWidth="1"/>
    <col min="8" max="8" width="16.42578125" style="10" bestFit="1" customWidth="1"/>
    <col min="9" max="11" width="5.5703125" style="9" customWidth="1"/>
    <col min="12" max="12" width="3.28515625" style="9" customWidth="1"/>
    <col min="13" max="13" width="7" style="7" customWidth="1"/>
    <col min="14" max="14" width="10" style="7" customWidth="1"/>
    <col min="15" max="1025" width="9.140625" style="7"/>
    <col min="1026" max="16384" width="9.140625" style="8"/>
  </cols>
  <sheetData>
    <row r="1" spans="1:14" s="12" customFormat="1" ht="12.75" customHeight="1">
      <c r="A1" s="24" t="s">
        <v>281</v>
      </c>
      <c r="B1" s="24" t="s">
        <v>282</v>
      </c>
      <c r="C1" s="35" t="s">
        <v>392</v>
      </c>
      <c r="D1" s="25" t="s">
        <v>283</v>
      </c>
      <c r="E1" s="25" t="s">
        <v>284</v>
      </c>
      <c r="F1" s="25" t="s">
        <v>395</v>
      </c>
      <c r="G1" s="25" t="s">
        <v>292</v>
      </c>
      <c r="H1" s="24" t="s">
        <v>394</v>
      </c>
      <c r="I1" s="54" t="s">
        <v>321</v>
      </c>
      <c r="J1" s="54"/>
      <c r="K1" s="54"/>
      <c r="L1" s="54"/>
      <c r="M1" s="16" t="s">
        <v>322</v>
      </c>
      <c r="N1" s="16" t="s">
        <v>323</v>
      </c>
    </row>
    <row r="2" spans="1:14" s="12" customFormat="1" ht="15" customHeight="1">
      <c r="A2" s="24"/>
      <c r="B2" s="24"/>
      <c r="C2" s="35"/>
      <c r="D2" s="25"/>
      <c r="E2" s="25"/>
      <c r="F2" s="25"/>
      <c r="G2" s="25"/>
      <c r="H2" s="24"/>
      <c r="I2" s="44">
        <v>1</v>
      </c>
      <c r="J2" s="44">
        <v>2</v>
      </c>
      <c r="K2" s="44">
        <v>3</v>
      </c>
      <c r="L2" s="44">
        <v>4</v>
      </c>
      <c r="M2" s="16"/>
      <c r="N2" s="16"/>
    </row>
    <row r="3" spans="1:14" s="9" customFormat="1">
      <c r="A3" s="2" t="s">
        <v>571</v>
      </c>
      <c r="B3" s="2" t="s">
        <v>290</v>
      </c>
      <c r="C3" s="4" t="s">
        <v>487</v>
      </c>
      <c r="D3" s="3" t="s">
        <v>124</v>
      </c>
      <c r="E3" s="28">
        <v>52</v>
      </c>
      <c r="F3" s="28">
        <v>1</v>
      </c>
      <c r="G3" s="3" t="s">
        <v>426</v>
      </c>
      <c r="H3" s="19" t="s">
        <v>353</v>
      </c>
      <c r="I3" s="19" t="s">
        <v>33</v>
      </c>
      <c r="J3" s="3" t="s">
        <v>125</v>
      </c>
      <c r="K3" s="3" t="s">
        <v>126</v>
      </c>
      <c r="L3" s="5"/>
      <c r="M3" s="33">
        <v>90</v>
      </c>
      <c r="N3" s="28">
        <v>89.27</v>
      </c>
    </row>
    <row r="4" spans="1:14">
      <c r="A4" s="2" t="s">
        <v>572</v>
      </c>
      <c r="B4" s="2" t="s">
        <v>290</v>
      </c>
      <c r="C4" s="4" t="s">
        <v>488</v>
      </c>
      <c r="D4" s="3" t="s">
        <v>127</v>
      </c>
      <c r="E4" s="28">
        <v>56</v>
      </c>
      <c r="F4" s="28">
        <v>1</v>
      </c>
      <c r="G4" s="3" t="s">
        <v>426</v>
      </c>
      <c r="H4" s="4" t="s">
        <v>353</v>
      </c>
      <c r="I4" s="3" t="s">
        <v>23</v>
      </c>
      <c r="J4" s="3" t="s">
        <v>25</v>
      </c>
      <c r="K4" s="3" t="s">
        <v>36</v>
      </c>
      <c r="L4" s="5"/>
      <c r="M4" s="32">
        <v>87.5</v>
      </c>
      <c r="N4" s="11" t="str">
        <f>"78,0981"</f>
        <v>78,0981</v>
      </c>
    </row>
    <row r="5" spans="1:14">
      <c r="A5" s="2" t="s">
        <v>573</v>
      </c>
      <c r="B5" s="2" t="s">
        <v>290</v>
      </c>
      <c r="C5" s="4" t="s">
        <v>489</v>
      </c>
      <c r="D5" s="3" t="s">
        <v>128</v>
      </c>
      <c r="E5" s="28">
        <v>56</v>
      </c>
      <c r="F5" s="28">
        <v>1</v>
      </c>
      <c r="G5" s="3" t="s">
        <v>295</v>
      </c>
      <c r="H5" s="4" t="s">
        <v>362</v>
      </c>
      <c r="I5" s="3" t="s">
        <v>107</v>
      </c>
      <c r="J5" s="3" t="s">
        <v>94</v>
      </c>
      <c r="K5" s="3" t="s">
        <v>79</v>
      </c>
      <c r="L5" s="5"/>
      <c r="M5" s="32">
        <v>162.5</v>
      </c>
      <c r="N5" s="11" t="str">
        <f>"149,5325"</f>
        <v>149,5325</v>
      </c>
    </row>
    <row r="6" spans="1:14">
      <c r="A6" s="2" t="s">
        <v>539</v>
      </c>
      <c r="B6" s="2" t="s">
        <v>290</v>
      </c>
      <c r="C6" s="4" t="s">
        <v>444</v>
      </c>
      <c r="D6" s="3" t="s">
        <v>129</v>
      </c>
      <c r="E6" s="28">
        <v>82.5</v>
      </c>
      <c r="F6" s="28">
        <v>1</v>
      </c>
      <c r="G6" s="3" t="s">
        <v>293</v>
      </c>
      <c r="H6" s="4" t="s">
        <v>325</v>
      </c>
      <c r="I6" s="3" t="s">
        <v>85</v>
      </c>
      <c r="J6" s="3" t="s">
        <v>117</v>
      </c>
      <c r="K6" s="5" t="s">
        <v>130</v>
      </c>
      <c r="L6" s="5"/>
      <c r="M6" s="32">
        <v>200</v>
      </c>
      <c r="N6" s="11" t="str">
        <f>"130,8000"</f>
        <v>130,8000</v>
      </c>
    </row>
    <row r="7" spans="1:14">
      <c r="A7" s="2" t="s">
        <v>540</v>
      </c>
      <c r="B7" s="2" t="s">
        <v>290</v>
      </c>
      <c r="C7" s="4" t="s">
        <v>445</v>
      </c>
      <c r="D7" s="3" t="s">
        <v>35</v>
      </c>
      <c r="E7" s="28">
        <v>90</v>
      </c>
      <c r="F7" s="28">
        <v>1</v>
      </c>
      <c r="G7" s="3" t="s">
        <v>296</v>
      </c>
      <c r="H7" s="4" t="s">
        <v>341</v>
      </c>
      <c r="I7" s="3" t="s">
        <v>131</v>
      </c>
      <c r="J7" s="3" t="s">
        <v>132</v>
      </c>
      <c r="K7" s="3" t="s">
        <v>133</v>
      </c>
      <c r="L7" s="5"/>
      <c r="M7" s="32">
        <v>250</v>
      </c>
      <c r="N7" s="11" t="str">
        <f>"173,3498"</f>
        <v>173,3498</v>
      </c>
    </row>
    <row r="8" spans="1:14">
      <c r="A8" s="2" t="s">
        <v>574</v>
      </c>
      <c r="B8" s="2" t="s">
        <v>290</v>
      </c>
      <c r="C8" s="4" t="s">
        <v>490</v>
      </c>
      <c r="D8" s="3" t="s">
        <v>134</v>
      </c>
      <c r="E8" s="28">
        <v>90</v>
      </c>
      <c r="F8" s="28">
        <v>1</v>
      </c>
      <c r="G8" s="3" t="s">
        <v>407</v>
      </c>
      <c r="H8" s="4" t="s">
        <v>371</v>
      </c>
      <c r="I8" s="3" t="s">
        <v>85</v>
      </c>
      <c r="J8" s="3" t="s">
        <v>86</v>
      </c>
      <c r="K8" s="3" t="s">
        <v>117</v>
      </c>
      <c r="L8" s="5"/>
      <c r="M8" s="32">
        <v>200</v>
      </c>
      <c r="N8" s="11" t="str">
        <f>"142,6625"</f>
        <v>142,6625</v>
      </c>
    </row>
    <row r="9" spans="1:14">
      <c r="A9" s="2" t="s">
        <v>575</v>
      </c>
      <c r="B9" s="2" t="s">
        <v>290</v>
      </c>
      <c r="C9" s="4" t="s">
        <v>491</v>
      </c>
      <c r="D9" s="3" t="s">
        <v>135</v>
      </c>
      <c r="E9" s="28">
        <v>100</v>
      </c>
      <c r="F9" s="28">
        <v>1</v>
      </c>
      <c r="G9" s="3" t="s">
        <v>293</v>
      </c>
      <c r="H9" s="4" t="s">
        <v>325</v>
      </c>
      <c r="I9" s="3" t="s">
        <v>12</v>
      </c>
      <c r="J9" s="3" t="s">
        <v>15</v>
      </c>
      <c r="K9" s="3" t="s">
        <v>119</v>
      </c>
      <c r="L9" s="5"/>
      <c r="M9" s="32">
        <v>315</v>
      </c>
      <c r="N9" s="11" t="str">
        <f>"183,7395"</f>
        <v>183,7395</v>
      </c>
    </row>
    <row r="10" spans="1:14">
      <c r="A10" s="2" t="s">
        <v>576</v>
      </c>
      <c r="B10" s="2" t="s">
        <v>290</v>
      </c>
      <c r="C10" s="4" t="s">
        <v>492</v>
      </c>
      <c r="D10" s="3" t="s">
        <v>136</v>
      </c>
      <c r="E10" s="28">
        <v>110</v>
      </c>
      <c r="F10" s="28">
        <v>1</v>
      </c>
      <c r="G10" s="3" t="s">
        <v>293</v>
      </c>
      <c r="H10" s="4" t="s">
        <v>372</v>
      </c>
      <c r="I10" s="3" t="s">
        <v>137</v>
      </c>
      <c r="J10" s="3" t="s">
        <v>133</v>
      </c>
      <c r="K10" s="3" t="s">
        <v>138</v>
      </c>
      <c r="L10" s="5"/>
      <c r="M10" s="32">
        <v>262.5</v>
      </c>
      <c r="N10" s="11" t="str">
        <f>"150,0975"</f>
        <v>150,0975</v>
      </c>
    </row>
    <row r="11" spans="1:14">
      <c r="A11" s="2" t="s">
        <v>577</v>
      </c>
      <c r="B11" s="2" t="s">
        <v>290</v>
      </c>
      <c r="C11" s="4" t="s">
        <v>493</v>
      </c>
      <c r="D11" s="3" t="s">
        <v>139</v>
      </c>
      <c r="E11" s="28">
        <v>110</v>
      </c>
      <c r="F11" s="28">
        <v>2</v>
      </c>
      <c r="G11" s="3" t="s">
        <v>293</v>
      </c>
      <c r="H11" s="4" t="s">
        <v>353</v>
      </c>
      <c r="I11" s="5" t="s">
        <v>80</v>
      </c>
      <c r="J11" s="3" t="s">
        <v>80</v>
      </c>
      <c r="K11" s="5" t="s">
        <v>115</v>
      </c>
      <c r="L11" s="5"/>
      <c r="M11" s="32">
        <v>185</v>
      </c>
      <c r="N11" s="11" t="str">
        <f>"107,4110"</f>
        <v>107,4110</v>
      </c>
    </row>
    <row r="12" spans="1:14">
      <c r="A12" s="2" t="s">
        <v>517</v>
      </c>
      <c r="B12" s="2" t="s">
        <v>290</v>
      </c>
      <c r="C12" s="4" t="s">
        <v>412</v>
      </c>
      <c r="D12" s="3" t="s">
        <v>140</v>
      </c>
      <c r="E12" s="28">
        <v>125</v>
      </c>
      <c r="F12" s="28">
        <v>1</v>
      </c>
      <c r="G12" s="3" t="s">
        <v>407</v>
      </c>
      <c r="H12" s="4" t="s">
        <v>337</v>
      </c>
      <c r="I12" s="3" t="s">
        <v>132</v>
      </c>
      <c r="J12" s="3" t="s">
        <v>141</v>
      </c>
      <c r="K12" s="3" t="s">
        <v>142</v>
      </c>
      <c r="L12" s="5"/>
      <c r="M12" s="32">
        <v>265</v>
      </c>
      <c r="N12" s="11" t="str">
        <f>"173,8701"</f>
        <v>173,8701</v>
      </c>
    </row>
    <row r="13" spans="1:14">
      <c r="A13" s="2" t="s">
        <v>526</v>
      </c>
      <c r="B13" s="2" t="s">
        <v>290</v>
      </c>
      <c r="C13" s="4" t="s">
        <v>494</v>
      </c>
      <c r="D13" s="3" t="s">
        <v>143</v>
      </c>
      <c r="E13" s="28">
        <v>140</v>
      </c>
      <c r="F13" s="28">
        <v>1</v>
      </c>
      <c r="G13" s="3" t="s">
        <v>293</v>
      </c>
      <c r="H13" s="4" t="s">
        <v>325</v>
      </c>
      <c r="I13" s="3" t="s">
        <v>9</v>
      </c>
      <c r="J13" s="3" t="s">
        <v>12</v>
      </c>
      <c r="K13" s="5" t="s">
        <v>15</v>
      </c>
      <c r="L13" s="5"/>
      <c r="M13" s="32">
        <v>290</v>
      </c>
      <c r="N13" s="11" t="str">
        <f>"157,8673"</f>
        <v>157,8673</v>
      </c>
    </row>
  </sheetData>
  <mergeCells count="1"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13"/>
  <sheetViews>
    <sheetView zoomScaleNormal="100" workbookViewId="0">
      <selection activeCell="A10" sqref="A10"/>
    </sheetView>
  </sheetViews>
  <sheetFormatPr defaultColWidth="9.140625" defaultRowHeight="12.75"/>
  <cols>
    <col min="1" max="1" width="19.42578125" style="1" bestFit="1" customWidth="1"/>
    <col min="2" max="2" width="4.42578125" style="1" bestFit="1" customWidth="1"/>
    <col min="3" max="3" width="10.140625" style="10" bestFit="1" customWidth="1"/>
    <col min="4" max="5" width="7.5703125" style="9" customWidth="1"/>
    <col min="6" max="6" width="5.85546875" style="9" customWidth="1"/>
    <col min="7" max="7" width="19.140625" style="9" customWidth="1"/>
    <col min="8" max="8" width="11.28515625" style="10" bestFit="1" customWidth="1"/>
    <col min="9" max="11" width="4.5703125" style="9" customWidth="1"/>
    <col min="12" max="12" width="3.28515625" style="9" customWidth="1"/>
    <col min="13" max="13" width="7" style="7" customWidth="1"/>
    <col min="14" max="14" width="10" style="7" customWidth="1"/>
    <col min="15" max="1025" width="9.140625" style="7"/>
    <col min="1026" max="16384" width="9.140625" style="8"/>
  </cols>
  <sheetData>
    <row r="1" spans="1:14" s="12" customFormat="1" ht="12.75" customHeight="1">
      <c r="A1" s="24" t="s">
        <v>281</v>
      </c>
      <c r="B1" s="24" t="s">
        <v>282</v>
      </c>
      <c r="C1" s="35" t="s">
        <v>392</v>
      </c>
      <c r="D1" s="25" t="s">
        <v>283</v>
      </c>
      <c r="E1" s="29" t="s">
        <v>284</v>
      </c>
      <c r="F1" s="29" t="s">
        <v>395</v>
      </c>
      <c r="G1" s="29" t="s">
        <v>292</v>
      </c>
      <c r="H1" s="24" t="s">
        <v>394</v>
      </c>
      <c r="I1" s="54" t="s">
        <v>320</v>
      </c>
      <c r="J1" s="54"/>
      <c r="K1" s="54"/>
      <c r="L1" s="54"/>
      <c r="M1" s="16" t="s">
        <v>322</v>
      </c>
      <c r="N1" s="16" t="s">
        <v>323</v>
      </c>
    </row>
    <row r="2" spans="1:14" s="12" customFormat="1" ht="12.75" customHeight="1">
      <c r="A2" s="24"/>
      <c r="B2" s="24"/>
      <c r="C2" s="35"/>
      <c r="D2" s="25"/>
      <c r="E2" s="29"/>
      <c r="F2" s="29"/>
      <c r="G2" s="29"/>
      <c r="H2" s="24"/>
      <c r="I2" s="27" t="s">
        <v>285</v>
      </c>
      <c r="J2" s="27" t="s">
        <v>286</v>
      </c>
      <c r="K2" s="27" t="s">
        <v>287</v>
      </c>
      <c r="L2" s="27" t="s">
        <v>288</v>
      </c>
      <c r="M2" s="16"/>
      <c r="N2" s="16"/>
    </row>
    <row r="3" spans="1:14" s="9" customFormat="1">
      <c r="A3" s="2" t="s">
        <v>556</v>
      </c>
      <c r="B3" s="2" t="s">
        <v>289</v>
      </c>
      <c r="C3" s="4" t="s">
        <v>416</v>
      </c>
      <c r="D3" s="3" t="s">
        <v>58</v>
      </c>
      <c r="E3" s="28">
        <v>56</v>
      </c>
      <c r="F3" s="28">
        <v>1</v>
      </c>
      <c r="G3" s="3" t="s">
        <v>293</v>
      </c>
      <c r="H3" s="19" t="s">
        <v>325</v>
      </c>
      <c r="I3" s="19" t="s">
        <v>46</v>
      </c>
      <c r="J3" s="3" t="s">
        <v>48</v>
      </c>
      <c r="K3" s="5" t="s">
        <v>42</v>
      </c>
      <c r="L3" s="5"/>
      <c r="M3" s="28">
        <v>32.5</v>
      </c>
      <c r="N3" s="3" t="s">
        <v>495</v>
      </c>
    </row>
    <row r="4" spans="1:14">
      <c r="A4" s="2" t="s">
        <v>578</v>
      </c>
      <c r="B4" s="2" t="s">
        <v>289</v>
      </c>
      <c r="C4" s="4" t="s">
        <v>418</v>
      </c>
      <c r="D4" s="3" t="s">
        <v>59</v>
      </c>
      <c r="E4" s="28">
        <v>75</v>
      </c>
      <c r="F4" s="28">
        <v>1</v>
      </c>
      <c r="G4" s="3" t="s">
        <v>423</v>
      </c>
      <c r="H4" s="4" t="s">
        <v>325</v>
      </c>
      <c r="I4" s="3" t="s">
        <v>60</v>
      </c>
      <c r="J4" s="3" t="s">
        <v>61</v>
      </c>
      <c r="K4" s="3" t="s">
        <v>62</v>
      </c>
      <c r="L4" s="5"/>
      <c r="M4" s="11">
        <v>45</v>
      </c>
      <c r="N4" s="11" t="str">
        <f>"48,6065"</f>
        <v>48,6065</v>
      </c>
    </row>
    <row r="5" spans="1:14">
      <c r="A5" s="2" t="s">
        <v>579</v>
      </c>
      <c r="B5" s="2" t="s">
        <v>290</v>
      </c>
      <c r="C5" s="4" t="s">
        <v>496</v>
      </c>
      <c r="D5" s="3" t="s">
        <v>63</v>
      </c>
      <c r="E5" s="28">
        <v>67.5</v>
      </c>
      <c r="F5" s="28">
        <v>1</v>
      </c>
      <c r="G5" s="3" t="s">
        <v>293</v>
      </c>
      <c r="H5" s="4" t="s">
        <v>325</v>
      </c>
      <c r="I5" s="3" t="s">
        <v>64</v>
      </c>
      <c r="J5" s="5" t="s">
        <v>31</v>
      </c>
      <c r="K5" s="5" t="s">
        <v>31</v>
      </c>
      <c r="L5" s="5"/>
      <c r="M5" s="11">
        <v>52.5</v>
      </c>
      <c r="N5" s="11" t="str">
        <f>"39,4905"</f>
        <v>39,4905</v>
      </c>
    </row>
    <row r="6" spans="1:14">
      <c r="A6" s="2" t="s">
        <v>579</v>
      </c>
      <c r="B6" s="2" t="s">
        <v>290</v>
      </c>
      <c r="C6" s="4" t="s">
        <v>496</v>
      </c>
      <c r="D6" s="3" t="s">
        <v>63</v>
      </c>
      <c r="E6" s="28">
        <v>67.5</v>
      </c>
      <c r="F6" s="28">
        <v>1</v>
      </c>
      <c r="G6" s="3" t="s">
        <v>297</v>
      </c>
      <c r="H6" s="4" t="s">
        <v>325</v>
      </c>
      <c r="I6" s="3" t="s">
        <v>64</v>
      </c>
      <c r="J6" s="5" t="s">
        <v>31</v>
      </c>
      <c r="K6" s="5" t="s">
        <v>31</v>
      </c>
      <c r="L6" s="5"/>
      <c r="M6" s="11">
        <v>52.5</v>
      </c>
      <c r="N6" s="11" t="str">
        <f>"39,4905"</f>
        <v>39,4905</v>
      </c>
    </row>
    <row r="7" spans="1:14">
      <c r="A7" s="2" t="s">
        <v>580</v>
      </c>
      <c r="B7" s="2" t="s">
        <v>290</v>
      </c>
      <c r="C7" s="4" t="s">
        <v>497</v>
      </c>
      <c r="D7" s="3" t="s">
        <v>65</v>
      </c>
      <c r="E7" s="28">
        <v>67.5</v>
      </c>
      <c r="F7" s="3"/>
      <c r="G7" s="3" t="s">
        <v>423</v>
      </c>
      <c r="H7" s="4" t="s">
        <v>325</v>
      </c>
      <c r="I7" s="5" t="s">
        <v>64</v>
      </c>
      <c r="J7" s="5" t="s">
        <v>64</v>
      </c>
      <c r="K7" s="5" t="s">
        <v>64</v>
      </c>
      <c r="L7" s="5"/>
      <c r="M7" s="11">
        <v>0</v>
      </c>
      <c r="N7" s="11">
        <v>0</v>
      </c>
    </row>
    <row r="8" spans="1:14">
      <c r="A8" s="2" t="s">
        <v>581</v>
      </c>
      <c r="B8" s="2" t="s">
        <v>290</v>
      </c>
      <c r="C8" s="4" t="s">
        <v>419</v>
      </c>
      <c r="D8" s="3" t="s">
        <v>66</v>
      </c>
      <c r="E8" s="28">
        <v>75</v>
      </c>
      <c r="F8" s="28">
        <v>1</v>
      </c>
      <c r="G8" s="3" t="s">
        <v>396</v>
      </c>
      <c r="H8" s="4" t="s">
        <v>325</v>
      </c>
      <c r="I8" s="3" t="s">
        <v>67</v>
      </c>
      <c r="J8" s="3" t="s">
        <v>50</v>
      </c>
      <c r="K8" s="3" t="s">
        <v>68</v>
      </c>
      <c r="L8" s="5"/>
      <c r="M8" s="11">
        <v>62.5</v>
      </c>
      <c r="N8" s="11" t="str">
        <f>"43,0344"</f>
        <v>43,0344</v>
      </c>
    </row>
    <row r="9" spans="1:14">
      <c r="A9" s="2" t="s">
        <v>582</v>
      </c>
      <c r="B9" s="2" t="s">
        <v>290</v>
      </c>
      <c r="C9" s="4" t="s">
        <v>498</v>
      </c>
      <c r="D9" s="3" t="s">
        <v>66</v>
      </c>
      <c r="E9" s="28">
        <v>75</v>
      </c>
      <c r="F9" s="28">
        <v>1</v>
      </c>
      <c r="G9" s="3" t="s">
        <v>294</v>
      </c>
      <c r="H9" s="4" t="s">
        <v>325</v>
      </c>
      <c r="I9" s="3" t="s">
        <v>50</v>
      </c>
      <c r="J9" s="3" t="s">
        <v>51</v>
      </c>
      <c r="K9" s="3" t="s">
        <v>33</v>
      </c>
      <c r="L9" s="5"/>
      <c r="M9" s="11">
        <v>70</v>
      </c>
      <c r="N9" s="11" t="str">
        <f>"48,1985"</f>
        <v>48,1985</v>
      </c>
    </row>
    <row r="10" spans="1:14">
      <c r="A10" s="2" t="s">
        <v>565</v>
      </c>
      <c r="B10" s="2" t="s">
        <v>290</v>
      </c>
      <c r="C10" s="4" t="s">
        <v>478</v>
      </c>
      <c r="D10" s="3" t="s">
        <v>69</v>
      </c>
      <c r="E10" s="28">
        <v>82.5</v>
      </c>
      <c r="F10" s="28">
        <v>1</v>
      </c>
      <c r="G10" s="3" t="s">
        <v>293</v>
      </c>
      <c r="H10" s="4" t="s">
        <v>325</v>
      </c>
      <c r="I10" s="3" t="s">
        <v>68</v>
      </c>
      <c r="J10" s="3" t="s">
        <v>53</v>
      </c>
      <c r="K10" s="5" t="s">
        <v>51</v>
      </c>
      <c r="L10" s="5"/>
      <c r="M10" s="11">
        <v>65</v>
      </c>
      <c r="N10" s="11" t="str">
        <f>"42,1330"</f>
        <v>42,1330</v>
      </c>
    </row>
    <row r="11" spans="1:14">
      <c r="A11" s="2" t="s">
        <v>583</v>
      </c>
      <c r="B11" s="2" t="s">
        <v>290</v>
      </c>
      <c r="C11" s="4" t="s">
        <v>421</v>
      </c>
      <c r="D11" s="3" t="s">
        <v>1</v>
      </c>
      <c r="E11" s="28">
        <v>90</v>
      </c>
      <c r="F11" s="28">
        <v>1</v>
      </c>
      <c r="G11" s="3" t="s">
        <v>297</v>
      </c>
      <c r="H11" s="4" t="s">
        <v>349</v>
      </c>
      <c r="I11" s="3" t="s">
        <v>30</v>
      </c>
      <c r="J11" s="5" t="s">
        <v>50</v>
      </c>
      <c r="K11" s="3" t="s">
        <v>50</v>
      </c>
      <c r="L11" s="5"/>
      <c r="M11" s="11">
        <v>60</v>
      </c>
      <c r="N11" s="11" t="str">
        <f>"36,9630"</f>
        <v>36,9630</v>
      </c>
    </row>
    <row r="12" spans="1:14">
      <c r="A12" s="2" t="s">
        <v>584</v>
      </c>
      <c r="B12" s="2" t="s">
        <v>290</v>
      </c>
      <c r="C12" s="4" t="s">
        <v>499</v>
      </c>
      <c r="D12" s="3" t="s">
        <v>70</v>
      </c>
      <c r="E12" s="28">
        <v>100</v>
      </c>
      <c r="F12" s="28">
        <v>1</v>
      </c>
      <c r="G12" s="3" t="s">
        <v>293</v>
      </c>
      <c r="H12" s="4" t="s">
        <v>325</v>
      </c>
      <c r="I12" s="3" t="s">
        <v>68</v>
      </c>
      <c r="J12" s="3" t="s">
        <v>53</v>
      </c>
      <c r="K12" s="3" t="s">
        <v>51</v>
      </c>
      <c r="L12" s="5"/>
      <c r="M12" s="11">
        <v>67.5</v>
      </c>
      <c r="N12" s="11" t="str">
        <f>"39,7474"</f>
        <v>39,7474</v>
      </c>
    </row>
    <row r="13" spans="1:14">
      <c r="A13" s="2" t="s">
        <v>585</v>
      </c>
      <c r="B13" s="2" t="s">
        <v>290</v>
      </c>
      <c r="C13" s="4" t="s">
        <v>422</v>
      </c>
      <c r="D13" s="3" t="s">
        <v>71</v>
      </c>
      <c r="E13" s="28">
        <v>110</v>
      </c>
      <c r="F13" s="28">
        <v>1</v>
      </c>
      <c r="G13" s="3" t="s">
        <v>423</v>
      </c>
      <c r="H13" s="4" t="s">
        <v>358</v>
      </c>
      <c r="I13" s="3" t="s">
        <v>64</v>
      </c>
      <c r="J13" s="3" t="s">
        <v>31</v>
      </c>
      <c r="K13" s="3" t="s">
        <v>67</v>
      </c>
      <c r="L13" s="5"/>
      <c r="M13" s="11">
        <v>57.5</v>
      </c>
      <c r="N13" s="11" t="str">
        <f>"43,0651"</f>
        <v>43,0651</v>
      </c>
    </row>
  </sheetData>
  <mergeCells count="1"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20"/>
  <sheetViews>
    <sheetView zoomScaleNormal="100" workbookViewId="0">
      <selection activeCell="A13" sqref="A13"/>
    </sheetView>
  </sheetViews>
  <sheetFormatPr defaultColWidth="9.140625" defaultRowHeight="12.75"/>
  <cols>
    <col min="1" max="1" width="23" style="1" bestFit="1" customWidth="1"/>
    <col min="2" max="2" width="4.42578125" style="1" bestFit="1" customWidth="1"/>
    <col min="3" max="3" width="10.140625" style="10" bestFit="1" customWidth="1"/>
    <col min="4" max="5" width="7.5703125" style="9" customWidth="1"/>
    <col min="6" max="6" width="5.7109375" style="9" customWidth="1"/>
    <col min="7" max="7" width="19.140625" style="9" bestFit="1" customWidth="1"/>
    <col min="8" max="8" width="14.5703125" style="10" bestFit="1" customWidth="1"/>
    <col min="9" max="11" width="5.5703125" style="9" customWidth="1"/>
    <col min="12" max="12" width="2.140625" style="9" customWidth="1"/>
    <col min="13" max="15" width="5.5703125" style="9" customWidth="1"/>
    <col min="16" max="16" width="2.140625" style="9" customWidth="1"/>
    <col min="17" max="20" width="5.5703125" style="9" customWidth="1"/>
    <col min="21" max="21" width="8" style="7" customWidth="1"/>
    <col min="22" max="22" width="11" style="7" customWidth="1"/>
    <col min="23" max="1025" width="9.140625" style="7"/>
    <col min="1026" max="16384" width="9.140625" style="8"/>
  </cols>
  <sheetData>
    <row r="1" spans="1:22" s="12" customFormat="1" ht="12.75" customHeight="1">
      <c r="A1" s="24" t="s">
        <v>281</v>
      </c>
      <c r="B1" s="24" t="s">
        <v>282</v>
      </c>
      <c r="C1" s="25" t="s">
        <v>392</v>
      </c>
      <c r="D1" s="25" t="s">
        <v>283</v>
      </c>
      <c r="E1" s="29" t="s">
        <v>284</v>
      </c>
      <c r="F1" s="29" t="s">
        <v>395</v>
      </c>
      <c r="G1" s="29" t="s">
        <v>393</v>
      </c>
      <c r="H1" s="24" t="s">
        <v>394</v>
      </c>
      <c r="I1" s="54" t="s">
        <v>319</v>
      </c>
      <c r="J1" s="54"/>
      <c r="K1" s="54"/>
      <c r="L1" s="24"/>
      <c r="M1" s="54" t="s">
        <v>320</v>
      </c>
      <c r="N1" s="54"/>
      <c r="O1" s="54"/>
      <c r="P1" s="24"/>
      <c r="Q1" s="54" t="s">
        <v>321</v>
      </c>
      <c r="R1" s="54"/>
      <c r="S1" s="54"/>
      <c r="T1" s="24"/>
      <c r="U1" s="16" t="s">
        <v>322</v>
      </c>
      <c r="V1" s="16" t="s">
        <v>323</v>
      </c>
    </row>
    <row r="2" spans="1:22" s="12" customFormat="1" ht="23.25" customHeight="1">
      <c r="A2" s="24"/>
      <c r="B2" s="24"/>
      <c r="C2" s="25"/>
      <c r="D2" s="25"/>
      <c r="E2" s="29"/>
      <c r="F2" s="29"/>
      <c r="G2" s="29"/>
      <c r="H2" s="24"/>
      <c r="I2" s="27">
        <v>1</v>
      </c>
      <c r="J2" s="27">
        <v>2</v>
      </c>
      <c r="K2" s="27">
        <v>3</v>
      </c>
      <c r="L2" s="27">
        <v>4</v>
      </c>
      <c r="M2" s="41">
        <v>1</v>
      </c>
      <c r="N2" s="41">
        <v>2</v>
      </c>
      <c r="O2" s="41">
        <v>3</v>
      </c>
      <c r="P2" s="41">
        <v>4</v>
      </c>
      <c r="Q2" s="41">
        <v>1</v>
      </c>
      <c r="R2" s="41">
        <v>2</v>
      </c>
      <c r="S2" s="41">
        <v>3</v>
      </c>
      <c r="T2" s="41">
        <v>4</v>
      </c>
      <c r="U2" s="16"/>
      <c r="V2" s="16"/>
    </row>
    <row r="3" spans="1:22" s="9" customFormat="1">
      <c r="A3" s="2" t="s">
        <v>586</v>
      </c>
      <c r="B3" s="2" t="s">
        <v>289</v>
      </c>
      <c r="C3" s="4" t="s">
        <v>375</v>
      </c>
      <c r="D3" s="3" t="s">
        <v>227</v>
      </c>
      <c r="E3" s="28">
        <v>60</v>
      </c>
      <c r="F3" s="28">
        <v>1</v>
      </c>
      <c r="G3" s="3" t="s">
        <v>293</v>
      </c>
      <c r="H3" s="4" t="s">
        <v>331</v>
      </c>
      <c r="I3" s="3" t="s">
        <v>152</v>
      </c>
      <c r="J3" s="3" t="s">
        <v>38</v>
      </c>
      <c r="K3" s="3" t="s">
        <v>162</v>
      </c>
      <c r="L3" s="5"/>
      <c r="M3" s="3" t="s">
        <v>61</v>
      </c>
      <c r="N3" s="3" t="s">
        <v>62</v>
      </c>
      <c r="O3" s="3" t="s">
        <v>30</v>
      </c>
      <c r="P3" s="5"/>
      <c r="Q3" s="3" t="s">
        <v>168</v>
      </c>
      <c r="R3" s="3" t="s">
        <v>41</v>
      </c>
      <c r="S3" s="3" t="s">
        <v>92</v>
      </c>
      <c r="T3" s="5"/>
      <c r="U3" s="33">
        <v>270</v>
      </c>
      <c r="V3" s="28">
        <v>266.64999999999998</v>
      </c>
    </row>
    <row r="4" spans="1:22" s="9" customFormat="1">
      <c r="A4" s="2" t="s">
        <v>587</v>
      </c>
      <c r="B4" s="2" t="s">
        <v>289</v>
      </c>
      <c r="C4" s="4" t="s">
        <v>376</v>
      </c>
      <c r="D4" s="3" t="s">
        <v>77</v>
      </c>
      <c r="E4" s="28">
        <v>60</v>
      </c>
      <c r="F4" s="28">
        <v>1</v>
      </c>
      <c r="G4" s="3" t="s">
        <v>297</v>
      </c>
      <c r="H4" s="4" t="s">
        <v>328</v>
      </c>
      <c r="I4" s="3" t="s">
        <v>125</v>
      </c>
      <c r="J4" s="3" t="s">
        <v>126</v>
      </c>
      <c r="K4" s="5" t="s">
        <v>168</v>
      </c>
      <c r="L4" s="5"/>
      <c r="M4" s="3" t="s">
        <v>228</v>
      </c>
      <c r="N4" s="3" t="s">
        <v>229</v>
      </c>
      <c r="O4" s="5" t="s">
        <v>30</v>
      </c>
      <c r="P4" s="5"/>
      <c r="Q4" s="3" t="s">
        <v>126</v>
      </c>
      <c r="R4" s="3" t="s">
        <v>38</v>
      </c>
      <c r="S4" s="3" t="s">
        <v>41</v>
      </c>
      <c r="T4" s="5"/>
      <c r="U4" s="33">
        <v>242.5</v>
      </c>
      <c r="V4" s="28">
        <v>248.58</v>
      </c>
    </row>
    <row r="5" spans="1:22">
      <c r="A5" s="2" t="s">
        <v>588</v>
      </c>
      <c r="B5" s="2" t="s">
        <v>289</v>
      </c>
      <c r="C5" s="4" t="s">
        <v>377</v>
      </c>
      <c r="D5" s="3" t="s">
        <v>230</v>
      </c>
      <c r="E5" s="28">
        <v>67.5</v>
      </c>
      <c r="F5" s="28">
        <v>1</v>
      </c>
      <c r="G5" s="3" t="s">
        <v>293</v>
      </c>
      <c r="H5" s="4" t="s">
        <v>328</v>
      </c>
      <c r="I5" s="3" t="s">
        <v>41</v>
      </c>
      <c r="J5" s="3" t="s">
        <v>173</v>
      </c>
      <c r="K5" s="5" t="s">
        <v>198</v>
      </c>
      <c r="L5" s="5"/>
      <c r="M5" s="3" t="s">
        <v>62</v>
      </c>
      <c r="N5" s="3" t="s">
        <v>64</v>
      </c>
      <c r="O5" s="34">
        <v>0</v>
      </c>
      <c r="P5" s="5"/>
      <c r="Q5" s="5" t="s">
        <v>75</v>
      </c>
      <c r="R5" s="3" t="s">
        <v>75</v>
      </c>
      <c r="S5" s="5" t="s">
        <v>107</v>
      </c>
      <c r="T5" s="5"/>
      <c r="U5" s="32">
        <v>302.5</v>
      </c>
      <c r="V5" s="11" t="str">
        <f>"293,2738"</f>
        <v>293,2738</v>
      </c>
    </row>
    <row r="6" spans="1:22">
      <c r="A6" s="2" t="s">
        <v>589</v>
      </c>
      <c r="B6" s="2" t="s">
        <v>289</v>
      </c>
      <c r="C6" s="4" t="s">
        <v>378</v>
      </c>
      <c r="D6" s="3" t="s">
        <v>231</v>
      </c>
      <c r="E6" s="28">
        <v>67.5</v>
      </c>
      <c r="F6" s="28">
        <v>2</v>
      </c>
      <c r="G6" s="3" t="s">
        <v>293</v>
      </c>
      <c r="H6" s="4" t="s">
        <v>328</v>
      </c>
      <c r="I6" s="3" t="s">
        <v>33</v>
      </c>
      <c r="J6" s="3" t="s">
        <v>125</v>
      </c>
      <c r="K6" s="5" t="s">
        <v>38</v>
      </c>
      <c r="L6" s="5"/>
      <c r="M6" s="3" t="s">
        <v>31</v>
      </c>
      <c r="N6" s="3" t="s">
        <v>50</v>
      </c>
      <c r="O6" s="5" t="s">
        <v>53</v>
      </c>
      <c r="P6" s="5"/>
      <c r="Q6" s="3" t="s">
        <v>125</v>
      </c>
      <c r="R6" s="3" t="s">
        <v>126</v>
      </c>
      <c r="S6" s="5" t="s">
        <v>38</v>
      </c>
      <c r="T6" s="5"/>
      <c r="U6" s="32">
        <v>230</v>
      </c>
      <c r="V6" s="11" t="str">
        <f>"214,6935"</f>
        <v>214,6935</v>
      </c>
    </row>
    <row r="7" spans="1:22">
      <c r="A7" s="2" t="s">
        <v>590</v>
      </c>
      <c r="B7" s="2" t="s">
        <v>289</v>
      </c>
      <c r="C7" s="4" t="s">
        <v>379</v>
      </c>
      <c r="D7" s="3" t="s">
        <v>232</v>
      </c>
      <c r="E7" s="28">
        <v>75</v>
      </c>
      <c r="F7" s="28">
        <v>1</v>
      </c>
      <c r="G7" s="3" t="s">
        <v>293</v>
      </c>
      <c r="H7" s="4" t="s">
        <v>328</v>
      </c>
      <c r="I7" s="3" t="s">
        <v>173</v>
      </c>
      <c r="J7" s="3" t="s">
        <v>75</v>
      </c>
      <c r="K7" s="3" t="s">
        <v>96</v>
      </c>
      <c r="L7" s="5"/>
      <c r="M7" s="3" t="s">
        <v>38</v>
      </c>
      <c r="N7" s="3" t="s">
        <v>41</v>
      </c>
      <c r="O7" s="3" t="s">
        <v>98</v>
      </c>
      <c r="P7" s="5"/>
      <c r="Q7" s="5" t="s">
        <v>173</v>
      </c>
      <c r="R7" s="3" t="s">
        <v>75</v>
      </c>
      <c r="S7" s="3" t="s">
        <v>96</v>
      </c>
      <c r="T7" s="3" t="s">
        <v>78</v>
      </c>
      <c r="U7" s="32">
        <v>390</v>
      </c>
      <c r="V7" s="11" t="str">
        <f>"336,1995"</f>
        <v>336,1995</v>
      </c>
    </row>
    <row r="8" spans="1:22">
      <c r="A8" s="2" t="s">
        <v>591</v>
      </c>
      <c r="B8" s="2" t="s">
        <v>289</v>
      </c>
      <c r="C8" s="4" t="s">
        <v>380</v>
      </c>
      <c r="D8" s="3" t="s">
        <v>233</v>
      </c>
      <c r="E8" s="28">
        <v>75</v>
      </c>
      <c r="F8" s="28">
        <v>1</v>
      </c>
      <c r="G8" s="3" t="s">
        <v>296</v>
      </c>
      <c r="H8" s="4" t="s">
        <v>332</v>
      </c>
      <c r="I8" s="3" t="s">
        <v>75</v>
      </c>
      <c r="J8" s="3" t="s">
        <v>96</v>
      </c>
      <c r="K8" s="3" t="s">
        <v>78</v>
      </c>
      <c r="L8" s="5"/>
      <c r="M8" s="3" t="s">
        <v>53</v>
      </c>
      <c r="N8" s="3" t="s">
        <v>23</v>
      </c>
      <c r="O8" s="5" t="s">
        <v>125</v>
      </c>
      <c r="P8" s="5"/>
      <c r="Q8" s="3" t="s">
        <v>76</v>
      </c>
      <c r="R8" s="3" t="s">
        <v>107</v>
      </c>
      <c r="S8" s="3" t="s">
        <v>82</v>
      </c>
      <c r="T8" s="5"/>
      <c r="U8" s="32">
        <v>385</v>
      </c>
      <c r="V8" s="11" t="str">
        <f>"344,7128"</f>
        <v>344,7128</v>
      </c>
    </row>
    <row r="9" spans="1:22">
      <c r="A9" s="2" t="s">
        <v>592</v>
      </c>
      <c r="B9" s="2" t="s">
        <v>290</v>
      </c>
      <c r="C9" s="4" t="s">
        <v>381</v>
      </c>
      <c r="D9" s="3" t="s">
        <v>234</v>
      </c>
      <c r="E9" s="28">
        <v>75</v>
      </c>
      <c r="F9" s="28">
        <v>1</v>
      </c>
      <c r="G9" s="3" t="s">
        <v>293</v>
      </c>
      <c r="H9" s="4" t="s">
        <v>325</v>
      </c>
      <c r="I9" s="3" t="s">
        <v>103</v>
      </c>
      <c r="J9" s="3" t="s">
        <v>194</v>
      </c>
      <c r="K9" s="5" t="s">
        <v>85</v>
      </c>
      <c r="L9" s="5"/>
      <c r="M9" s="3" t="s">
        <v>75</v>
      </c>
      <c r="N9" s="3" t="s">
        <v>177</v>
      </c>
      <c r="O9" s="3" t="s">
        <v>102</v>
      </c>
      <c r="P9" s="5"/>
      <c r="Q9" s="3" t="s">
        <v>114</v>
      </c>
      <c r="R9" s="3" t="s">
        <v>235</v>
      </c>
      <c r="S9" s="3" t="s">
        <v>236</v>
      </c>
      <c r="T9" s="5"/>
      <c r="U9" s="32">
        <v>535</v>
      </c>
      <c r="V9" s="11" t="str">
        <f>"394,0810"</f>
        <v>394,0810</v>
      </c>
    </row>
    <row r="10" spans="1:22">
      <c r="A10" s="2" t="s">
        <v>593</v>
      </c>
      <c r="B10" s="2" t="s">
        <v>290</v>
      </c>
      <c r="C10" s="4" t="s">
        <v>382</v>
      </c>
      <c r="D10" s="3" t="s">
        <v>199</v>
      </c>
      <c r="E10" s="28">
        <v>90</v>
      </c>
      <c r="F10" s="28">
        <v>1</v>
      </c>
      <c r="G10" s="3" t="s">
        <v>293</v>
      </c>
      <c r="H10" s="4" t="s">
        <v>328</v>
      </c>
      <c r="I10" s="3" t="s">
        <v>103</v>
      </c>
      <c r="J10" s="5" t="s">
        <v>86</v>
      </c>
      <c r="K10" s="3" t="s">
        <v>117</v>
      </c>
      <c r="L10" s="5"/>
      <c r="M10" s="3" t="s">
        <v>173</v>
      </c>
      <c r="N10" s="3" t="s">
        <v>75</v>
      </c>
      <c r="O10" s="5" t="s">
        <v>76</v>
      </c>
      <c r="P10" s="5"/>
      <c r="Q10" s="3" t="s">
        <v>82</v>
      </c>
      <c r="R10" s="3" t="s">
        <v>194</v>
      </c>
      <c r="S10" s="5" t="s">
        <v>86</v>
      </c>
      <c r="T10" s="5"/>
      <c r="U10" s="32">
        <v>505</v>
      </c>
      <c r="V10" s="11" t="str">
        <f>"310,7265"</f>
        <v>310,7265</v>
      </c>
    </row>
    <row r="11" spans="1:22">
      <c r="A11" s="2" t="s">
        <v>594</v>
      </c>
      <c r="B11" s="2" t="s">
        <v>290</v>
      </c>
      <c r="C11" s="4" t="s">
        <v>383</v>
      </c>
      <c r="D11" s="3" t="s">
        <v>237</v>
      </c>
      <c r="E11" s="28">
        <v>90</v>
      </c>
      <c r="F11" s="28">
        <v>2</v>
      </c>
      <c r="G11" s="3" t="s">
        <v>293</v>
      </c>
      <c r="H11" s="4" t="s">
        <v>325</v>
      </c>
      <c r="I11" s="3" t="s">
        <v>96</v>
      </c>
      <c r="J11" s="5" t="s">
        <v>78</v>
      </c>
      <c r="K11" s="3" t="s">
        <v>82</v>
      </c>
      <c r="L11" s="5"/>
      <c r="M11" s="3" t="s">
        <v>168</v>
      </c>
      <c r="N11" s="3" t="s">
        <v>41</v>
      </c>
      <c r="O11" s="5" t="s">
        <v>92</v>
      </c>
      <c r="P11" s="5"/>
      <c r="Q11" s="3" t="s">
        <v>82</v>
      </c>
      <c r="R11" s="3" t="s">
        <v>83</v>
      </c>
      <c r="S11" s="5" t="s">
        <v>85</v>
      </c>
      <c r="T11" s="5"/>
      <c r="U11" s="32">
        <v>437.5</v>
      </c>
      <c r="V11" s="11" t="str">
        <f>"273,4813"</f>
        <v>273,4813</v>
      </c>
    </row>
    <row r="12" spans="1:22">
      <c r="A12" s="2" t="s">
        <v>595</v>
      </c>
      <c r="B12" s="2" t="s">
        <v>290</v>
      </c>
      <c r="C12" s="4" t="s">
        <v>384</v>
      </c>
      <c r="D12" s="3" t="s">
        <v>238</v>
      </c>
      <c r="E12" s="28">
        <v>90</v>
      </c>
      <c r="F12" s="28">
        <v>1</v>
      </c>
      <c r="G12" s="3" t="s">
        <v>297</v>
      </c>
      <c r="H12" s="4" t="s">
        <v>325</v>
      </c>
      <c r="I12" s="3" t="s">
        <v>173</v>
      </c>
      <c r="J12" s="3" t="s">
        <v>75</v>
      </c>
      <c r="K12" s="3" t="s">
        <v>96</v>
      </c>
      <c r="L12" s="5"/>
      <c r="M12" s="3" t="s">
        <v>168</v>
      </c>
      <c r="N12" s="5" t="s">
        <v>41</v>
      </c>
      <c r="O12" s="3" t="s">
        <v>162</v>
      </c>
      <c r="P12" s="5"/>
      <c r="Q12" s="3" t="s">
        <v>75</v>
      </c>
      <c r="R12" s="3" t="s">
        <v>107</v>
      </c>
      <c r="S12" s="5" t="s">
        <v>192</v>
      </c>
      <c r="T12" s="5"/>
      <c r="U12" s="32">
        <v>392.5</v>
      </c>
      <c r="V12" s="11" t="str">
        <f>"244,7131"</f>
        <v>244,7131</v>
      </c>
    </row>
    <row r="13" spans="1:22">
      <c r="A13" s="2" t="s">
        <v>596</v>
      </c>
      <c r="B13" s="2" t="s">
        <v>290</v>
      </c>
      <c r="C13" s="4" t="s">
        <v>385</v>
      </c>
      <c r="D13" s="3" t="s">
        <v>239</v>
      </c>
      <c r="E13" s="28">
        <v>100</v>
      </c>
      <c r="F13" s="28">
        <v>1</v>
      </c>
      <c r="G13" s="3" t="s">
        <v>293</v>
      </c>
      <c r="H13" s="4" t="s">
        <v>325</v>
      </c>
      <c r="I13" s="3" t="s">
        <v>114</v>
      </c>
      <c r="J13" s="3" t="s">
        <v>131</v>
      </c>
      <c r="K13" s="3" t="s">
        <v>137</v>
      </c>
      <c r="L13" s="5"/>
      <c r="M13" s="3" t="s">
        <v>107</v>
      </c>
      <c r="N13" s="3" t="s">
        <v>192</v>
      </c>
      <c r="O13" s="5" t="s">
        <v>82</v>
      </c>
      <c r="P13" s="5"/>
      <c r="Q13" s="3" t="s">
        <v>132</v>
      </c>
      <c r="R13" s="3" t="s">
        <v>240</v>
      </c>
      <c r="S13" s="5" t="s">
        <v>241</v>
      </c>
      <c r="T13" s="5"/>
      <c r="U13" s="32">
        <v>640</v>
      </c>
      <c r="V13" s="11" t="str">
        <f>"374,2720"</f>
        <v>374,2720</v>
      </c>
    </row>
    <row r="14" spans="1:22">
      <c r="A14" s="2" t="s">
        <v>597</v>
      </c>
      <c r="B14" s="2" t="s">
        <v>290</v>
      </c>
      <c r="C14" s="4" t="s">
        <v>386</v>
      </c>
      <c r="D14" s="3" t="s">
        <v>242</v>
      </c>
      <c r="E14" s="28">
        <v>100</v>
      </c>
      <c r="F14" s="28">
        <v>2</v>
      </c>
      <c r="G14" s="3" t="s">
        <v>293</v>
      </c>
      <c r="H14" s="4" t="s">
        <v>325</v>
      </c>
      <c r="I14" s="3" t="s">
        <v>85</v>
      </c>
      <c r="J14" s="3" t="s">
        <v>86</v>
      </c>
      <c r="K14" s="3" t="s">
        <v>117</v>
      </c>
      <c r="L14" s="5"/>
      <c r="M14" s="3" t="s">
        <v>94</v>
      </c>
      <c r="N14" s="3" t="s">
        <v>82</v>
      </c>
      <c r="O14" s="5" t="s">
        <v>108</v>
      </c>
      <c r="P14" s="5"/>
      <c r="Q14" s="3" t="s">
        <v>117</v>
      </c>
      <c r="R14" s="3" t="s">
        <v>235</v>
      </c>
      <c r="S14" s="3" t="s">
        <v>145</v>
      </c>
      <c r="T14" s="5"/>
      <c r="U14" s="32">
        <v>575</v>
      </c>
      <c r="V14" s="11" t="str">
        <f>"339,7100"</f>
        <v>339,7100</v>
      </c>
    </row>
    <row r="15" spans="1:22">
      <c r="A15" s="2" t="s">
        <v>598</v>
      </c>
      <c r="B15" s="2" t="s">
        <v>290</v>
      </c>
      <c r="C15" s="4" t="s">
        <v>387</v>
      </c>
      <c r="D15" s="3" t="s">
        <v>37</v>
      </c>
      <c r="E15" s="28">
        <v>100</v>
      </c>
      <c r="F15" s="28">
        <v>3</v>
      </c>
      <c r="G15" s="3" t="s">
        <v>293</v>
      </c>
      <c r="H15" s="4" t="s">
        <v>328</v>
      </c>
      <c r="I15" s="5" t="s">
        <v>103</v>
      </c>
      <c r="J15" s="3" t="s">
        <v>85</v>
      </c>
      <c r="K15" s="5" t="s">
        <v>117</v>
      </c>
      <c r="L15" s="5"/>
      <c r="M15" s="3" t="s">
        <v>38</v>
      </c>
      <c r="N15" s="3" t="s">
        <v>98</v>
      </c>
      <c r="O15" s="3" t="s">
        <v>173</v>
      </c>
      <c r="P15" s="5"/>
      <c r="Q15" s="3" t="s">
        <v>85</v>
      </c>
      <c r="R15" s="3" t="s">
        <v>117</v>
      </c>
      <c r="S15" s="3" t="s">
        <v>131</v>
      </c>
      <c r="T15" s="5"/>
      <c r="U15" s="32">
        <v>520</v>
      </c>
      <c r="V15" s="11" t="str">
        <f>"304,6420"</f>
        <v>304,6420</v>
      </c>
    </row>
    <row r="16" spans="1:22">
      <c r="A16" s="2" t="s">
        <v>597</v>
      </c>
      <c r="B16" s="2" t="s">
        <v>290</v>
      </c>
      <c r="C16" s="4" t="s">
        <v>386</v>
      </c>
      <c r="D16" s="3" t="s">
        <v>242</v>
      </c>
      <c r="E16" s="28">
        <v>100</v>
      </c>
      <c r="F16" s="28">
        <v>1</v>
      </c>
      <c r="G16" s="3" t="s">
        <v>297</v>
      </c>
      <c r="H16" s="4" t="s">
        <v>325</v>
      </c>
      <c r="I16" s="3" t="s">
        <v>85</v>
      </c>
      <c r="J16" s="3" t="s">
        <v>86</v>
      </c>
      <c r="K16" s="3" t="s">
        <v>117</v>
      </c>
      <c r="L16" s="5"/>
      <c r="M16" s="3" t="s">
        <v>94</v>
      </c>
      <c r="N16" s="3" t="s">
        <v>82</v>
      </c>
      <c r="O16" s="5" t="s">
        <v>108</v>
      </c>
      <c r="P16" s="5"/>
      <c r="Q16" s="3" t="s">
        <v>117</v>
      </c>
      <c r="R16" s="3" t="s">
        <v>235</v>
      </c>
      <c r="S16" s="3" t="s">
        <v>145</v>
      </c>
      <c r="T16" s="5"/>
      <c r="U16" s="32">
        <v>575</v>
      </c>
      <c r="V16" s="11" t="str">
        <f>"346,5042"</f>
        <v>346,5042</v>
      </c>
    </row>
    <row r="17" spans="1:22">
      <c r="A17" s="2" t="s">
        <v>599</v>
      </c>
      <c r="B17" s="2" t="s">
        <v>290</v>
      </c>
      <c r="C17" s="4" t="s">
        <v>388</v>
      </c>
      <c r="D17" s="3" t="s">
        <v>243</v>
      </c>
      <c r="E17" s="28">
        <v>110</v>
      </c>
      <c r="F17" s="28">
        <v>1</v>
      </c>
      <c r="G17" s="3" t="s">
        <v>293</v>
      </c>
      <c r="H17" s="4" t="s">
        <v>328</v>
      </c>
      <c r="I17" s="3" t="s">
        <v>137</v>
      </c>
      <c r="J17" s="3" t="s">
        <v>133</v>
      </c>
      <c r="K17" s="5" t="s">
        <v>244</v>
      </c>
      <c r="L17" s="5"/>
      <c r="M17" s="3" t="s">
        <v>94</v>
      </c>
      <c r="N17" s="3" t="s">
        <v>108</v>
      </c>
      <c r="O17" s="3" t="s">
        <v>103</v>
      </c>
      <c r="P17" s="5"/>
      <c r="Q17" s="3" t="s">
        <v>244</v>
      </c>
      <c r="R17" s="3" t="s">
        <v>12</v>
      </c>
      <c r="S17" s="3" t="s">
        <v>15</v>
      </c>
      <c r="T17" s="5"/>
      <c r="U17" s="32">
        <v>730</v>
      </c>
      <c r="V17" s="11" t="str">
        <f>"420,5165"</f>
        <v>420,5165</v>
      </c>
    </row>
    <row r="18" spans="1:22">
      <c r="A18" s="2" t="s">
        <v>600</v>
      </c>
      <c r="B18" s="2" t="s">
        <v>290</v>
      </c>
      <c r="C18" s="4" t="s">
        <v>389</v>
      </c>
      <c r="D18" s="3" t="s">
        <v>245</v>
      </c>
      <c r="E18" s="28">
        <v>110</v>
      </c>
      <c r="F18" s="28">
        <v>2</v>
      </c>
      <c r="G18" s="3" t="s">
        <v>293</v>
      </c>
      <c r="H18" s="4" t="s">
        <v>333</v>
      </c>
      <c r="I18" s="3" t="s">
        <v>131</v>
      </c>
      <c r="J18" s="3" t="s">
        <v>89</v>
      </c>
      <c r="K18" s="3" t="s">
        <v>132</v>
      </c>
      <c r="L18" s="5"/>
      <c r="M18" s="3" t="s">
        <v>94</v>
      </c>
      <c r="N18" s="5" t="s">
        <v>82</v>
      </c>
      <c r="O18" s="34">
        <v>0</v>
      </c>
      <c r="P18" s="5"/>
      <c r="Q18" s="3" t="s">
        <v>43</v>
      </c>
      <c r="R18" s="3" t="s">
        <v>10</v>
      </c>
      <c r="S18" s="34">
        <v>0</v>
      </c>
      <c r="T18" s="5"/>
      <c r="U18" s="32">
        <v>675</v>
      </c>
      <c r="V18" s="11" t="str">
        <f>"381,1725"</f>
        <v>381,1725</v>
      </c>
    </row>
    <row r="19" spans="1:22">
      <c r="A19" s="2" t="s">
        <v>601</v>
      </c>
      <c r="B19" s="2" t="s">
        <v>290</v>
      </c>
      <c r="C19" s="4" t="s">
        <v>390</v>
      </c>
      <c r="D19" s="3" t="s">
        <v>246</v>
      </c>
      <c r="E19" s="28">
        <v>110</v>
      </c>
      <c r="F19" s="28">
        <v>3</v>
      </c>
      <c r="G19" s="3" t="s">
        <v>293</v>
      </c>
      <c r="H19" s="4" t="s">
        <v>325</v>
      </c>
      <c r="I19" s="3" t="s">
        <v>131</v>
      </c>
      <c r="J19" s="5" t="s">
        <v>89</v>
      </c>
      <c r="K19" s="3" t="s">
        <v>89</v>
      </c>
      <c r="L19" s="5"/>
      <c r="M19" s="3" t="s">
        <v>78</v>
      </c>
      <c r="N19" s="3" t="s">
        <v>94</v>
      </c>
      <c r="O19" s="5" t="s">
        <v>79</v>
      </c>
      <c r="P19" s="5"/>
      <c r="Q19" s="3" t="s">
        <v>131</v>
      </c>
      <c r="R19" s="3" t="s">
        <v>89</v>
      </c>
      <c r="S19" s="3" t="s">
        <v>137</v>
      </c>
      <c r="T19" s="5"/>
      <c r="U19" s="32">
        <v>625</v>
      </c>
      <c r="V19" s="11" t="str">
        <f>"359,9063"</f>
        <v>359,9063</v>
      </c>
    </row>
    <row r="20" spans="1:22">
      <c r="A20" s="2" t="s">
        <v>602</v>
      </c>
      <c r="B20" s="2" t="s">
        <v>290</v>
      </c>
      <c r="C20" s="4" t="s">
        <v>391</v>
      </c>
      <c r="D20" s="3" t="s">
        <v>247</v>
      </c>
      <c r="E20" s="28">
        <v>110</v>
      </c>
      <c r="F20" s="28">
        <v>4</v>
      </c>
      <c r="G20" s="3" t="s">
        <v>293</v>
      </c>
      <c r="H20" s="4" t="s">
        <v>328</v>
      </c>
      <c r="I20" s="3" t="s">
        <v>131</v>
      </c>
      <c r="J20" s="3" t="s">
        <v>132</v>
      </c>
      <c r="K20" s="3" t="s">
        <v>6</v>
      </c>
      <c r="L20" s="5"/>
      <c r="M20" s="3" t="s">
        <v>41</v>
      </c>
      <c r="N20" s="3" t="s">
        <v>172</v>
      </c>
      <c r="O20" s="3" t="s">
        <v>173</v>
      </c>
      <c r="P20" s="5"/>
      <c r="Q20" s="3" t="s">
        <v>117</v>
      </c>
      <c r="R20" s="3" t="s">
        <v>131</v>
      </c>
      <c r="S20" s="5" t="s">
        <v>89</v>
      </c>
      <c r="T20" s="5"/>
      <c r="U20" s="32">
        <v>582</v>
      </c>
      <c r="V20" s="11" t="str">
        <f>"329,0625"</f>
        <v>329,0625</v>
      </c>
    </row>
  </sheetData>
  <mergeCells count="3">
    <mergeCell ref="I1:K1"/>
    <mergeCell ref="M1:O1"/>
    <mergeCell ref="Q1:S1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L35"/>
  <sheetViews>
    <sheetView zoomScaleNormal="100" workbookViewId="0">
      <selection activeCell="E6" sqref="E6"/>
    </sheetView>
  </sheetViews>
  <sheetFormatPr defaultColWidth="9.140625" defaultRowHeight="12.75"/>
  <cols>
    <col min="1" max="1" width="22" style="1" bestFit="1" customWidth="1"/>
    <col min="2" max="2" width="4.42578125" style="1" bestFit="1" customWidth="1"/>
    <col min="3" max="3" width="10.140625" style="10" bestFit="1" customWidth="1"/>
    <col min="4" max="6" width="7.5703125" style="9" customWidth="1"/>
    <col min="7" max="7" width="19" style="9" bestFit="1" customWidth="1"/>
    <col min="8" max="8" width="19.7109375" style="10" customWidth="1"/>
    <col min="9" max="11" width="4.5703125" style="9" customWidth="1"/>
    <col min="12" max="12" width="3.28515625" style="9" customWidth="1"/>
    <col min="13" max="13" width="7" style="7" customWidth="1"/>
    <col min="14" max="14" width="10" style="7" customWidth="1"/>
    <col min="15" max="1026" width="9.140625" style="7"/>
    <col min="1027" max="16384" width="9.140625" style="8"/>
  </cols>
  <sheetData>
    <row r="1" spans="1:15" s="12" customFormat="1" ht="12.75" customHeight="1">
      <c r="A1" s="24" t="s">
        <v>281</v>
      </c>
      <c r="B1" s="24" t="s">
        <v>282</v>
      </c>
      <c r="C1" s="35" t="s">
        <v>392</v>
      </c>
      <c r="D1" s="25" t="s">
        <v>283</v>
      </c>
      <c r="E1" s="25" t="s">
        <v>284</v>
      </c>
      <c r="F1" s="25" t="s">
        <v>395</v>
      </c>
      <c r="G1" s="25" t="s">
        <v>292</v>
      </c>
      <c r="H1" s="24" t="s">
        <v>394</v>
      </c>
      <c r="I1" s="54" t="s">
        <v>320</v>
      </c>
      <c r="J1" s="54"/>
      <c r="K1" s="54"/>
      <c r="L1" s="54"/>
      <c r="M1" s="16" t="s">
        <v>322</v>
      </c>
      <c r="N1" s="16"/>
    </row>
    <row r="2" spans="1:15" s="12" customFormat="1" ht="15.75" customHeight="1">
      <c r="A2" s="24"/>
      <c r="B2" s="24"/>
      <c r="C2" s="35"/>
      <c r="D2" s="25"/>
      <c r="E2" s="25"/>
      <c r="F2" s="25"/>
      <c r="G2" s="25"/>
      <c r="H2" s="24"/>
      <c r="I2" s="27" t="s">
        <v>285</v>
      </c>
      <c r="J2" s="27" t="s">
        <v>286</v>
      </c>
      <c r="K2" s="27" t="s">
        <v>287</v>
      </c>
      <c r="L2" s="27" t="s">
        <v>288</v>
      </c>
      <c r="M2" s="16"/>
      <c r="N2" s="16"/>
    </row>
    <row r="3" spans="1:15" s="9" customFormat="1">
      <c r="A3" s="2" t="s">
        <v>506</v>
      </c>
      <c r="B3" s="2" t="s">
        <v>289</v>
      </c>
      <c r="C3" s="4" t="s">
        <v>501</v>
      </c>
      <c r="D3" s="3" t="s">
        <v>44</v>
      </c>
      <c r="E3" s="28">
        <v>60</v>
      </c>
      <c r="F3" s="28">
        <v>1</v>
      </c>
      <c r="G3" s="3" t="s">
        <v>293</v>
      </c>
      <c r="H3" s="4" t="s">
        <v>373</v>
      </c>
      <c r="I3" s="3" t="s">
        <v>45</v>
      </c>
      <c r="J3" s="5" t="s">
        <v>46</v>
      </c>
      <c r="K3" s="34">
        <v>0</v>
      </c>
      <c r="L3" s="5"/>
      <c r="M3" s="28">
        <v>25</v>
      </c>
      <c r="N3" s="3" t="s">
        <v>500</v>
      </c>
      <c r="O3" s="36"/>
    </row>
    <row r="4" spans="1:15">
      <c r="A4" s="2" t="s">
        <v>507</v>
      </c>
      <c r="B4" s="2" t="s">
        <v>289</v>
      </c>
      <c r="C4" s="4" t="s">
        <v>502</v>
      </c>
      <c r="D4" s="3" t="s">
        <v>47</v>
      </c>
      <c r="E4" s="28">
        <v>67.5</v>
      </c>
      <c r="F4" s="28">
        <v>1</v>
      </c>
      <c r="G4" s="3" t="s">
        <v>293</v>
      </c>
      <c r="H4" s="4" t="s">
        <v>374</v>
      </c>
      <c r="I4" s="3" t="s">
        <v>46</v>
      </c>
      <c r="J4" s="3" t="s">
        <v>26</v>
      </c>
      <c r="K4" s="5" t="s">
        <v>48</v>
      </c>
      <c r="L4" s="5"/>
      <c r="M4" s="11">
        <v>30</v>
      </c>
      <c r="N4" s="11">
        <v>28.31</v>
      </c>
      <c r="O4" s="46"/>
    </row>
    <row r="5" spans="1:15">
      <c r="A5" s="2" t="s">
        <v>508</v>
      </c>
      <c r="B5" s="2" t="s">
        <v>290</v>
      </c>
      <c r="C5" s="4" t="s">
        <v>503</v>
      </c>
      <c r="D5" s="3" t="s">
        <v>49</v>
      </c>
      <c r="E5" s="28">
        <v>75</v>
      </c>
      <c r="F5" s="28">
        <v>1</v>
      </c>
      <c r="G5" s="3" t="s">
        <v>293</v>
      </c>
      <c r="H5" s="4" t="s">
        <v>328</v>
      </c>
      <c r="I5" s="3" t="s">
        <v>30</v>
      </c>
      <c r="J5" s="3" t="s">
        <v>50</v>
      </c>
      <c r="K5" s="5" t="s">
        <v>51</v>
      </c>
      <c r="L5" s="5"/>
      <c r="M5" s="11">
        <v>60</v>
      </c>
      <c r="N5" s="11">
        <v>41.6</v>
      </c>
      <c r="O5" s="46"/>
    </row>
    <row r="6" spans="1:15">
      <c r="A6" s="2" t="s">
        <v>509</v>
      </c>
      <c r="B6" s="2" t="s">
        <v>290</v>
      </c>
      <c r="C6" s="4" t="s">
        <v>409</v>
      </c>
      <c r="D6" s="3" t="s">
        <v>52</v>
      </c>
      <c r="E6" s="28">
        <v>90</v>
      </c>
      <c r="F6" s="28">
        <v>1</v>
      </c>
      <c r="G6" s="3" t="s">
        <v>293</v>
      </c>
      <c r="H6" s="4" t="s">
        <v>335</v>
      </c>
      <c r="I6" s="3" t="s">
        <v>30</v>
      </c>
      <c r="J6" s="3" t="s">
        <v>50</v>
      </c>
      <c r="K6" s="5" t="s">
        <v>53</v>
      </c>
      <c r="L6" s="5"/>
      <c r="M6" s="11">
        <v>60</v>
      </c>
      <c r="N6" s="11">
        <v>36.71</v>
      </c>
      <c r="O6" s="46"/>
    </row>
    <row r="7" spans="1:15">
      <c r="A7" s="2" t="s">
        <v>510</v>
      </c>
      <c r="B7" s="2" t="s">
        <v>290</v>
      </c>
      <c r="C7" s="4" t="s">
        <v>504</v>
      </c>
      <c r="D7" s="3" t="s">
        <v>54</v>
      </c>
      <c r="E7" s="28">
        <v>110</v>
      </c>
      <c r="F7" s="28">
        <v>1</v>
      </c>
      <c r="G7" s="3" t="s">
        <v>293</v>
      </c>
      <c r="H7" s="4" t="s">
        <v>373</v>
      </c>
      <c r="I7" s="3" t="s">
        <v>55</v>
      </c>
      <c r="J7" s="5" t="s">
        <v>56</v>
      </c>
      <c r="K7" s="5" t="s">
        <v>56</v>
      </c>
      <c r="L7" s="5"/>
      <c r="M7" s="11">
        <v>72.5</v>
      </c>
      <c r="N7" s="11">
        <v>40.950000000000003</v>
      </c>
      <c r="O7" s="37"/>
    </row>
    <row r="8" spans="1:15">
      <c r="A8" s="2" t="s">
        <v>511</v>
      </c>
      <c r="B8" s="2" t="s">
        <v>290</v>
      </c>
      <c r="C8" s="4" t="s">
        <v>505</v>
      </c>
      <c r="D8" s="3" t="s">
        <v>57</v>
      </c>
      <c r="E8" s="28">
        <v>110</v>
      </c>
      <c r="F8" s="28">
        <v>1</v>
      </c>
      <c r="G8" s="3" t="s">
        <v>297</v>
      </c>
      <c r="H8" s="4" t="s">
        <v>362</v>
      </c>
      <c r="I8" s="3" t="s">
        <v>50</v>
      </c>
      <c r="J8" s="3" t="s">
        <v>53</v>
      </c>
      <c r="K8" s="3" t="s">
        <v>33</v>
      </c>
      <c r="L8" s="5"/>
      <c r="M8" s="11">
        <v>70</v>
      </c>
      <c r="N8" s="11">
        <v>41.14</v>
      </c>
      <c r="O8" s="38"/>
    </row>
    <row r="19" spans="1:7">
      <c r="A19" s="13"/>
      <c r="B19" s="13"/>
      <c r="C19" s="17"/>
    </row>
    <row r="20" spans="1:7">
      <c r="A20" s="15"/>
      <c r="B20" s="15"/>
      <c r="C20" s="17"/>
    </row>
    <row r="21" spans="1:7">
      <c r="A21" s="16"/>
      <c r="B21" s="16"/>
      <c r="C21" s="18"/>
      <c r="D21" s="16"/>
      <c r="E21" s="12"/>
      <c r="F21" s="12"/>
      <c r="G21" s="12"/>
    </row>
    <row r="22" spans="1:7">
      <c r="A22" s="6"/>
      <c r="B22" s="6"/>
    </row>
    <row r="23" spans="1:7">
      <c r="A23" s="6"/>
      <c r="B23" s="6"/>
    </row>
    <row r="26" spans="1:7">
      <c r="A26" s="13"/>
      <c r="B26" s="13"/>
      <c r="C26" s="17"/>
    </row>
    <row r="27" spans="1:7">
      <c r="A27" s="15"/>
      <c r="B27" s="15"/>
      <c r="C27" s="17"/>
    </row>
    <row r="28" spans="1:7">
      <c r="A28" s="16"/>
      <c r="B28" s="16"/>
      <c r="C28" s="18"/>
      <c r="D28" s="16"/>
      <c r="E28" s="12"/>
      <c r="F28" s="12"/>
      <c r="G28" s="12"/>
    </row>
    <row r="29" spans="1:7">
      <c r="A29" s="6"/>
      <c r="B29" s="6"/>
    </row>
    <row r="30" spans="1:7">
      <c r="A30" s="6"/>
      <c r="B30" s="6"/>
    </row>
    <row r="31" spans="1:7">
      <c r="A31" s="6"/>
      <c r="B31" s="6"/>
    </row>
    <row r="33" spans="1:7">
      <c r="A33" s="15"/>
      <c r="B33" s="15"/>
      <c r="C33" s="17"/>
    </row>
    <row r="34" spans="1:7">
      <c r="A34" s="16"/>
      <c r="B34" s="16"/>
      <c r="C34" s="18"/>
      <c r="D34" s="16"/>
      <c r="E34" s="12"/>
      <c r="F34" s="12"/>
      <c r="G34" s="12"/>
    </row>
    <row r="35" spans="1:7">
      <c r="A35" s="6"/>
      <c r="B35" s="6"/>
    </row>
  </sheetData>
  <mergeCells count="1"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L22"/>
  <sheetViews>
    <sheetView zoomScaleNormal="100" workbookViewId="0">
      <selection activeCell="M4" sqref="M4"/>
    </sheetView>
  </sheetViews>
  <sheetFormatPr defaultColWidth="9.140625" defaultRowHeight="12.75"/>
  <cols>
    <col min="1" max="1" width="19.140625" style="1" bestFit="1" customWidth="1"/>
    <col min="2" max="2" width="4.42578125" style="1" bestFit="1" customWidth="1"/>
    <col min="3" max="3" width="10.140625" style="9" bestFit="1" customWidth="1"/>
    <col min="4" max="6" width="7.5703125" style="9" customWidth="1"/>
    <col min="7" max="7" width="19" style="9" bestFit="1" customWidth="1"/>
    <col min="8" max="8" width="6.28515625" style="10" bestFit="1" customWidth="1"/>
    <col min="9" max="11" width="5.5703125" style="9" customWidth="1"/>
    <col min="12" max="12" width="2.140625" style="9" customWidth="1"/>
    <col min="13" max="15" width="5.5703125" style="9" customWidth="1"/>
    <col min="16" max="16" width="2.140625" style="9" customWidth="1"/>
    <col min="17" max="19" width="5.5703125" style="9" customWidth="1"/>
    <col min="20" max="20" width="3.28515625" style="9" customWidth="1"/>
    <col min="21" max="21" width="8" style="7" customWidth="1"/>
    <col min="22" max="22" width="11" style="7" customWidth="1"/>
    <col min="23" max="1026" width="9.140625" style="7"/>
    <col min="1027" max="16384" width="9.140625" style="8"/>
  </cols>
  <sheetData>
    <row r="1" spans="1:23" s="12" customFormat="1" ht="12.75" customHeight="1">
      <c r="A1" s="24" t="s">
        <v>281</v>
      </c>
      <c r="B1" s="16" t="s">
        <v>282</v>
      </c>
      <c r="C1" s="25" t="s">
        <v>392</v>
      </c>
      <c r="D1" s="25" t="s">
        <v>283</v>
      </c>
      <c r="E1" s="29" t="s">
        <v>284</v>
      </c>
      <c r="F1" s="29" t="s">
        <v>395</v>
      </c>
      <c r="G1" s="29" t="s">
        <v>292</v>
      </c>
      <c r="H1" s="24" t="s">
        <v>394</v>
      </c>
      <c r="I1" s="51" t="s">
        <v>319</v>
      </c>
      <c r="J1" s="52"/>
      <c r="K1" s="52"/>
      <c r="L1" s="53"/>
      <c r="M1" s="51" t="s">
        <v>320</v>
      </c>
      <c r="N1" s="52"/>
      <c r="O1" s="52"/>
      <c r="P1" s="53"/>
      <c r="Q1" s="51" t="s">
        <v>321</v>
      </c>
      <c r="R1" s="52"/>
      <c r="S1" s="52"/>
      <c r="T1" s="53"/>
      <c r="U1" s="16" t="s">
        <v>322</v>
      </c>
      <c r="V1" s="16" t="s">
        <v>323</v>
      </c>
    </row>
    <row r="2" spans="1:23" s="12" customFormat="1" ht="23.25" customHeight="1">
      <c r="A2" s="24"/>
      <c r="B2" s="16"/>
      <c r="C2" s="25"/>
      <c r="D2" s="25"/>
      <c r="E2" s="29"/>
      <c r="F2" s="29"/>
      <c r="G2" s="29"/>
      <c r="H2" s="24"/>
      <c r="I2" s="27">
        <v>1</v>
      </c>
      <c r="J2" s="27">
        <v>2</v>
      </c>
      <c r="K2" s="27">
        <v>3</v>
      </c>
      <c r="L2" s="27">
        <v>4</v>
      </c>
      <c r="M2" s="41">
        <v>1</v>
      </c>
      <c r="N2" s="41">
        <v>2</v>
      </c>
      <c r="O2" s="41">
        <v>3</v>
      </c>
      <c r="P2" s="41">
        <v>4</v>
      </c>
      <c r="Q2" s="41">
        <v>1</v>
      </c>
      <c r="R2" s="41">
        <v>2</v>
      </c>
      <c r="S2" s="41">
        <v>3</v>
      </c>
      <c r="T2" s="41">
        <v>4</v>
      </c>
      <c r="U2" s="16"/>
      <c r="V2" s="16"/>
    </row>
    <row r="3" spans="1:23" s="9" customFormat="1">
      <c r="A3" s="2" t="s">
        <v>512</v>
      </c>
      <c r="B3" s="2" t="s">
        <v>290</v>
      </c>
      <c r="C3" s="3" t="s">
        <v>397</v>
      </c>
      <c r="D3" s="3" t="s">
        <v>174</v>
      </c>
      <c r="E3" s="28">
        <v>75</v>
      </c>
      <c r="F3" s="28">
        <v>1</v>
      </c>
      <c r="G3" s="3" t="s">
        <v>396</v>
      </c>
      <c r="H3" s="4" t="s">
        <v>331</v>
      </c>
      <c r="I3" s="3" t="s">
        <v>85</v>
      </c>
      <c r="J3" s="3" t="s">
        <v>86</v>
      </c>
      <c r="K3" s="3" t="s">
        <v>117</v>
      </c>
      <c r="L3" s="5"/>
      <c r="M3" s="3" t="s">
        <v>161</v>
      </c>
      <c r="N3" s="3" t="s">
        <v>98</v>
      </c>
      <c r="O3" s="5" t="s">
        <v>92</v>
      </c>
      <c r="P3" s="5"/>
      <c r="Q3" s="3" t="s">
        <v>79</v>
      </c>
      <c r="R3" s="3" t="s">
        <v>194</v>
      </c>
      <c r="S3" s="3" t="s">
        <v>226</v>
      </c>
      <c r="T3" s="5"/>
      <c r="U3" s="28">
        <v>492.5</v>
      </c>
      <c r="V3" s="28">
        <v>339.77</v>
      </c>
      <c r="W3" s="47"/>
    </row>
    <row r="4" spans="1:23" s="9" customFormat="1">
      <c r="A4" s="2" t="s">
        <v>512</v>
      </c>
      <c r="B4" s="2" t="s">
        <v>290</v>
      </c>
      <c r="C4" s="3" t="s">
        <v>397</v>
      </c>
      <c r="D4" s="3" t="s">
        <v>174</v>
      </c>
      <c r="E4" s="28">
        <v>75</v>
      </c>
      <c r="F4" s="28">
        <v>1</v>
      </c>
      <c r="G4" s="3" t="s">
        <v>293</v>
      </c>
      <c r="H4" s="4" t="s">
        <v>331</v>
      </c>
      <c r="I4" s="3" t="s">
        <v>85</v>
      </c>
      <c r="J4" s="3" t="s">
        <v>86</v>
      </c>
      <c r="K4" s="3" t="s">
        <v>117</v>
      </c>
      <c r="L4" s="5"/>
      <c r="M4" s="3" t="s">
        <v>161</v>
      </c>
      <c r="N4" s="3" t="s">
        <v>98</v>
      </c>
      <c r="O4" s="5" t="s">
        <v>92</v>
      </c>
      <c r="P4" s="5"/>
      <c r="Q4" s="3" t="s">
        <v>79</v>
      </c>
      <c r="R4" s="3" t="s">
        <v>194</v>
      </c>
      <c r="S4" s="3" t="s">
        <v>226</v>
      </c>
      <c r="T4" s="5"/>
      <c r="U4" s="28">
        <v>492.5</v>
      </c>
      <c r="V4" s="28">
        <v>339.77</v>
      </c>
      <c r="W4" s="48"/>
    </row>
    <row r="15" spans="1:23">
      <c r="A15" s="13"/>
      <c r="B15" s="13"/>
      <c r="C15" s="14"/>
    </row>
    <row r="16" spans="1:23">
      <c r="A16" s="15"/>
      <c r="B16" s="15"/>
      <c r="C16" s="14"/>
    </row>
    <row r="17" spans="1:7">
      <c r="A17" s="16"/>
      <c r="B17" s="16"/>
      <c r="C17" s="16"/>
      <c r="D17" s="16"/>
      <c r="E17" s="12"/>
      <c r="F17" s="12"/>
      <c r="G17" s="12"/>
    </row>
    <row r="18" spans="1:7">
      <c r="A18" s="6"/>
      <c r="B18" s="6"/>
    </row>
    <row r="20" spans="1:7">
      <c r="A20" s="15"/>
      <c r="B20" s="15"/>
      <c r="C20" s="14"/>
    </row>
    <row r="21" spans="1:7">
      <c r="A21" s="16"/>
      <c r="B21" s="16"/>
      <c r="C21" s="16"/>
      <c r="D21" s="16"/>
      <c r="E21" s="12"/>
      <c r="F21" s="12"/>
      <c r="G21" s="12"/>
    </row>
    <row r="22" spans="1:7">
      <c r="A22" s="6"/>
      <c r="B22" s="6"/>
    </row>
  </sheetData>
  <mergeCells count="3">
    <mergeCell ref="I1:L1"/>
    <mergeCell ref="M1:P1"/>
    <mergeCell ref="Q1:T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J4"/>
  <sheetViews>
    <sheetView zoomScaleNormal="100" workbookViewId="0">
      <selection activeCell="A2" sqref="A2"/>
    </sheetView>
  </sheetViews>
  <sheetFormatPr defaultColWidth="9.140625" defaultRowHeight="12.75"/>
  <cols>
    <col min="1" max="1" width="17.85546875" style="1" bestFit="1" customWidth="1"/>
    <col min="2" max="2" width="10.140625" style="9" bestFit="1" customWidth="1"/>
    <col min="3" max="4" width="7.5703125" style="9" customWidth="1"/>
    <col min="5" max="5" width="19" style="9" bestFit="1" customWidth="1"/>
    <col min="6" max="6" width="14.7109375" style="10" customWidth="1"/>
    <col min="7" max="9" width="5.5703125" style="9" customWidth="1"/>
    <col min="10" max="10" width="2.140625" style="9" customWidth="1"/>
    <col min="11" max="11" width="4.5703125" style="9" customWidth="1"/>
    <col min="12" max="14" width="2.140625" style="9" customWidth="1"/>
    <col min="15" max="15" width="5.5703125" style="9" customWidth="1"/>
    <col min="16" max="18" width="3.28515625" style="9" customWidth="1"/>
    <col min="19" max="19" width="7" style="7" customWidth="1"/>
    <col min="20" max="20" width="9" style="7" customWidth="1"/>
    <col min="21" max="1024" width="9.140625" style="7"/>
    <col min="1025" max="16384" width="9.140625" style="8"/>
  </cols>
  <sheetData>
    <row r="1" spans="1:21" s="12" customFormat="1" ht="12.75" customHeight="1">
      <c r="A1" s="24" t="s">
        <v>281</v>
      </c>
      <c r="B1" s="25" t="s">
        <v>392</v>
      </c>
      <c r="C1" s="25" t="s">
        <v>283</v>
      </c>
      <c r="D1" s="29" t="s">
        <v>284</v>
      </c>
      <c r="E1" s="29" t="s">
        <v>292</v>
      </c>
      <c r="F1" s="24" t="s">
        <v>394</v>
      </c>
      <c r="G1" s="54" t="s">
        <v>319</v>
      </c>
      <c r="H1" s="54"/>
      <c r="I1" s="54"/>
      <c r="J1" s="24"/>
      <c r="K1" s="54" t="s">
        <v>320</v>
      </c>
      <c r="L1" s="54"/>
      <c r="M1" s="54"/>
      <c r="N1" s="24"/>
      <c r="O1" s="54" t="s">
        <v>321</v>
      </c>
      <c r="P1" s="54"/>
      <c r="Q1" s="54"/>
      <c r="R1" s="24"/>
      <c r="S1" s="16" t="s">
        <v>322</v>
      </c>
      <c r="T1" s="16" t="s">
        <v>323</v>
      </c>
    </row>
    <row r="2" spans="1:21" s="12" customFormat="1" ht="14.25" customHeight="1">
      <c r="A2" s="24"/>
      <c r="B2" s="25"/>
      <c r="C2" s="25"/>
      <c r="D2" s="29"/>
      <c r="E2" s="29"/>
      <c r="F2" s="24"/>
      <c r="G2" s="27">
        <v>1</v>
      </c>
      <c r="H2" s="27">
        <v>2</v>
      </c>
      <c r="I2" s="27">
        <v>3</v>
      </c>
      <c r="J2" s="27">
        <v>4</v>
      </c>
      <c r="K2" s="41">
        <v>1</v>
      </c>
      <c r="L2" s="41">
        <v>2</v>
      </c>
      <c r="M2" s="41">
        <v>3</v>
      </c>
      <c r="N2" s="41">
        <v>4</v>
      </c>
      <c r="O2" s="41">
        <v>1</v>
      </c>
      <c r="P2" s="41">
        <v>2</v>
      </c>
      <c r="Q2" s="41">
        <v>3</v>
      </c>
      <c r="R2" s="41">
        <v>4</v>
      </c>
      <c r="S2" s="16"/>
      <c r="T2" s="16"/>
    </row>
    <row r="3" spans="1:21" s="9" customFormat="1">
      <c r="A3" s="2" t="s">
        <v>398</v>
      </c>
      <c r="B3" s="3" t="s">
        <v>513</v>
      </c>
      <c r="C3" s="3" t="s">
        <v>225</v>
      </c>
      <c r="D3" s="28">
        <v>75</v>
      </c>
      <c r="E3" s="3" t="s">
        <v>297</v>
      </c>
      <c r="F3" s="4" t="s">
        <v>331</v>
      </c>
      <c r="G3" s="5" t="s">
        <v>82</v>
      </c>
      <c r="H3" s="5" t="s">
        <v>108</v>
      </c>
      <c r="I3" s="5" t="s">
        <v>108</v>
      </c>
      <c r="J3" s="5"/>
      <c r="K3" s="5"/>
      <c r="L3" s="5"/>
      <c r="M3" s="5"/>
      <c r="N3" s="5"/>
      <c r="O3" s="5"/>
      <c r="P3" s="5"/>
      <c r="Q3" s="5"/>
      <c r="R3" s="5"/>
      <c r="S3" s="28">
        <v>0</v>
      </c>
      <c r="T3" s="3"/>
      <c r="U3" s="36"/>
    </row>
    <row r="4" spans="1:21" s="9" customFormat="1">
      <c r="A4" s="1"/>
      <c r="F4" s="10"/>
    </row>
  </sheetData>
  <mergeCells count="3">
    <mergeCell ref="G1:I1"/>
    <mergeCell ref="K1:M1"/>
    <mergeCell ref="O1:Q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27"/>
  <sheetViews>
    <sheetView zoomScaleNormal="100" workbookViewId="0"/>
  </sheetViews>
  <sheetFormatPr defaultColWidth="9.140625" defaultRowHeight="12.75"/>
  <cols>
    <col min="1" max="1" width="23.5703125" style="1" bestFit="1" customWidth="1"/>
    <col min="2" max="2" width="4.42578125" style="1" bestFit="1" customWidth="1"/>
    <col min="3" max="3" width="10.140625" style="10" bestFit="1" customWidth="1"/>
    <col min="4" max="5" width="7.5703125" style="9" customWidth="1"/>
    <col min="6" max="6" width="5.85546875" style="9" customWidth="1"/>
    <col min="7" max="7" width="19" style="9" bestFit="1" customWidth="1"/>
    <col min="8" max="8" width="14.7109375" style="10" customWidth="1"/>
    <col min="9" max="11" width="5.5703125" style="9" customWidth="1"/>
    <col min="12" max="12" width="2.140625" style="9" customWidth="1"/>
    <col min="13" max="15" width="5.5703125" style="9" customWidth="1"/>
    <col min="16" max="16" width="2.140625" style="9" customWidth="1"/>
    <col min="17" max="19" width="5.5703125" style="9" customWidth="1"/>
    <col min="20" max="20" width="3.28515625" style="9" customWidth="1"/>
    <col min="21" max="21" width="8" style="7" customWidth="1"/>
    <col min="22" max="22" width="7" style="7" bestFit="1" customWidth="1"/>
    <col min="23" max="1025" width="9.140625" style="7"/>
    <col min="1026" max="16384" width="9.140625" style="8"/>
  </cols>
  <sheetData>
    <row r="1" spans="1:22" s="12" customFormat="1" ht="12.75" customHeight="1">
      <c r="A1" s="24" t="s">
        <v>281</v>
      </c>
      <c r="B1" s="24" t="s">
        <v>282</v>
      </c>
      <c r="C1" s="25" t="s">
        <v>392</v>
      </c>
      <c r="D1" s="25" t="s">
        <v>283</v>
      </c>
      <c r="E1" s="25" t="s">
        <v>284</v>
      </c>
      <c r="F1" s="29" t="s">
        <v>395</v>
      </c>
      <c r="G1" s="25" t="s">
        <v>292</v>
      </c>
      <c r="H1" s="24" t="s">
        <v>394</v>
      </c>
      <c r="I1" s="54" t="s">
        <v>319</v>
      </c>
      <c r="J1" s="54"/>
      <c r="K1" s="54"/>
      <c r="L1" s="24"/>
      <c r="M1" s="54" t="s">
        <v>320</v>
      </c>
      <c r="N1" s="54"/>
      <c r="O1" s="54"/>
      <c r="P1" s="24"/>
      <c r="Q1" s="54" t="s">
        <v>321</v>
      </c>
      <c r="R1" s="54"/>
      <c r="S1" s="54"/>
      <c r="T1" s="24"/>
      <c r="U1" s="16" t="s">
        <v>322</v>
      </c>
      <c r="V1" s="16" t="s">
        <v>323</v>
      </c>
    </row>
    <row r="2" spans="1:22" s="12" customFormat="1" ht="12.75" customHeight="1">
      <c r="A2" s="24"/>
      <c r="B2" s="24"/>
      <c r="C2" s="25"/>
      <c r="D2" s="25"/>
      <c r="E2" s="25"/>
      <c r="F2" s="29"/>
      <c r="G2" s="25"/>
      <c r="H2" s="24"/>
      <c r="I2" s="27">
        <v>1</v>
      </c>
      <c r="J2" s="27">
        <v>2</v>
      </c>
      <c r="K2" s="27">
        <v>3</v>
      </c>
      <c r="L2" s="27">
        <v>4</v>
      </c>
      <c r="M2" s="41">
        <v>1</v>
      </c>
      <c r="N2" s="41">
        <v>2</v>
      </c>
      <c r="O2" s="41">
        <v>3</v>
      </c>
      <c r="P2" s="41">
        <v>4</v>
      </c>
      <c r="Q2" s="41">
        <v>1</v>
      </c>
      <c r="R2" s="41">
        <v>2</v>
      </c>
      <c r="S2" s="41">
        <v>3</v>
      </c>
      <c r="T2" s="41">
        <v>4</v>
      </c>
      <c r="U2" s="16"/>
      <c r="V2" s="16"/>
    </row>
    <row r="3" spans="1:22" s="9" customFormat="1">
      <c r="A3" s="2" t="s">
        <v>514</v>
      </c>
      <c r="B3" s="2" t="s">
        <v>290</v>
      </c>
      <c r="C3" s="4" t="s">
        <v>408</v>
      </c>
      <c r="D3" s="3" t="s">
        <v>268</v>
      </c>
      <c r="E3" s="28">
        <v>82.5</v>
      </c>
      <c r="F3" s="28">
        <v>1</v>
      </c>
      <c r="G3" s="3" t="s">
        <v>293</v>
      </c>
      <c r="H3" s="4" t="s">
        <v>334</v>
      </c>
      <c r="I3" s="5" t="s">
        <v>117</v>
      </c>
      <c r="J3" s="3" t="s">
        <v>117</v>
      </c>
      <c r="K3" s="5" t="s">
        <v>145</v>
      </c>
      <c r="L3" s="5"/>
      <c r="M3" s="3" t="s">
        <v>76</v>
      </c>
      <c r="N3" s="3" t="s">
        <v>96</v>
      </c>
      <c r="O3" s="5" t="s">
        <v>191</v>
      </c>
      <c r="P3" s="5"/>
      <c r="Q3" s="3" t="s">
        <v>130</v>
      </c>
      <c r="R3" s="3" t="s">
        <v>137</v>
      </c>
      <c r="S3" s="3" t="s">
        <v>133</v>
      </c>
      <c r="T3" s="5"/>
      <c r="U3" s="33">
        <v>590</v>
      </c>
      <c r="V3" s="28">
        <v>388.1</v>
      </c>
    </row>
    <row r="4" spans="1:22">
      <c r="A4" s="2" t="s">
        <v>509</v>
      </c>
      <c r="B4" s="2" t="s">
        <v>290</v>
      </c>
      <c r="C4" s="4" t="s">
        <v>409</v>
      </c>
      <c r="D4" s="3" t="s">
        <v>52</v>
      </c>
      <c r="E4" s="28">
        <v>90</v>
      </c>
      <c r="F4" s="28">
        <v>1</v>
      </c>
      <c r="G4" s="3" t="s">
        <v>293</v>
      </c>
      <c r="H4" s="4" t="s">
        <v>335</v>
      </c>
      <c r="I4" s="5" t="s">
        <v>117</v>
      </c>
      <c r="J4" s="3" t="s">
        <v>117</v>
      </c>
      <c r="K4" s="3" t="s">
        <v>131</v>
      </c>
      <c r="L4" s="5"/>
      <c r="M4" s="3" t="s">
        <v>96</v>
      </c>
      <c r="N4" s="5" t="s">
        <v>94</v>
      </c>
      <c r="O4" s="5" t="s">
        <v>94</v>
      </c>
      <c r="P4" s="5"/>
      <c r="Q4" s="3" t="s">
        <v>235</v>
      </c>
      <c r="R4" s="5" t="s">
        <v>137</v>
      </c>
      <c r="S4" s="3" t="s">
        <v>137</v>
      </c>
      <c r="T4" s="5"/>
      <c r="U4" s="32">
        <v>600</v>
      </c>
      <c r="V4" s="11">
        <v>367.11</v>
      </c>
    </row>
    <row r="5" spans="1:22">
      <c r="A5" s="2" t="s">
        <v>515</v>
      </c>
      <c r="B5" s="2" t="s">
        <v>290</v>
      </c>
      <c r="C5" s="4" t="s">
        <v>410</v>
      </c>
      <c r="D5" s="3" t="s">
        <v>269</v>
      </c>
      <c r="E5" s="28">
        <v>90</v>
      </c>
      <c r="F5" s="3"/>
      <c r="G5" s="3" t="s">
        <v>293</v>
      </c>
      <c r="H5" s="4" t="s">
        <v>325</v>
      </c>
      <c r="I5" s="3" t="s">
        <v>131</v>
      </c>
      <c r="J5" s="5" t="s">
        <v>89</v>
      </c>
      <c r="K5" s="5" t="s">
        <v>89</v>
      </c>
      <c r="L5" s="5"/>
      <c r="M5" s="5" t="s">
        <v>82</v>
      </c>
      <c r="N5" s="5" t="s">
        <v>82</v>
      </c>
      <c r="O5" s="5" t="s">
        <v>82</v>
      </c>
      <c r="P5" s="5"/>
      <c r="Q5" s="5" t="s">
        <v>137</v>
      </c>
      <c r="R5" s="5" t="s">
        <v>137</v>
      </c>
      <c r="S5" s="5" t="s">
        <v>137</v>
      </c>
      <c r="T5" s="5"/>
      <c r="U5" s="32">
        <v>0</v>
      </c>
      <c r="V5" s="11"/>
    </row>
    <row r="6" spans="1:22">
      <c r="A6" s="2" t="s">
        <v>516</v>
      </c>
      <c r="B6" s="2" t="s">
        <v>290</v>
      </c>
      <c r="C6" s="4" t="s">
        <v>411</v>
      </c>
      <c r="D6" s="3" t="s">
        <v>270</v>
      </c>
      <c r="E6" s="28">
        <v>125</v>
      </c>
      <c r="F6" s="28">
        <v>1</v>
      </c>
      <c r="G6" s="3" t="s">
        <v>297</v>
      </c>
      <c r="H6" s="4" t="s">
        <v>336</v>
      </c>
      <c r="I6" s="3" t="s">
        <v>14</v>
      </c>
      <c r="J6" s="3" t="s">
        <v>271</v>
      </c>
      <c r="K6" s="5" t="s">
        <v>272</v>
      </c>
      <c r="L6" s="5"/>
      <c r="M6" s="3" t="s">
        <v>85</v>
      </c>
      <c r="N6" s="3" t="s">
        <v>86</v>
      </c>
      <c r="O6" s="5" t="s">
        <v>117</v>
      </c>
      <c r="P6" s="5"/>
      <c r="Q6" s="3" t="s">
        <v>3</v>
      </c>
      <c r="R6" s="3" t="s">
        <v>14</v>
      </c>
      <c r="S6" s="5" t="s">
        <v>119</v>
      </c>
      <c r="T6" s="5"/>
      <c r="U6" s="32">
        <v>810</v>
      </c>
      <c r="V6" s="11">
        <v>449.01</v>
      </c>
    </row>
    <row r="7" spans="1:22">
      <c r="A7" s="2" t="s">
        <v>517</v>
      </c>
      <c r="B7" s="2" t="s">
        <v>290</v>
      </c>
      <c r="C7" s="4" t="s">
        <v>412</v>
      </c>
      <c r="D7" s="3" t="s">
        <v>140</v>
      </c>
      <c r="E7" s="28">
        <v>125</v>
      </c>
      <c r="F7" s="28">
        <v>1</v>
      </c>
      <c r="G7" s="3" t="s">
        <v>407</v>
      </c>
      <c r="H7" s="4" t="s">
        <v>337</v>
      </c>
      <c r="I7" s="5" t="s">
        <v>89</v>
      </c>
      <c r="J7" s="3" t="s">
        <v>89</v>
      </c>
      <c r="K7" s="3" t="s">
        <v>133</v>
      </c>
      <c r="L7" s="5"/>
      <c r="M7" s="3" t="s">
        <v>107</v>
      </c>
      <c r="N7" s="3" t="s">
        <v>95</v>
      </c>
      <c r="O7" s="3" t="s">
        <v>183</v>
      </c>
      <c r="P7" s="5"/>
      <c r="Q7" s="3" t="s">
        <v>132</v>
      </c>
      <c r="R7" s="3" t="s">
        <v>141</v>
      </c>
      <c r="S7" s="3" t="s">
        <v>142</v>
      </c>
      <c r="T7" s="5"/>
      <c r="U7" s="32">
        <v>682.5</v>
      </c>
      <c r="V7" s="11">
        <v>447.79</v>
      </c>
    </row>
    <row r="18" spans="1:7">
      <c r="A18" s="13"/>
      <c r="B18" s="13"/>
      <c r="C18" s="17"/>
    </row>
    <row r="19" spans="1:7">
      <c r="A19" s="15"/>
      <c r="B19" s="15"/>
      <c r="C19" s="17"/>
    </row>
    <row r="20" spans="1:7">
      <c r="A20" s="16"/>
      <c r="B20" s="16"/>
      <c r="C20" s="18"/>
      <c r="D20" s="16"/>
      <c r="E20" s="12"/>
      <c r="F20" s="12"/>
      <c r="G20" s="12"/>
    </row>
    <row r="21" spans="1:7">
      <c r="A21" s="6"/>
      <c r="B21" s="6"/>
    </row>
    <row r="22" spans="1:7">
      <c r="A22" s="6"/>
      <c r="B22" s="6"/>
    </row>
    <row r="24" spans="1:7">
      <c r="A24" s="15"/>
      <c r="B24" s="15"/>
      <c r="C24" s="17"/>
    </row>
    <row r="25" spans="1:7">
      <c r="A25" s="16"/>
      <c r="B25" s="16"/>
      <c r="C25" s="18"/>
      <c r="D25" s="16"/>
      <c r="E25" s="12"/>
      <c r="F25" s="12"/>
      <c r="G25" s="12"/>
    </row>
    <row r="26" spans="1:7">
      <c r="A26" s="6"/>
      <c r="B26" s="6"/>
    </row>
    <row r="27" spans="1:7">
      <c r="A27" s="6"/>
      <c r="B27" s="6"/>
    </row>
  </sheetData>
  <mergeCells count="3">
    <mergeCell ref="I1:K1"/>
    <mergeCell ref="M1:O1"/>
    <mergeCell ref="Q1:S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L8"/>
  <sheetViews>
    <sheetView zoomScaleNormal="100" workbookViewId="0">
      <selection activeCell="H12" sqref="H12"/>
    </sheetView>
  </sheetViews>
  <sheetFormatPr defaultColWidth="9.140625" defaultRowHeight="12.75"/>
  <cols>
    <col min="1" max="1" width="20.85546875" style="1" bestFit="1" customWidth="1"/>
    <col min="2" max="2" width="4.42578125" style="1" bestFit="1" customWidth="1"/>
    <col min="3" max="3" width="10.140625" style="10" bestFit="1" customWidth="1"/>
    <col min="4" max="6" width="7.5703125" style="9" customWidth="1"/>
    <col min="7" max="7" width="19" style="9" bestFit="1" customWidth="1"/>
    <col min="8" max="8" width="18.7109375" style="10" customWidth="1"/>
    <col min="9" max="11" width="5.5703125" style="9" customWidth="1"/>
    <col min="12" max="12" width="2.140625" style="9" customWidth="1"/>
    <col min="13" max="15" width="5.5703125" style="9" customWidth="1"/>
    <col min="16" max="16" width="2.140625" style="9" customWidth="1"/>
    <col min="17" max="19" width="5.5703125" style="9" customWidth="1"/>
    <col min="20" max="20" width="3.28515625" style="9" customWidth="1"/>
    <col min="21" max="21" width="8" style="7" customWidth="1"/>
    <col min="22" max="22" width="11" style="7" customWidth="1"/>
    <col min="23" max="23" width="15.28515625" style="7" customWidth="1"/>
    <col min="24" max="1026" width="9.140625" style="7"/>
    <col min="1027" max="16384" width="9.140625" style="8"/>
  </cols>
  <sheetData>
    <row r="1" spans="1:23" s="12" customFormat="1" ht="12.75" customHeight="1">
      <c r="A1" s="24" t="s">
        <v>281</v>
      </c>
      <c r="B1" s="24" t="s">
        <v>282</v>
      </c>
      <c r="C1" s="35" t="s">
        <v>392</v>
      </c>
      <c r="D1" s="25" t="s">
        <v>283</v>
      </c>
      <c r="E1" s="29" t="s">
        <v>284</v>
      </c>
      <c r="F1" s="29" t="s">
        <v>395</v>
      </c>
      <c r="G1" s="29" t="s">
        <v>292</v>
      </c>
      <c r="H1" s="24" t="s">
        <v>394</v>
      </c>
      <c r="I1" s="54" t="s">
        <v>319</v>
      </c>
      <c r="J1" s="54"/>
      <c r="K1" s="54"/>
      <c r="L1" s="24"/>
      <c r="M1" s="54" t="s">
        <v>320</v>
      </c>
      <c r="N1" s="54"/>
      <c r="O1" s="54"/>
      <c r="P1" s="24"/>
      <c r="Q1" s="54" t="s">
        <v>321</v>
      </c>
      <c r="R1" s="54"/>
      <c r="S1" s="54"/>
      <c r="T1" s="24"/>
      <c r="U1" s="16" t="s">
        <v>322</v>
      </c>
      <c r="V1" s="16" t="s">
        <v>323</v>
      </c>
      <c r="W1" s="16" t="s">
        <v>399</v>
      </c>
    </row>
    <row r="2" spans="1:23" s="12" customFormat="1" ht="23.25" customHeight="1">
      <c r="A2" s="24"/>
      <c r="B2" s="24"/>
      <c r="C2" s="35"/>
      <c r="D2" s="25"/>
      <c r="E2" s="29"/>
      <c r="F2" s="29"/>
      <c r="G2" s="29"/>
      <c r="H2" s="24"/>
      <c r="I2" s="27">
        <v>1</v>
      </c>
      <c r="J2" s="27">
        <v>2</v>
      </c>
      <c r="K2" s="27">
        <v>3</v>
      </c>
      <c r="L2" s="27">
        <v>4</v>
      </c>
      <c r="M2" s="27" t="s">
        <v>285</v>
      </c>
      <c r="N2" s="27" t="s">
        <v>286</v>
      </c>
      <c r="O2" s="27" t="s">
        <v>287</v>
      </c>
      <c r="P2" s="27" t="s">
        <v>288</v>
      </c>
      <c r="Q2" s="27" t="s">
        <v>285</v>
      </c>
      <c r="R2" s="27" t="s">
        <v>286</v>
      </c>
      <c r="S2" s="27" t="s">
        <v>287</v>
      </c>
      <c r="T2" s="27" t="s">
        <v>288</v>
      </c>
      <c r="U2" s="16"/>
      <c r="V2" s="16"/>
      <c r="W2" s="16"/>
    </row>
    <row r="3" spans="1:23" s="9" customFormat="1">
      <c r="A3" s="2" t="s">
        <v>518</v>
      </c>
      <c r="B3" s="2" t="s">
        <v>289</v>
      </c>
      <c r="C3" s="4" t="s">
        <v>400</v>
      </c>
      <c r="D3" s="3" t="s">
        <v>273</v>
      </c>
      <c r="E3" s="28">
        <v>48</v>
      </c>
      <c r="F3" s="28">
        <v>1</v>
      </c>
      <c r="G3" s="28" t="s">
        <v>293</v>
      </c>
      <c r="H3" s="4" t="s">
        <v>338</v>
      </c>
      <c r="I3" s="3" t="s">
        <v>41</v>
      </c>
      <c r="J3" s="5" t="s">
        <v>162</v>
      </c>
      <c r="K3" s="5" t="s">
        <v>162</v>
      </c>
      <c r="L3" s="5"/>
      <c r="M3" s="5" t="s">
        <v>30</v>
      </c>
      <c r="N3" s="3" t="s">
        <v>30</v>
      </c>
      <c r="O3" s="5" t="s">
        <v>64</v>
      </c>
      <c r="P3" s="5"/>
      <c r="Q3" s="3" t="s">
        <v>99</v>
      </c>
      <c r="R3" s="3" t="s">
        <v>76</v>
      </c>
      <c r="S3" s="3" t="s">
        <v>177</v>
      </c>
      <c r="T3" s="5"/>
      <c r="U3" s="33">
        <v>292.5</v>
      </c>
      <c r="V3" s="3" t="s">
        <v>280</v>
      </c>
      <c r="W3" s="3"/>
    </row>
    <row r="4" spans="1:23">
      <c r="A4" s="2" t="s">
        <v>519</v>
      </c>
      <c r="B4" s="2" t="s">
        <v>289</v>
      </c>
      <c r="C4" s="4" t="s">
        <v>401</v>
      </c>
      <c r="D4" s="3" t="s">
        <v>274</v>
      </c>
      <c r="E4" s="28">
        <v>56</v>
      </c>
      <c r="F4" s="28">
        <v>1</v>
      </c>
      <c r="G4" s="28" t="s">
        <v>293</v>
      </c>
      <c r="H4" s="4" t="s">
        <v>339</v>
      </c>
      <c r="I4" s="3" t="s">
        <v>75</v>
      </c>
      <c r="J4" s="3" t="s">
        <v>177</v>
      </c>
      <c r="K4" s="5" t="s">
        <v>107</v>
      </c>
      <c r="L4" s="5"/>
      <c r="M4" s="3" t="s">
        <v>23</v>
      </c>
      <c r="N4" s="3" t="s">
        <v>125</v>
      </c>
      <c r="O4" s="3" t="s">
        <v>28</v>
      </c>
      <c r="P4" s="5"/>
      <c r="Q4" s="3" t="s">
        <v>85</v>
      </c>
      <c r="R4" s="3" t="s">
        <v>220</v>
      </c>
      <c r="S4" s="3" t="s">
        <v>212</v>
      </c>
      <c r="T4" s="5"/>
      <c r="U4" s="32">
        <v>420</v>
      </c>
      <c r="V4" s="11" t="str">
        <f>"441,0000"</f>
        <v>441,0000</v>
      </c>
      <c r="W4" s="11"/>
    </row>
    <row r="5" spans="1:23">
      <c r="A5" s="2" t="s">
        <v>520</v>
      </c>
      <c r="B5" s="2" t="s">
        <v>289</v>
      </c>
      <c r="C5" s="4" t="s">
        <v>402</v>
      </c>
      <c r="D5" s="3" t="s">
        <v>227</v>
      </c>
      <c r="E5" s="28">
        <v>60</v>
      </c>
      <c r="F5" s="28">
        <v>1</v>
      </c>
      <c r="G5" s="28" t="s">
        <v>293</v>
      </c>
      <c r="H5" s="4" t="s">
        <v>338</v>
      </c>
      <c r="I5" s="3" t="s">
        <v>177</v>
      </c>
      <c r="J5" s="3" t="s">
        <v>107</v>
      </c>
      <c r="K5" s="3" t="s">
        <v>78</v>
      </c>
      <c r="L5" s="5"/>
      <c r="M5" s="3" t="s">
        <v>40</v>
      </c>
      <c r="N5" s="3" t="s">
        <v>161</v>
      </c>
      <c r="O5" s="3" t="s">
        <v>162</v>
      </c>
      <c r="P5" s="5"/>
      <c r="Q5" s="3" t="s">
        <v>183</v>
      </c>
      <c r="R5" s="3" t="s">
        <v>110</v>
      </c>
      <c r="S5" s="5" t="s">
        <v>105</v>
      </c>
      <c r="T5" s="5"/>
      <c r="U5" s="32">
        <v>435</v>
      </c>
      <c r="V5" s="11" t="str">
        <f>"429,6060"</f>
        <v>429,6060</v>
      </c>
      <c r="W5" s="11" t="s">
        <v>275</v>
      </c>
    </row>
    <row r="6" spans="1:23">
      <c r="A6" s="2" t="s">
        <v>521</v>
      </c>
      <c r="B6" s="2" t="s">
        <v>290</v>
      </c>
      <c r="C6" s="4" t="s">
        <v>403</v>
      </c>
      <c r="D6" s="3" t="s">
        <v>276</v>
      </c>
      <c r="E6" s="28">
        <v>75</v>
      </c>
      <c r="F6" s="28">
        <v>1</v>
      </c>
      <c r="G6" s="28" t="s">
        <v>396</v>
      </c>
      <c r="H6" s="4" t="s">
        <v>325</v>
      </c>
      <c r="I6" s="3" t="s">
        <v>75</v>
      </c>
      <c r="J6" s="3" t="s">
        <v>102</v>
      </c>
      <c r="K6" s="3" t="s">
        <v>78</v>
      </c>
      <c r="L6" s="5"/>
      <c r="M6" s="5" t="s">
        <v>126</v>
      </c>
      <c r="N6" s="3" t="s">
        <v>168</v>
      </c>
      <c r="O6" s="5" t="s">
        <v>38</v>
      </c>
      <c r="P6" s="5"/>
      <c r="Q6" s="3" t="s">
        <v>96</v>
      </c>
      <c r="R6" s="3" t="s">
        <v>78</v>
      </c>
      <c r="S6" s="3" t="s">
        <v>82</v>
      </c>
      <c r="T6" s="5"/>
      <c r="U6" s="32">
        <v>405</v>
      </c>
      <c r="V6" s="11" t="str">
        <f>"283,9658"</f>
        <v>283,9658</v>
      </c>
      <c r="W6" s="11"/>
    </row>
    <row r="7" spans="1:23">
      <c r="A7" s="2" t="s">
        <v>522</v>
      </c>
      <c r="B7" s="2" t="s">
        <v>290</v>
      </c>
      <c r="C7" s="4" t="s">
        <v>404</v>
      </c>
      <c r="D7" s="3" t="s">
        <v>277</v>
      </c>
      <c r="E7" s="28">
        <v>100</v>
      </c>
      <c r="F7" s="28">
        <v>1</v>
      </c>
      <c r="G7" s="28" t="s">
        <v>293</v>
      </c>
      <c r="H7" s="4" t="s">
        <v>325</v>
      </c>
      <c r="I7" s="3" t="s">
        <v>117</v>
      </c>
      <c r="J7" s="3" t="s">
        <v>235</v>
      </c>
      <c r="K7" s="3" t="s">
        <v>145</v>
      </c>
      <c r="L7" s="5"/>
      <c r="M7" s="3" t="s">
        <v>78</v>
      </c>
      <c r="N7" s="5" t="s">
        <v>82</v>
      </c>
      <c r="O7" s="3" t="s">
        <v>82</v>
      </c>
      <c r="P7" s="5"/>
      <c r="Q7" s="3" t="s">
        <v>89</v>
      </c>
      <c r="R7" s="3" t="s">
        <v>137</v>
      </c>
      <c r="S7" s="3" t="s">
        <v>141</v>
      </c>
      <c r="T7" s="5"/>
      <c r="U7" s="32">
        <v>627.5</v>
      </c>
      <c r="V7" s="11" t="str">
        <f>"370,6329"</f>
        <v>370,6329</v>
      </c>
      <c r="W7" s="11"/>
    </row>
    <row r="8" spans="1:23">
      <c r="A8" s="2" t="s">
        <v>523</v>
      </c>
      <c r="B8" s="2" t="s">
        <v>290</v>
      </c>
      <c r="C8" s="4" t="s">
        <v>405</v>
      </c>
      <c r="D8" s="3" t="s">
        <v>278</v>
      </c>
      <c r="E8" s="28">
        <v>125</v>
      </c>
      <c r="F8" s="28">
        <v>1</v>
      </c>
      <c r="G8" s="28" t="s">
        <v>293</v>
      </c>
      <c r="H8" s="4" t="s">
        <v>340</v>
      </c>
      <c r="I8" s="3" t="s">
        <v>114</v>
      </c>
      <c r="J8" s="3" t="s">
        <v>279</v>
      </c>
      <c r="K8" s="3" t="s">
        <v>137</v>
      </c>
      <c r="L8" s="5"/>
      <c r="M8" s="3" t="s">
        <v>82</v>
      </c>
      <c r="N8" s="3" t="s">
        <v>103</v>
      </c>
      <c r="O8" s="3" t="s">
        <v>194</v>
      </c>
      <c r="P8" s="5"/>
      <c r="Q8" s="3" t="s">
        <v>131</v>
      </c>
      <c r="R8" s="3" t="s">
        <v>137</v>
      </c>
      <c r="S8" s="3" t="s">
        <v>244</v>
      </c>
      <c r="T8" s="5"/>
      <c r="U8" s="32">
        <v>675</v>
      </c>
      <c r="V8" s="11" t="str">
        <f>"375,6038"</f>
        <v>375,6038</v>
      </c>
      <c r="W8" s="11"/>
    </row>
  </sheetData>
  <mergeCells count="3">
    <mergeCell ref="I1:K1"/>
    <mergeCell ref="M1:O1"/>
    <mergeCell ref="Q1:S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L82"/>
  <sheetViews>
    <sheetView zoomScaleNormal="100" workbookViewId="0">
      <selection activeCell="A2" sqref="A2"/>
    </sheetView>
  </sheetViews>
  <sheetFormatPr defaultColWidth="9.140625" defaultRowHeight="12.75"/>
  <cols>
    <col min="1" max="1" width="24.42578125" style="1" customWidth="1"/>
    <col min="2" max="2" width="4.42578125" style="1" bestFit="1" customWidth="1"/>
    <col min="3" max="3" width="10.140625" style="10" bestFit="1" customWidth="1"/>
    <col min="4" max="5" width="7.5703125" style="9" customWidth="1"/>
    <col min="6" max="6" width="14.7109375" style="10" bestFit="1" customWidth="1"/>
    <col min="7" max="7" width="5.5703125" style="9" customWidth="1"/>
    <col min="8" max="8" width="19" style="10" bestFit="1" customWidth="1"/>
    <col min="9" max="11" width="5.5703125" style="9" customWidth="1"/>
    <col min="12" max="12" width="2.140625" style="9" customWidth="1"/>
    <col min="13" max="13" width="7" style="42" customWidth="1"/>
    <col min="14" max="14" width="10" style="7" customWidth="1"/>
    <col min="15" max="15" width="12.7109375" style="39" bestFit="1" customWidth="1"/>
    <col min="16" max="1026" width="9.140625" style="7"/>
    <col min="1027" max="16384" width="9.140625" style="8"/>
  </cols>
  <sheetData>
    <row r="1" spans="1:15" s="12" customFormat="1" ht="12.75" customHeight="1">
      <c r="A1" s="24" t="s">
        <v>281</v>
      </c>
      <c r="B1" s="24" t="s">
        <v>282</v>
      </c>
      <c r="C1" s="25" t="s">
        <v>392</v>
      </c>
      <c r="D1" s="25" t="s">
        <v>283</v>
      </c>
      <c r="E1" s="25" t="s">
        <v>284</v>
      </c>
      <c r="F1" s="24" t="s">
        <v>394</v>
      </c>
      <c r="G1" s="31" t="s">
        <v>395</v>
      </c>
      <c r="H1" s="24" t="s">
        <v>292</v>
      </c>
      <c r="I1" s="54" t="s">
        <v>320</v>
      </c>
      <c r="J1" s="54"/>
      <c r="K1" s="54"/>
      <c r="L1" s="54"/>
      <c r="M1" s="43" t="s">
        <v>322</v>
      </c>
      <c r="N1" s="16" t="s">
        <v>323</v>
      </c>
      <c r="O1" s="18" t="s">
        <v>399</v>
      </c>
    </row>
    <row r="2" spans="1:15" s="12" customFormat="1" ht="12" customHeight="1">
      <c r="A2" s="24"/>
      <c r="B2" s="24"/>
      <c r="C2" s="25"/>
      <c r="D2" s="25"/>
      <c r="E2" s="25"/>
      <c r="F2" s="24"/>
      <c r="G2" s="31"/>
      <c r="H2" s="24"/>
      <c r="I2" s="44">
        <v>1</v>
      </c>
      <c r="J2" s="44">
        <v>2</v>
      </c>
      <c r="K2" s="44">
        <v>3</v>
      </c>
      <c r="L2" s="44">
        <v>4</v>
      </c>
      <c r="M2" s="43"/>
      <c r="N2" s="16"/>
      <c r="O2" s="18"/>
    </row>
    <row r="3" spans="1:15" s="9" customFormat="1">
      <c r="A3" s="2" t="s">
        <v>554</v>
      </c>
      <c r="B3" s="2" t="s">
        <v>289</v>
      </c>
      <c r="C3" s="4" t="s">
        <v>298</v>
      </c>
      <c r="D3" s="3" t="s">
        <v>91</v>
      </c>
      <c r="E3" s="28">
        <v>48</v>
      </c>
      <c r="F3" s="19" t="s">
        <v>324</v>
      </c>
      <c r="G3" s="28">
        <v>1</v>
      </c>
      <c r="H3" s="19" t="s">
        <v>293</v>
      </c>
      <c r="I3" s="3" t="s">
        <v>30</v>
      </c>
      <c r="J3" s="3" t="s">
        <v>31</v>
      </c>
      <c r="K3" s="3" t="s">
        <v>67</v>
      </c>
      <c r="L3" s="5"/>
      <c r="M3" s="33">
        <v>57.5</v>
      </c>
      <c r="N3" s="3" t="s">
        <v>413</v>
      </c>
      <c r="O3" s="4"/>
    </row>
    <row r="4" spans="1:15" s="9" customFormat="1">
      <c r="A4" s="2" t="s">
        <v>622</v>
      </c>
      <c r="B4" s="2" t="s">
        <v>289</v>
      </c>
      <c r="C4" s="4" t="s">
        <v>688</v>
      </c>
      <c r="D4" s="3" t="s">
        <v>154</v>
      </c>
      <c r="E4" s="28">
        <v>48</v>
      </c>
      <c r="F4" s="4" t="s">
        <v>325</v>
      </c>
      <c r="G4" s="28">
        <v>2</v>
      </c>
      <c r="H4" s="4" t="s">
        <v>293</v>
      </c>
      <c r="I4" s="3" t="s">
        <v>67</v>
      </c>
      <c r="J4" s="5" t="s">
        <v>50</v>
      </c>
      <c r="K4" s="5" t="s">
        <v>50</v>
      </c>
      <c r="L4" s="5"/>
      <c r="M4" s="33">
        <v>57.5</v>
      </c>
      <c r="N4" s="3" t="s">
        <v>414</v>
      </c>
      <c r="O4" s="4"/>
    </row>
    <row r="5" spans="1:15">
      <c r="A5" s="2" t="s">
        <v>623</v>
      </c>
      <c r="B5" s="2" t="s">
        <v>289</v>
      </c>
      <c r="C5" s="4" t="s">
        <v>689</v>
      </c>
      <c r="D5" s="3" t="s">
        <v>155</v>
      </c>
      <c r="E5" s="28">
        <v>52</v>
      </c>
      <c r="F5" s="4" t="s">
        <v>341</v>
      </c>
      <c r="G5" s="28">
        <v>1</v>
      </c>
      <c r="H5" s="4" t="s">
        <v>293</v>
      </c>
      <c r="I5" s="3" t="s">
        <v>67</v>
      </c>
      <c r="J5" s="5" t="s">
        <v>50</v>
      </c>
      <c r="K5" s="5" t="s">
        <v>50</v>
      </c>
      <c r="L5" s="5"/>
      <c r="M5" s="32">
        <v>57.5</v>
      </c>
      <c r="N5" s="11">
        <v>66.09</v>
      </c>
      <c r="O5" s="40"/>
    </row>
    <row r="6" spans="1:15">
      <c r="A6" s="2" t="s">
        <v>624</v>
      </c>
      <c r="B6" s="2" t="s">
        <v>289</v>
      </c>
      <c r="C6" s="4" t="s">
        <v>690</v>
      </c>
      <c r="D6" s="3" t="s">
        <v>156</v>
      </c>
      <c r="E6" s="28">
        <v>56</v>
      </c>
      <c r="F6" s="4" t="s">
        <v>325</v>
      </c>
      <c r="G6" s="28">
        <v>1</v>
      </c>
      <c r="H6" s="4" t="s">
        <v>294</v>
      </c>
      <c r="I6" s="3" t="s">
        <v>50</v>
      </c>
      <c r="J6" s="3" t="s">
        <v>68</v>
      </c>
      <c r="K6" s="5" t="s">
        <v>53</v>
      </c>
      <c r="L6" s="5"/>
      <c r="M6" s="32">
        <v>62.5</v>
      </c>
      <c r="N6" s="11" t="str">
        <f>"68,18"</f>
        <v>68,18</v>
      </c>
      <c r="O6" s="40"/>
    </row>
    <row r="7" spans="1:15">
      <c r="A7" s="2" t="s">
        <v>556</v>
      </c>
      <c r="B7" s="2" t="s">
        <v>289</v>
      </c>
      <c r="C7" s="4" t="s">
        <v>416</v>
      </c>
      <c r="D7" s="3" t="s">
        <v>58</v>
      </c>
      <c r="E7" s="28">
        <v>56</v>
      </c>
      <c r="F7" s="4" t="s">
        <v>325</v>
      </c>
      <c r="G7" s="28">
        <v>1</v>
      </c>
      <c r="H7" s="4" t="s">
        <v>293</v>
      </c>
      <c r="I7" s="3" t="s">
        <v>56</v>
      </c>
      <c r="J7" s="3" t="s">
        <v>25</v>
      </c>
      <c r="K7" s="5" t="s">
        <v>28</v>
      </c>
      <c r="L7" s="5"/>
      <c r="M7" s="32">
        <v>82.5</v>
      </c>
      <c r="N7" s="11" t="s">
        <v>415</v>
      </c>
      <c r="O7" s="40"/>
    </row>
    <row r="8" spans="1:15">
      <c r="A8" s="2" t="s">
        <v>625</v>
      </c>
      <c r="B8" s="2" t="s">
        <v>289</v>
      </c>
      <c r="C8" s="4" t="s">
        <v>691</v>
      </c>
      <c r="D8" s="3" t="s">
        <v>157</v>
      </c>
      <c r="E8" s="28">
        <v>56</v>
      </c>
      <c r="F8" s="4" t="s">
        <v>325</v>
      </c>
      <c r="G8" s="3"/>
      <c r="H8" s="4" t="s">
        <v>296</v>
      </c>
      <c r="I8" s="5" t="s">
        <v>67</v>
      </c>
      <c r="J8" s="34">
        <v>0</v>
      </c>
      <c r="K8" s="34">
        <v>0</v>
      </c>
      <c r="L8" s="5"/>
      <c r="M8" s="32">
        <v>0</v>
      </c>
      <c r="N8" s="11">
        <v>0</v>
      </c>
      <c r="O8" s="40"/>
    </row>
    <row r="9" spans="1:15">
      <c r="A9" s="2" t="s">
        <v>604</v>
      </c>
      <c r="B9" s="2" t="s">
        <v>289</v>
      </c>
      <c r="C9" s="4" t="s">
        <v>300</v>
      </c>
      <c r="D9" s="3" t="s">
        <v>158</v>
      </c>
      <c r="E9" s="28">
        <v>60</v>
      </c>
      <c r="F9" s="4" t="s">
        <v>326</v>
      </c>
      <c r="G9" s="28">
        <v>1</v>
      </c>
      <c r="H9" s="4" t="s">
        <v>295</v>
      </c>
      <c r="I9" s="3" t="s">
        <v>31</v>
      </c>
      <c r="J9" s="5" t="s">
        <v>67</v>
      </c>
      <c r="K9" s="5" t="s">
        <v>67</v>
      </c>
      <c r="L9" s="5"/>
      <c r="M9" s="32">
        <v>55</v>
      </c>
      <c r="N9" s="11" t="str">
        <f>"56,7655"</f>
        <v>56,7655</v>
      </c>
      <c r="O9" s="40"/>
    </row>
    <row r="10" spans="1:15">
      <c r="A10" s="2" t="s">
        <v>626</v>
      </c>
      <c r="B10" s="2" t="s">
        <v>289</v>
      </c>
      <c r="C10" s="4" t="s">
        <v>692</v>
      </c>
      <c r="D10" s="3" t="s">
        <v>159</v>
      </c>
      <c r="E10" s="28">
        <v>60</v>
      </c>
      <c r="F10" s="4" t="s">
        <v>325</v>
      </c>
      <c r="G10" s="28">
        <v>1</v>
      </c>
      <c r="H10" s="4" t="s">
        <v>293</v>
      </c>
      <c r="I10" s="3" t="s">
        <v>53</v>
      </c>
      <c r="J10" s="5" t="s">
        <v>33</v>
      </c>
      <c r="K10" s="3" t="s">
        <v>33</v>
      </c>
      <c r="L10" s="5"/>
      <c r="M10" s="32">
        <v>70</v>
      </c>
      <c r="N10" s="11" t="str">
        <f>"71,0430"</f>
        <v>71,0430</v>
      </c>
      <c r="O10" s="40"/>
    </row>
    <row r="11" spans="1:15">
      <c r="A11" s="2" t="s">
        <v>627</v>
      </c>
      <c r="B11" s="2" t="s">
        <v>289</v>
      </c>
      <c r="C11" s="4" t="s">
        <v>693</v>
      </c>
      <c r="D11" s="3" t="s">
        <v>160</v>
      </c>
      <c r="E11" s="28">
        <v>67.5</v>
      </c>
      <c r="F11" s="4" t="s">
        <v>325</v>
      </c>
      <c r="G11" s="28">
        <v>1</v>
      </c>
      <c r="H11" s="4" t="s">
        <v>293</v>
      </c>
      <c r="I11" s="3" t="s">
        <v>161</v>
      </c>
      <c r="J11" s="3" t="s">
        <v>162</v>
      </c>
      <c r="K11" s="3" t="s">
        <v>98</v>
      </c>
      <c r="L11" s="5"/>
      <c r="M11" s="32">
        <v>110</v>
      </c>
      <c r="N11" s="11" t="str">
        <f>"104,6210"</f>
        <v>104,6210</v>
      </c>
      <c r="O11" s="40"/>
    </row>
    <row r="12" spans="1:15">
      <c r="A12" s="2" t="s">
        <v>628</v>
      </c>
      <c r="B12" s="2" t="s">
        <v>289</v>
      </c>
      <c r="C12" s="4" t="s">
        <v>694</v>
      </c>
      <c r="D12" s="3" t="s">
        <v>163</v>
      </c>
      <c r="E12" s="28">
        <v>67.5</v>
      </c>
      <c r="F12" s="4" t="s">
        <v>325</v>
      </c>
      <c r="G12" s="28">
        <v>2</v>
      </c>
      <c r="H12" s="4" t="s">
        <v>293</v>
      </c>
      <c r="I12" s="3" t="s">
        <v>33</v>
      </c>
      <c r="J12" s="3" t="s">
        <v>23</v>
      </c>
      <c r="K12" s="5" t="s">
        <v>125</v>
      </c>
      <c r="L12" s="5"/>
      <c r="M12" s="32">
        <v>75</v>
      </c>
      <c r="N12" s="11" t="str">
        <f>"68,5875"</f>
        <v>68,5875</v>
      </c>
      <c r="O12" s="40"/>
    </row>
    <row r="13" spans="1:15">
      <c r="A13" s="2" t="s">
        <v>629</v>
      </c>
      <c r="B13" s="2" t="s">
        <v>289</v>
      </c>
      <c r="C13" s="4" t="s">
        <v>695</v>
      </c>
      <c r="D13" s="3" t="s">
        <v>164</v>
      </c>
      <c r="E13" s="28">
        <v>67.5</v>
      </c>
      <c r="F13" s="4" t="s">
        <v>325</v>
      </c>
      <c r="G13" s="28">
        <v>3</v>
      </c>
      <c r="H13" s="4" t="s">
        <v>293</v>
      </c>
      <c r="I13" s="5" t="s">
        <v>55</v>
      </c>
      <c r="J13" s="3" t="s">
        <v>55</v>
      </c>
      <c r="K13" s="5" t="s">
        <v>23</v>
      </c>
      <c r="L13" s="5"/>
      <c r="M13" s="32">
        <v>72.5</v>
      </c>
      <c r="N13" s="11" t="str">
        <f>"68,0086"</f>
        <v>68,0086</v>
      </c>
      <c r="O13" s="40"/>
    </row>
    <row r="14" spans="1:15">
      <c r="A14" s="2" t="s">
        <v>630</v>
      </c>
      <c r="B14" s="2" t="s">
        <v>289</v>
      </c>
      <c r="C14" s="4" t="s">
        <v>696</v>
      </c>
      <c r="D14" s="3" t="s">
        <v>165</v>
      </c>
      <c r="E14" s="28">
        <v>67.5</v>
      </c>
      <c r="F14" s="4" t="s">
        <v>325</v>
      </c>
      <c r="G14" s="28">
        <v>4</v>
      </c>
      <c r="H14" s="4" t="s">
        <v>293</v>
      </c>
      <c r="I14" s="3" t="s">
        <v>31</v>
      </c>
      <c r="J14" s="3" t="s">
        <v>50</v>
      </c>
      <c r="K14" s="5" t="s">
        <v>53</v>
      </c>
      <c r="L14" s="5"/>
      <c r="M14" s="32">
        <v>60</v>
      </c>
      <c r="N14" s="11" t="str">
        <f>"57,8700"</f>
        <v>57,8700</v>
      </c>
      <c r="O14" s="40"/>
    </row>
    <row r="15" spans="1:15">
      <c r="A15" s="2" t="s">
        <v>558</v>
      </c>
      <c r="B15" s="2" t="s">
        <v>289</v>
      </c>
      <c r="C15" s="4" t="s">
        <v>417</v>
      </c>
      <c r="D15" s="3" t="s">
        <v>100</v>
      </c>
      <c r="E15" s="28">
        <v>67.5</v>
      </c>
      <c r="F15" s="4" t="s">
        <v>325</v>
      </c>
      <c r="G15" s="3"/>
      <c r="H15" s="4" t="s">
        <v>297</v>
      </c>
      <c r="I15" s="5" t="s">
        <v>38</v>
      </c>
      <c r="J15" s="34">
        <v>0</v>
      </c>
      <c r="K15" s="34">
        <v>0</v>
      </c>
      <c r="L15" s="5"/>
      <c r="M15" s="32">
        <v>0</v>
      </c>
      <c r="N15" s="11">
        <v>0</v>
      </c>
      <c r="O15" s="40"/>
    </row>
    <row r="16" spans="1:15">
      <c r="A16" s="2" t="s">
        <v>631</v>
      </c>
      <c r="B16" s="2" t="s">
        <v>289</v>
      </c>
      <c r="C16" s="4" t="s">
        <v>697</v>
      </c>
      <c r="D16" s="3" t="s">
        <v>166</v>
      </c>
      <c r="E16" s="28">
        <v>67.5</v>
      </c>
      <c r="F16" s="4" t="s">
        <v>325</v>
      </c>
      <c r="G16" s="28">
        <v>1</v>
      </c>
      <c r="H16" s="4" t="s">
        <v>296</v>
      </c>
      <c r="I16" s="3" t="s">
        <v>62</v>
      </c>
      <c r="J16" s="5" t="s">
        <v>30</v>
      </c>
      <c r="K16" s="5" t="s">
        <v>64</v>
      </c>
      <c r="L16" s="5"/>
      <c r="M16" s="32">
        <v>45</v>
      </c>
      <c r="N16" s="11" t="str">
        <f>"45,8578"</f>
        <v>45,8578</v>
      </c>
      <c r="O16" s="40"/>
    </row>
    <row r="17" spans="1:15">
      <c r="A17" s="2" t="s">
        <v>609</v>
      </c>
      <c r="B17" s="2" t="s">
        <v>289</v>
      </c>
      <c r="C17" s="4" t="s">
        <v>305</v>
      </c>
      <c r="D17" s="3" t="s">
        <v>167</v>
      </c>
      <c r="E17" s="28">
        <v>75</v>
      </c>
      <c r="F17" s="4" t="s">
        <v>326</v>
      </c>
      <c r="G17" s="28">
        <v>1</v>
      </c>
      <c r="H17" s="4" t="s">
        <v>293</v>
      </c>
      <c r="I17" s="5" t="s">
        <v>30</v>
      </c>
      <c r="J17" s="3" t="s">
        <v>30</v>
      </c>
      <c r="K17" s="5" t="s">
        <v>67</v>
      </c>
      <c r="L17" s="5"/>
      <c r="M17" s="32">
        <v>50</v>
      </c>
      <c r="N17" s="11" t="str">
        <f>"43,4350"</f>
        <v>43,4350</v>
      </c>
      <c r="O17" s="40"/>
    </row>
    <row r="18" spans="1:15">
      <c r="A18" s="2" t="s">
        <v>578</v>
      </c>
      <c r="B18" s="2" t="s">
        <v>289</v>
      </c>
      <c r="C18" s="4" t="s">
        <v>418</v>
      </c>
      <c r="D18" s="3" t="s">
        <v>59</v>
      </c>
      <c r="E18" s="28">
        <v>75</v>
      </c>
      <c r="F18" s="4" t="s">
        <v>325</v>
      </c>
      <c r="G18" s="28">
        <v>1</v>
      </c>
      <c r="H18" s="4" t="s">
        <v>423</v>
      </c>
      <c r="I18" s="3" t="s">
        <v>36</v>
      </c>
      <c r="J18" s="3" t="s">
        <v>152</v>
      </c>
      <c r="K18" s="3" t="s">
        <v>168</v>
      </c>
      <c r="L18" s="5"/>
      <c r="M18" s="32">
        <v>95</v>
      </c>
      <c r="N18" s="11" t="str">
        <f>"102,6137"</f>
        <v>102,6137</v>
      </c>
      <c r="O18" s="40"/>
    </row>
    <row r="19" spans="1:15">
      <c r="A19" s="2" t="s">
        <v>632</v>
      </c>
      <c r="B19" s="2" t="s">
        <v>290</v>
      </c>
      <c r="C19" s="4" t="s">
        <v>698</v>
      </c>
      <c r="D19" s="3" t="s">
        <v>169</v>
      </c>
      <c r="E19" s="28">
        <v>60</v>
      </c>
      <c r="F19" s="4" t="s">
        <v>325</v>
      </c>
      <c r="G19" s="28">
        <v>1</v>
      </c>
      <c r="H19" s="4" t="s">
        <v>294</v>
      </c>
      <c r="I19" s="3" t="s">
        <v>126</v>
      </c>
      <c r="J19" s="5" t="s">
        <v>168</v>
      </c>
      <c r="K19" s="5" t="s">
        <v>40</v>
      </c>
      <c r="L19" s="5"/>
      <c r="M19" s="32">
        <v>90</v>
      </c>
      <c r="N19" s="11" t="str">
        <f>"75,9555"</f>
        <v>75,9555</v>
      </c>
      <c r="O19" s="40"/>
    </row>
    <row r="20" spans="1:15">
      <c r="A20" s="2" t="s">
        <v>633</v>
      </c>
      <c r="B20" s="2" t="s">
        <v>290</v>
      </c>
      <c r="C20" s="4" t="s">
        <v>699</v>
      </c>
      <c r="D20" s="3" t="s">
        <v>65</v>
      </c>
      <c r="E20" s="28">
        <v>67.5</v>
      </c>
      <c r="F20" s="4" t="s">
        <v>342</v>
      </c>
      <c r="G20" s="28">
        <v>1</v>
      </c>
      <c r="H20" s="4" t="s">
        <v>293</v>
      </c>
      <c r="I20" s="3" t="s">
        <v>96</v>
      </c>
      <c r="J20" s="3" t="s">
        <v>107</v>
      </c>
      <c r="K20" s="5" t="s">
        <v>78</v>
      </c>
      <c r="L20" s="5"/>
      <c r="M20" s="32">
        <v>145</v>
      </c>
      <c r="N20" s="11" t="str">
        <f>"108,5180"</f>
        <v>108,5180</v>
      </c>
      <c r="O20" s="40"/>
    </row>
    <row r="21" spans="1:15">
      <c r="A21" s="2" t="s">
        <v>634</v>
      </c>
      <c r="B21" s="2" t="s">
        <v>290</v>
      </c>
      <c r="C21" s="4" t="s">
        <v>700</v>
      </c>
      <c r="D21" s="3" t="s">
        <v>65</v>
      </c>
      <c r="E21" s="28">
        <v>67.5</v>
      </c>
      <c r="F21" s="4" t="s">
        <v>325</v>
      </c>
      <c r="G21" s="28">
        <v>2</v>
      </c>
      <c r="H21" s="4" t="s">
        <v>293</v>
      </c>
      <c r="I21" s="3" t="s">
        <v>73</v>
      </c>
      <c r="J21" s="3" t="s">
        <v>170</v>
      </c>
      <c r="K21" s="3" t="s">
        <v>74</v>
      </c>
      <c r="L21" s="5"/>
      <c r="M21" s="32">
        <v>125</v>
      </c>
      <c r="N21" s="11" t="str">
        <f>"93,5500"</f>
        <v>93,5500</v>
      </c>
      <c r="O21" s="40"/>
    </row>
    <row r="22" spans="1:15">
      <c r="A22" s="2" t="s">
        <v>635</v>
      </c>
      <c r="B22" s="2" t="s">
        <v>290</v>
      </c>
      <c r="C22" s="4" t="s">
        <v>701</v>
      </c>
      <c r="D22" s="3" t="s">
        <v>171</v>
      </c>
      <c r="E22" s="28">
        <v>67.5</v>
      </c>
      <c r="F22" s="4" t="s">
        <v>325</v>
      </c>
      <c r="G22" s="28">
        <v>3</v>
      </c>
      <c r="H22" s="4" t="s">
        <v>293</v>
      </c>
      <c r="I22" s="3" t="s">
        <v>98</v>
      </c>
      <c r="J22" s="5" t="s">
        <v>172</v>
      </c>
      <c r="K22" s="5" t="s">
        <v>172</v>
      </c>
      <c r="L22" s="5"/>
      <c r="M22" s="32">
        <v>110</v>
      </c>
      <c r="N22" s="11" t="str">
        <f>"84,6010"</f>
        <v>84,6010</v>
      </c>
      <c r="O22" s="40"/>
    </row>
    <row r="23" spans="1:15">
      <c r="A23" s="2" t="s">
        <v>581</v>
      </c>
      <c r="B23" s="2" t="s">
        <v>290</v>
      </c>
      <c r="C23" s="4" t="s">
        <v>419</v>
      </c>
      <c r="D23" s="3" t="s">
        <v>66</v>
      </c>
      <c r="E23" s="28">
        <v>75</v>
      </c>
      <c r="F23" s="4" t="s">
        <v>325</v>
      </c>
      <c r="G23" s="28">
        <v>1</v>
      </c>
      <c r="H23" s="4" t="s">
        <v>293</v>
      </c>
      <c r="I23" s="3" t="s">
        <v>73</v>
      </c>
      <c r="J23" s="5" t="s">
        <v>173</v>
      </c>
      <c r="K23" s="3" t="s">
        <v>173</v>
      </c>
      <c r="L23" s="5"/>
      <c r="M23" s="32">
        <v>120</v>
      </c>
      <c r="N23" s="11" t="str">
        <f>"82,6260"</f>
        <v>82,6260</v>
      </c>
      <c r="O23" s="40"/>
    </row>
    <row r="24" spans="1:15">
      <c r="A24" s="2" t="s">
        <v>636</v>
      </c>
      <c r="B24" s="2" t="s">
        <v>290</v>
      </c>
      <c r="C24" s="4" t="s">
        <v>702</v>
      </c>
      <c r="D24" s="3" t="s">
        <v>174</v>
      </c>
      <c r="E24" s="28">
        <v>75</v>
      </c>
      <c r="F24" s="4" t="s">
        <v>343</v>
      </c>
      <c r="G24" s="28">
        <v>1</v>
      </c>
      <c r="H24" s="4" t="s">
        <v>293</v>
      </c>
      <c r="I24" s="3" t="s">
        <v>75</v>
      </c>
      <c r="J24" s="3" t="s">
        <v>76</v>
      </c>
      <c r="K24" s="3" t="s">
        <v>96</v>
      </c>
      <c r="L24" s="5"/>
      <c r="M24" s="32">
        <v>140</v>
      </c>
      <c r="N24" s="11" t="str">
        <f>"96,5860"</f>
        <v>96,5860</v>
      </c>
      <c r="O24" s="40"/>
    </row>
    <row r="25" spans="1:15">
      <c r="A25" s="2" t="s">
        <v>637</v>
      </c>
      <c r="B25" s="2" t="s">
        <v>290</v>
      </c>
      <c r="C25" s="4" t="s">
        <v>703</v>
      </c>
      <c r="D25" s="3" t="s">
        <v>175</v>
      </c>
      <c r="E25" s="28">
        <v>75</v>
      </c>
      <c r="F25" s="4" t="s">
        <v>325</v>
      </c>
      <c r="G25" s="28">
        <v>2</v>
      </c>
      <c r="H25" s="4" t="s">
        <v>293</v>
      </c>
      <c r="I25" s="3" t="s">
        <v>76</v>
      </c>
      <c r="J25" s="5" t="s">
        <v>96</v>
      </c>
      <c r="K25" s="34">
        <v>0</v>
      </c>
      <c r="L25" s="5"/>
      <c r="M25" s="32">
        <v>135</v>
      </c>
      <c r="N25" s="11" t="str">
        <f>"94,8578"</f>
        <v>94,8578</v>
      </c>
      <c r="O25" s="40"/>
    </row>
    <row r="26" spans="1:15">
      <c r="A26" s="2" t="s">
        <v>638</v>
      </c>
      <c r="B26" s="2" t="s">
        <v>290</v>
      </c>
      <c r="C26" s="4" t="s">
        <v>704</v>
      </c>
      <c r="D26" s="3" t="s">
        <v>176</v>
      </c>
      <c r="E26" s="28">
        <v>75</v>
      </c>
      <c r="F26" s="4" t="s">
        <v>325</v>
      </c>
      <c r="G26" s="28">
        <v>3</v>
      </c>
      <c r="H26" s="4" t="s">
        <v>293</v>
      </c>
      <c r="I26" s="3" t="s">
        <v>75</v>
      </c>
      <c r="J26" s="3" t="s">
        <v>76</v>
      </c>
      <c r="K26" s="5" t="s">
        <v>177</v>
      </c>
      <c r="L26" s="5"/>
      <c r="M26" s="32">
        <v>135</v>
      </c>
      <c r="N26" s="11" t="str">
        <f>"93,8858"</f>
        <v>93,8858</v>
      </c>
      <c r="O26" s="40"/>
    </row>
    <row r="27" spans="1:15">
      <c r="A27" s="2" t="s">
        <v>639</v>
      </c>
      <c r="B27" s="2" t="s">
        <v>290</v>
      </c>
      <c r="C27" s="4" t="s">
        <v>705</v>
      </c>
      <c r="D27" s="3" t="s">
        <v>178</v>
      </c>
      <c r="E27" s="28">
        <v>75</v>
      </c>
      <c r="F27" s="4" t="s">
        <v>325</v>
      </c>
      <c r="G27" s="28">
        <v>4</v>
      </c>
      <c r="H27" s="4" t="s">
        <v>293</v>
      </c>
      <c r="I27" s="3" t="s">
        <v>92</v>
      </c>
      <c r="J27" s="5" t="s">
        <v>73</v>
      </c>
      <c r="K27" s="34">
        <v>0</v>
      </c>
      <c r="L27" s="5"/>
      <c r="M27" s="32">
        <v>112.5</v>
      </c>
      <c r="N27" s="11" t="str">
        <f>"78,4744"</f>
        <v>78,4744</v>
      </c>
      <c r="O27" s="40"/>
    </row>
    <row r="28" spans="1:15">
      <c r="A28" s="2" t="s">
        <v>640</v>
      </c>
      <c r="B28" s="2" t="s">
        <v>290</v>
      </c>
      <c r="C28" s="4" t="s">
        <v>706</v>
      </c>
      <c r="D28" s="3" t="s">
        <v>179</v>
      </c>
      <c r="E28" s="28">
        <v>75</v>
      </c>
      <c r="F28" s="4" t="s">
        <v>325</v>
      </c>
      <c r="G28" s="3"/>
      <c r="H28" s="4" t="s">
        <v>293</v>
      </c>
      <c r="I28" s="5" t="s">
        <v>173</v>
      </c>
      <c r="J28" s="5" t="s">
        <v>99</v>
      </c>
      <c r="K28" s="5" t="s">
        <v>75</v>
      </c>
      <c r="L28" s="5"/>
      <c r="M28" s="32">
        <v>0</v>
      </c>
      <c r="N28" s="11">
        <v>0</v>
      </c>
      <c r="O28" s="40"/>
    </row>
    <row r="29" spans="1:15">
      <c r="A29" s="2" t="s">
        <v>637</v>
      </c>
      <c r="B29" s="2" t="s">
        <v>290</v>
      </c>
      <c r="C29" s="4" t="s">
        <v>703</v>
      </c>
      <c r="D29" s="3" t="s">
        <v>175</v>
      </c>
      <c r="E29" s="28">
        <v>75</v>
      </c>
      <c r="F29" s="4" t="s">
        <v>325</v>
      </c>
      <c r="G29" s="28">
        <v>1</v>
      </c>
      <c r="H29" s="4" t="s">
        <v>423</v>
      </c>
      <c r="I29" s="3" t="s">
        <v>76</v>
      </c>
      <c r="J29" s="5" t="s">
        <v>96</v>
      </c>
      <c r="K29" s="34">
        <v>0</v>
      </c>
      <c r="L29" s="5"/>
      <c r="M29" s="32">
        <v>135</v>
      </c>
      <c r="N29" s="11" t="str">
        <f>"116,2007"</f>
        <v>116,2007</v>
      </c>
      <c r="O29" s="40"/>
    </row>
    <row r="30" spans="1:15">
      <c r="A30" s="2" t="s">
        <v>641</v>
      </c>
      <c r="B30" s="2" t="s">
        <v>290</v>
      </c>
      <c r="C30" s="4" t="s">
        <v>707</v>
      </c>
      <c r="D30" s="3" t="s">
        <v>180</v>
      </c>
      <c r="E30" s="28">
        <v>82.5</v>
      </c>
      <c r="F30" s="4" t="s">
        <v>344</v>
      </c>
      <c r="G30" s="28">
        <v>1</v>
      </c>
      <c r="H30" s="4" t="s">
        <v>426</v>
      </c>
      <c r="I30" s="3" t="s">
        <v>92</v>
      </c>
      <c r="J30" s="3" t="s">
        <v>73</v>
      </c>
      <c r="K30" s="5" t="s">
        <v>173</v>
      </c>
      <c r="L30" s="5"/>
      <c r="M30" s="32">
        <v>117.5</v>
      </c>
      <c r="N30" s="11" t="str">
        <f>"76,4690"</f>
        <v>76,4690</v>
      </c>
      <c r="O30" s="40"/>
    </row>
    <row r="31" spans="1:15">
      <c r="A31" s="2" t="s">
        <v>642</v>
      </c>
      <c r="B31" s="2" t="s">
        <v>290</v>
      </c>
      <c r="C31" s="4" t="s">
        <v>708</v>
      </c>
      <c r="D31" s="3" t="s">
        <v>69</v>
      </c>
      <c r="E31" s="28">
        <v>82.5</v>
      </c>
      <c r="F31" s="4" t="s">
        <v>325</v>
      </c>
      <c r="G31" s="28">
        <v>1</v>
      </c>
      <c r="H31" s="4" t="s">
        <v>294</v>
      </c>
      <c r="I31" s="3" t="s">
        <v>162</v>
      </c>
      <c r="J31" s="5" t="s">
        <v>98</v>
      </c>
      <c r="K31" s="5" t="s">
        <v>98</v>
      </c>
      <c r="L31" s="5"/>
      <c r="M31" s="32">
        <v>107.5</v>
      </c>
      <c r="N31" s="11" t="str">
        <f>"69,6815"</f>
        <v>69,6815</v>
      </c>
      <c r="O31" s="40" t="s">
        <v>181</v>
      </c>
    </row>
    <row r="32" spans="1:15">
      <c r="A32" s="2" t="s">
        <v>643</v>
      </c>
      <c r="B32" s="2" t="s">
        <v>290</v>
      </c>
      <c r="C32" s="4" t="s">
        <v>709</v>
      </c>
      <c r="D32" s="3" t="s">
        <v>182</v>
      </c>
      <c r="E32" s="28">
        <v>82.5</v>
      </c>
      <c r="F32" s="4" t="s">
        <v>325</v>
      </c>
      <c r="G32" s="28">
        <v>1</v>
      </c>
      <c r="H32" s="4" t="s">
        <v>293</v>
      </c>
      <c r="I32" s="3" t="s">
        <v>82</v>
      </c>
      <c r="J32" s="5" t="s">
        <v>183</v>
      </c>
      <c r="K32" s="5" t="s">
        <v>183</v>
      </c>
      <c r="L32" s="5"/>
      <c r="M32" s="32">
        <v>160</v>
      </c>
      <c r="N32" s="11" t="str">
        <f>"103,3840"</f>
        <v>103,3840</v>
      </c>
      <c r="O32" s="40"/>
    </row>
    <row r="33" spans="1:15">
      <c r="A33" s="2" t="s">
        <v>644</v>
      </c>
      <c r="B33" s="2" t="s">
        <v>290</v>
      </c>
      <c r="C33" s="4" t="s">
        <v>710</v>
      </c>
      <c r="D33" s="3" t="s">
        <v>184</v>
      </c>
      <c r="E33" s="28">
        <v>82.5</v>
      </c>
      <c r="F33" s="4" t="s">
        <v>327</v>
      </c>
      <c r="G33" s="28">
        <v>2</v>
      </c>
      <c r="H33" s="4" t="s">
        <v>293</v>
      </c>
      <c r="I33" s="3" t="s">
        <v>78</v>
      </c>
      <c r="J33" s="3" t="s">
        <v>94</v>
      </c>
      <c r="K33" s="3" t="s">
        <v>95</v>
      </c>
      <c r="L33" s="5"/>
      <c r="M33" s="32">
        <v>157.5</v>
      </c>
      <c r="N33" s="11" t="str">
        <f>"102,7451"</f>
        <v>102,7451</v>
      </c>
      <c r="O33" s="40"/>
    </row>
    <row r="34" spans="1:15">
      <c r="A34" s="2" t="s">
        <v>645</v>
      </c>
      <c r="B34" s="2" t="s">
        <v>290</v>
      </c>
      <c r="C34" s="4" t="s">
        <v>711</v>
      </c>
      <c r="D34" s="3" t="s">
        <v>24</v>
      </c>
      <c r="E34" s="28">
        <v>82.5</v>
      </c>
      <c r="F34" s="4" t="s">
        <v>325</v>
      </c>
      <c r="G34" s="28">
        <v>3</v>
      </c>
      <c r="H34" s="4" t="s">
        <v>293</v>
      </c>
      <c r="I34" s="3" t="s">
        <v>75</v>
      </c>
      <c r="J34" s="3" t="s">
        <v>177</v>
      </c>
      <c r="K34" s="5" t="s">
        <v>107</v>
      </c>
      <c r="L34" s="5"/>
      <c r="M34" s="32">
        <v>137.5</v>
      </c>
      <c r="N34" s="11" t="str">
        <f>"89,1962"</f>
        <v>89,1962</v>
      </c>
      <c r="O34" s="40"/>
    </row>
    <row r="35" spans="1:15">
      <c r="A35" s="2" t="s">
        <v>646</v>
      </c>
      <c r="B35" s="2" t="s">
        <v>290</v>
      </c>
      <c r="C35" s="4" t="s">
        <v>712</v>
      </c>
      <c r="D35" s="3" t="s">
        <v>24</v>
      </c>
      <c r="E35" s="28">
        <v>82.5</v>
      </c>
      <c r="F35" s="4" t="s">
        <v>325</v>
      </c>
      <c r="G35" s="28">
        <v>4</v>
      </c>
      <c r="H35" s="4" t="s">
        <v>293</v>
      </c>
      <c r="I35" s="3" t="s">
        <v>177</v>
      </c>
      <c r="J35" s="5" t="s">
        <v>102</v>
      </c>
      <c r="K35" s="5" t="s">
        <v>107</v>
      </c>
      <c r="L35" s="5"/>
      <c r="M35" s="32">
        <v>137.5</v>
      </c>
      <c r="N35" s="11" t="str">
        <f>"89,1962"</f>
        <v>89,1962</v>
      </c>
      <c r="O35" s="40"/>
    </row>
    <row r="36" spans="1:15">
      <c r="A36" s="2" t="s">
        <v>647</v>
      </c>
      <c r="B36" s="2" t="s">
        <v>290</v>
      </c>
      <c r="C36" s="4" t="s">
        <v>713</v>
      </c>
      <c r="D36" s="3" t="s">
        <v>185</v>
      </c>
      <c r="E36" s="28">
        <v>82.5</v>
      </c>
      <c r="F36" s="4" t="s">
        <v>345</v>
      </c>
      <c r="G36" s="28">
        <v>5</v>
      </c>
      <c r="H36" s="4" t="s">
        <v>293</v>
      </c>
      <c r="I36" s="3" t="s">
        <v>173</v>
      </c>
      <c r="J36" s="3" t="s">
        <v>99</v>
      </c>
      <c r="K36" s="3" t="s">
        <v>75</v>
      </c>
      <c r="L36" s="5"/>
      <c r="M36" s="32">
        <v>130</v>
      </c>
      <c r="N36" s="11" t="str">
        <f>"84,6690"</f>
        <v>84,6690</v>
      </c>
      <c r="O36" s="40"/>
    </row>
    <row r="37" spans="1:15">
      <c r="A37" s="2" t="s">
        <v>614</v>
      </c>
      <c r="B37" s="2" t="s">
        <v>290</v>
      </c>
      <c r="C37" s="4" t="s">
        <v>311</v>
      </c>
      <c r="D37" s="3" t="s">
        <v>186</v>
      </c>
      <c r="E37" s="28">
        <v>82.5</v>
      </c>
      <c r="F37" s="4" t="s">
        <v>326</v>
      </c>
      <c r="G37" s="28">
        <v>6</v>
      </c>
      <c r="H37" s="4" t="s">
        <v>293</v>
      </c>
      <c r="I37" s="3" t="s">
        <v>98</v>
      </c>
      <c r="J37" s="5" t="s">
        <v>173</v>
      </c>
      <c r="K37" s="3" t="s">
        <v>173</v>
      </c>
      <c r="L37" s="5"/>
      <c r="M37" s="32">
        <v>120</v>
      </c>
      <c r="N37" s="11" t="str">
        <f>"79,6200"</f>
        <v>79,6200</v>
      </c>
      <c r="O37" s="40"/>
    </row>
    <row r="38" spans="1:15">
      <c r="A38" s="2" t="s">
        <v>648</v>
      </c>
      <c r="B38" s="2" t="s">
        <v>290</v>
      </c>
      <c r="C38" s="4" t="s">
        <v>714</v>
      </c>
      <c r="D38" s="3" t="s">
        <v>187</v>
      </c>
      <c r="E38" s="28">
        <v>82.5</v>
      </c>
      <c r="F38" s="4" t="s">
        <v>344</v>
      </c>
      <c r="G38" s="28">
        <v>7</v>
      </c>
      <c r="H38" s="4" t="s">
        <v>293</v>
      </c>
      <c r="I38" s="3" t="s">
        <v>92</v>
      </c>
      <c r="J38" s="3" t="s">
        <v>73</v>
      </c>
      <c r="K38" s="5" t="s">
        <v>173</v>
      </c>
      <c r="L38" s="5"/>
      <c r="M38" s="32">
        <v>117.5</v>
      </c>
      <c r="N38" s="11" t="str">
        <f>"77,6205"</f>
        <v>77,6205</v>
      </c>
      <c r="O38" s="40"/>
    </row>
    <row r="39" spans="1:15">
      <c r="A39" s="2" t="s">
        <v>649</v>
      </c>
      <c r="B39" s="2" t="s">
        <v>290</v>
      </c>
      <c r="C39" s="4" t="s">
        <v>715</v>
      </c>
      <c r="D39" s="3" t="s">
        <v>81</v>
      </c>
      <c r="E39" s="28">
        <v>82.5</v>
      </c>
      <c r="F39" s="4" t="s">
        <v>325</v>
      </c>
      <c r="G39" s="3"/>
      <c r="H39" s="4" t="s">
        <v>297</v>
      </c>
      <c r="I39" s="5" t="s">
        <v>36</v>
      </c>
      <c r="J39" s="5" t="s">
        <v>36</v>
      </c>
      <c r="K39" s="5" t="s">
        <v>36</v>
      </c>
      <c r="L39" s="5"/>
      <c r="M39" s="32">
        <v>0</v>
      </c>
      <c r="N39" s="11">
        <v>0</v>
      </c>
      <c r="O39" s="40"/>
    </row>
    <row r="40" spans="1:15">
      <c r="A40" s="2" t="s">
        <v>650</v>
      </c>
      <c r="B40" s="2" t="s">
        <v>290</v>
      </c>
      <c r="C40" s="4" t="s">
        <v>716</v>
      </c>
      <c r="D40" s="3" t="s">
        <v>113</v>
      </c>
      <c r="E40" s="28">
        <v>82.5</v>
      </c>
      <c r="F40" s="4" t="s">
        <v>330</v>
      </c>
      <c r="G40" s="3"/>
      <c r="H40" s="4" t="s">
        <v>296</v>
      </c>
      <c r="I40" s="5" t="s">
        <v>170</v>
      </c>
      <c r="J40" s="5" t="s">
        <v>170</v>
      </c>
      <c r="K40" s="5" t="s">
        <v>170</v>
      </c>
      <c r="L40" s="5"/>
      <c r="M40" s="32">
        <v>0</v>
      </c>
      <c r="N40" s="11">
        <v>0</v>
      </c>
      <c r="O40" s="40"/>
    </row>
    <row r="41" spans="1:15">
      <c r="A41" s="2" t="s">
        <v>651</v>
      </c>
      <c r="B41" s="2" t="s">
        <v>290</v>
      </c>
      <c r="C41" s="4" t="s">
        <v>717</v>
      </c>
      <c r="D41" s="3" t="s">
        <v>188</v>
      </c>
      <c r="E41" s="28">
        <v>82.5</v>
      </c>
      <c r="F41" s="4" t="s">
        <v>346</v>
      </c>
      <c r="G41" s="28">
        <v>1</v>
      </c>
      <c r="H41" s="4" t="s">
        <v>407</v>
      </c>
      <c r="I41" s="3" t="s">
        <v>98</v>
      </c>
      <c r="J41" s="3" t="s">
        <v>172</v>
      </c>
      <c r="K41" s="5" t="s">
        <v>173</v>
      </c>
      <c r="L41" s="5"/>
      <c r="M41" s="32">
        <v>115</v>
      </c>
      <c r="N41" s="11" t="str">
        <f>"87,6641"</f>
        <v>87,6641</v>
      </c>
      <c r="O41" s="40"/>
    </row>
    <row r="42" spans="1:15">
      <c r="A42" s="2" t="s">
        <v>652</v>
      </c>
      <c r="B42" s="2" t="s">
        <v>290</v>
      </c>
      <c r="C42" s="4" t="s">
        <v>718</v>
      </c>
      <c r="D42" s="3" t="s">
        <v>189</v>
      </c>
      <c r="E42" s="28">
        <v>82.5</v>
      </c>
      <c r="F42" s="4" t="s">
        <v>325</v>
      </c>
      <c r="G42" s="3"/>
      <c r="H42" s="4" t="s">
        <v>425</v>
      </c>
      <c r="I42" s="5" t="s">
        <v>107</v>
      </c>
      <c r="J42" s="5" t="s">
        <v>107</v>
      </c>
      <c r="K42" s="5" t="s">
        <v>107</v>
      </c>
      <c r="L42" s="5"/>
      <c r="M42" s="32">
        <v>0</v>
      </c>
      <c r="N42" s="11">
        <v>0</v>
      </c>
      <c r="O42" s="40"/>
    </row>
    <row r="43" spans="1:15">
      <c r="A43" s="2" t="s">
        <v>653</v>
      </c>
      <c r="B43" s="2" t="s">
        <v>290</v>
      </c>
      <c r="C43" s="4" t="s">
        <v>719</v>
      </c>
      <c r="D43" s="3" t="s">
        <v>190</v>
      </c>
      <c r="E43" s="28">
        <v>90</v>
      </c>
      <c r="F43" s="4" t="s">
        <v>327</v>
      </c>
      <c r="G43" s="28">
        <v>1</v>
      </c>
      <c r="H43" s="4" t="s">
        <v>294</v>
      </c>
      <c r="I43" s="3" t="s">
        <v>191</v>
      </c>
      <c r="J43" s="3" t="s">
        <v>192</v>
      </c>
      <c r="K43" s="5" t="s">
        <v>82</v>
      </c>
      <c r="L43" s="5"/>
      <c r="M43" s="32">
        <v>152.5</v>
      </c>
      <c r="N43" s="11" t="str">
        <f>"95,1981"</f>
        <v>95,1981</v>
      </c>
      <c r="O43" s="40"/>
    </row>
    <row r="44" spans="1:15">
      <c r="A44" s="2" t="s">
        <v>654</v>
      </c>
      <c r="B44" s="2" t="s">
        <v>290</v>
      </c>
      <c r="C44" s="4" t="s">
        <v>720</v>
      </c>
      <c r="D44" s="3" t="s">
        <v>193</v>
      </c>
      <c r="E44" s="28">
        <v>90</v>
      </c>
      <c r="F44" s="4" t="s">
        <v>325</v>
      </c>
      <c r="G44" s="28">
        <v>1</v>
      </c>
      <c r="H44" s="4" t="s">
        <v>293</v>
      </c>
      <c r="I44" s="3" t="s">
        <v>103</v>
      </c>
      <c r="J44" s="3" t="s">
        <v>194</v>
      </c>
      <c r="K44" s="5" t="s">
        <v>110</v>
      </c>
      <c r="L44" s="5"/>
      <c r="M44" s="32">
        <v>175</v>
      </c>
      <c r="N44" s="11" t="str">
        <f>"107,3362"</f>
        <v>107,3362</v>
      </c>
      <c r="O44" s="40"/>
    </row>
    <row r="45" spans="1:15">
      <c r="A45" s="2" t="s">
        <v>655</v>
      </c>
      <c r="B45" s="2" t="s">
        <v>290</v>
      </c>
      <c r="C45" s="4" t="s">
        <v>721</v>
      </c>
      <c r="D45" s="3" t="s">
        <v>195</v>
      </c>
      <c r="E45" s="28">
        <v>90</v>
      </c>
      <c r="F45" s="4" t="s">
        <v>330</v>
      </c>
      <c r="G45" s="28">
        <v>2</v>
      </c>
      <c r="H45" s="4" t="s">
        <v>293</v>
      </c>
      <c r="I45" s="3" t="s">
        <v>103</v>
      </c>
      <c r="J45" s="3" t="s">
        <v>83</v>
      </c>
      <c r="K45" s="5" t="s">
        <v>194</v>
      </c>
      <c r="L45" s="5"/>
      <c r="M45" s="32">
        <v>172.5</v>
      </c>
      <c r="N45" s="11" t="str">
        <f>"106,6826"</f>
        <v>106,6826</v>
      </c>
      <c r="O45" s="40"/>
    </row>
    <row r="46" spans="1:15">
      <c r="A46" s="2" t="s">
        <v>656</v>
      </c>
      <c r="B46" s="2" t="s">
        <v>290</v>
      </c>
      <c r="C46" s="4" t="s">
        <v>722</v>
      </c>
      <c r="D46" s="3" t="s">
        <v>196</v>
      </c>
      <c r="E46" s="28">
        <v>90</v>
      </c>
      <c r="F46" s="4" t="s">
        <v>327</v>
      </c>
      <c r="G46" s="28">
        <v>3</v>
      </c>
      <c r="H46" s="4" t="s">
        <v>293</v>
      </c>
      <c r="I46" s="5" t="s">
        <v>79</v>
      </c>
      <c r="J46" s="3" t="s">
        <v>79</v>
      </c>
      <c r="K46" s="5" t="s">
        <v>183</v>
      </c>
      <c r="L46" s="5"/>
      <c r="M46" s="32">
        <v>162.5</v>
      </c>
      <c r="N46" s="11" t="str">
        <f>"100,3762"</f>
        <v>100,3762</v>
      </c>
      <c r="O46" s="40"/>
    </row>
    <row r="47" spans="1:15">
      <c r="A47" s="2" t="s">
        <v>657</v>
      </c>
      <c r="B47" s="2" t="s">
        <v>290</v>
      </c>
      <c r="C47" s="4" t="s">
        <v>723</v>
      </c>
      <c r="D47" s="3" t="s">
        <v>197</v>
      </c>
      <c r="E47" s="28">
        <v>90</v>
      </c>
      <c r="F47" s="4" t="s">
        <v>347</v>
      </c>
      <c r="G47" s="28">
        <v>4</v>
      </c>
      <c r="H47" s="4" t="s">
        <v>293</v>
      </c>
      <c r="I47" s="3" t="s">
        <v>198</v>
      </c>
      <c r="J47" s="3" t="s">
        <v>192</v>
      </c>
      <c r="K47" s="3" t="s">
        <v>82</v>
      </c>
      <c r="L47" s="5"/>
      <c r="M47" s="32">
        <v>160</v>
      </c>
      <c r="N47" s="11" t="str">
        <f>"99,6160"</f>
        <v>99,6160</v>
      </c>
      <c r="O47" s="40"/>
    </row>
    <row r="48" spans="1:15">
      <c r="A48" s="2" t="s">
        <v>658</v>
      </c>
      <c r="B48" s="2" t="s">
        <v>290</v>
      </c>
      <c r="C48" s="4" t="s">
        <v>724</v>
      </c>
      <c r="D48" s="3" t="s">
        <v>199</v>
      </c>
      <c r="E48" s="28">
        <v>90</v>
      </c>
      <c r="F48" s="4" t="s">
        <v>325</v>
      </c>
      <c r="G48" s="28">
        <v>5</v>
      </c>
      <c r="H48" s="4" t="s">
        <v>293</v>
      </c>
      <c r="I48" s="3" t="s">
        <v>191</v>
      </c>
      <c r="J48" s="3" t="s">
        <v>192</v>
      </c>
      <c r="K48" s="3" t="s">
        <v>94</v>
      </c>
      <c r="L48" s="5"/>
      <c r="M48" s="32">
        <v>155</v>
      </c>
      <c r="N48" s="11" t="str">
        <f>"95,3715"</f>
        <v>95,3715</v>
      </c>
      <c r="O48" s="40"/>
    </row>
    <row r="49" spans="1:15">
      <c r="A49" s="2" t="s">
        <v>659</v>
      </c>
      <c r="B49" s="2" t="s">
        <v>290</v>
      </c>
      <c r="C49" s="4" t="s">
        <v>693</v>
      </c>
      <c r="D49" s="3" t="s">
        <v>193</v>
      </c>
      <c r="E49" s="28">
        <v>90</v>
      </c>
      <c r="F49" s="4" t="s">
        <v>348</v>
      </c>
      <c r="G49" s="28">
        <v>6</v>
      </c>
      <c r="H49" s="4" t="s">
        <v>293</v>
      </c>
      <c r="I49" s="3" t="s">
        <v>107</v>
      </c>
      <c r="J49" s="3" t="s">
        <v>78</v>
      </c>
      <c r="K49" s="3" t="s">
        <v>192</v>
      </c>
      <c r="L49" s="5"/>
      <c r="M49" s="32">
        <v>152.5</v>
      </c>
      <c r="N49" s="11" t="str">
        <f>"93,5359"</f>
        <v>93,5359</v>
      </c>
      <c r="O49" s="40"/>
    </row>
    <row r="50" spans="1:15">
      <c r="A50" s="2" t="s">
        <v>660</v>
      </c>
      <c r="B50" s="2" t="s">
        <v>290</v>
      </c>
      <c r="C50" s="4" t="s">
        <v>725</v>
      </c>
      <c r="D50" s="3" t="s">
        <v>195</v>
      </c>
      <c r="E50" s="28">
        <v>90</v>
      </c>
      <c r="F50" s="4" t="s">
        <v>327</v>
      </c>
      <c r="G50" s="28">
        <v>7</v>
      </c>
      <c r="H50" s="4" t="s">
        <v>293</v>
      </c>
      <c r="I50" s="3" t="s">
        <v>177</v>
      </c>
      <c r="J50" s="3" t="s">
        <v>102</v>
      </c>
      <c r="K50" s="5" t="s">
        <v>191</v>
      </c>
      <c r="L50" s="5"/>
      <c r="M50" s="32">
        <v>142.5</v>
      </c>
      <c r="N50" s="11" t="str">
        <f>"88,1291"</f>
        <v>88,1291</v>
      </c>
      <c r="O50" s="40"/>
    </row>
    <row r="51" spans="1:15">
      <c r="A51" s="2" t="s">
        <v>524</v>
      </c>
      <c r="B51" s="2" t="s">
        <v>290</v>
      </c>
      <c r="C51" s="4" t="s">
        <v>420</v>
      </c>
      <c r="D51" s="3" t="s">
        <v>151</v>
      </c>
      <c r="E51" s="28">
        <v>90</v>
      </c>
      <c r="F51" s="4" t="s">
        <v>325</v>
      </c>
      <c r="G51" s="28">
        <v>8</v>
      </c>
      <c r="H51" s="4" t="s">
        <v>293</v>
      </c>
      <c r="I51" s="5" t="s">
        <v>76</v>
      </c>
      <c r="J51" s="3" t="s">
        <v>96</v>
      </c>
      <c r="K51" s="5" t="s">
        <v>192</v>
      </c>
      <c r="L51" s="5"/>
      <c r="M51" s="32">
        <v>140</v>
      </c>
      <c r="N51" s="11" t="str">
        <f>"86,6390"</f>
        <v>86,6390</v>
      </c>
      <c r="O51" s="40"/>
    </row>
    <row r="52" spans="1:15">
      <c r="A52" s="2" t="s">
        <v>661</v>
      </c>
      <c r="B52" s="2" t="s">
        <v>290</v>
      </c>
      <c r="C52" s="4" t="s">
        <v>726</v>
      </c>
      <c r="D52" s="3" t="s">
        <v>200</v>
      </c>
      <c r="E52" s="28">
        <v>90</v>
      </c>
      <c r="F52" s="4" t="s">
        <v>325</v>
      </c>
      <c r="G52" s="28">
        <v>9</v>
      </c>
      <c r="H52" s="4" t="s">
        <v>293</v>
      </c>
      <c r="I52" s="5" t="s">
        <v>96</v>
      </c>
      <c r="J52" s="5" t="s">
        <v>96</v>
      </c>
      <c r="K52" s="3" t="s">
        <v>96</v>
      </c>
      <c r="L52" s="5"/>
      <c r="M52" s="32">
        <v>140</v>
      </c>
      <c r="N52" s="11" t="str">
        <f>"86,3590"</f>
        <v>86,3590</v>
      </c>
      <c r="O52" s="40"/>
    </row>
    <row r="53" spans="1:15">
      <c r="A53" s="2" t="s">
        <v>662</v>
      </c>
      <c r="B53" s="2" t="s">
        <v>290</v>
      </c>
      <c r="C53" s="4" t="s">
        <v>727</v>
      </c>
      <c r="D53" s="3" t="s">
        <v>200</v>
      </c>
      <c r="E53" s="28">
        <v>90</v>
      </c>
      <c r="F53" s="4" t="s">
        <v>344</v>
      </c>
      <c r="G53" s="28">
        <v>10</v>
      </c>
      <c r="H53" s="4" t="s">
        <v>293</v>
      </c>
      <c r="I53" s="5" t="s">
        <v>173</v>
      </c>
      <c r="J53" s="3" t="s">
        <v>198</v>
      </c>
      <c r="K53" s="5" t="s">
        <v>96</v>
      </c>
      <c r="L53" s="5"/>
      <c r="M53" s="32">
        <v>132.5</v>
      </c>
      <c r="N53" s="11" t="str">
        <f>"81,7326"</f>
        <v>81,7326</v>
      </c>
      <c r="O53" s="40"/>
    </row>
    <row r="54" spans="1:15">
      <c r="A54" s="2" t="s">
        <v>663</v>
      </c>
      <c r="B54" s="2" t="s">
        <v>290</v>
      </c>
      <c r="C54" s="4" t="s">
        <v>728</v>
      </c>
      <c r="D54" s="3" t="s">
        <v>201</v>
      </c>
      <c r="E54" s="28">
        <v>90</v>
      </c>
      <c r="F54" s="4" t="s">
        <v>344</v>
      </c>
      <c r="G54" s="28">
        <v>11</v>
      </c>
      <c r="H54" s="4" t="s">
        <v>293</v>
      </c>
      <c r="I54" s="5" t="s">
        <v>74</v>
      </c>
      <c r="J54" s="5" t="s">
        <v>74</v>
      </c>
      <c r="K54" s="3" t="s">
        <v>74</v>
      </c>
      <c r="L54" s="5"/>
      <c r="M54" s="32">
        <v>125</v>
      </c>
      <c r="N54" s="11" t="str">
        <f>"76,7187"</f>
        <v>76,7187</v>
      </c>
      <c r="O54" s="40"/>
    </row>
    <row r="55" spans="1:15">
      <c r="A55" s="2" t="s">
        <v>583</v>
      </c>
      <c r="B55" s="2" t="s">
        <v>290</v>
      </c>
      <c r="C55" s="4" t="s">
        <v>421</v>
      </c>
      <c r="D55" s="3" t="s">
        <v>1</v>
      </c>
      <c r="E55" s="28">
        <v>90</v>
      </c>
      <c r="F55" s="4" t="s">
        <v>349</v>
      </c>
      <c r="G55" s="28">
        <v>1</v>
      </c>
      <c r="H55" s="4" t="s">
        <v>297</v>
      </c>
      <c r="I55" s="3" t="s">
        <v>173</v>
      </c>
      <c r="J55" s="3" t="s">
        <v>75</v>
      </c>
      <c r="K55" s="3" t="s">
        <v>198</v>
      </c>
      <c r="L55" s="5"/>
      <c r="M55" s="32">
        <v>132.5</v>
      </c>
      <c r="N55" s="11" t="str">
        <f>"81,6266"</f>
        <v>81,6266</v>
      </c>
      <c r="O55" s="40"/>
    </row>
    <row r="56" spans="1:15">
      <c r="A56" s="2" t="s">
        <v>664</v>
      </c>
      <c r="B56" s="2" t="s">
        <v>290</v>
      </c>
      <c r="C56" s="4" t="s">
        <v>729</v>
      </c>
      <c r="D56" s="3" t="s">
        <v>193</v>
      </c>
      <c r="E56" s="28">
        <v>90</v>
      </c>
      <c r="F56" s="4" t="s">
        <v>325</v>
      </c>
      <c r="G56" s="28">
        <v>2</v>
      </c>
      <c r="H56" s="4" t="s">
        <v>297</v>
      </c>
      <c r="I56" s="3" t="s">
        <v>173</v>
      </c>
      <c r="J56" s="5" t="s">
        <v>198</v>
      </c>
      <c r="K56" s="5" t="s">
        <v>198</v>
      </c>
      <c r="L56" s="5"/>
      <c r="M56" s="32">
        <v>120</v>
      </c>
      <c r="N56" s="11" t="str">
        <f>"75,0740"</f>
        <v>75,0740</v>
      </c>
      <c r="O56" s="40"/>
    </row>
    <row r="57" spans="1:15">
      <c r="A57" s="2" t="s">
        <v>665</v>
      </c>
      <c r="B57" s="2" t="s">
        <v>290</v>
      </c>
      <c r="C57" s="4" t="s">
        <v>730</v>
      </c>
      <c r="D57" s="3" t="s">
        <v>202</v>
      </c>
      <c r="E57" s="28">
        <v>90</v>
      </c>
      <c r="F57" s="4" t="s">
        <v>350</v>
      </c>
      <c r="G57" s="3"/>
      <c r="H57" s="4" t="s">
        <v>297</v>
      </c>
      <c r="I57" s="5" t="s">
        <v>192</v>
      </c>
      <c r="J57" s="5" t="s">
        <v>192</v>
      </c>
      <c r="K57" s="5" t="s">
        <v>192</v>
      </c>
      <c r="L57" s="5"/>
      <c r="M57" s="32">
        <v>0</v>
      </c>
      <c r="N57" s="11">
        <v>0</v>
      </c>
      <c r="O57" s="40"/>
    </row>
    <row r="58" spans="1:15">
      <c r="A58" s="2" t="s">
        <v>666</v>
      </c>
      <c r="B58" s="2" t="s">
        <v>290</v>
      </c>
      <c r="C58" s="4" t="s">
        <v>731</v>
      </c>
      <c r="D58" s="3" t="s">
        <v>203</v>
      </c>
      <c r="E58" s="28">
        <v>90</v>
      </c>
      <c r="F58" s="4" t="s">
        <v>351</v>
      </c>
      <c r="G58" s="28">
        <v>1</v>
      </c>
      <c r="H58" s="4" t="s">
        <v>407</v>
      </c>
      <c r="I58" s="3" t="s">
        <v>98</v>
      </c>
      <c r="J58" s="3" t="s">
        <v>172</v>
      </c>
      <c r="K58" s="3" t="s">
        <v>173</v>
      </c>
      <c r="L58" s="5"/>
      <c r="M58" s="32">
        <v>120</v>
      </c>
      <c r="N58" s="11" t="str">
        <f>"83,9703"</f>
        <v>83,9703</v>
      </c>
      <c r="O58" s="40"/>
    </row>
    <row r="59" spans="1:15">
      <c r="A59" s="2" t="s">
        <v>667</v>
      </c>
      <c r="B59" s="2" t="s">
        <v>290</v>
      </c>
      <c r="C59" s="4" t="s">
        <v>732</v>
      </c>
      <c r="D59" s="3" t="s">
        <v>135</v>
      </c>
      <c r="E59" s="28">
        <v>100</v>
      </c>
      <c r="F59" s="4" t="s">
        <v>325</v>
      </c>
      <c r="G59" s="28">
        <v>1</v>
      </c>
      <c r="H59" s="4" t="s">
        <v>294</v>
      </c>
      <c r="I59" s="3" t="s">
        <v>98</v>
      </c>
      <c r="J59" s="3" t="s">
        <v>73</v>
      </c>
      <c r="K59" s="3" t="s">
        <v>170</v>
      </c>
      <c r="L59" s="5"/>
      <c r="M59" s="32">
        <v>122.5</v>
      </c>
      <c r="N59" s="11" t="str">
        <f>"71,4542"</f>
        <v>71,4542</v>
      </c>
      <c r="O59" s="40"/>
    </row>
    <row r="60" spans="1:15">
      <c r="A60" s="2" t="s">
        <v>668</v>
      </c>
      <c r="B60" s="2" t="s">
        <v>290</v>
      </c>
      <c r="C60" s="4" t="s">
        <v>733</v>
      </c>
      <c r="D60" s="3" t="s">
        <v>8</v>
      </c>
      <c r="E60" s="28">
        <v>100</v>
      </c>
      <c r="F60" s="4" t="s">
        <v>352</v>
      </c>
      <c r="G60" s="28">
        <v>1</v>
      </c>
      <c r="H60" s="4" t="s">
        <v>293</v>
      </c>
      <c r="I60" s="5" t="s">
        <v>194</v>
      </c>
      <c r="J60" s="3" t="s">
        <v>194</v>
      </c>
      <c r="K60" s="3" t="s">
        <v>110</v>
      </c>
      <c r="L60" s="5"/>
      <c r="M60" s="32">
        <v>177.5</v>
      </c>
      <c r="N60" s="11" t="str">
        <f>"103,7576"</f>
        <v>103,7576</v>
      </c>
      <c r="O60" s="40"/>
    </row>
    <row r="61" spans="1:15">
      <c r="A61" s="2" t="s">
        <v>669</v>
      </c>
      <c r="B61" s="2" t="s">
        <v>290</v>
      </c>
      <c r="C61" s="4" t="s">
        <v>734</v>
      </c>
      <c r="D61" s="3" t="s">
        <v>204</v>
      </c>
      <c r="E61" s="28">
        <v>100</v>
      </c>
      <c r="F61" s="4" t="s">
        <v>327</v>
      </c>
      <c r="G61" s="28">
        <v>2</v>
      </c>
      <c r="H61" s="4" t="s">
        <v>293</v>
      </c>
      <c r="I61" s="3" t="s">
        <v>78</v>
      </c>
      <c r="J61" s="3" t="s">
        <v>192</v>
      </c>
      <c r="K61" s="5" t="s">
        <v>79</v>
      </c>
      <c r="L61" s="5"/>
      <c r="M61" s="32">
        <v>152.5</v>
      </c>
      <c r="N61" s="11" t="str">
        <f>"89,0676"</f>
        <v>89,0676</v>
      </c>
      <c r="O61" s="40"/>
    </row>
    <row r="62" spans="1:15">
      <c r="A62" s="2" t="s">
        <v>670</v>
      </c>
      <c r="B62" s="2" t="s">
        <v>290</v>
      </c>
      <c r="C62" s="4" t="s">
        <v>735</v>
      </c>
      <c r="D62" s="3" t="s">
        <v>205</v>
      </c>
      <c r="E62" s="28">
        <v>100</v>
      </c>
      <c r="F62" s="4" t="s">
        <v>353</v>
      </c>
      <c r="G62" s="28">
        <v>3</v>
      </c>
      <c r="H62" s="4" t="s">
        <v>293</v>
      </c>
      <c r="I62" s="3" t="s">
        <v>76</v>
      </c>
      <c r="J62" s="3" t="s">
        <v>102</v>
      </c>
      <c r="K62" s="5" t="s">
        <v>191</v>
      </c>
      <c r="L62" s="5"/>
      <c r="M62" s="32">
        <v>142.5</v>
      </c>
      <c r="N62" s="11" t="str">
        <f>"83,7544"</f>
        <v>83,7544</v>
      </c>
      <c r="O62" s="40"/>
    </row>
    <row r="63" spans="1:15">
      <c r="A63" s="2" t="s">
        <v>671</v>
      </c>
      <c r="B63" s="2" t="s">
        <v>290</v>
      </c>
      <c r="C63" s="4" t="s">
        <v>736</v>
      </c>
      <c r="D63" s="3" t="s">
        <v>206</v>
      </c>
      <c r="E63" s="28">
        <v>100</v>
      </c>
      <c r="F63" s="4" t="s">
        <v>325</v>
      </c>
      <c r="G63" s="3"/>
      <c r="H63" s="4" t="s">
        <v>293</v>
      </c>
      <c r="I63" s="5" t="s">
        <v>75</v>
      </c>
      <c r="J63" s="5" t="s">
        <v>96</v>
      </c>
      <c r="K63" s="34">
        <v>0</v>
      </c>
      <c r="L63" s="5"/>
      <c r="M63" s="32">
        <v>0</v>
      </c>
      <c r="N63" s="11">
        <v>0</v>
      </c>
      <c r="O63" s="40"/>
    </row>
    <row r="64" spans="1:15">
      <c r="A64" s="2" t="s">
        <v>672</v>
      </c>
      <c r="B64" s="2" t="s">
        <v>290</v>
      </c>
      <c r="C64" s="4" t="s">
        <v>737</v>
      </c>
      <c r="D64" s="3" t="s">
        <v>8</v>
      </c>
      <c r="E64" s="28">
        <v>100</v>
      </c>
      <c r="F64" s="4" t="s">
        <v>354</v>
      </c>
      <c r="G64" s="3"/>
      <c r="H64" s="4" t="s">
        <v>293</v>
      </c>
      <c r="I64" s="5" t="s">
        <v>75</v>
      </c>
      <c r="J64" s="5" t="s">
        <v>96</v>
      </c>
      <c r="K64" s="5" t="s">
        <v>96</v>
      </c>
      <c r="L64" s="5"/>
      <c r="M64" s="32">
        <v>0</v>
      </c>
      <c r="N64" s="11">
        <v>0</v>
      </c>
      <c r="O64" s="40"/>
    </row>
    <row r="65" spans="1:15">
      <c r="A65" s="2" t="s">
        <v>673</v>
      </c>
      <c r="B65" s="2" t="s">
        <v>290</v>
      </c>
      <c r="C65" s="4" t="s">
        <v>738</v>
      </c>
      <c r="D65" s="3" t="s">
        <v>39</v>
      </c>
      <c r="E65" s="28">
        <v>100</v>
      </c>
      <c r="F65" s="4" t="s">
        <v>325</v>
      </c>
      <c r="G65" s="28">
        <v>1</v>
      </c>
      <c r="H65" s="4" t="s">
        <v>297</v>
      </c>
      <c r="I65" s="3" t="s">
        <v>107</v>
      </c>
      <c r="J65" s="3" t="s">
        <v>94</v>
      </c>
      <c r="K65" s="3" t="s">
        <v>82</v>
      </c>
      <c r="L65" s="5"/>
      <c r="M65" s="32">
        <v>160</v>
      </c>
      <c r="N65" s="11" t="str">
        <f>"97,3594"</f>
        <v>97,3594</v>
      </c>
      <c r="O65" s="40"/>
    </row>
    <row r="66" spans="1:15">
      <c r="A66" s="2" t="s">
        <v>674</v>
      </c>
      <c r="B66" s="2" t="s">
        <v>290</v>
      </c>
      <c r="C66" s="4" t="s">
        <v>739</v>
      </c>
      <c r="D66" s="3" t="s">
        <v>207</v>
      </c>
      <c r="E66" s="28">
        <v>100</v>
      </c>
      <c r="F66" s="4" t="s">
        <v>355</v>
      </c>
      <c r="G66" s="28">
        <v>2</v>
      </c>
      <c r="H66" s="4" t="s">
        <v>297</v>
      </c>
      <c r="I66" s="3" t="s">
        <v>78</v>
      </c>
      <c r="J66" s="3" t="s">
        <v>95</v>
      </c>
      <c r="K66" s="5" t="s">
        <v>79</v>
      </c>
      <c r="L66" s="5"/>
      <c r="M66" s="32">
        <v>157.5</v>
      </c>
      <c r="N66" s="11" t="str">
        <f>"95,9023"</f>
        <v>95,9023</v>
      </c>
      <c r="O66" s="40"/>
    </row>
    <row r="67" spans="1:15">
      <c r="A67" s="2" t="s">
        <v>675</v>
      </c>
      <c r="B67" s="2" t="s">
        <v>290</v>
      </c>
      <c r="C67" s="4" t="s">
        <v>740</v>
      </c>
      <c r="D67" s="3" t="s">
        <v>208</v>
      </c>
      <c r="E67" s="28">
        <v>100</v>
      </c>
      <c r="F67" s="4" t="s">
        <v>325</v>
      </c>
      <c r="G67" s="28">
        <v>3</v>
      </c>
      <c r="H67" s="4" t="s">
        <v>297</v>
      </c>
      <c r="I67" s="5" t="s">
        <v>172</v>
      </c>
      <c r="J67" s="3" t="s">
        <v>74</v>
      </c>
      <c r="K67" s="5" t="s">
        <v>96</v>
      </c>
      <c r="L67" s="5"/>
      <c r="M67" s="32">
        <v>125</v>
      </c>
      <c r="N67" s="11" t="str">
        <f>"77,5901"</f>
        <v>77,5901</v>
      </c>
      <c r="O67" s="40"/>
    </row>
    <row r="68" spans="1:15">
      <c r="A68" s="2" t="s">
        <v>676</v>
      </c>
      <c r="B68" s="2" t="s">
        <v>290</v>
      </c>
      <c r="C68" s="4" t="s">
        <v>741</v>
      </c>
      <c r="D68" s="3" t="s">
        <v>209</v>
      </c>
      <c r="E68" s="28">
        <v>100</v>
      </c>
      <c r="F68" s="4" t="s">
        <v>325</v>
      </c>
      <c r="G68" s="28">
        <v>1</v>
      </c>
      <c r="H68" s="4" t="s">
        <v>296</v>
      </c>
      <c r="I68" s="3" t="s">
        <v>95</v>
      </c>
      <c r="J68" s="3" t="s">
        <v>79</v>
      </c>
      <c r="K68" s="3" t="s">
        <v>108</v>
      </c>
      <c r="L68" s="5"/>
      <c r="M68" s="32">
        <v>165</v>
      </c>
      <c r="N68" s="11" t="str">
        <f>"102,2081"</f>
        <v>102,2081</v>
      </c>
      <c r="O68" s="40"/>
    </row>
    <row r="69" spans="1:15">
      <c r="A69" s="2" t="s">
        <v>677</v>
      </c>
      <c r="B69" s="2" t="s">
        <v>290</v>
      </c>
      <c r="C69" s="4" t="s">
        <v>742</v>
      </c>
      <c r="D69" s="3" t="s">
        <v>210</v>
      </c>
      <c r="E69" s="28">
        <v>100</v>
      </c>
      <c r="F69" s="4" t="s">
        <v>356</v>
      </c>
      <c r="G69" s="28">
        <v>1</v>
      </c>
      <c r="H69" s="4" t="s">
        <v>423</v>
      </c>
      <c r="I69" s="3" t="s">
        <v>183</v>
      </c>
      <c r="J69" s="3" t="s">
        <v>83</v>
      </c>
      <c r="K69" s="5" t="s">
        <v>194</v>
      </c>
      <c r="L69" s="5"/>
      <c r="M69" s="32">
        <v>172.5</v>
      </c>
      <c r="N69" s="11" t="str">
        <f>"125,7477"</f>
        <v>125,7477</v>
      </c>
      <c r="O69" s="40"/>
    </row>
    <row r="70" spans="1:15">
      <c r="A70" s="2" t="s">
        <v>678</v>
      </c>
      <c r="B70" s="2" t="s">
        <v>290</v>
      </c>
      <c r="C70" s="4" t="s">
        <v>743</v>
      </c>
      <c r="D70" s="3" t="s">
        <v>135</v>
      </c>
      <c r="E70" s="28">
        <v>100</v>
      </c>
      <c r="F70" s="4" t="s">
        <v>325</v>
      </c>
      <c r="G70" s="28">
        <v>2</v>
      </c>
      <c r="H70" s="4" t="s">
        <v>423</v>
      </c>
      <c r="I70" s="3" t="s">
        <v>96</v>
      </c>
      <c r="J70" s="3" t="s">
        <v>191</v>
      </c>
      <c r="K70" s="3" t="s">
        <v>192</v>
      </c>
      <c r="L70" s="5"/>
      <c r="M70" s="32">
        <v>152.5</v>
      </c>
      <c r="N70" s="11" t="str">
        <f>"108,9677"</f>
        <v>108,9677</v>
      </c>
      <c r="O70" s="40"/>
    </row>
    <row r="71" spans="1:15">
      <c r="A71" s="2" t="s">
        <v>679</v>
      </c>
      <c r="B71" s="2" t="s">
        <v>290</v>
      </c>
      <c r="C71" s="4" t="s">
        <v>744</v>
      </c>
      <c r="D71" s="3" t="s">
        <v>211</v>
      </c>
      <c r="E71" s="28">
        <v>110</v>
      </c>
      <c r="F71" s="4" t="s">
        <v>357</v>
      </c>
      <c r="G71" s="28">
        <v>1</v>
      </c>
      <c r="H71" s="4" t="s">
        <v>293</v>
      </c>
      <c r="I71" s="3" t="s">
        <v>80</v>
      </c>
      <c r="J71" s="3" t="s">
        <v>212</v>
      </c>
      <c r="K71" s="3" t="s">
        <v>117</v>
      </c>
      <c r="L71" s="5"/>
      <c r="M71" s="32">
        <v>200</v>
      </c>
      <c r="N71" s="11" t="str">
        <f>"112,7900"</f>
        <v>112,7900</v>
      </c>
      <c r="O71" s="40"/>
    </row>
    <row r="72" spans="1:15">
      <c r="A72" s="2" t="s">
        <v>680</v>
      </c>
      <c r="B72" s="2" t="s">
        <v>290</v>
      </c>
      <c r="C72" s="4" t="s">
        <v>745</v>
      </c>
      <c r="D72" s="3" t="s">
        <v>213</v>
      </c>
      <c r="E72" s="28">
        <v>110</v>
      </c>
      <c r="F72" s="4" t="s">
        <v>325</v>
      </c>
      <c r="G72" s="28">
        <v>2</v>
      </c>
      <c r="H72" s="4" t="s">
        <v>293</v>
      </c>
      <c r="I72" s="3" t="s">
        <v>95</v>
      </c>
      <c r="J72" s="5" t="s">
        <v>183</v>
      </c>
      <c r="K72" s="5" t="s">
        <v>183</v>
      </c>
      <c r="L72" s="5"/>
      <c r="M72" s="32">
        <v>157.5</v>
      </c>
      <c r="N72" s="11" t="str">
        <f>"89,7356"</f>
        <v>89,7356</v>
      </c>
      <c r="O72" s="40" t="s">
        <v>406</v>
      </c>
    </row>
    <row r="73" spans="1:15">
      <c r="A73" s="2" t="s">
        <v>681</v>
      </c>
      <c r="B73" s="2" t="s">
        <v>290</v>
      </c>
      <c r="C73" s="4" t="s">
        <v>746</v>
      </c>
      <c r="D73" s="3" t="s">
        <v>214</v>
      </c>
      <c r="E73" s="28">
        <v>110</v>
      </c>
      <c r="F73" s="4" t="s">
        <v>327</v>
      </c>
      <c r="G73" s="28">
        <v>1</v>
      </c>
      <c r="H73" s="4" t="s">
        <v>296</v>
      </c>
      <c r="I73" s="3" t="s">
        <v>80</v>
      </c>
      <c r="J73" s="5" t="s">
        <v>117</v>
      </c>
      <c r="K73" s="5" t="s">
        <v>117</v>
      </c>
      <c r="L73" s="5"/>
      <c r="M73" s="32">
        <v>185</v>
      </c>
      <c r="N73" s="11" t="str">
        <f>"116,5011"</f>
        <v>116,5011</v>
      </c>
      <c r="O73" s="40"/>
    </row>
    <row r="74" spans="1:15">
      <c r="A74" s="2" t="s">
        <v>682</v>
      </c>
      <c r="B74" s="2" t="s">
        <v>290</v>
      </c>
      <c r="C74" s="4" t="s">
        <v>747</v>
      </c>
      <c r="D74" s="3" t="s">
        <v>215</v>
      </c>
      <c r="E74" s="28">
        <v>110</v>
      </c>
      <c r="F74" s="4" t="s">
        <v>325</v>
      </c>
      <c r="G74" s="28">
        <v>1</v>
      </c>
      <c r="H74" s="4" t="s">
        <v>407</v>
      </c>
      <c r="I74" s="3" t="s">
        <v>78</v>
      </c>
      <c r="J74" s="5" t="s">
        <v>94</v>
      </c>
      <c r="K74" s="5" t="s">
        <v>82</v>
      </c>
      <c r="L74" s="5"/>
      <c r="M74" s="32">
        <v>150</v>
      </c>
      <c r="N74" s="11" t="str">
        <f>"97,8018"</f>
        <v>97,8018</v>
      </c>
      <c r="O74" s="40"/>
    </row>
    <row r="75" spans="1:15">
      <c r="A75" s="2" t="s">
        <v>683</v>
      </c>
      <c r="B75" s="2" t="s">
        <v>290</v>
      </c>
      <c r="C75" s="4" t="s">
        <v>748</v>
      </c>
      <c r="D75" s="3" t="s">
        <v>216</v>
      </c>
      <c r="E75" s="28">
        <v>110</v>
      </c>
      <c r="F75" s="4" t="s">
        <v>325</v>
      </c>
      <c r="G75" s="3"/>
      <c r="H75" s="4" t="s">
        <v>407</v>
      </c>
      <c r="I75" s="5" t="s">
        <v>103</v>
      </c>
      <c r="J75" s="5" t="s">
        <v>103</v>
      </c>
      <c r="K75" s="5" t="s">
        <v>103</v>
      </c>
      <c r="L75" s="5"/>
      <c r="M75" s="32">
        <v>0</v>
      </c>
      <c r="N75" s="11">
        <v>0</v>
      </c>
      <c r="O75" s="40"/>
    </row>
    <row r="76" spans="1:15">
      <c r="A76" s="2" t="s">
        <v>585</v>
      </c>
      <c r="B76" s="2" t="s">
        <v>290</v>
      </c>
      <c r="C76" s="4" t="s">
        <v>422</v>
      </c>
      <c r="D76" s="3" t="s">
        <v>71</v>
      </c>
      <c r="E76" s="28">
        <v>110</v>
      </c>
      <c r="F76" s="4" t="s">
        <v>358</v>
      </c>
      <c r="G76" s="28">
        <v>1</v>
      </c>
      <c r="H76" s="4" t="s">
        <v>423</v>
      </c>
      <c r="I76" s="3" t="s">
        <v>76</v>
      </c>
      <c r="J76" s="3" t="s">
        <v>96</v>
      </c>
      <c r="K76" s="3" t="s">
        <v>102</v>
      </c>
      <c r="L76" s="5"/>
      <c r="M76" s="32">
        <v>142.5</v>
      </c>
      <c r="N76" s="11" t="str">
        <f>"106,7265"</f>
        <v>106,7265</v>
      </c>
      <c r="O76" s="40"/>
    </row>
    <row r="77" spans="1:15">
      <c r="A77" s="2" t="s">
        <v>684</v>
      </c>
      <c r="B77" s="2" t="s">
        <v>290</v>
      </c>
      <c r="C77" s="4" t="s">
        <v>749</v>
      </c>
      <c r="D77" s="3" t="s">
        <v>217</v>
      </c>
      <c r="E77" s="28">
        <v>125</v>
      </c>
      <c r="F77" s="4" t="s">
        <v>325</v>
      </c>
      <c r="G77" s="28">
        <v>1</v>
      </c>
      <c r="H77" s="4" t="s">
        <v>293</v>
      </c>
      <c r="I77" s="3" t="s">
        <v>117</v>
      </c>
      <c r="J77" s="3" t="s">
        <v>115</v>
      </c>
      <c r="K77" s="3" t="s">
        <v>218</v>
      </c>
      <c r="L77" s="5"/>
      <c r="M77" s="32">
        <v>212.5</v>
      </c>
      <c r="N77" s="11" t="str">
        <f>"116,4925"</f>
        <v>116,4925</v>
      </c>
      <c r="O77" s="40"/>
    </row>
    <row r="78" spans="1:15">
      <c r="A78" s="2" t="s">
        <v>685</v>
      </c>
      <c r="B78" s="2" t="s">
        <v>290</v>
      </c>
      <c r="C78" s="4" t="s">
        <v>739</v>
      </c>
      <c r="D78" s="3" t="s">
        <v>219</v>
      </c>
      <c r="E78" s="28">
        <v>125</v>
      </c>
      <c r="F78" s="4" t="s">
        <v>355</v>
      </c>
      <c r="G78" s="28">
        <v>2</v>
      </c>
      <c r="H78" s="4" t="s">
        <v>293</v>
      </c>
      <c r="I78" s="3" t="s">
        <v>80</v>
      </c>
      <c r="J78" s="5" t="s">
        <v>220</v>
      </c>
      <c r="K78" s="3" t="s">
        <v>220</v>
      </c>
      <c r="L78" s="5"/>
      <c r="M78" s="32">
        <v>192.5</v>
      </c>
      <c r="N78" s="11" t="str">
        <f>"105,0087"</f>
        <v>105,0087</v>
      </c>
      <c r="O78" s="40"/>
    </row>
    <row r="79" spans="1:15">
      <c r="A79" s="2" t="s">
        <v>685</v>
      </c>
      <c r="B79" s="2" t="s">
        <v>290</v>
      </c>
      <c r="C79" s="4" t="s">
        <v>739</v>
      </c>
      <c r="D79" s="3" t="s">
        <v>219</v>
      </c>
      <c r="E79" s="28">
        <v>125</v>
      </c>
      <c r="F79" s="4" t="s">
        <v>355</v>
      </c>
      <c r="G79" s="28">
        <v>1</v>
      </c>
      <c r="H79" s="4" t="s">
        <v>297</v>
      </c>
      <c r="I79" s="3" t="s">
        <v>80</v>
      </c>
      <c r="J79" s="5" t="s">
        <v>220</v>
      </c>
      <c r="K79" s="3" t="s">
        <v>220</v>
      </c>
      <c r="L79" s="5"/>
      <c r="M79" s="32">
        <v>192.5</v>
      </c>
      <c r="N79" s="11" t="str">
        <f>"109,5241"</f>
        <v>109,5241</v>
      </c>
      <c r="O79" s="40"/>
    </row>
    <row r="80" spans="1:15">
      <c r="A80" s="2" t="s">
        <v>684</v>
      </c>
      <c r="B80" s="2" t="s">
        <v>290</v>
      </c>
      <c r="C80" s="4" t="s">
        <v>749</v>
      </c>
      <c r="D80" s="3" t="s">
        <v>217</v>
      </c>
      <c r="E80" s="28">
        <v>125</v>
      </c>
      <c r="F80" s="4" t="s">
        <v>325</v>
      </c>
      <c r="G80" s="28">
        <v>1</v>
      </c>
      <c r="H80" s="4" t="s">
        <v>407</v>
      </c>
      <c r="I80" s="3" t="s">
        <v>117</v>
      </c>
      <c r="J80" s="3" t="s">
        <v>115</v>
      </c>
      <c r="K80" s="3" t="s">
        <v>218</v>
      </c>
      <c r="L80" s="5"/>
      <c r="M80" s="32">
        <v>212.5</v>
      </c>
      <c r="N80" s="11" t="str">
        <f>"133,6169"</f>
        <v>133,6169</v>
      </c>
      <c r="O80" s="40"/>
    </row>
    <row r="81" spans="1:15">
      <c r="A81" s="2" t="s">
        <v>686</v>
      </c>
      <c r="B81" s="2" t="s">
        <v>290</v>
      </c>
      <c r="C81" s="4" t="s">
        <v>750</v>
      </c>
      <c r="D81" s="3" t="s">
        <v>221</v>
      </c>
      <c r="E81" s="3" t="s">
        <v>224</v>
      </c>
      <c r="F81" s="4" t="s">
        <v>325</v>
      </c>
      <c r="G81" s="28">
        <v>1</v>
      </c>
      <c r="H81" s="4" t="s">
        <v>293</v>
      </c>
      <c r="I81" s="3" t="s">
        <v>114</v>
      </c>
      <c r="J81" s="5" t="s">
        <v>145</v>
      </c>
      <c r="K81" s="5" t="s">
        <v>145</v>
      </c>
      <c r="L81" s="5"/>
      <c r="M81" s="32">
        <v>205</v>
      </c>
      <c r="N81" s="11" t="str">
        <f>"106,1470"</f>
        <v>106,1470</v>
      </c>
      <c r="O81" s="40" t="s">
        <v>222</v>
      </c>
    </row>
    <row r="82" spans="1:15">
      <c r="A82" s="2" t="s">
        <v>687</v>
      </c>
      <c r="B82" s="2" t="s">
        <v>290</v>
      </c>
      <c r="C82" s="4" t="s">
        <v>751</v>
      </c>
      <c r="D82" s="3" t="s">
        <v>223</v>
      </c>
      <c r="E82" s="3" t="s">
        <v>224</v>
      </c>
      <c r="F82" s="4" t="s">
        <v>325</v>
      </c>
      <c r="G82" s="28">
        <v>2</v>
      </c>
      <c r="H82" s="4" t="s">
        <v>293</v>
      </c>
      <c r="I82" s="3" t="s">
        <v>103</v>
      </c>
      <c r="J82" s="3" t="s">
        <v>194</v>
      </c>
      <c r="K82" s="3" t="s">
        <v>85</v>
      </c>
      <c r="L82" s="5"/>
      <c r="M82" s="32">
        <v>180</v>
      </c>
      <c r="N82" s="11" t="str">
        <f>"95,5152"</f>
        <v>95,5152</v>
      </c>
      <c r="O82" s="40"/>
    </row>
  </sheetData>
  <mergeCells count="1">
    <mergeCell ref="I1:L1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L19"/>
  <sheetViews>
    <sheetView zoomScaleNormal="100" workbookViewId="0">
      <selection activeCell="A2" sqref="A2"/>
    </sheetView>
  </sheetViews>
  <sheetFormatPr defaultColWidth="9.140625" defaultRowHeight="12.75"/>
  <cols>
    <col min="1" max="1" width="19.42578125" style="1" bestFit="1" customWidth="1"/>
    <col min="2" max="2" width="4.42578125" style="1" bestFit="1" customWidth="1"/>
    <col min="3" max="3" width="10.140625" style="9" bestFit="1" customWidth="1"/>
    <col min="4" max="6" width="7.5703125" style="9" customWidth="1"/>
    <col min="7" max="7" width="19" style="9" bestFit="1" customWidth="1"/>
    <col min="8" max="8" width="17.140625" style="10" customWidth="1"/>
    <col min="9" max="9" width="4.5703125" style="9" customWidth="1"/>
    <col min="10" max="11" width="5.5703125" style="9" customWidth="1"/>
    <col min="12" max="12" width="2.140625" style="9" customWidth="1"/>
    <col min="13" max="13" width="7" style="7" customWidth="1"/>
    <col min="14" max="14" width="5.5703125" style="7" bestFit="1" customWidth="1"/>
    <col min="15" max="1026" width="9.140625" style="7"/>
    <col min="1027" max="16384" width="9.140625" style="8"/>
  </cols>
  <sheetData>
    <row r="1" spans="1:15" s="12" customFormat="1" ht="12.75" customHeight="1">
      <c r="A1" s="24" t="s">
        <v>281</v>
      </c>
      <c r="B1" s="24" t="s">
        <v>282</v>
      </c>
      <c r="C1" s="25" t="s">
        <v>392</v>
      </c>
      <c r="D1" s="25" t="s">
        <v>283</v>
      </c>
      <c r="E1" s="25" t="s">
        <v>284</v>
      </c>
      <c r="F1" s="25" t="s">
        <v>395</v>
      </c>
      <c r="G1" s="25" t="s">
        <v>292</v>
      </c>
      <c r="H1" s="24" t="s">
        <v>394</v>
      </c>
      <c r="I1" s="54" t="s">
        <v>320</v>
      </c>
      <c r="J1" s="54"/>
      <c r="K1" s="54"/>
      <c r="L1" s="24"/>
      <c r="M1" s="16" t="s">
        <v>322</v>
      </c>
      <c r="N1" s="16" t="s">
        <v>323</v>
      </c>
    </row>
    <row r="2" spans="1:15" s="12" customFormat="1" ht="12" customHeight="1">
      <c r="A2" s="24"/>
      <c r="B2" s="24"/>
      <c r="C2" s="25"/>
      <c r="D2" s="25"/>
      <c r="E2" s="25"/>
      <c r="F2" s="25"/>
      <c r="G2" s="25"/>
      <c r="H2" s="24"/>
      <c r="I2" s="44">
        <v>1</v>
      </c>
      <c r="J2" s="44">
        <v>2</v>
      </c>
      <c r="K2" s="44">
        <v>3</v>
      </c>
      <c r="L2" s="44">
        <v>4</v>
      </c>
      <c r="M2" s="16"/>
      <c r="N2" s="16"/>
    </row>
    <row r="3" spans="1:15" s="9" customFormat="1">
      <c r="A3" s="2" t="s">
        <v>524</v>
      </c>
      <c r="B3" s="2" t="s">
        <v>290</v>
      </c>
      <c r="C3" s="3" t="s">
        <v>420</v>
      </c>
      <c r="D3" s="3" t="s">
        <v>151</v>
      </c>
      <c r="E3" s="28">
        <v>90</v>
      </c>
      <c r="F3" s="28">
        <v>1</v>
      </c>
      <c r="G3" s="3" t="s">
        <v>293</v>
      </c>
      <c r="H3" s="4" t="s">
        <v>325</v>
      </c>
      <c r="I3" s="3" t="s">
        <v>28</v>
      </c>
      <c r="J3" s="3" t="s">
        <v>152</v>
      </c>
      <c r="K3" s="5" t="s">
        <v>40</v>
      </c>
      <c r="L3" s="5"/>
      <c r="M3" s="28">
        <v>92.5</v>
      </c>
      <c r="N3" s="3" t="s">
        <v>427</v>
      </c>
      <c r="O3" s="36"/>
    </row>
    <row r="4" spans="1:15">
      <c r="A4" s="2" t="s">
        <v>525</v>
      </c>
      <c r="B4" s="2" t="s">
        <v>290</v>
      </c>
      <c r="C4" s="3" t="s">
        <v>429</v>
      </c>
      <c r="D4" s="3" t="s">
        <v>153</v>
      </c>
      <c r="E4" s="28">
        <v>140</v>
      </c>
      <c r="F4" s="28">
        <v>1</v>
      </c>
      <c r="G4" s="3" t="s">
        <v>293</v>
      </c>
      <c r="H4" s="4" t="s">
        <v>359</v>
      </c>
      <c r="I4" s="3" t="s">
        <v>126</v>
      </c>
      <c r="J4" s="3" t="s">
        <v>38</v>
      </c>
      <c r="K4" s="5" t="s">
        <v>98</v>
      </c>
      <c r="L4" s="5"/>
      <c r="M4" s="11">
        <v>100</v>
      </c>
      <c r="N4" s="11" t="s">
        <v>428</v>
      </c>
      <c r="O4" s="46"/>
    </row>
    <row r="15" spans="1:15">
      <c r="A15" s="13"/>
      <c r="B15" s="13"/>
      <c r="C15" s="14"/>
    </row>
    <row r="16" spans="1:15">
      <c r="A16" s="15"/>
      <c r="B16" s="15"/>
      <c r="C16" s="14"/>
    </row>
    <row r="17" spans="1:7">
      <c r="A17" s="16"/>
      <c r="B17" s="16"/>
      <c r="C17" s="16"/>
      <c r="D17" s="16"/>
      <c r="E17" s="12"/>
      <c r="F17" s="12"/>
      <c r="G17" s="12"/>
    </row>
    <row r="18" spans="1:7">
      <c r="A18" s="6"/>
      <c r="B18" s="6"/>
    </row>
    <row r="19" spans="1:7">
      <c r="A19" s="6"/>
      <c r="B19" s="6"/>
    </row>
  </sheetData>
  <mergeCells count="1">
    <mergeCell ref="I1:K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L22"/>
  <sheetViews>
    <sheetView zoomScaleNormal="100" workbookViewId="0">
      <selection activeCell="H3" sqref="H3"/>
    </sheetView>
  </sheetViews>
  <sheetFormatPr defaultColWidth="9.140625" defaultRowHeight="12.75"/>
  <cols>
    <col min="1" max="1" width="15.7109375" style="1" bestFit="1" customWidth="1"/>
    <col min="2" max="2" width="4.42578125" style="1" bestFit="1" customWidth="1"/>
    <col min="3" max="3" width="10.140625" style="10" bestFit="1" customWidth="1"/>
    <col min="4" max="6" width="7.5703125" style="9" customWidth="1"/>
    <col min="7" max="7" width="19" style="9" bestFit="1" customWidth="1"/>
    <col min="8" max="8" width="15.85546875" style="10" customWidth="1"/>
    <col min="9" max="11" width="5.5703125" style="9" customWidth="1"/>
    <col min="12" max="12" width="2.140625" style="9" customWidth="1"/>
    <col min="13" max="13" width="8" style="7" customWidth="1"/>
    <col min="14" max="14" width="11" style="7" customWidth="1"/>
    <col min="15" max="1026" width="9.140625" style="7"/>
    <col min="1027" max="16384" width="9.140625" style="8"/>
  </cols>
  <sheetData>
    <row r="1" spans="1:15" s="12" customFormat="1" ht="12.75" customHeight="1">
      <c r="A1" s="24" t="s">
        <v>281</v>
      </c>
      <c r="B1" s="24" t="s">
        <v>282</v>
      </c>
      <c r="C1" s="35" t="s">
        <v>392</v>
      </c>
      <c r="D1" s="25" t="s">
        <v>283</v>
      </c>
      <c r="E1" s="25" t="s">
        <v>284</v>
      </c>
      <c r="F1" s="25" t="s">
        <v>395</v>
      </c>
      <c r="G1" s="25" t="s">
        <v>292</v>
      </c>
      <c r="H1" s="24" t="s">
        <v>394</v>
      </c>
      <c r="I1" s="54" t="s">
        <v>320</v>
      </c>
      <c r="J1" s="54"/>
      <c r="K1" s="54"/>
      <c r="L1" s="24"/>
      <c r="M1" s="16" t="s">
        <v>322</v>
      </c>
      <c r="N1" s="16"/>
    </row>
    <row r="2" spans="1:15" s="12" customFormat="1" ht="13.5" customHeight="1">
      <c r="A2" s="24"/>
      <c r="B2" s="24"/>
      <c r="C2" s="35"/>
      <c r="D2" s="25"/>
      <c r="E2" s="25"/>
      <c r="F2" s="25"/>
      <c r="G2" s="25"/>
      <c r="H2" s="24"/>
      <c r="I2" s="44">
        <v>1</v>
      </c>
      <c r="J2" s="44">
        <v>2</v>
      </c>
      <c r="K2" s="44">
        <v>3</v>
      </c>
      <c r="L2" s="44">
        <v>4</v>
      </c>
      <c r="M2" s="16"/>
      <c r="N2" s="16"/>
    </row>
    <row r="3" spans="1:15" s="9" customFormat="1">
      <c r="A3" s="2" t="s">
        <v>526</v>
      </c>
      <c r="B3" s="2" t="s">
        <v>290</v>
      </c>
      <c r="C3" s="4" t="s">
        <v>494</v>
      </c>
      <c r="D3" s="3" t="s">
        <v>143</v>
      </c>
      <c r="E3" s="28">
        <v>140</v>
      </c>
      <c r="F3" s="28">
        <v>1</v>
      </c>
      <c r="G3" s="3" t="s">
        <v>293</v>
      </c>
      <c r="H3" s="19" t="s">
        <v>325</v>
      </c>
      <c r="I3" s="19" t="s">
        <v>82</v>
      </c>
      <c r="J3" s="3" t="s">
        <v>103</v>
      </c>
      <c r="K3" s="3" t="s">
        <v>80</v>
      </c>
      <c r="L3" s="5"/>
      <c r="M3" s="28">
        <v>185</v>
      </c>
      <c r="N3" s="3" t="s">
        <v>430</v>
      </c>
      <c r="O3" s="47"/>
    </row>
    <row r="4" spans="1:15" s="9" customFormat="1">
      <c r="A4" s="2" t="s">
        <v>527</v>
      </c>
      <c r="B4" s="2" t="s">
        <v>290</v>
      </c>
      <c r="C4" s="4" t="s">
        <v>453</v>
      </c>
      <c r="D4" s="3" t="s">
        <v>255</v>
      </c>
      <c r="E4" s="28">
        <v>140</v>
      </c>
      <c r="F4" s="28">
        <v>1</v>
      </c>
      <c r="G4" s="3" t="s">
        <v>407</v>
      </c>
      <c r="H4" s="4" t="s">
        <v>360</v>
      </c>
      <c r="I4" s="3" t="s">
        <v>244</v>
      </c>
      <c r="J4" s="5" t="s">
        <v>9</v>
      </c>
      <c r="K4" s="5" t="s">
        <v>9</v>
      </c>
      <c r="L4" s="5"/>
      <c r="M4" s="28">
        <v>260</v>
      </c>
      <c r="N4" s="3" t="s">
        <v>431</v>
      </c>
      <c r="O4" s="48"/>
    </row>
    <row r="15" spans="1:15">
      <c r="A15" s="13"/>
      <c r="B15" s="13"/>
      <c r="C15" s="17"/>
    </row>
    <row r="16" spans="1:15">
      <c r="A16" s="15"/>
      <c r="B16" s="15"/>
      <c r="C16" s="17"/>
    </row>
    <row r="17" spans="1:7">
      <c r="A17" s="16"/>
      <c r="B17" s="16"/>
      <c r="C17" s="18"/>
      <c r="D17" s="16"/>
      <c r="E17" s="12"/>
      <c r="F17" s="12"/>
      <c r="G17" s="12"/>
    </row>
    <row r="18" spans="1:7">
      <c r="A18" s="6"/>
      <c r="B18" s="6"/>
    </row>
    <row r="20" spans="1:7">
      <c r="A20" s="15"/>
      <c r="B20" s="15"/>
      <c r="C20" s="17"/>
    </row>
    <row r="21" spans="1:7">
      <c r="A21" s="16"/>
      <c r="B21" s="16"/>
      <c r="C21" s="18"/>
      <c r="D21" s="16"/>
      <c r="E21" s="12"/>
      <c r="F21" s="12"/>
      <c r="G21" s="12"/>
    </row>
    <row r="22" spans="1:7">
      <c r="A22" s="6"/>
      <c r="B22" s="6"/>
    </row>
  </sheetData>
  <mergeCells count="1">
    <mergeCell ref="I1:K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AWPC  PL Raw</vt:lpstr>
      <vt:lpstr>AWPC CL PL</vt:lpstr>
      <vt:lpstr>AWPC PL SP</vt:lpstr>
      <vt:lpstr>AWPC PL</vt:lpstr>
      <vt:lpstr>WPC CL PL</vt:lpstr>
      <vt:lpstr>WPC PL Raw</vt:lpstr>
      <vt:lpstr>AWPC BP Raw</vt:lpstr>
      <vt:lpstr>AWPC BP Mil</vt:lpstr>
      <vt:lpstr>WPC BP Soft</vt:lpstr>
      <vt:lpstr>AWPC BP MP soft </vt:lpstr>
      <vt:lpstr>WPC BP Raw</vt:lpstr>
      <vt:lpstr>WPC PL SP</vt:lpstr>
      <vt:lpstr>WPC BP</vt:lpstr>
      <vt:lpstr>AWPC  DL</vt:lpstr>
      <vt:lpstr>AWPC DL SP</vt:lpstr>
      <vt:lpstr>AWPC DL Raw</vt:lpstr>
      <vt:lpstr>WPC DL SP</vt:lpstr>
      <vt:lpstr>WPC DL Raw</vt:lpstr>
      <vt:lpstr>AWPC SC</vt:lpstr>
      <vt:lpstr>WPC 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revision>3</cp:revision>
  <cp:lastPrinted>2008-02-22T21:19:54Z</cp:lastPrinted>
  <dcterms:created xsi:type="dcterms:W3CDTF">2002-06-16T13:36:44Z</dcterms:created>
  <dcterms:modified xsi:type="dcterms:W3CDTF">2021-06-28T22:04:58Z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