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й/"/>
    </mc:Choice>
  </mc:AlternateContent>
  <xr:revisionPtr revIDLastSave="0" documentId="13_ncr:1_{A5822832-CDF9-024F-81F9-55DEA3F4C878}" xr6:coauthVersionLast="45" xr6:coauthVersionMax="45" xr10:uidLastSave="{00000000-0000-0000-0000-000000000000}"/>
  <bookViews>
    <workbookView xWindow="480" yWindow="460" windowWidth="28320" windowHeight="16080" tabRatio="802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22" r:id="rId5"/>
    <sheet name="WRPF Двоеборье без экип" sheetId="21" r:id="rId6"/>
    <sheet name="WRPF Жим лежа без экип ДК" sheetId="11" r:id="rId7"/>
    <sheet name="WRPF Жим лежа без экип" sheetId="10" r:id="rId8"/>
    <sheet name="WEPF Жим однослой ДК" sheetId="14" r:id="rId9"/>
    <sheet name="WEPF Жим софт многопетельнаяДК" sheetId="16" r:id="rId10"/>
    <sheet name="WRPF Тяга без экипировки ДК" sheetId="20" r:id="rId11"/>
    <sheet name="WRPF Тяга без экипировки" sheetId="19" r:id="rId12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9" l="1"/>
  <c r="K12" i="19"/>
  <c r="P12" i="21"/>
  <c r="O12" i="21"/>
  <c r="P9" i="22" l="1"/>
  <c r="O9" i="22"/>
  <c r="P6" i="22"/>
  <c r="O6" i="22"/>
  <c r="P13" i="21"/>
  <c r="O13" i="21"/>
  <c r="P9" i="21"/>
  <c r="O9" i="21"/>
  <c r="P6" i="21"/>
  <c r="O6" i="21"/>
  <c r="L17" i="20"/>
  <c r="K17" i="20"/>
  <c r="L14" i="20"/>
  <c r="K14" i="20"/>
  <c r="L13" i="20"/>
  <c r="K13" i="20"/>
  <c r="L10" i="20"/>
  <c r="K10" i="20"/>
  <c r="L9" i="20"/>
  <c r="K9" i="20"/>
  <c r="L6" i="20"/>
  <c r="K6" i="20"/>
  <c r="L20" i="19"/>
  <c r="K20" i="19"/>
  <c r="L17" i="19"/>
  <c r="K17" i="19"/>
  <c r="L14" i="19"/>
  <c r="K14" i="19"/>
  <c r="L13" i="19"/>
  <c r="K13" i="19"/>
  <c r="L9" i="19"/>
  <c r="K9" i="19"/>
  <c r="L6" i="19"/>
  <c r="K6" i="19"/>
  <c r="L6" i="16"/>
  <c r="K6" i="16"/>
  <c r="L6" i="14"/>
  <c r="K6" i="14"/>
  <c r="L49" i="11"/>
  <c r="K49" i="11"/>
  <c r="L46" i="11"/>
  <c r="K46" i="11"/>
  <c r="L43" i="11"/>
  <c r="K43" i="11"/>
  <c r="L40" i="11"/>
  <c r="K40" i="11"/>
  <c r="L39" i="11"/>
  <c r="K39" i="11"/>
  <c r="L38" i="11"/>
  <c r="K38" i="11"/>
  <c r="L37" i="11"/>
  <c r="K37" i="11"/>
  <c r="L34" i="11"/>
  <c r="L33" i="11"/>
  <c r="K33" i="11"/>
  <c r="L30" i="11"/>
  <c r="K30" i="11"/>
  <c r="L29" i="11"/>
  <c r="K29" i="11"/>
  <c r="L28" i="11"/>
  <c r="K28" i="11"/>
  <c r="L27" i="11"/>
  <c r="K27" i="11"/>
  <c r="L24" i="11"/>
  <c r="L23" i="11"/>
  <c r="K23" i="11"/>
  <c r="L20" i="11"/>
  <c r="K20" i="11"/>
  <c r="L19" i="11"/>
  <c r="K19" i="11"/>
  <c r="L18" i="11"/>
  <c r="K18" i="11"/>
  <c r="L17" i="11"/>
  <c r="K17" i="11"/>
  <c r="L16" i="11"/>
  <c r="K16" i="11"/>
  <c r="L15" i="11"/>
  <c r="K15" i="11"/>
  <c r="L12" i="11"/>
  <c r="K12" i="11"/>
  <c r="L9" i="11"/>
  <c r="K9" i="11"/>
  <c r="L6" i="11"/>
  <c r="K6" i="11"/>
  <c r="L22" i="10"/>
  <c r="K22" i="10"/>
  <c r="L19" i="10"/>
  <c r="K19" i="10"/>
  <c r="L18" i="10"/>
  <c r="K18" i="10"/>
  <c r="L15" i="10"/>
  <c r="K15" i="10"/>
  <c r="L12" i="10"/>
  <c r="K12" i="10"/>
  <c r="L11" i="10"/>
  <c r="L10" i="10"/>
  <c r="K10" i="10"/>
  <c r="L9" i="10"/>
  <c r="K9" i="10"/>
  <c r="L6" i="10"/>
  <c r="K6" i="10"/>
  <c r="T28" i="8"/>
  <c r="S28" i="8"/>
  <c r="T25" i="8"/>
  <c r="S25" i="8"/>
  <c r="T22" i="8"/>
  <c r="S22" i="8"/>
  <c r="T21" i="8"/>
  <c r="S21" i="8"/>
  <c r="T18" i="8"/>
  <c r="S18" i="8"/>
  <c r="T15" i="8"/>
  <c r="S15" i="8"/>
  <c r="T12" i="8"/>
  <c r="S12" i="8"/>
  <c r="T9" i="8"/>
  <c r="S9" i="8"/>
  <c r="T6" i="8"/>
  <c r="S6" i="8"/>
  <c r="T20" i="7"/>
  <c r="S20" i="7"/>
  <c r="T19" i="7"/>
  <c r="S19" i="7"/>
  <c r="T16" i="7"/>
  <c r="S16" i="7"/>
  <c r="T13" i="7"/>
  <c r="S13" i="7"/>
  <c r="T12" i="7"/>
  <c r="S12" i="7"/>
  <c r="T9" i="7"/>
  <c r="S9" i="7"/>
  <c r="T6" i="7"/>
  <c r="S6" i="7"/>
  <c r="T12" i="6"/>
  <c r="S12" i="6"/>
  <c r="T9" i="6"/>
  <c r="S9" i="6"/>
  <c r="T6" i="6"/>
  <c r="S6" i="6"/>
  <c r="T6" i="5"/>
  <c r="S6" i="5"/>
</calcChain>
</file>

<file path=xl/sharedStrings.xml><?xml version="1.0" encoding="utf-8"?>
<sst xmlns="http://schemas.openxmlformats.org/spreadsheetml/2006/main" count="631" uniqueCount="203">
  <si>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</si>
  <si>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</si>
  <si>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</si>
  <si>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</si>
  <si>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</si>
  <si>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</si>
  <si>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</si>
  <si>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</si>
  <si>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</si>
  <si>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</si>
  <si>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</si>
  <si>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Бакланова Анна</t>
  </si>
  <si>
    <t>Открытая (23.07.1984)/36</t>
  </si>
  <si>
    <t xml:space="preserve">Тюмень/Тюменская область 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</si>
  <si>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</si>
  <si>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</si>
  <si>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</si>
  <si>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</si>
  <si>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</si>
  <si>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/>
  </si>
  <si>
    <t>ВЕСОВАЯ КАТЕГОРИЯ   67.5</t>
  </si>
  <si>
    <t>Сорокин Иван</t>
  </si>
  <si>
    <t>Открытая (04.12.1991)/29</t>
  </si>
  <si>
    <t>ВЕСОВАЯ КАТЕГОРИЯ   82.5</t>
  </si>
  <si>
    <t>Клочков Денис</t>
  </si>
  <si>
    <t>Открытая (11.01.1996)/25</t>
  </si>
  <si>
    <t>ВЕСОВАЯ КАТЕГОРИЯ   100</t>
  </si>
  <si>
    <t>Новрузов Оскар</t>
  </si>
  <si>
    <t>Открытая (26.07.1993)/27</t>
  </si>
  <si>
    <t>67.5</t>
  </si>
  <si>
    <t>ВЕСОВАЯ КАТЕГОРИЯ   60</t>
  </si>
  <si>
    <t>Шахпазов Расим</t>
  </si>
  <si>
    <t>Открытая (10.10.1991)/29</t>
  </si>
  <si>
    <t>ВЕСОВАЯ КАТЕГОРИЯ   75</t>
  </si>
  <si>
    <t>Ульянов Евгений</t>
  </si>
  <si>
    <t>Мастера 40-49 (25.08.1974)/46</t>
  </si>
  <si>
    <t xml:space="preserve">Иркутск/Иркутская область </t>
  </si>
  <si>
    <t>ВЕСОВАЯ КАТЕГОРИЯ   90</t>
  </si>
  <si>
    <t>Тереничев Алексей</t>
  </si>
  <si>
    <t>Открытая (29.03.1988)/33</t>
  </si>
  <si>
    <t>Полищук Александр</t>
  </si>
  <si>
    <t>Открытая (11.05.1990)/30</t>
  </si>
  <si>
    <t xml:space="preserve">Омск/Омская область </t>
  </si>
  <si>
    <t>Томский Алексей</t>
  </si>
  <si>
    <t>Открытая (09.04.1985)/36</t>
  </si>
  <si>
    <t>ВЕСОВАЯ КАТЕГОРИЯ   110</t>
  </si>
  <si>
    <t>Беслекоев Олег</t>
  </si>
  <si>
    <t>Открытая (29.05.1993)/27</t>
  </si>
  <si>
    <t>Овсянов Илья</t>
  </si>
  <si>
    <t>Мастера 40-49 (24.11.1980)/40</t>
  </si>
  <si>
    <t>ВЕСОВАЯ КАТЕГОРИЯ   52</t>
  </si>
  <si>
    <t>Мамей Ольга</t>
  </si>
  <si>
    <t>Открытая (28.09.1985)/35</t>
  </si>
  <si>
    <t>Шичкина Анна</t>
  </si>
  <si>
    <t>Открытая (18.08.1989)/31</t>
  </si>
  <si>
    <t>Турукина Алёна</t>
  </si>
  <si>
    <t>Открытая (20.06.1991)/29</t>
  </si>
  <si>
    <t>Пискулин Захар</t>
  </si>
  <si>
    <t>Юноши 14-16 (21.09.2010)/10</t>
  </si>
  <si>
    <t>Небесаров Максим</t>
  </si>
  <si>
    <t>Открытая (19.07.1984)/36</t>
  </si>
  <si>
    <t>Чикотин Сергей</t>
  </si>
  <si>
    <t>Юноши 14-16 (19.05.2005)/15</t>
  </si>
  <si>
    <t xml:space="preserve">Ишим/Тюменская область </t>
  </si>
  <si>
    <t>Рознин Андрей</t>
  </si>
  <si>
    <t>Открытая (08.04.1997)/24</t>
  </si>
  <si>
    <t xml:space="preserve">Екатеринбург/Свердловская область </t>
  </si>
  <si>
    <t>Мазуркевич Глеб</t>
  </si>
  <si>
    <t>Открытая (16.05.1986)/34</t>
  </si>
  <si>
    <t>ВЕСОВАЯ КАТЕГОРИЯ   125</t>
  </si>
  <si>
    <t>Якубовский Александр</t>
  </si>
  <si>
    <t>Открытая (17.09.1991)/29</t>
  </si>
  <si>
    <t>Результат</t>
  </si>
  <si>
    <t>Ульянов Александр</t>
  </si>
  <si>
    <t>Мастера 40-49 (12.06.1980)/40</t>
  </si>
  <si>
    <t>Иванов Виктор</t>
  </si>
  <si>
    <t>Юниоры (12.06.1998)/22</t>
  </si>
  <si>
    <t>Мингазов Александр</t>
  </si>
  <si>
    <t>Открытая (06.04.1989)/32</t>
  </si>
  <si>
    <t>Бронников Александр</t>
  </si>
  <si>
    <t>Открытая (06.10.1990)/30</t>
  </si>
  <si>
    <t>Стефаненко Денис</t>
  </si>
  <si>
    <t>Мастера 40-49 (27.10.1979)/41</t>
  </si>
  <si>
    <t>Малютин Владимир</t>
  </si>
  <si>
    <t>Открытая (13.09.1982)/38</t>
  </si>
  <si>
    <t>Шмидт Владимир</t>
  </si>
  <si>
    <t>Открытая (06.05.1985)/36</t>
  </si>
  <si>
    <t>Сирвас Альберт</t>
  </si>
  <si>
    <t>Открытая (30.09.1991)/29</t>
  </si>
  <si>
    <t>Смертин Дмитрий</t>
  </si>
  <si>
    <t>Открытая (12.03.1983)/38</t>
  </si>
  <si>
    <t xml:space="preserve">Результат </t>
  </si>
  <si>
    <t>-</t>
  </si>
  <si>
    <t>ВЕСОВАЯ КАТЕГОРИЯ   48</t>
  </si>
  <si>
    <t>Норкина Алиса</t>
  </si>
  <si>
    <t>Девушки 14-16 (08.07.2007)/13</t>
  </si>
  <si>
    <t>Брагина Наталья</t>
  </si>
  <si>
    <t>Открытая (29.05.1988)/32</t>
  </si>
  <si>
    <t>Есипов Никита</t>
  </si>
  <si>
    <t>Юноши 14-16 (21.05.2007)/13</t>
  </si>
  <si>
    <t>Достовалов Михаил</t>
  </si>
  <si>
    <t>Юноши 17-19 (28.09.2001)/19</t>
  </si>
  <si>
    <t xml:space="preserve">Курган/Курганская область </t>
  </si>
  <si>
    <t>Столбов Сергей</t>
  </si>
  <si>
    <t>Открытая (03.05.1992)/29</t>
  </si>
  <si>
    <t>Суббота Евгений</t>
  </si>
  <si>
    <t>Открытая (11.10.1984)/36</t>
  </si>
  <si>
    <t>Кокарев Павел</t>
  </si>
  <si>
    <t>Открытая (01.08.1982)/38</t>
  </si>
  <si>
    <t>Кутуев Александр</t>
  </si>
  <si>
    <t>Открытая (01.01.1993)/28</t>
  </si>
  <si>
    <t>Пахотин Евгений</t>
  </si>
  <si>
    <t>Открытая (05.01.1988)/33</t>
  </si>
  <si>
    <t>Гадживердиев Рашад</t>
  </si>
  <si>
    <t>Открытая (17.03.1989)/32</t>
  </si>
  <si>
    <t>Морозов Александр</t>
  </si>
  <si>
    <t>Открытая (14.04.1983)/38</t>
  </si>
  <si>
    <t>Натчук Арсений</t>
  </si>
  <si>
    <t>Юноши 17-19 (28.08.2003)/17</t>
  </si>
  <si>
    <t>Буянов Вячеслав</t>
  </si>
  <si>
    <t>Открытая (24.03.1988)/33</t>
  </si>
  <si>
    <t>Варзаков Станислав</t>
  </si>
  <si>
    <t>Открытая (15.05.1980)/40</t>
  </si>
  <si>
    <t>Исаев Азамат</t>
  </si>
  <si>
    <t>Открытая (12.05.1994)/26</t>
  </si>
  <si>
    <t>Иванов Алексей</t>
  </si>
  <si>
    <t>Открытая (30.06.1982)/38</t>
  </si>
  <si>
    <t>Пелымский Юрий</t>
  </si>
  <si>
    <t>Мастера 40-49 (02.08.1972)/48</t>
  </si>
  <si>
    <t>Сотников Александр</t>
  </si>
  <si>
    <t>Открытая (19.06.1994)/26</t>
  </si>
  <si>
    <t xml:space="preserve">Тобольск/Тюменская область </t>
  </si>
  <si>
    <t>Музыка Иван</t>
  </si>
  <si>
    <t>Открытая (06.11.1984)/36</t>
  </si>
  <si>
    <t xml:space="preserve">Салехард/Ямало-Ненецкий автономный округ </t>
  </si>
  <si>
    <t>Крекнин Владислав</t>
  </si>
  <si>
    <t>Мастера 40-49 (12.03.1977)/44</t>
  </si>
  <si>
    <t>Верпета Ярослав</t>
  </si>
  <si>
    <t>Мастера 50-59 (31.08.1970)/50</t>
  </si>
  <si>
    <t>Соколов Игорь</t>
  </si>
  <si>
    <t>Открытая (13.05.1983)/37</t>
  </si>
  <si>
    <t>Крикун Яков</t>
  </si>
  <si>
    <t>Открытая (08.04.1987)/34</t>
  </si>
  <si>
    <t>ВЕСОВАЯ КАТЕГОРИЯ   140</t>
  </si>
  <si>
    <t>Барановский Виталий</t>
  </si>
  <si>
    <t>Открытая (16.02.1987)/34</t>
  </si>
  <si>
    <t>Галанов Иван</t>
  </si>
  <si>
    <t>Юноши 17-19 (11.06.2003)/17</t>
  </si>
  <si>
    <t>Тяпкин Александр</t>
  </si>
  <si>
    <t>Открытая (09.06.1989)/31</t>
  </si>
  <si>
    <t>Открытая (24.11.1980)/40</t>
  </si>
  <si>
    <t>Филиппов Евгений</t>
  </si>
  <si>
    <t>Мастера 40-49 (08.09.1974)/46</t>
  </si>
  <si>
    <t>Горев Олег</t>
  </si>
  <si>
    <t>Открытая (01.03.1988)/33</t>
  </si>
  <si>
    <t>Василинич Дмитрий</t>
  </si>
  <si>
    <t>Открытая (09.07.1984)/36</t>
  </si>
  <si>
    <t>Лаврентьева Дарья</t>
  </si>
  <si>
    <t>Юниоры (20.05.1997)/23</t>
  </si>
  <si>
    <t>Романов Александр</t>
  </si>
  <si>
    <t>Юноши 14-16 (26.07.2005)/15</t>
  </si>
  <si>
    <t>Вилисов Владислав</t>
  </si>
  <si>
    <t>Юноши 17-19 (11.10.2003)/17</t>
  </si>
  <si>
    <t>Собственный 
Вес</t>
  </si>
  <si>
    <t>Югорск/ХМАО</t>
  </si>
  <si>
    <t>Надым/ЯНАО</t>
  </si>
  <si>
    <t xml:space="preserve">Ноябрьск/ЯНАО </t>
  </si>
  <si>
    <t xml:space="preserve">Новый Уренгой/ЯНАО </t>
  </si>
  <si>
    <t xml:space="preserve">Нижневартовск/ХМАО </t>
  </si>
  <si>
    <t xml:space="preserve">Ханты-Мансийск/ХМАО </t>
  </si>
  <si>
    <t xml:space="preserve">Нефтеюганск/ХМАО </t>
  </si>
  <si>
    <t xml:space="preserve">Сургут/ХМАО </t>
  </si>
  <si>
    <t>Чемпионат Западной Сибири
WRPF любители Пауэрлифтинг без экипировки ДК
Тюмень/Тюменская область, 9 мая 2021 года</t>
  </si>
  <si>
    <t>Чемпионат Западной Сибири
WRPF любители Пауэрлифтинг без экипировки
Тюмень/Тюменская область, 9 мая 2021 года</t>
  </si>
  <si>
    <t>Чемпионат Западной Сибири
WRPF любители Пауэрлифтинг классический в бинтах ДК
Тюмень/Тюменская область, 9 мая 2021 года</t>
  </si>
  <si>
    <t>Чемпионат Западной Сибири
WRPF любители Пауэрлифтинг классический в бинтах
Тюмень/Тюменская область, 9 мая 2021 года</t>
  </si>
  <si>
    <t>Чемпионат Западной Сибири
WRPF любители Жим лежа без экипировки ДК
Тюмень/Тюменская область, 9 мая 2021 года</t>
  </si>
  <si>
    <t>Чемпионат Западной Сибири
WRPF любители Жим лежа без экипировки
Тюмень/Тюменская область, 9 мая 2021 года</t>
  </si>
  <si>
    <t>Чемпионат Западной Сибири
WRPF любители Силовое двоеборье без экипировки ДК
Тюмень/Тюменская область, 9 мая 2021 года</t>
  </si>
  <si>
    <t>Чемпионат Западной Сибири
WRPF любители Силовое двоеборье без экипировки
Тюмень/Тюменская область, 9 мая 2021 года</t>
  </si>
  <si>
    <t>Чемпионат Западной Сибири
WEPF Жим лежа в многопетельной софт экипировке ДК
Тюмень/Тюменская область, 9 мая 2021 года</t>
  </si>
  <si>
    <t>Чемпионат Западной Сибири
WEPF любители Жим лежа в однослойной экипировке ДК
Тюмень/Тюменская область, 9 мая 2021 года</t>
  </si>
  <si>
    <t>Чемпионат Западной Сибири
WRPF любители Становая тяга без экипировки ДК
Тюмень/Тюменская область, 9 мая 2021 года</t>
  </si>
  <si>
    <t>Чемпионат Западной Сибири
WRPF любители Становая тяга без экипировки
Тюмень/Тюменская область, 9 мая 2021 года</t>
  </si>
  <si>
    <t>Бакланова А.</t>
  </si>
  <si>
    <t>Беслекоев О.</t>
  </si>
  <si>
    <t>Пискулин П.</t>
  </si>
  <si>
    <t>Мацько И.</t>
  </si>
  <si>
    <t>Горев О.</t>
  </si>
  <si>
    <t>Булычев А.</t>
  </si>
  <si>
    <t xml:space="preserve">Мужчины </t>
  </si>
  <si>
    <t>Весовая категория</t>
  </si>
  <si>
    <t>Сорокин И.</t>
  </si>
  <si>
    <t xml:space="preserve"> </t>
  </si>
  <si>
    <t>№</t>
  </si>
  <si>
    <t xml:space="preserve">
Дата рождения/Возраст</t>
  </si>
  <si>
    <t>Возрастная группа</t>
  </si>
  <si>
    <t>O</t>
  </si>
  <si>
    <t>M1</t>
  </si>
  <si>
    <t>J</t>
  </si>
  <si>
    <t>T1</t>
  </si>
  <si>
    <t>T2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</si>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</sst>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b/>
      <strike/>
      <sz val="10"/>
      <color theme="5"/>
      <name val="Arial Cyr"/>
      <charset val="204"/>
    </font>
    <font>
      <i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zoomScaleNormal="100" workbookViewId="0">
      <selection sqref="A1:U2"/>
    </sheetView>
  </sheetViews>
  <sheetFormatPr baseColWidth="10" defaultColWidth="9.1640625" defaultRowHeight="13"/>
  <cols>
    <col min="1" max="1" width="7.5" style="6" bestFit="1" customWidth="1"/>
    <col min="2" max="2" width="19.83203125" style="6" customWidth="1"/>
    <col min="3" max="3" width="26.33203125" style="6" bestFit="1" customWidth="1"/>
    <col min="4" max="4" width="16.5" style="42" customWidth="1"/>
    <col min="5" max="5" width="10.5" style="6" bestFit="1" customWidth="1"/>
    <col min="6" max="6" width="31" style="6" bestFit="1" customWidth="1"/>
    <col min="7" max="18" width="5.5" style="7" customWidth="1"/>
    <col min="19" max="19" width="10.5" style="7" customWidth="1"/>
    <col min="20" max="20" width="9.5" style="7" customWidth="1"/>
    <col min="21" max="21" width="17.33203125" style="6" customWidth="1"/>
    <col min="22" max="16384" width="9.1640625" style="3"/>
  </cols>
  <sheetData>
    <row r="1" spans="1:21" s="2" customFormat="1" ht="29" customHeight="1">
      <c r="A1" s="88" t="s">
        <v>172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21" s="2" customFormat="1" ht="69" customHeight="1" thickBot="1">
      <c r="A2" s="92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96" t="s">
        <v>194</v>
      </c>
      <c r="B3" s="80" t="s">
        <v>0</v>
      </c>
      <c r="C3" s="98" t="s">
        <v>195</v>
      </c>
      <c r="D3" s="99" t="s">
        <v>6</v>
      </c>
      <c r="E3" s="82" t="s">
        <v>196</v>
      </c>
      <c r="F3" s="82" t="s">
        <v>5</v>
      </c>
      <c r="G3" s="82" t="s">
        <v>7</v>
      </c>
      <c r="H3" s="82"/>
      <c r="I3" s="82"/>
      <c r="J3" s="82"/>
      <c r="K3" s="82" t="s">
        <v>8</v>
      </c>
      <c r="L3" s="82"/>
      <c r="M3" s="82"/>
      <c r="N3" s="82"/>
      <c r="O3" s="82" t="s">
        <v>9</v>
      </c>
      <c r="P3" s="82"/>
      <c r="Q3" s="82"/>
      <c r="R3" s="82"/>
      <c r="S3" s="82" t="s">
        <v>1</v>
      </c>
      <c r="T3" s="82" t="s">
        <v>3</v>
      </c>
      <c r="U3" s="84" t="s">
        <v>2</v>
      </c>
    </row>
    <row r="4" spans="1:21" s="1" customFormat="1" ht="21" customHeight="1" thickBot="1">
      <c r="A4" s="97"/>
      <c r="B4" s="81"/>
      <c r="C4" s="83"/>
      <c r="D4" s="100"/>
      <c r="E4" s="83"/>
      <c r="F4" s="83"/>
      <c r="G4" s="5">
        <v>1</v>
      </c>
      <c r="H4" s="5">
        <v>2</v>
      </c>
      <c r="I4" s="5">
        <v>3</v>
      </c>
      <c r="J4" s="5" t="s">
        <v>4</v>
      </c>
      <c r="K4" s="5">
        <v>1</v>
      </c>
      <c r="L4" s="5">
        <v>2</v>
      </c>
      <c r="M4" s="5">
        <v>3</v>
      </c>
      <c r="N4" s="5" t="s">
        <v>4</v>
      </c>
      <c r="O4" s="5">
        <v>1</v>
      </c>
      <c r="P4" s="5">
        <v>2</v>
      </c>
      <c r="Q4" s="5">
        <v>3</v>
      </c>
      <c r="R4" s="5" t="s">
        <v>4</v>
      </c>
      <c r="S4" s="83"/>
      <c r="T4" s="83"/>
      <c r="U4" s="85"/>
    </row>
    <row r="5" spans="1:21" ht="16">
      <c r="A5" s="86" t="s">
        <v>50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21">
      <c r="A6" s="16">
        <v>1</v>
      </c>
      <c r="B6" s="8" t="s">
        <v>51</v>
      </c>
      <c r="C6" s="8" t="s">
        <v>52</v>
      </c>
      <c r="D6" s="41">
        <v>51.9</v>
      </c>
      <c r="E6" s="8" t="s">
        <v>197</v>
      </c>
      <c r="F6" s="8" t="s">
        <v>13</v>
      </c>
      <c r="G6" s="17">
        <v>87.5</v>
      </c>
      <c r="H6" s="17">
        <v>95</v>
      </c>
      <c r="I6" s="17">
        <v>102.5</v>
      </c>
      <c r="J6" s="19"/>
      <c r="K6" s="17">
        <v>37.5</v>
      </c>
      <c r="L6" s="17">
        <v>40</v>
      </c>
      <c r="M6" s="18">
        <v>45</v>
      </c>
      <c r="N6" s="19"/>
      <c r="O6" s="17">
        <v>75</v>
      </c>
      <c r="P6" s="18">
        <v>85</v>
      </c>
      <c r="Q6" s="18">
        <v>85</v>
      </c>
      <c r="R6" s="19"/>
      <c r="S6" s="9" t="str">
        <f>"217,5"</f>
        <v>217,5</v>
      </c>
      <c r="T6" s="9" t="str">
        <f>"271,5487"</f>
        <v>271,5487</v>
      </c>
      <c r="U6" s="20"/>
    </row>
    <row r="7" spans="1:21">
      <c r="B7" s="6" t="s">
        <v>19</v>
      </c>
    </row>
    <row r="8" spans="1:21" ht="16">
      <c r="A8" s="79" t="s">
        <v>10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21">
      <c r="A9" s="16">
        <v>1</v>
      </c>
      <c r="B9" s="8" t="s">
        <v>53</v>
      </c>
      <c r="C9" s="8" t="s">
        <v>54</v>
      </c>
      <c r="D9" s="41">
        <v>55.2</v>
      </c>
      <c r="E9" s="8" t="s">
        <v>197</v>
      </c>
      <c r="F9" s="8" t="s">
        <v>13</v>
      </c>
      <c r="G9" s="17">
        <v>82.5</v>
      </c>
      <c r="H9" s="17">
        <v>87.5</v>
      </c>
      <c r="I9" s="17">
        <v>92.5</v>
      </c>
      <c r="J9" s="19"/>
      <c r="K9" s="17">
        <v>50</v>
      </c>
      <c r="L9" s="18">
        <v>55</v>
      </c>
      <c r="M9" s="18">
        <v>55</v>
      </c>
      <c r="N9" s="19"/>
      <c r="O9" s="17">
        <v>120</v>
      </c>
      <c r="P9" s="17">
        <v>125</v>
      </c>
      <c r="Q9" s="17">
        <v>130</v>
      </c>
      <c r="R9" s="19"/>
      <c r="S9" s="9" t="str">
        <f>"272,5"</f>
        <v>272,5</v>
      </c>
      <c r="T9" s="9" t="str">
        <f>"324,2750"</f>
        <v>324,2750</v>
      </c>
      <c r="U9" s="8" t="s">
        <v>184</v>
      </c>
    </row>
    <row r="10" spans="1:21">
      <c r="B10" s="6" t="s">
        <v>19</v>
      </c>
    </row>
    <row r="11" spans="1:21" ht="16">
      <c r="A11" s="79" t="s">
        <v>20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</row>
    <row r="12" spans="1:21">
      <c r="A12" s="16">
        <v>1</v>
      </c>
      <c r="B12" s="8" t="s">
        <v>55</v>
      </c>
      <c r="C12" s="8" t="s">
        <v>56</v>
      </c>
      <c r="D12" s="41">
        <v>66.3</v>
      </c>
      <c r="E12" s="8" t="s">
        <v>197</v>
      </c>
      <c r="F12" s="8" t="s">
        <v>13</v>
      </c>
      <c r="G12" s="17">
        <v>110</v>
      </c>
      <c r="H12" s="17">
        <v>120</v>
      </c>
      <c r="I12" s="18">
        <v>130</v>
      </c>
      <c r="J12" s="19"/>
      <c r="K12" s="17">
        <v>62.5</v>
      </c>
      <c r="L12" s="17">
        <v>67.5</v>
      </c>
      <c r="M12" s="17">
        <v>70</v>
      </c>
      <c r="N12" s="19"/>
      <c r="O12" s="17">
        <v>155</v>
      </c>
      <c r="P12" s="17">
        <v>165</v>
      </c>
      <c r="Q12" s="18">
        <v>170</v>
      </c>
      <c r="R12" s="19"/>
      <c r="S12" s="19" t="str">
        <f>"355,0"</f>
        <v>355,0</v>
      </c>
      <c r="T12" s="9" t="str">
        <f>"367,0345"</f>
        <v>367,0345</v>
      </c>
      <c r="U12" s="8" t="s">
        <v>185</v>
      </c>
    </row>
    <row r="13" spans="1:21">
      <c r="B13" s="6" t="s">
        <v>19</v>
      </c>
    </row>
    <row r="14" spans="1:21" ht="16">
      <c r="A14" s="79" t="s">
        <v>50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1:21">
      <c r="A15" s="16">
        <v>1</v>
      </c>
      <c r="B15" s="8" t="s">
        <v>57</v>
      </c>
      <c r="C15" s="8" t="s">
        <v>58</v>
      </c>
      <c r="D15" s="41">
        <v>48</v>
      </c>
      <c r="E15" s="8" t="s">
        <v>200</v>
      </c>
      <c r="F15" s="8" t="s">
        <v>13</v>
      </c>
      <c r="G15" s="17">
        <v>55</v>
      </c>
      <c r="H15" s="18">
        <v>60</v>
      </c>
      <c r="I15" s="17">
        <v>62.5</v>
      </c>
      <c r="J15" s="19"/>
      <c r="K15" s="17">
        <v>40</v>
      </c>
      <c r="L15" s="17">
        <v>45</v>
      </c>
      <c r="M15" s="18">
        <v>47.5</v>
      </c>
      <c r="N15" s="19"/>
      <c r="O15" s="17">
        <v>75</v>
      </c>
      <c r="P15" s="17">
        <v>82.5</v>
      </c>
      <c r="Q15" s="17">
        <v>87.5</v>
      </c>
      <c r="R15" s="19"/>
      <c r="S15" s="19" t="str">
        <f>"195,0"</f>
        <v>195,0</v>
      </c>
      <c r="T15" s="9" t="str">
        <f>"208,7085"</f>
        <v>208,7085</v>
      </c>
      <c r="U15" s="8" t="s">
        <v>186</v>
      </c>
    </row>
    <row r="16" spans="1:21">
      <c r="B16" s="6" t="s">
        <v>19</v>
      </c>
    </row>
    <row r="17" spans="1:21" ht="16">
      <c r="A17" s="79" t="s">
        <v>23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21">
      <c r="A18" s="16">
        <v>1</v>
      </c>
      <c r="B18" s="8" t="s">
        <v>59</v>
      </c>
      <c r="C18" s="8" t="s">
        <v>60</v>
      </c>
      <c r="D18" s="41">
        <v>80.099999999999994</v>
      </c>
      <c r="E18" s="8" t="s">
        <v>197</v>
      </c>
      <c r="F18" s="8" t="s">
        <v>13</v>
      </c>
      <c r="G18" s="17">
        <v>195</v>
      </c>
      <c r="H18" s="18">
        <v>202.5</v>
      </c>
      <c r="I18" s="18">
        <v>202.5</v>
      </c>
      <c r="J18" s="19"/>
      <c r="K18" s="17">
        <v>135</v>
      </c>
      <c r="L18" s="17">
        <v>140</v>
      </c>
      <c r="M18" s="18">
        <v>145</v>
      </c>
      <c r="N18" s="19"/>
      <c r="O18" s="17">
        <v>200</v>
      </c>
      <c r="P18" s="17">
        <v>210</v>
      </c>
      <c r="Q18" s="18">
        <v>215</v>
      </c>
      <c r="R18" s="19"/>
      <c r="S18" s="19" t="str">
        <f>"545,0"</f>
        <v>545,0</v>
      </c>
      <c r="T18" s="9" t="str">
        <f>"371,7990"</f>
        <v>371,7990</v>
      </c>
      <c r="U18" s="8" t="s">
        <v>187</v>
      </c>
    </row>
    <row r="19" spans="1:21">
      <c r="B19" s="6" t="s">
        <v>19</v>
      </c>
    </row>
    <row r="20" spans="1:21" ht="16">
      <c r="A20" s="79" t="s">
        <v>37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21">
      <c r="A21" s="21">
        <v>1</v>
      </c>
      <c r="B21" s="10" t="s">
        <v>61</v>
      </c>
      <c r="C21" s="10" t="s">
        <v>62</v>
      </c>
      <c r="D21" s="43">
        <v>89.1</v>
      </c>
      <c r="E21" s="10" t="s">
        <v>200</v>
      </c>
      <c r="F21" s="10" t="s">
        <v>63</v>
      </c>
      <c r="G21" s="25">
        <v>160</v>
      </c>
      <c r="H21" s="26">
        <v>170</v>
      </c>
      <c r="I21" s="26">
        <v>170</v>
      </c>
      <c r="J21" s="27"/>
      <c r="K21" s="25">
        <v>105</v>
      </c>
      <c r="L21" s="26">
        <v>110</v>
      </c>
      <c r="M21" s="26">
        <v>110</v>
      </c>
      <c r="N21" s="27"/>
      <c r="O21" s="25">
        <v>150</v>
      </c>
      <c r="P21" s="25">
        <v>170</v>
      </c>
      <c r="Q21" s="26">
        <v>180</v>
      </c>
      <c r="R21" s="27"/>
      <c r="S21" s="27" t="str">
        <f>"435,0"</f>
        <v>435,0</v>
      </c>
      <c r="T21" s="31" t="str">
        <f>"279,1395"</f>
        <v>279,1395</v>
      </c>
      <c r="U21" s="10" t="s">
        <v>188</v>
      </c>
    </row>
    <row r="22" spans="1:21">
      <c r="A22" s="22">
        <v>1</v>
      </c>
      <c r="B22" s="12" t="s">
        <v>64</v>
      </c>
      <c r="C22" s="12" t="s">
        <v>65</v>
      </c>
      <c r="D22" s="44">
        <v>85.4</v>
      </c>
      <c r="E22" s="12" t="s">
        <v>197</v>
      </c>
      <c r="F22" s="12" t="s">
        <v>66</v>
      </c>
      <c r="G22" s="28">
        <v>175</v>
      </c>
      <c r="H22" s="29">
        <v>185</v>
      </c>
      <c r="I22" s="28">
        <v>190</v>
      </c>
      <c r="J22" s="30"/>
      <c r="K22" s="28">
        <v>125</v>
      </c>
      <c r="L22" s="28">
        <v>135</v>
      </c>
      <c r="M22" s="29">
        <v>140</v>
      </c>
      <c r="N22" s="30"/>
      <c r="O22" s="28">
        <v>190</v>
      </c>
      <c r="P22" s="28">
        <v>210</v>
      </c>
      <c r="Q22" s="28">
        <v>220</v>
      </c>
      <c r="R22" s="30"/>
      <c r="S22" s="30" t="str">
        <f>"545,0"</f>
        <v>545,0</v>
      </c>
      <c r="T22" s="32" t="str">
        <f>"357,8470"</f>
        <v>357,8470</v>
      </c>
      <c r="U22" s="33"/>
    </row>
    <row r="23" spans="1:21">
      <c r="B23" s="6" t="s">
        <v>19</v>
      </c>
    </row>
    <row r="24" spans="1:21" ht="16">
      <c r="A24" s="79" t="s">
        <v>45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</row>
    <row r="25" spans="1:21">
      <c r="A25" s="16">
        <v>1</v>
      </c>
      <c r="B25" s="8" t="s">
        <v>67</v>
      </c>
      <c r="C25" s="8" t="s">
        <v>68</v>
      </c>
      <c r="D25" s="41">
        <v>107.5</v>
      </c>
      <c r="E25" s="8" t="s">
        <v>197</v>
      </c>
      <c r="F25" s="8" t="s">
        <v>171</v>
      </c>
      <c r="G25" s="17">
        <v>210</v>
      </c>
      <c r="H25" s="17">
        <v>222.5</v>
      </c>
      <c r="I25" s="17">
        <v>225</v>
      </c>
      <c r="J25" s="19"/>
      <c r="K25" s="17">
        <v>165</v>
      </c>
      <c r="L25" s="17">
        <v>172.5</v>
      </c>
      <c r="M25" s="18">
        <v>175</v>
      </c>
      <c r="N25" s="19"/>
      <c r="O25" s="17">
        <v>260</v>
      </c>
      <c r="P25" s="17">
        <v>272.5</v>
      </c>
      <c r="Q25" s="17">
        <v>275</v>
      </c>
      <c r="R25" s="19"/>
      <c r="S25" s="19" t="str">
        <f>"672,5"</f>
        <v>672,5</v>
      </c>
      <c r="T25" s="9" t="str">
        <f>"398,6580"</f>
        <v>398,6580</v>
      </c>
      <c r="U25" s="20"/>
    </row>
    <row r="26" spans="1:21">
      <c r="B26" s="6" t="s">
        <v>19</v>
      </c>
    </row>
    <row r="27" spans="1:21" ht="16">
      <c r="A27" s="79" t="s">
        <v>69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1:21">
      <c r="A28" s="16">
        <v>1</v>
      </c>
      <c r="B28" s="8" t="s">
        <v>70</v>
      </c>
      <c r="C28" s="8" t="s">
        <v>71</v>
      </c>
      <c r="D28" s="41">
        <v>114</v>
      </c>
      <c r="E28" s="8" t="s">
        <v>197</v>
      </c>
      <c r="F28" s="8" t="s">
        <v>13</v>
      </c>
      <c r="G28" s="17">
        <v>150</v>
      </c>
      <c r="H28" s="17">
        <v>165</v>
      </c>
      <c r="I28" s="17">
        <v>180</v>
      </c>
      <c r="J28" s="19"/>
      <c r="K28" s="17">
        <v>125</v>
      </c>
      <c r="L28" s="18">
        <v>135</v>
      </c>
      <c r="M28" s="18">
        <v>135</v>
      </c>
      <c r="N28" s="19"/>
      <c r="O28" s="17">
        <v>180</v>
      </c>
      <c r="P28" s="17">
        <v>210</v>
      </c>
      <c r="Q28" s="18">
        <v>220</v>
      </c>
      <c r="R28" s="19"/>
      <c r="S28" s="19" t="str">
        <f>"515,0"</f>
        <v>515,0</v>
      </c>
      <c r="T28" s="9" t="str">
        <f>"299,9360"</f>
        <v>299,9360</v>
      </c>
      <c r="U28" s="20"/>
    </row>
    <row r="29" spans="1:21">
      <c r="B29" s="6" t="s">
        <v>19</v>
      </c>
    </row>
  </sheetData>
  <mergeCells count="21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7:R27"/>
    <mergeCell ref="B3:B4"/>
    <mergeCell ref="A8:R8"/>
    <mergeCell ref="A11:R11"/>
    <mergeCell ref="A14:R14"/>
    <mergeCell ref="A17:R17"/>
    <mergeCell ref="A20:R20"/>
    <mergeCell ref="A24:R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7" style="6" customWidth="1"/>
    <col min="3" max="3" width="27.5" style="6" bestFit="1" customWidth="1"/>
    <col min="4" max="4" width="16.33203125" style="42" customWidth="1"/>
    <col min="5" max="5" width="10.6640625" style="6" customWidth="1"/>
    <col min="6" max="6" width="34" style="6" customWidth="1"/>
    <col min="7" max="7" width="5.6640625" style="7" bestFit="1" customWidth="1"/>
    <col min="8" max="8" width="5.83203125" style="7" bestFit="1" customWidth="1"/>
    <col min="9" max="9" width="5.6640625" style="7" bestFit="1" customWidth="1"/>
    <col min="10" max="10" width="4.83203125" style="7" bestFit="1" customWidth="1"/>
    <col min="11" max="11" width="11.33203125" style="7" bestFit="1" customWidth="1"/>
    <col min="12" max="12" width="8.6640625" style="7" bestFit="1" customWidth="1"/>
    <col min="13" max="13" width="22.83203125" style="6" customWidth="1"/>
    <col min="14" max="16384" width="9.1640625" style="3"/>
  </cols>
  <sheetData>
    <row r="1" spans="1:13" s="2" customFormat="1" ht="29" customHeight="1">
      <c r="A1" s="88" t="s">
        <v>180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s="2" customFormat="1" ht="62" customHeight="1" thickBot="1">
      <c r="A2" s="92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96" t="s">
        <v>194</v>
      </c>
      <c r="B3" s="80" t="s">
        <v>0</v>
      </c>
      <c r="C3" s="98" t="s">
        <v>195</v>
      </c>
      <c r="D3" s="99" t="s">
        <v>6</v>
      </c>
      <c r="E3" s="82" t="s">
        <v>196</v>
      </c>
      <c r="F3" s="82" t="s">
        <v>5</v>
      </c>
      <c r="G3" s="82" t="s">
        <v>8</v>
      </c>
      <c r="H3" s="82"/>
      <c r="I3" s="82"/>
      <c r="J3" s="82"/>
      <c r="K3" s="82" t="s">
        <v>72</v>
      </c>
      <c r="L3" s="82" t="s">
        <v>3</v>
      </c>
      <c r="M3" s="84" t="s">
        <v>2</v>
      </c>
    </row>
    <row r="4" spans="1:13" s="1" customFormat="1" ht="21" customHeight="1" thickBot="1">
      <c r="A4" s="97"/>
      <c r="B4" s="81"/>
      <c r="C4" s="83"/>
      <c r="D4" s="100"/>
      <c r="E4" s="83"/>
      <c r="F4" s="83"/>
      <c r="G4" s="4">
        <v>1</v>
      </c>
      <c r="H4" s="4">
        <v>2</v>
      </c>
      <c r="I4" s="4">
        <v>3</v>
      </c>
      <c r="J4" s="4" t="s">
        <v>4</v>
      </c>
      <c r="K4" s="83"/>
      <c r="L4" s="83"/>
      <c r="M4" s="85"/>
    </row>
    <row r="5" spans="1:13" ht="16">
      <c r="A5" s="86" t="s">
        <v>143</v>
      </c>
      <c r="B5" s="86"/>
      <c r="C5" s="87"/>
      <c r="D5" s="87"/>
      <c r="E5" s="87"/>
      <c r="F5" s="87"/>
      <c r="G5" s="87"/>
      <c r="H5" s="87"/>
      <c r="I5" s="87"/>
      <c r="J5" s="87"/>
    </row>
    <row r="6" spans="1:13">
      <c r="A6" s="16">
        <v>1</v>
      </c>
      <c r="B6" s="8" t="s">
        <v>148</v>
      </c>
      <c r="C6" s="8" t="s">
        <v>149</v>
      </c>
      <c r="D6" s="41">
        <v>139.4</v>
      </c>
      <c r="E6" s="8" t="s">
        <v>197</v>
      </c>
      <c r="F6" s="8" t="s">
        <v>13</v>
      </c>
      <c r="G6" s="17">
        <v>330</v>
      </c>
      <c r="H6" s="17">
        <v>350</v>
      </c>
      <c r="I6" s="17">
        <v>370</v>
      </c>
      <c r="J6" s="19"/>
      <c r="K6" s="9" t="str">
        <f>"370,0"</f>
        <v>370,0</v>
      </c>
      <c r="L6" s="9" t="str">
        <f>"196,7290"</f>
        <v>196,7290</v>
      </c>
      <c r="M6" s="8"/>
    </row>
    <row r="7" spans="1:13">
      <c r="B7" s="6" t="s">
        <v>19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8"/>
  <sheetViews>
    <sheetView zoomScaleNormal="100" workbookViewId="0">
      <selection activeCell="E18" sqref="E18"/>
    </sheetView>
  </sheetViews>
  <sheetFormatPr baseColWidth="10" defaultColWidth="9.1640625" defaultRowHeight="13"/>
  <cols>
    <col min="1" max="1" width="7.5" style="6" bestFit="1" customWidth="1"/>
    <col min="2" max="2" width="25.1640625" style="6" customWidth="1"/>
    <col min="3" max="3" width="27.5" style="6" bestFit="1" customWidth="1"/>
    <col min="4" max="4" width="16.5" style="42" customWidth="1"/>
    <col min="5" max="5" width="10.5" style="6" bestFit="1" customWidth="1"/>
    <col min="6" max="6" width="29.5" style="6" bestFit="1" customWidth="1"/>
    <col min="7" max="10" width="5.5" style="7" customWidth="1"/>
    <col min="11" max="11" width="11.33203125" style="7" bestFit="1" customWidth="1"/>
    <col min="12" max="12" width="8.5" style="7" bestFit="1" customWidth="1"/>
    <col min="13" max="13" width="21" style="6" customWidth="1"/>
    <col min="14" max="16384" width="9.1640625" style="3"/>
  </cols>
  <sheetData>
    <row r="1" spans="1:13" s="2" customFormat="1" ht="29" customHeight="1">
      <c r="A1" s="88" t="s">
        <v>182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s="2" customFormat="1" ht="70" customHeight="1" thickBot="1">
      <c r="A2" s="92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96" t="s">
        <v>194</v>
      </c>
      <c r="B3" s="80" t="s">
        <v>0</v>
      </c>
      <c r="C3" s="98" t="s">
        <v>195</v>
      </c>
      <c r="D3" s="99" t="s">
        <v>6</v>
      </c>
      <c r="E3" s="82" t="s">
        <v>196</v>
      </c>
      <c r="F3" s="82" t="s">
        <v>5</v>
      </c>
      <c r="G3" s="82" t="s">
        <v>9</v>
      </c>
      <c r="H3" s="82"/>
      <c r="I3" s="82"/>
      <c r="J3" s="82"/>
      <c r="K3" s="82" t="s">
        <v>72</v>
      </c>
      <c r="L3" s="82" t="s">
        <v>3</v>
      </c>
      <c r="M3" s="84" t="s">
        <v>2</v>
      </c>
    </row>
    <row r="4" spans="1:13" s="1" customFormat="1" ht="21" customHeight="1" thickBot="1">
      <c r="A4" s="97"/>
      <c r="B4" s="81"/>
      <c r="C4" s="83"/>
      <c r="D4" s="100"/>
      <c r="E4" s="83"/>
      <c r="F4" s="83"/>
      <c r="G4" s="5">
        <v>1</v>
      </c>
      <c r="H4" s="5">
        <v>2</v>
      </c>
      <c r="I4" s="5">
        <v>3</v>
      </c>
      <c r="J4" s="5" t="s">
        <v>4</v>
      </c>
      <c r="K4" s="83"/>
      <c r="L4" s="83"/>
      <c r="M4" s="85"/>
    </row>
    <row r="5" spans="1:13" ht="16">
      <c r="A5" s="86" t="s">
        <v>30</v>
      </c>
      <c r="B5" s="86"/>
      <c r="C5" s="87"/>
      <c r="D5" s="87"/>
      <c r="E5" s="87"/>
      <c r="F5" s="87"/>
      <c r="G5" s="87"/>
      <c r="H5" s="87"/>
      <c r="I5" s="87"/>
      <c r="J5" s="87"/>
    </row>
    <row r="6" spans="1:13">
      <c r="A6" s="16">
        <v>1</v>
      </c>
      <c r="B6" s="8" t="s">
        <v>157</v>
      </c>
      <c r="C6" s="8" t="s">
        <v>158</v>
      </c>
      <c r="D6" s="41">
        <v>58.8</v>
      </c>
      <c r="E6" s="8" t="s">
        <v>199</v>
      </c>
      <c r="F6" s="8" t="s">
        <v>13</v>
      </c>
      <c r="G6" s="17">
        <v>100</v>
      </c>
      <c r="H6" s="17">
        <v>105</v>
      </c>
      <c r="I6" s="18">
        <v>110</v>
      </c>
      <c r="J6" s="19"/>
      <c r="K6" s="19" t="str">
        <f>"105,0"</f>
        <v>105,0</v>
      </c>
      <c r="L6" s="9" t="str">
        <f>"91,2345"</f>
        <v>91,2345</v>
      </c>
      <c r="M6" s="8" t="s">
        <v>192</v>
      </c>
    </row>
    <row r="7" spans="1:13">
      <c r="B7" s="6" t="s">
        <v>19</v>
      </c>
    </row>
    <row r="8" spans="1:13" ht="16">
      <c r="A8" s="79" t="s">
        <v>20</v>
      </c>
      <c r="B8" s="79"/>
      <c r="C8" s="79"/>
      <c r="D8" s="79"/>
      <c r="E8" s="79"/>
      <c r="F8" s="79"/>
      <c r="G8" s="79"/>
      <c r="H8" s="79"/>
      <c r="I8" s="79"/>
      <c r="J8" s="79"/>
    </row>
    <row r="9" spans="1:13">
      <c r="A9" s="21">
        <v>1</v>
      </c>
      <c r="B9" s="10" t="s">
        <v>159</v>
      </c>
      <c r="C9" s="10" t="s">
        <v>160</v>
      </c>
      <c r="D9" s="43">
        <v>66.3</v>
      </c>
      <c r="E9" s="10" t="s">
        <v>200</v>
      </c>
      <c r="F9" s="10" t="s">
        <v>63</v>
      </c>
      <c r="G9" s="25">
        <v>150</v>
      </c>
      <c r="H9" s="25">
        <v>170</v>
      </c>
      <c r="I9" s="25">
        <v>180</v>
      </c>
      <c r="J9" s="27"/>
      <c r="K9" s="27" t="str">
        <f>"180,0"</f>
        <v>180,0</v>
      </c>
      <c r="L9" s="11" t="str">
        <f>"140,8140"</f>
        <v>140,8140</v>
      </c>
      <c r="M9" s="10" t="s">
        <v>188</v>
      </c>
    </row>
    <row r="10" spans="1:13">
      <c r="A10" s="22">
        <v>1</v>
      </c>
      <c r="B10" s="12" t="s">
        <v>21</v>
      </c>
      <c r="C10" s="12" t="s">
        <v>22</v>
      </c>
      <c r="D10" s="44">
        <v>65.900000000000006</v>
      </c>
      <c r="E10" s="12" t="s">
        <v>197</v>
      </c>
      <c r="F10" s="12" t="s">
        <v>13</v>
      </c>
      <c r="G10" s="28">
        <v>225</v>
      </c>
      <c r="H10" s="28">
        <v>232.5</v>
      </c>
      <c r="I10" s="30"/>
      <c r="J10" s="30"/>
      <c r="K10" s="30" t="str">
        <f>"232,5"</f>
        <v>232,5</v>
      </c>
      <c r="L10" s="13" t="str">
        <f>"182,7915"</f>
        <v>182,7915</v>
      </c>
      <c r="M10" s="12" t="s">
        <v>189</v>
      </c>
    </row>
    <row r="11" spans="1:13">
      <c r="B11" s="6" t="s">
        <v>19</v>
      </c>
    </row>
    <row r="12" spans="1:13" ht="16">
      <c r="A12" s="79" t="s">
        <v>23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3">
      <c r="A13" s="21">
        <v>1</v>
      </c>
      <c r="B13" s="10" t="s">
        <v>117</v>
      </c>
      <c r="C13" s="10" t="s">
        <v>118</v>
      </c>
      <c r="D13" s="43">
        <v>79.599999999999994</v>
      </c>
      <c r="E13" s="10" t="s">
        <v>201</v>
      </c>
      <c r="F13" s="10" t="s">
        <v>63</v>
      </c>
      <c r="G13" s="25">
        <v>140</v>
      </c>
      <c r="H13" s="25">
        <v>155</v>
      </c>
      <c r="I13" s="25">
        <v>167.5</v>
      </c>
      <c r="J13" s="27"/>
      <c r="K13" s="27" t="str">
        <f>"167,5"</f>
        <v>167,5</v>
      </c>
      <c r="L13" s="11" t="str">
        <f>"114,7207"</f>
        <v>114,7207</v>
      </c>
      <c r="M13" s="10" t="s">
        <v>188</v>
      </c>
    </row>
    <row r="14" spans="1:13">
      <c r="A14" s="22">
        <v>2</v>
      </c>
      <c r="B14" s="12" t="s">
        <v>161</v>
      </c>
      <c r="C14" s="12" t="s">
        <v>162</v>
      </c>
      <c r="D14" s="44">
        <v>78.099999999999994</v>
      </c>
      <c r="E14" s="12" t="s">
        <v>201</v>
      </c>
      <c r="F14" s="12" t="s">
        <v>13</v>
      </c>
      <c r="G14" s="28">
        <v>100</v>
      </c>
      <c r="H14" s="28">
        <v>110</v>
      </c>
      <c r="I14" s="29">
        <v>117.5</v>
      </c>
      <c r="J14" s="30"/>
      <c r="K14" s="30" t="str">
        <f>"110,0"</f>
        <v>110,0</v>
      </c>
      <c r="L14" s="13" t="str">
        <f>"76,2630"</f>
        <v>76,2630</v>
      </c>
      <c r="M14" s="12" t="s">
        <v>192</v>
      </c>
    </row>
    <row r="15" spans="1:13">
      <c r="B15" s="6" t="s">
        <v>19</v>
      </c>
    </row>
    <row r="16" spans="1:13" ht="16">
      <c r="A16" s="79" t="s">
        <v>69</v>
      </c>
      <c r="B16" s="79"/>
      <c r="C16" s="79"/>
      <c r="D16" s="79"/>
      <c r="E16" s="79"/>
      <c r="F16" s="79"/>
      <c r="G16" s="79"/>
      <c r="H16" s="79"/>
      <c r="I16" s="79"/>
      <c r="J16" s="79"/>
    </row>
    <row r="17" spans="1:13">
      <c r="A17" s="16">
        <v>1</v>
      </c>
      <c r="B17" s="8" t="s">
        <v>141</v>
      </c>
      <c r="C17" s="8" t="s">
        <v>142</v>
      </c>
      <c r="D17" s="41">
        <v>119.4</v>
      </c>
      <c r="E17" s="8" t="s">
        <v>197</v>
      </c>
      <c r="F17" s="8" t="s">
        <v>13</v>
      </c>
      <c r="G17" s="17">
        <v>230</v>
      </c>
      <c r="H17" s="17">
        <v>260</v>
      </c>
      <c r="I17" s="19"/>
      <c r="J17" s="19"/>
      <c r="K17" s="19" t="str">
        <f>"260,0"</f>
        <v>260,0</v>
      </c>
      <c r="L17" s="9" t="str">
        <f>"149,6560"</f>
        <v>149,6560</v>
      </c>
      <c r="M17" s="20"/>
    </row>
    <row r="18" spans="1:13">
      <c r="B18" s="6" t="s">
        <v>19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A16:J16"/>
    <mergeCell ref="B3:B4"/>
    <mergeCell ref="K3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1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5.1640625" style="6" customWidth="1"/>
    <col min="3" max="3" width="27.5" style="6" bestFit="1" customWidth="1"/>
    <col min="4" max="4" width="16.5" style="42" customWidth="1"/>
    <col min="5" max="5" width="10.5" style="6" bestFit="1" customWidth="1"/>
    <col min="6" max="6" width="29.5" style="6" bestFit="1" customWidth="1"/>
    <col min="7" max="10" width="5.5" style="7" customWidth="1"/>
    <col min="11" max="11" width="11.33203125" style="7" bestFit="1" customWidth="1"/>
    <col min="12" max="12" width="8.5" style="7" bestFit="1" customWidth="1"/>
    <col min="13" max="13" width="21" style="6" customWidth="1"/>
    <col min="14" max="16384" width="9.1640625" style="3"/>
  </cols>
  <sheetData>
    <row r="1" spans="1:13" s="2" customFormat="1" ht="29" customHeight="1">
      <c r="A1" s="88" t="s">
        <v>183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s="2" customFormat="1" ht="73" customHeight="1" thickBot="1">
      <c r="A2" s="92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96" t="s">
        <v>194</v>
      </c>
      <c r="B3" s="80" t="s">
        <v>0</v>
      </c>
      <c r="C3" s="98" t="s">
        <v>195</v>
      </c>
      <c r="D3" s="99" t="s">
        <v>6</v>
      </c>
      <c r="E3" s="82" t="s">
        <v>196</v>
      </c>
      <c r="F3" s="82" t="s">
        <v>5</v>
      </c>
      <c r="G3" s="82" t="s">
        <v>9</v>
      </c>
      <c r="H3" s="82"/>
      <c r="I3" s="82"/>
      <c r="J3" s="82"/>
      <c r="K3" s="82" t="s">
        <v>72</v>
      </c>
      <c r="L3" s="82" t="s">
        <v>3</v>
      </c>
      <c r="M3" s="84" t="s">
        <v>2</v>
      </c>
    </row>
    <row r="4" spans="1:13" s="1" customFormat="1" ht="21" customHeight="1" thickBot="1">
      <c r="A4" s="97"/>
      <c r="B4" s="81"/>
      <c r="C4" s="83"/>
      <c r="D4" s="100"/>
      <c r="E4" s="83"/>
      <c r="F4" s="83"/>
      <c r="G4" s="4">
        <v>1</v>
      </c>
      <c r="H4" s="4">
        <v>2</v>
      </c>
      <c r="I4" s="4">
        <v>3</v>
      </c>
      <c r="J4" s="4" t="s">
        <v>4</v>
      </c>
      <c r="K4" s="83"/>
      <c r="L4" s="83"/>
      <c r="M4" s="85"/>
    </row>
    <row r="5" spans="1:13" ht="16">
      <c r="A5" s="86" t="s">
        <v>37</v>
      </c>
      <c r="B5" s="86"/>
      <c r="C5" s="87"/>
      <c r="D5" s="87"/>
      <c r="E5" s="87"/>
      <c r="F5" s="87"/>
      <c r="G5" s="87"/>
      <c r="H5" s="87"/>
      <c r="I5" s="87"/>
      <c r="J5" s="87"/>
    </row>
    <row r="6" spans="1:13">
      <c r="A6" s="16">
        <v>1</v>
      </c>
      <c r="B6" s="8" t="s">
        <v>40</v>
      </c>
      <c r="C6" s="8" t="s">
        <v>41</v>
      </c>
      <c r="D6" s="41">
        <v>89.4</v>
      </c>
      <c r="E6" s="8" t="s">
        <v>197</v>
      </c>
      <c r="F6" s="8" t="s">
        <v>42</v>
      </c>
      <c r="G6" s="17">
        <v>185</v>
      </c>
      <c r="H6" s="17">
        <v>200</v>
      </c>
      <c r="I6" s="17">
        <v>205</v>
      </c>
      <c r="J6" s="19"/>
      <c r="K6" s="19" t="str">
        <f>"205,0"</f>
        <v>205,0</v>
      </c>
      <c r="L6" s="9" t="str">
        <f>"131,3230"</f>
        <v>131,3230</v>
      </c>
      <c r="M6" s="20"/>
    </row>
    <row r="7" spans="1:13">
      <c r="B7" s="6" t="s">
        <v>19</v>
      </c>
    </row>
    <row r="8" spans="1:13" ht="16">
      <c r="A8" s="79" t="s">
        <v>26</v>
      </c>
      <c r="B8" s="79"/>
      <c r="C8" s="79"/>
      <c r="D8" s="79"/>
      <c r="E8" s="79"/>
      <c r="F8" s="79"/>
      <c r="G8" s="79"/>
      <c r="H8" s="79"/>
      <c r="I8" s="79"/>
      <c r="J8" s="79"/>
    </row>
    <row r="9" spans="1:13">
      <c r="A9" s="16">
        <v>1</v>
      </c>
      <c r="B9" s="8" t="s">
        <v>43</v>
      </c>
      <c r="C9" s="8" t="s">
        <v>44</v>
      </c>
      <c r="D9" s="41">
        <v>96.9</v>
      </c>
      <c r="E9" s="8" t="s">
        <v>197</v>
      </c>
      <c r="F9" s="8" t="s">
        <v>42</v>
      </c>
      <c r="G9" s="17">
        <v>272.5</v>
      </c>
      <c r="H9" s="17">
        <v>285</v>
      </c>
      <c r="I9" s="18">
        <v>292.5</v>
      </c>
      <c r="J9" s="19"/>
      <c r="K9" s="19" t="str">
        <f>"285,0"</f>
        <v>285,0</v>
      </c>
      <c r="L9" s="9" t="str">
        <f>"175,7310"</f>
        <v>175,7310</v>
      </c>
      <c r="M9" s="20"/>
    </row>
    <row r="10" spans="1:13">
      <c r="B10" s="6" t="s">
        <v>19</v>
      </c>
    </row>
    <row r="11" spans="1:13" ht="16">
      <c r="A11" s="79" t="s">
        <v>45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3">
      <c r="A12" s="77">
        <v>1</v>
      </c>
      <c r="B12" s="10" t="s">
        <v>48</v>
      </c>
      <c r="C12" s="10" t="s">
        <v>150</v>
      </c>
      <c r="D12" s="43">
        <v>102.5</v>
      </c>
      <c r="E12" s="10" t="s">
        <v>197</v>
      </c>
      <c r="F12" s="10" t="s">
        <v>42</v>
      </c>
      <c r="G12" s="25">
        <v>230</v>
      </c>
      <c r="H12" s="25">
        <v>245</v>
      </c>
      <c r="I12" s="25">
        <v>255</v>
      </c>
      <c r="J12" s="27"/>
      <c r="K12" s="27" t="str">
        <f>"255,0"</f>
        <v>255,0</v>
      </c>
      <c r="L12" s="11" t="str">
        <f>"153,7140"</f>
        <v>153,7140</v>
      </c>
      <c r="M12" s="24"/>
    </row>
    <row r="13" spans="1:13">
      <c r="A13" s="34">
        <v>1</v>
      </c>
      <c r="B13" s="14" t="s">
        <v>48</v>
      </c>
      <c r="C13" s="14" t="s">
        <v>49</v>
      </c>
      <c r="D13" s="53">
        <v>102.5</v>
      </c>
      <c r="E13" s="14" t="s">
        <v>198</v>
      </c>
      <c r="F13" s="14" t="s">
        <v>42</v>
      </c>
      <c r="G13" s="35">
        <v>230</v>
      </c>
      <c r="H13" s="35">
        <v>245</v>
      </c>
      <c r="I13" s="35">
        <v>255</v>
      </c>
      <c r="J13" s="37"/>
      <c r="K13" s="37" t="str">
        <f>"255,0"</f>
        <v>255,0</v>
      </c>
      <c r="L13" s="15" t="str">
        <f>"153,7140"</f>
        <v>153,7140</v>
      </c>
      <c r="M13" s="38"/>
    </row>
    <row r="14" spans="1:13">
      <c r="A14" s="22">
        <v>2</v>
      </c>
      <c r="B14" s="12" t="s">
        <v>151</v>
      </c>
      <c r="C14" s="12" t="s">
        <v>152</v>
      </c>
      <c r="D14" s="44">
        <v>109</v>
      </c>
      <c r="E14" s="12" t="s">
        <v>198</v>
      </c>
      <c r="F14" s="12" t="s">
        <v>13</v>
      </c>
      <c r="G14" s="28">
        <v>140</v>
      </c>
      <c r="H14" s="28">
        <v>155</v>
      </c>
      <c r="I14" s="28">
        <v>170</v>
      </c>
      <c r="J14" s="30"/>
      <c r="K14" s="30" t="str">
        <f>"170,0"</f>
        <v>170,0</v>
      </c>
      <c r="L14" s="13" t="str">
        <f>"108,1601"</f>
        <v>108,1601</v>
      </c>
      <c r="M14" s="33"/>
    </row>
    <row r="15" spans="1:13">
      <c r="B15" s="6" t="s">
        <v>19</v>
      </c>
    </row>
    <row r="16" spans="1:13" ht="16">
      <c r="A16" s="79" t="s">
        <v>69</v>
      </c>
      <c r="B16" s="79"/>
      <c r="C16" s="79"/>
      <c r="D16" s="79"/>
      <c r="E16" s="79"/>
      <c r="F16" s="79"/>
      <c r="G16" s="79"/>
      <c r="H16" s="79"/>
      <c r="I16" s="79"/>
      <c r="J16" s="79"/>
    </row>
    <row r="17" spans="1:13">
      <c r="A17" s="9" t="s">
        <v>92</v>
      </c>
      <c r="B17" s="8" t="s">
        <v>153</v>
      </c>
      <c r="C17" s="8" t="s">
        <v>154</v>
      </c>
      <c r="D17" s="41">
        <v>124.7</v>
      </c>
      <c r="E17" s="8" t="s">
        <v>197</v>
      </c>
      <c r="F17" s="8" t="s">
        <v>63</v>
      </c>
      <c r="G17" s="18">
        <v>350</v>
      </c>
      <c r="H17" s="18">
        <v>350</v>
      </c>
      <c r="I17" s="18">
        <v>350</v>
      </c>
      <c r="J17" s="19"/>
      <c r="K17" s="19" t="str">
        <f>"0.00"</f>
        <v>0.00</v>
      </c>
      <c r="L17" s="9" t="str">
        <f>"0,0000"</f>
        <v>0,0000</v>
      </c>
      <c r="M17" s="20"/>
    </row>
    <row r="18" spans="1:13">
      <c r="B18" s="6" t="s">
        <v>19</v>
      </c>
    </row>
    <row r="19" spans="1:13" ht="16">
      <c r="A19" s="79" t="s">
        <v>143</v>
      </c>
      <c r="B19" s="79"/>
      <c r="C19" s="79"/>
      <c r="D19" s="79"/>
      <c r="E19" s="79"/>
      <c r="F19" s="79"/>
      <c r="G19" s="79"/>
      <c r="H19" s="79"/>
      <c r="I19" s="79"/>
      <c r="J19" s="79"/>
    </row>
    <row r="20" spans="1:13">
      <c r="A20" s="16">
        <v>1</v>
      </c>
      <c r="B20" s="8" t="s">
        <v>155</v>
      </c>
      <c r="C20" s="8" t="s">
        <v>156</v>
      </c>
      <c r="D20" s="41">
        <v>134.9</v>
      </c>
      <c r="E20" s="8" t="s">
        <v>197</v>
      </c>
      <c r="F20" s="8" t="s">
        <v>13</v>
      </c>
      <c r="G20" s="17">
        <v>275</v>
      </c>
      <c r="H20" s="17">
        <v>290</v>
      </c>
      <c r="I20" s="17">
        <v>300</v>
      </c>
      <c r="J20" s="19"/>
      <c r="K20" s="19" t="str">
        <f>"300,0"</f>
        <v>300,0</v>
      </c>
      <c r="L20" s="9" t="str">
        <f>"168,6000"</f>
        <v>168,6000</v>
      </c>
      <c r="M20" s="20"/>
    </row>
    <row r="21" spans="1:13">
      <c r="B21" s="6" t="s">
        <v>19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6:J16"/>
    <mergeCell ref="A19:J19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1"/>
  <sheetViews>
    <sheetView zoomScaleNormal="100" workbookViewId="0">
      <selection sqref="A1:U2"/>
    </sheetView>
  </sheetViews>
  <sheetFormatPr baseColWidth="10" defaultColWidth="9.1640625" defaultRowHeight="13"/>
  <cols>
    <col min="1" max="1" width="7.5" style="6" bestFit="1" customWidth="1"/>
    <col min="2" max="2" width="19.83203125" style="6" customWidth="1"/>
    <col min="3" max="3" width="26.33203125" style="6" bestFit="1" customWidth="1"/>
    <col min="4" max="4" width="16.5" style="42" customWidth="1"/>
    <col min="5" max="5" width="10.5" style="6" bestFit="1" customWidth="1"/>
    <col min="6" max="6" width="26.33203125" style="6" bestFit="1" customWidth="1"/>
    <col min="7" max="18" width="5.5" style="7" customWidth="1"/>
    <col min="19" max="19" width="10.5" style="7" customWidth="1"/>
    <col min="20" max="20" width="9.5" style="7" customWidth="1"/>
    <col min="21" max="21" width="17.33203125" style="6" customWidth="1"/>
    <col min="22" max="16384" width="9.1640625" style="3"/>
  </cols>
  <sheetData>
    <row r="1" spans="1:21" s="2" customFormat="1" ht="29" customHeight="1">
      <c r="A1" s="88" t="s">
        <v>173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21" s="2" customFormat="1" ht="80" customHeight="1" thickBot="1">
      <c r="A2" s="92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96" t="s">
        <v>194</v>
      </c>
      <c r="B3" s="80" t="s">
        <v>0</v>
      </c>
      <c r="C3" s="98" t="s">
        <v>195</v>
      </c>
      <c r="D3" s="99" t="s">
        <v>6</v>
      </c>
      <c r="E3" s="82" t="s">
        <v>196</v>
      </c>
      <c r="F3" s="82" t="s">
        <v>5</v>
      </c>
      <c r="G3" s="82" t="s">
        <v>7</v>
      </c>
      <c r="H3" s="82"/>
      <c r="I3" s="82"/>
      <c r="J3" s="82"/>
      <c r="K3" s="82" t="s">
        <v>8</v>
      </c>
      <c r="L3" s="82"/>
      <c r="M3" s="82"/>
      <c r="N3" s="82"/>
      <c r="O3" s="82" t="s">
        <v>9</v>
      </c>
      <c r="P3" s="82"/>
      <c r="Q3" s="82"/>
      <c r="R3" s="82"/>
      <c r="S3" s="82" t="s">
        <v>1</v>
      </c>
      <c r="T3" s="82" t="s">
        <v>3</v>
      </c>
      <c r="U3" s="84" t="s">
        <v>2</v>
      </c>
    </row>
    <row r="4" spans="1:21" s="1" customFormat="1" ht="21" customHeight="1" thickBot="1">
      <c r="A4" s="97"/>
      <c r="B4" s="81"/>
      <c r="C4" s="83"/>
      <c r="D4" s="100"/>
      <c r="E4" s="83"/>
      <c r="F4" s="8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3"/>
      <c r="T4" s="83"/>
      <c r="U4" s="85"/>
    </row>
    <row r="5" spans="1:21" ht="16">
      <c r="A5" s="86" t="s">
        <v>30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21">
      <c r="A6" s="16">
        <v>1</v>
      </c>
      <c r="B6" s="8" t="s">
        <v>31</v>
      </c>
      <c r="C6" s="8" t="s">
        <v>32</v>
      </c>
      <c r="D6" s="41">
        <v>59.6</v>
      </c>
      <c r="E6" s="8" t="s">
        <v>197</v>
      </c>
      <c r="F6" s="8" t="s">
        <v>13</v>
      </c>
      <c r="G6" s="17">
        <v>152.5</v>
      </c>
      <c r="H6" s="17">
        <v>162.5</v>
      </c>
      <c r="I6" s="17">
        <v>170</v>
      </c>
      <c r="J6" s="19"/>
      <c r="K6" s="17">
        <v>110</v>
      </c>
      <c r="L6" s="17">
        <v>120</v>
      </c>
      <c r="M6" s="17">
        <v>125</v>
      </c>
      <c r="N6" s="19"/>
      <c r="O6" s="17">
        <v>200</v>
      </c>
      <c r="P6" s="18">
        <v>212.5</v>
      </c>
      <c r="Q6" s="18">
        <v>217.5</v>
      </c>
      <c r="R6" s="9"/>
      <c r="S6" s="9" t="str">
        <f>"495,0"</f>
        <v>495,0</v>
      </c>
      <c r="T6" s="9" t="str">
        <f>"424,7595"</f>
        <v>424,7595</v>
      </c>
      <c r="U6" s="8" t="s">
        <v>187</v>
      </c>
    </row>
    <row r="7" spans="1:21">
      <c r="B7" s="6" t="s">
        <v>19</v>
      </c>
    </row>
    <row r="8" spans="1:21" ht="16">
      <c r="A8" s="79" t="s">
        <v>33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21">
      <c r="A9" s="16">
        <v>1</v>
      </c>
      <c r="B9" s="8" t="s">
        <v>34</v>
      </c>
      <c r="C9" s="8" t="s">
        <v>35</v>
      </c>
      <c r="D9" s="41">
        <v>73.3</v>
      </c>
      <c r="E9" s="8" t="s">
        <v>198</v>
      </c>
      <c r="F9" s="8" t="s">
        <v>36</v>
      </c>
      <c r="G9" s="18">
        <v>105</v>
      </c>
      <c r="H9" s="17">
        <v>105</v>
      </c>
      <c r="I9" s="17">
        <v>115</v>
      </c>
      <c r="J9" s="19"/>
      <c r="K9" s="17">
        <v>100</v>
      </c>
      <c r="L9" s="17">
        <v>107.5</v>
      </c>
      <c r="M9" s="18">
        <v>112.5</v>
      </c>
      <c r="N9" s="19"/>
      <c r="O9" s="17">
        <v>115</v>
      </c>
      <c r="P9" s="17">
        <v>125</v>
      </c>
      <c r="Q9" s="17">
        <v>135</v>
      </c>
      <c r="R9" s="9"/>
      <c r="S9" s="9" t="str">
        <f>"357,5"</f>
        <v>357,5</v>
      </c>
      <c r="T9" s="9" t="str">
        <f>"279,0958"</f>
        <v>279,0958</v>
      </c>
      <c r="U9" s="20" t="s">
        <v>193</v>
      </c>
    </row>
    <row r="10" spans="1:21">
      <c r="B10" s="6" t="s">
        <v>19</v>
      </c>
    </row>
    <row r="11" spans="1:21" ht="16">
      <c r="A11" s="79" t="s">
        <v>37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</row>
    <row r="12" spans="1:21">
      <c r="A12" s="21">
        <v>1</v>
      </c>
      <c r="B12" s="10" t="s">
        <v>38</v>
      </c>
      <c r="C12" s="10" t="s">
        <v>39</v>
      </c>
      <c r="D12" s="43">
        <v>88.9</v>
      </c>
      <c r="E12" s="10" t="s">
        <v>197</v>
      </c>
      <c r="F12" s="10" t="s">
        <v>13</v>
      </c>
      <c r="G12" s="26">
        <v>215</v>
      </c>
      <c r="H12" s="25">
        <v>220</v>
      </c>
      <c r="I12" s="26">
        <v>230</v>
      </c>
      <c r="J12" s="27"/>
      <c r="K12" s="26">
        <v>140</v>
      </c>
      <c r="L12" s="25">
        <v>145</v>
      </c>
      <c r="M12" s="26">
        <v>150</v>
      </c>
      <c r="N12" s="27"/>
      <c r="O12" s="25">
        <v>225</v>
      </c>
      <c r="P12" s="25">
        <v>240</v>
      </c>
      <c r="Q12" s="25">
        <v>255</v>
      </c>
      <c r="R12" s="11"/>
      <c r="S12" s="11" t="str">
        <f>"620,0"</f>
        <v>620,0</v>
      </c>
      <c r="T12" s="31" t="str">
        <f>"398,2880"</f>
        <v>398,2880</v>
      </c>
      <c r="U12" s="10" t="s">
        <v>185</v>
      </c>
    </row>
    <row r="13" spans="1:21">
      <c r="A13" s="22">
        <v>2</v>
      </c>
      <c r="B13" s="12" t="s">
        <v>40</v>
      </c>
      <c r="C13" s="12" t="s">
        <v>41</v>
      </c>
      <c r="D13" s="44">
        <v>89.4</v>
      </c>
      <c r="E13" s="12" t="s">
        <v>197</v>
      </c>
      <c r="F13" s="12" t="s">
        <v>42</v>
      </c>
      <c r="G13" s="28">
        <v>175</v>
      </c>
      <c r="H13" s="28">
        <v>182.5</v>
      </c>
      <c r="I13" s="28">
        <v>190</v>
      </c>
      <c r="J13" s="30"/>
      <c r="K13" s="28">
        <v>125</v>
      </c>
      <c r="L13" s="29">
        <v>130</v>
      </c>
      <c r="M13" s="28">
        <v>130</v>
      </c>
      <c r="N13" s="30"/>
      <c r="O13" s="28">
        <v>185</v>
      </c>
      <c r="P13" s="28">
        <v>200</v>
      </c>
      <c r="Q13" s="28">
        <v>205</v>
      </c>
      <c r="R13" s="13"/>
      <c r="S13" s="13" t="str">
        <f>"525,0"</f>
        <v>525,0</v>
      </c>
      <c r="T13" s="32" t="str">
        <f>"336,3150"</f>
        <v>336,3150</v>
      </c>
      <c r="U13" s="33" t="s">
        <v>193</v>
      </c>
    </row>
    <row r="14" spans="1:21">
      <c r="B14" s="6" t="s">
        <v>19</v>
      </c>
    </row>
    <row r="15" spans="1:21" ht="16">
      <c r="A15" s="79" t="s">
        <v>26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</row>
    <row r="16" spans="1:21">
      <c r="A16" s="16">
        <v>1</v>
      </c>
      <c r="B16" s="8" t="s">
        <v>43</v>
      </c>
      <c r="C16" s="8" t="s">
        <v>44</v>
      </c>
      <c r="D16" s="41">
        <v>96.9</v>
      </c>
      <c r="E16" s="8" t="s">
        <v>197</v>
      </c>
      <c r="F16" s="8" t="s">
        <v>42</v>
      </c>
      <c r="G16" s="17">
        <v>210</v>
      </c>
      <c r="H16" s="17">
        <v>225</v>
      </c>
      <c r="I16" s="17">
        <v>235</v>
      </c>
      <c r="J16" s="19"/>
      <c r="K16" s="17">
        <v>152.5</v>
      </c>
      <c r="L16" s="17">
        <v>160</v>
      </c>
      <c r="M16" s="17">
        <v>165</v>
      </c>
      <c r="N16" s="19"/>
      <c r="O16" s="17">
        <v>272.5</v>
      </c>
      <c r="P16" s="17">
        <v>285</v>
      </c>
      <c r="Q16" s="18">
        <v>292.5</v>
      </c>
      <c r="R16" s="9"/>
      <c r="S16" s="9" t="str">
        <f>"685,0"</f>
        <v>685,0</v>
      </c>
      <c r="T16" s="45" t="str">
        <f>"422,3710"</f>
        <v>422,3710</v>
      </c>
      <c r="U16" s="20" t="s">
        <v>193</v>
      </c>
    </row>
    <row r="17" spans="1:21">
      <c r="B17" s="6" t="s">
        <v>19</v>
      </c>
    </row>
    <row r="18" spans="1:21" ht="16">
      <c r="A18" s="79" t="s">
        <v>45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21">
      <c r="A19" s="21">
        <v>1</v>
      </c>
      <c r="B19" s="10" t="s">
        <v>46</v>
      </c>
      <c r="C19" s="10" t="s">
        <v>47</v>
      </c>
      <c r="D19" s="43">
        <v>103.9</v>
      </c>
      <c r="E19" s="10" t="s">
        <v>197</v>
      </c>
      <c r="F19" s="10" t="s">
        <v>13</v>
      </c>
      <c r="G19" s="25">
        <v>280</v>
      </c>
      <c r="H19" s="25">
        <v>295</v>
      </c>
      <c r="I19" s="26">
        <v>305</v>
      </c>
      <c r="J19" s="27"/>
      <c r="K19" s="25">
        <v>190</v>
      </c>
      <c r="L19" s="25">
        <v>202.5</v>
      </c>
      <c r="M19" s="25">
        <v>207.5</v>
      </c>
      <c r="N19" s="27"/>
      <c r="O19" s="26">
        <v>330</v>
      </c>
      <c r="P19" s="25">
        <v>340</v>
      </c>
      <c r="Q19" s="25">
        <v>360</v>
      </c>
      <c r="R19" s="11"/>
      <c r="S19" s="11" t="str">
        <f>"862,5"</f>
        <v>862,5</v>
      </c>
      <c r="T19" s="31" t="str">
        <f>"517,3275"</f>
        <v>517,3275</v>
      </c>
      <c r="U19" s="24" t="s">
        <v>193</v>
      </c>
    </row>
    <row r="20" spans="1:21">
      <c r="A20" s="22">
        <v>1</v>
      </c>
      <c r="B20" s="12" t="s">
        <v>48</v>
      </c>
      <c r="C20" s="12" t="s">
        <v>49</v>
      </c>
      <c r="D20" s="44">
        <v>102.5</v>
      </c>
      <c r="E20" s="12" t="s">
        <v>198</v>
      </c>
      <c r="F20" s="12" t="s">
        <v>42</v>
      </c>
      <c r="G20" s="28">
        <v>180</v>
      </c>
      <c r="H20" s="28">
        <v>202.5</v>
      </c>
      <c r="I20" s="29">
        <v>210</v>
      </c>
      <c r="J20" s="30"/>
      <c r="K20" s="28">
        <v>150</v>
      </c>
      <c r="L20" s="29">
        <v>157.5</v>
      </c>
      <c r="M20" s="28">
        <v>157.5</v>
      </c>
      <c r="N20" s="30"/>
      <c r="O20" s="28">
        <v>230</v>
      </c>
      <c r="P20" s="28">
        <v>245</v>
      </c>
      <c r="Q20" s="28">
        <v>255</v>
      </c>
      <c r="R20" s="13"/>
      <c r="S20" s="13" t="str">
        <f>"615,0"</f>
        <v>615,0</v>
      </c>
      <c r="T20" s="32" t="str">
        <f>"370,7220"</f>
        <v>370,7220</v>
      </c>
      <c r="U20" s="33" t="s">
        <v>193</v>
      </c>
    </row>
    <row r="21" spans="1:21">
      <c r="B21" s="6" t="s">
        <v>19</v>
      </c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5:R15"/>
    <mergeCell ref="A18:R18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3"/>
  <sheetViews>
    <sheetView zoomScaleNormal="100" workbookViewId="0">
      <selection sqref="A1:U2"/>
    </sheetView>
  </sheetViews>
  <sheetFormatPr baseColWidth="10" defaultColWidth="9.1640625" defaultRowHeight="13"/>
  <cols>
    <col min="1" max="1" width="7.5" style="6" bestFit="1" customWidth="1"/>
    <col min="2" max="2" width="19.83203125" style="6" customWidth="1"/>
    <col min="3" max="3" width="26.33203125" style="6" bestFit="1" customWidth="1"/>
    <col min="4" max="4" width="16.5" style="42" customWidth="1"/>
    <col min="5" max="5" width="10.5" style="6" bestFit="1" customWidth="1"/>
    <col min="6" max="6" width="26.33203125" style="6" bestFit="1" customWidth="1"/>
    <col min="7" max="7" width="6.1640625" style="7" bestFit="1" customWidth="1"/>
    <col min="8" max="9" width="6.33203125" style="7" bestFit="1" customWidth="1"/>
    <col min="10" max="10" width="4.83203125" style="7" bestFit="1" customWidth="1"/>
    <col min="11" max="13" width="6.1640625" style="7" bestFit="1" customWidth="1"/>
    <col min="14" max="14" width="4.83203125" style="7" bestFit="1" customWidth="1"/>
    <col min="15" max="16" width="6.1640625" style="7" bestFit="1" customWidth="1"/>
    <col min="17" max="17" width="6" style="7" bestFit="1" customWidth="1"/>
    <col min="18" max="18" width="4.83203125" style="7" bestFit="1" customWidth="1"/>
    <col min="19" max="19" width="10.5" style="7" customWidth="1"/>
    <col min="20" max="20" width="9.5" style="7" customWidth="1"/>
    <col min="21" max="21" width="17.33203125" style="6" customWidth="1"/>
    <col min="22" max="16384" width="9.1640625" style="3"/>
  </cols>
  <sheetData>
    <row r="1" spans="1:21" s="2" customFormat="1" ht="29" customHeight="1">
      <c r="A1" s="88" t="s">
        <v>174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21" s="2" customFormat="1" ht="74" customHeight="1" thickBot="1">
      <c r="A2" s="92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96" t="s">
        <v>194</v>
      </c>
      <c r="B3" s="80" t="s">
        <v>0</v>
      </c>
      <c r="C3" s="98" t="s">
        <v>195</v>
      </c>
      <c r="D3" s="99" t="s">
        <v>6</v>
      </c>
      <c r="E3" s="82" t="s">
        <v>196</v>
      </c>
      <c r="F3" s="82" t="s">
        <v>5</v>
      </c>
      <c r="G3" s="82" t="s">
        <v>7</v>
      </c>
      <c r="H3" s="82"/>
      <c r="I3" s="82"/>
      <c r="J3" s="82"/>
      <c r="K3" s="82" t="s">
        <v>8</v>
      </c>
      <c r="L3" s="82"/>
      <c r="M3" s="82"/>
      <c r="N3" s="82"/>
      <c r="O3" s="82" t="s">
        <v>9</v>
      </c>
      <c r="P3" s="82"/>
      <c r="Q3" s="82"/>
      <c r="R3" s="82"/>
      <c r="S3" s="82" t="s">
        <v>1</v>
      </c>
      <c r="T3" s="82" t="s">
        <v>3</v>
      </c>
      <c r="U3" s="84" t="s">
        <v>2</v>
      </c>
    </row>
    <row r="4" spans="1:21" s="1" customFormat="1" ht="21" customHeight="1" thickBot="1">
      <c r="A4" s="97"/>
      <c r="B4" s="81"/>
      <c r="C4" s="83"/>
      <c r="D4" s="100"/>
      <c r="E4" s="83"/>
      <c r="F4" s="8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3"/>
      <c r="T4" s="83"/>
      <c r="U4" s="85"/>
    </row>
    <row r="5" spans="1:21" ht="16">
      <c r="A5" s="86" t="s">
        <v>20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21">
      <c r="A6" s="16">
        <v>1</v>
      </c>
      <c r="B6" s="8" t="s">
        <v>21</v>
      </c>
      <c r="C6" s="8" t="s">
        <v>22</v>
      </c>
      <c r="D6" s="41">
        <v>65.900000000000006</v>
      </c>
      <c r="E6" s="8" t="s">
        <v>197</v>
      </c>
      <c r="F6" s="8" t="s">
        <v>13</v>
      </c>
      <c r="G6" s="17">
        <v>195</v>
      </c>
      <c r="H6" s="17">
        <v>202.5</v>
      </c>
      <c r="I6" s="17">
        <v>210</v>
      </c>
      <c r="J6" s="19"/>
      <c r="K6" s="17">
        <v>127.5</v>
      </c>
      <c r="L6" s="17">
        <v>132.5</v>
      </c>
      <c r="M6" s="17">
        <v>135</v>
      </c>
      <c r="N6" s="19"/>
      <c r="O6" s="17">
        <v>225</v>
      </c>
      <c r="P6" s="17">
        <v>232.5</v>
      </c>
      <c r="Q6" s="19"/>
      <c r="R6" s="19"/>
      <c r="S6" s="19" t="str">
        <f>"577,5"</f>
        <v>577,5</v>
      </c>
      <c r="T6" s="9" t="str">
        <f>"454,0305"</f>
        <v>454,0305</v>
      </c>
      <c r="U6" s="8" t="s">
        <v>189</v>
      </c>
    </row>
    <row r="7" spans="1:21">
      <c r="B7" s="6" t="s">
        <v>19</v>
      </c>
    </row>
    <row r="8" spans="1:21" ht="16">
      <c r="A8" s="79" t="s">
        <v>23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21">
      <c r="A9" s="16">
        <v>1</v>
      </c>
      <c r="B9" s="8" t="s">
        <v>24</v>
      </c>
      <c r="C9" s="8" t="s">
        <v>25</v>
      </c>
      <c r="D9" s="41">
        <v>81.2</v>
      </c>
      <c r="E9" s="8" t="s">
        <v>197</v>
      </c>
      <c r="F9" s="20" t="s">
        <v>164</v>
      </c>
      <c r="G9" s="17">
        <v>180</v>
      </c>
      <c r="H9" s="18">
        <v>200</v>
      </c>
      <c r="I9" s="17">
        <v>200</v>
      </c>
      <c r="J9" s="19"/>
      <c r="K9" s="17">
        <v>120</v>
      </c>
      <c r="L9" s="18">
        <v>127.5</v>
      </c>
      <c r="M9" s="18">
        <v>127.5</v>
      </c>
      <c r="N9" s="19"/>
      <c r="O9" s="17">
        <v>215</v>
      </c>
      <c r="P9" s="17">
        <v>225</v>
      </c>
      <c r="Q9" s="18">
        <v>235</v>
      </c>
      <c r="R9" s="19"/>
      <c r="S9" s="19" t="str">
        <f>"545,0"</f>
        <v>545,0</v>
      </c>
      <c r="T9" s="9" t="str">
        <f>"368,6380"</f>
        <v>368,6380</v>
      </c>
      <c r="U9" s="20" t="s">
        <v>193</v>
      </c>
    </row>
    <row r="10" spans="1:21">
      <c r="B10" s="6" t="s">
        <v>19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21" ht="16">
      <c r="A11" s="79" t="s">
        <v>26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</row>
    <row r="12" spans="1:21">
      <c r="A12" s="16">
        <v>1</v>
      </c>
      <c r="B12" s="8" t="s">
        <v>27</v>
      </c>
      <c r="C12" s="8" t="s">
        <v>28</v>
      </c>
      <c r="D12" s="41">
        <v>97.6</v>
      </c>
      <c r="E12" s="8" t="s">
        <v>197</v>
      </c>
      <c r="F12" s="20" t="s">
        <v>165</v>
      </c>
      <c r="G12" s="17">
        <v>225</v>
      </c>
      <c r="H12" s="17">
        <v>235</v>
      </c>
      <c r="I12" s="17">
        <v>245</v>
      </c>
      <c r="J12" s="19"/>
      <c r="K12" s="17">
        <v>150</v>
      </c>
      <c r="L12" s="17">
        <v>160</v>
      </c>
      <c r="M12" s="18">
        <v>165</v>
      </c>
      <c r="N12" s="19"/>
      <c r="O12" s="18">
        <v>235</v>
      </c>
      <c r="P12" s="17">
        <v>235</v>
      </c>
      <c r="Q12" s="17">
        <v>255</v>
      </c>
      <c r="R12" s="19"/>
      <c r="S12" s="19" t="str">
        <f>"660,0"</f>
        <v>660,0</v>
      </c>
      <c r="T12" s="9" t="str">
        <f>"405,7020"</f>
        <v>405,7020</v>
      </c>
      <c r="U12" s="8" t="s">
        <v>187</v>
      </c>
    </row>
    <row r="13" spans="1:21">
      <c r="B13" s="6" t="s">
        <v>19</v>
      </c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B3:B4"/>
    <mergeCell ref="S3:S4"/>
    <mergeCell ref="T3:T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U7"/>
  <sheetViews>
    <sheetView zoomScaleNormal="100" workbookViewId="0">
      <selection activeCell="E7" sqref="E7"/>
    </sheetView>
  </sheetViews>
  <sheetFormatPr baseColWidth="10" defaultColWidth="9.1640625" defaultRowHeight="13"/>
  <cols>
    <col min="1" max="1" width="7.5" style="6" bestFit="1" customWidth="1"/>
    <col min="2" max="2" width="19.1640625" style="6" customWidth="1"/>
    <col min="3" max="3" width="26.33203125" style="6" bestFit="1" customWidth="1"/>
    <col min="4" max="4" width="16.5" style="42" customWidth="1"/>
    <col min="5" max="5" width="10.5" style="6" bestFit="1" customWidth="1"/>
    <col min="6" max="6" width="26.33203125" style="6" bestFit="1" customWidth="1"/>
    <col min="7" max="7" width="5.83203125" style="7" bestFit="1" customWidth="1"/>
    <col min="8" max="9" width="6" style="7" bestFit="1" customWidth="1"/>
    <col min="10" max="10" width="4.83203125" style="7" bestFit="1" customWidth="1"/>
    <col min="11" max="11" width="5.83203125" style="7" bestFit="1" customWidth="1"/>
    <col min="12" max="13" width="5.6640625" style="7" bestFit="1" customWidth="1"/>
    <col min="14" max="14" width="4.83203125" style="7" bestFit="1" customWidth="1"/>
    <col min="15" max="17" width="5.83203125" style="7" bestFit="1" customWidth="1"/>
    <col min="18" max="18" width="4.83203125" style="7" bestFit="1" customWidth="1"/>
    <col min="19" max="19" width="10.5" style="7" customWidth="1"/>
    <col min="20" max="20" width="9.5" style="7" customWidth="1"/>
    <col min="21" max="21" width="17.33203125" style="6" customWidth="1"/>
    <col min="22" max="16384" width="9.1640625" style="3"/>
  </cols>
  <sheetData>
    <row r="1" spans="1:21" s="2" customFormat="1" ht="29" customHeight="1">
      <c r="A1" s="88" t="s">
        <v>175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21" s="2" customFormat="1" ht="67" customHeight="1" thickBot="1">
      <c r="A2" s="92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102" t="s">
        <v>194</v>
      </c>
      <c r="B3" s="80" t="s">
        <v>0</v>
      </c>
      <c r="C3" s="103" t="s">
        <v>195</v>
      </c>
      <c r="D3" s="104" t="s">
        <v>163</v>
      </c>
      <c r="E3" s="101" t="s">
        <v>196</v>
      </c>
      <c r="F3" s="101" t="s">
        <v>5</v>
      </c>
      <c r="G3" s="101" t="s">
        <v>7</v>
      </c>
      <c r="H3" s="101"/>
      <c r="I3" s="101"/>
      <c r="J3" s="101"/>
      <c r="K3" s="101" t="s">
        <v>8</v>
      </c>
      <c r="L3" s="101"/>
      <c r="M3" s="101"/>
      <c r="N3" s="101"/>
      <c r="O3" s="101" t="s">
        <v>9</v>
      </c>
      <c r="P3" s="101"/>
      <c r="Q3" s="101"/>
      <c r="R3" s="101"/>
      <c r="S3" s="101" t="s">
        <v>1</v>
      </c>
      <c r="T3" s="101" t="s">
        <v>3</v>
      </c>
      <c r="U3" s="105" t="s">
        <v>2</v>
      </c>
    </row>
    <row r="4" spans="1:21" s="1" customFormat="1" ht="21" customHeight="1" thickBot="1">
      <c r="A4" s="97"/>
      <c r="B4" s="81"/>
      <c r="C4" s="83"/>
      <c r="D4" s="100"/>
      <c r="E4" s="83"/>
      <c r="F4" s="83"/>
      <c r="G4" s="5">
        <v>1</v>
      </c>
      <c r="H4" s="5">
        <v>2</v>
      </c>
      <c r="I4" s="5">
        <v>3</v>
      </c>
      <c r="J4" s="5" t="s">
        <v>4</v>
      </c>
      <c r="K4" s="5">
        <v>1</v>
      </c>
      <c r="L4" s="5">
        <v>2</v>
      </c>
      <c r="M4" s="5">
        <v>3</v>
      </c>
      <c r="N4" s="5" t="s">
        <v>4</v>
      </c>
      <c r="O4" s="5">
        <v>1</v>
      </c>
      <c r="P4" s="5">
        <v>2</v>
      </c>
      <c r="Q4" s="5">
        <v>3</v>
      </c>
      <c r="R4" s="5" t="s">
        <v>4</v>
      </c>
      <c r="S4" s="83"/>
      <c r="T4" s="83"/>
      <c r="U4" s="85"/>
    </row>
    <row r="5" spans="1:21" ht="16">
      <c r="A5" s="86" t="s">
        <v>10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21">
      <c r="A6" s="16">
        <v>1</v>
      </c>
      <c r="B6" s="8" t="s">
        <v>11</v>
      </c>
      <c r="C6" s="8" t="s">
        <v>12</v>
      </c>
      <c r="D6" s="41">
        <v>56</v>
      </c>
      <c r="E6" s="8" t="s">
        <v>197</v>
      </c>
      <c r="F6" s="8" t="s">
        <v>13</v>
      </c>
      <c r="G6" s="17">
        <v>160</v>
      </c>
      <c r="H6" s="17">
        <v>170</v>
      </c>
      <c r="I6" s="18">
        <v>170</v>
      </c>
      <c r="J6" s="19"/>
      <c r="K6" s="17">
        <v>75</v>
      </c>
      <c r="L6" s="17">
        <v>80</v>
      </c>
      <c r="M6" s="18">
        <v>82.5</v>
      </c>
      <c r="N6" s="19"/>
      <c r="O6" s="17">
        <v>150</v>
      </c>
      <c r="P6" s="17">
        <v>160</v>
      </c>
      <c r="Q6" s="17">
        <v>165</v>
      </c>
      <c r="R6" s="19"/>
      <c r="S6" s="9" t="str">
        <f>"410,0"</f>
        <v>410,0</v>
      </c>
      <c r="T6" s="9" t="str">
        <f>"482,4060"</f>
        <v>482,4060</v>
      </c>
      <c r="U6" s="20" t="s">
        <v>187</v>
      </c>
    </row>
    <row r="7" spans="1:21">
      <c r="B7" s="6" t="s">
        <v>19</v>
      </c>
    </row>
  </sheetData>
  <mergeCells count="14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B3:B4"/>
    <mergeCell ref="E3:E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0"/>
  <sheetViews>
    <sheetView zoomScaleNormal="100" workbookViewId="0">
      <selection sqref="A1:Q2"/>
    </sheetView>
  </sheetViews>
  <sheetFormatPr baseColWidth="10" defaultColWidth="9.1640625" defaultRowHeight="13"/>
  <cols>
    <col min="1" max="1" width="7.5" style="6" bestFit="1" customWidth="1"/>
    <col min="2" max="2" width="25.5" style="6" customWidth="1"/>
    <col min="3" max="3" width="26.33203125" style="6" bestFit="1" customWidth="1"/>
    <col min="4" max="4" width="15.5" style="42" customWidth="1"/>
    <col min="5" max="5" width="10.5" style="6" bestFit="1" customWidth="1"/>
    <col min="6" max="6" width="29.33203125" style="6" customWidth="1"/>
    <col min="7" max="9" width="6" style="7" bestFit="1" customWidth="1"/>
    <col min="10" max="10" width="4.83203125" style="7" bestFit="1" customWidth="1"/>
    <col min="11" max="12" width="6" style="7" bestFit="1" customWidth="1"/>
    <col min="13" max="13" width="5.5" style="7" customWidth="1"/>
    <col min="14" max="14" width="4.83203125" style="7" bestFit="1" customWidth="1"/>
    <col min="15" max="15" width="11" style="7" customWidth="1"/>
    <col min="16" max="16" width="8.5" style="7" bestFit="1" customWidth="1"/>
    <col min="17" max="17" width="19.1640625" style="6" customWidth="1"/>
    <col min="18" max="16384" width="9.1640625" style="3"/>
  </cols>
  <sheetData>
    <row r="1" spans="1:17" s="2" customFormat="1" ht="29" customHeight="1">
      <c r="A1" s="88" t="s">
        <v>178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s="2" customFormat="1" ht="62" customHeight="1" thickBot="1">
      <c r="A2" s="92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</row>
    <row r="3" spans="1:17" s="1" customFormat="1" ht="12.75" customHeight="1">
      <c r="A3" s="102" t="s">
        <v>194</v>
      </c>
      <c r="B3" s="80" t="s">
        <v>0</v>
      </c>
      <c r="C3" s="103" t="s">
        <v>195</v>
      </c>
      <c r="D3" s="104" t="s">
        <v>163</v>
      </c>
      <c r="E3" s="101" t="s">
        <v>196</v>
      </c>
      <c r="F3" s="101" t="s">
        <v>5</v>
      </c>
      <c r="G3" s="101" t="s">
        <v>8</v>
      </c>
      <c r="H3" s="101"/>
      <c r="I3" s="101"/>
      <c r="J3" s="101"/>
      <c r="K3" s="101" t="s">
        <v>9</v>
      </c>
      <c r="L3" s="101"/>
      <c r="M3" s="101"/>
      <c r="N3" s="101"/>
      <c r="O3" s="101" t="s">
        <v>1</v>
      </c>
      <c r="P3" s="101" t="s">
        <v>3</v>
      </c>
      <c r="Q3" s="105" t="s">
        <v>2</v>
      </c>
    </row>
    <row r="4" spans="1:17" s="1" customFormat="1" ht="21" customHeight="1" thickBot="1">
      <c r="A4" s="97"/>
      <c r="B4" s="81"/>
      <c r="C4" s="83"/>
      <c r="D4" s="100"/>
      <c r="E4" s="83"/>
      <c r="F4" s="83"/>
      <c r="G4" s="5">
        <v>1</v>
      </c>
      <c r="H4" s="5">
        <v>2</v>
      </c>
      <c r="I4" s="5">
        <v>3</v>
      </c>
      <c r="J4" s="5" t="s">
        <v>4</v>
      </c>
      <c r="K4" s="5">
        <v>1</v>
      </c>
      <c r="L4" s="5">
        <v>2</v>
      </c>
      <c r="M4" s="5">
        <v>3</v>
      </c>
      <c r="N4" s="5" t="s">
        <v>4</v>
      </c>
      <c r="O4" s="83"/>
      <c r="P4" s="83"/>
      <c r="Q4" s="85"/>
    </row>
    <row r="5" spans="1:17" ht="16">
      <c r="A5" s="86" t="s">
        <v>20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7">
      <c r="A6" s="16">
        <v>1</v>
      </c>
      <c r="B6" s="8" t="s">
        <v>21</v>
      </c>
      <c r="C6" s="8" t="s">
        <v>22</v>
      </c>
      <c r="D6" s="41">
        <v>65.900000000000006</v>
      </c>
      <c r="E6" s="8" t="s">
        <v>197</v>
      </c>
      <c r="F6" s="8" t="s">
        <v>13</v>
      </c>
      <c r="G6" s="17">
        <v>127.5</v>
      </c>
      <c r="H6" s="17">
        <v>132.5</v>
      </c>
      <c r="I6" s="17">
        <v>135</v>
      </c>
      <c r="J6" s="19"/>
      <c r="K6" s="17">
        <v>225</v>
      </c>
      <c r="L6" s="17">
        <v>232.5</v>
      </c>
      <c r="M6" s="19"/>
      <c r="N6" s="19"/>
      <c r="O6" s="9" t="str">
        <f>"367,5"</f>
        <v>367,5</v>
      </c>
      <c r="P6" s="9" t="str">
        <f>"288,9285"</f>
        <v>288,9285</v>
      </c>
      <c r="Q6" s="8" t="s">
        <v>189</v>
      </c>
    </row>
    <row r="7" spans="1:17">
      <c r="B7" s="6" t="s">
        <v>19</v>
      </c>
    </row>
    <row r="8" spans="1:17" ht="16">
      <c r="A8" s="79" t="s">
        <v>69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7">
      <c r="A9" s="16">
        <v>1</v>
      </c>
      <c r="B9" s="8" t="s">
        <v>141</v>
      </c>
      <c r="C9" s="8" t="s">
        <v>142</v>
      </c>
      <c r="D9" s="41">
        <v>119.4</v>
      </c>
      <c r="E9" s="8" t="s">
        <v>197</v>
      </c>
      <c r="F9" s="8" t="s">
        <v>13</v>
      </c>
      <c r="G9" s="17">
        <v>155</v>
      </c>
      <c r="H9" s="17">
        <v>170</v>
      </c>
      <c r="I9" s="18">
        <v>177.5</v>
      </c>
      <c r="J9" s="19"/>
      <c r="K9" s="17">
        <v>230</v>
      </c>
      <c r="L9" s="17">
        <v>260</v>
      </c>
      <c r="M9" s="19"/>
      <c r="N9" s="19"/>
      <c r="O9" s="9" t="str">
        <f>"430,0"</f>
        <v>430,0</v>
      </c>
      <c r="P9" s="9" t="str">
        <f>"247,5080"</f>
        <v>247,5080</v>
      </c>
      <c r="Q9" s="20"/>
    </row>
    <row r="10" spans="1:17">
      <c r="B10" s="6" t="s">
        <v>19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4"/>
  <sheetViews>
    <sheetView zoomScaleNormal="100" workbookViewId="0">
      <selection sqref="A1:Q2"/>
    </sheetView>
  </sheetViews>
  <sheetFormatPr baseColWidth="10" defaultColWidth="9.1640625" defaultRowHeight="13"/>
  <cols>
    <col min="1" max="1" width="7.5" style="76" bestFit="1" customWidth="1"/>
    <col min="2" max="2" width="25.5" style="6" customWidth="1"/>
    <col min="3" max="3" width="26.33203125" style="6" bestFit="1" customWidth="1"/>
    <col min="4" max="4" width="15.5" style="42" customWidth="1"/>
    <col min="5" max="5" width="10.5" style="6" bestFit="1" customWidth="1"/>
    <col min="6" max="6" width="29.33203125" style="6" customWidth="1"/>
    <col min="7" max="14" width="5.5" style="7" customWidth="1"/>
    <col min="15" max="15" width="11" style="7" customWidth="1"/>
    <col min="16" max="16" width="8.5" style="7" bestFit="1" customWidth="1"/>
    <col min="17" max="17" width="19.1640625" style="6" customWidth="1"/>
    <col min="18" max="16384" width="9.1640625" style="3"/>
  </cols>
  <sheetData>
    <row r="1" spans="1:17" s="2" customFormat="1" ht="29" customHeight="1">
      <c r="A1" s="88" t="s">
        <v>179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s="2" customFormat="1" ht="75" customHeight="1" thickBot="1">
      <c r="A2" s="92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</row>
    <row r="3" spans="1:17" s="1" customFormat="1" ht="12.75" customHeight="1">
      <c r="A3" s="106" t="s">
        <v>194</v>
      </c>
      <c r="B3" s="80" t="s">
        <v>0</v>
      </c>
      <c r="C3" s="103" t="s">
        <v>195</v>
      </c>
      <c r="D3" s="104" t="s">
        <v>163</v>
      </c>
      <c r="E3" s="101" t="s">
        <v>196</v>
      </c>
      <c r="F3" s="101" t="s">
        <v>5</v>
      </c>
      <c r="G3" s="101" t="s">
        <v>8</v>
      </c>
      <c r="H3" s="101"/>
      <c r="I3" s="101"/>
      <c r="J3" s="101"/>
      <c r="K3" s="101" t="s">
        <v>9</v>
      </c>
      <c r="L3" s="101"/>
      <c r="M3" s="101"/>
      <c r="N3" s="101"/>
      <c r="O3" s="101" t="s">
        <v>1</v>
      </c>
      <c r="P3" s="101" t="s">
        <v>3</v>
      </c>
      <c r="Q3" s="105" t="s">
        <v>2</v>
      </c>
    </row>
    <row r="4" spans="1:17" s="1" customFormat="1" ht="21" customHeight="1" thickBot="1">
      <c r="A4" s="107"/>
      <c r="B4" s="81"/>
      <c r="C4" s="83"/>
      <c r="D4" s="100"/>
      <c r="E4" s="83"/>
      <c r="F4" s="83"/>
      <c r="G4" s="5">
        <v>1</v>
      </c>
      <c r="H4" s="5">
        <v>2</v>
      </c>
      <c r="I4" s="5">
        <v>3</v>
      </c>
      <c r="J4" s="5" t="s">
        <v>4</v>
      </c>
      <c r="K4" s="5">
        <v>1</v>
      </c>
      <c r="L4" s="5">
        <v>2</v>
      </c>
      <c r="M4" s="5">
        <v>3</v>
      </c>
      <c r="N4" s="5" t="s">
        <v>4</v>
      </c>
      <c r="O4" s="83"/>
      <c r="P4" s="83"/>
      <c r="Q4" s="85"/>
    </row>
    <row r="5" spans="1:17" ht="16">
      <c r="A5" s="86" t="s">
        <v>37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7">
      <c r="A6" s="75">
        <v>1</v>
      </c>
      <c r="B6" s="8" t="s">
        <v>40</v>
      </c>
      <c r="C6" s="8" t="s">
        <v>41</v>
      </c>
      <c r="D6" s="41">
        <v>89.4</v>
      </c>
      <c r="E6" s="8" t="s">
        <v>197</v>
      </c>
      <c r="F6" s="8" t="s">
        <v>42</v>
      </c>
      <c r="G6" s="17">
        <v>125</v>
      </c>
      <c r="H6" s="18">
        <v>130</v>
      </c>
      <c r="I6" s="17">
        <v>130</v>
      </c>
      <c r="J6" s="19"/>
      <c r="K6" s="17">
        <v>185</v>
      </c>
      <c r="L6" s="17">
        <v>200</v>
      </c>
      <c r="M6" s="17">
        <v>205</v>
      </c>
      <c r="N6" s="9"/>
      <c r="O6" s="9" t="str">
        <f>"335,0"</f>
        <v>335,0</v>
      </c>
      <c r="P6" s="9" t="str">
        <f>"214,6010"</f>
        <v>214,6010</v>
      </c>
      <c r="Q6" s="20"/>
    </row>
    <row r="7" spans="1:17">
      <c r="B7" s="6" t="s">
        <v>19</v>
      </c>
    </row>
    <row r="8" spans="1:17" ht="16">
      <c r="A8" s="79" t="s">
        <v>26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7">
      <c r="A9" s="75">
        <v>1</v>
      </c>
      <c r="B9" s="8" t="s">
        <v>43</v>
      </c>
      <c r="C9" s="8" t="s">
        <v>44</v>
      </c>
      <c r="D9" s="41">
        <v>96.9</v>
      </c>
      <c r="E9" s="8" t="s">
        <v>197</v>
      </c>
      <c r="F9" s="8" t="s">
        <v>42</v>
      </c>
      <c r="G9" s="17">
        <v>152.5</v>
      </c>
      <c r="H9" s="17">
        <v>160</v>
      </c>
      <c r="I9" s="17">
        <v>165</v>
      </c>
      <c r="J9" s="19"/>
      <c r="K9" s="17">
        <v>272.5</v>
      </c>
      <c r="L9" s="17">
        <v>285</v>
      </c>
      <c r="M9" s="18">
        <v>292.5</v>
      </c>
      <c r="N9" s="9"/>
      <c r="O9" s="9" t="str">
        <f>"450,0"</f>
        <v>450,0</v>
      </c>
      <c r="P9" s="9" t="str">
        <f>"277,4700"</f>
        <v>277,4700</v>
      </c>
      <c r="Q9" s="20"/>
    </row>
    <row r="10" spans="1:17">
      <c r="B10" s="6" t="s">
        <v>19</v>
      </c>
    </row>
    <row r="11" spans="1:17" ht="16">
      <c r="A11" s="79" t="s">
        <v>45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7">
      <c r="A12" s="77">
        <v>1</v>
      </c>
      <c r="B12" s="10" t="s">
        <v>48</v>
      </c>
      <c r="C12" s="10" t="s">
        <v>150</v>
      </c>
      <c r="D12" s="43">
        <v>102.5</v>
      </c>
      <c r="E12" s="10" t="s">
        <v>197</v>
      </c>
      <c r="F12" s="63" t="s">
        <v>42</v>
      </c>
      <c r="G12" s="69">
        <v>150</v>
      </c>
      <c r="H12" s="70">
        <v>157.5</v>
      </c>
      <c r="I12" s="69">
        <v>157.5</v>
      </c>
      <c r="J12" s="11"/>
      <c r="K12" s="73">
        <v>230</v>
      </c>
      <c r="L12" s="73">
        <v>245</v>
      </c>
      <c r="M12" s="73">
        <v>255</v>
      </c>
      <c r="N12" s="65"/>
      <c r="O12" s="31" t="str">
        <f>"412,5"</f>
        <v>412,5</v>
      </c>
      <c r="P12" s="11" t="str">
        <f>"248,6550"</f>
        <v>248,6550</v>
      </c>
      <c r="Q12" s="67"/>
    </row>
    <row r="13" spans="1:17">
      <c r="A13" s="78">
        <v>1</v>
      </c>
      <c r="B13" s="12" t="s">
        <v>48</v>
      </c>
      <c r="C13" s="12" t="s">
        <v>49</v>
      </c>
      <c r="D13" s="44">
        <v>102.5</v>
      </c>
      <c r="E13" s="12" t="s">
        <v>198</v>
      </c>
      <c r="F13" s="64" t="s">
        <v>42</v>
      </c>
      <c r="G13" s="71">
        <v>150</v>
      </c>
      <c r="H13" s="72">
        <v>157.5</v>
      </c>
      <c r="I13" s="71">
        <v>157.5</v>
      </c>
      <c r="J13" s="13"/>
      <c r="K13" s="74">
        <v>230</v>
      </c>
      <c r="L13" s="74">
        <v>245</v>
      </c>
      <c r="M13" s="74">
        <v>255</v>
      </c>
      <c r="N13" s="66"/>
      <c r="O13" s="32" t="str">
        <f>"412,5"</f>
        <v>412,5</v>
      </c>
      <c r="P13" s="13" t="str">
        <f>"248,6550"</f>
        <v>248,6550</v>
      </c>
      <c r="Q13" s="68"/>
    </row>
    <row r="14" spans="1:17">
      <c r="B14" s="6" t="s">
        <v>19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8"/>
  <sheetViews>
    <sheetView topLeftCell="A17" zoomScaleNormal="100" workbookViewId="0">
      <selection activeCell="E50" sqref="E50"/>
    </sheetView>
  </sheetViews>
  <sheetFormatPr baseColWidth="10" defaultColWidth="9.1640625" defaultRowHeight="13"/>
  <cols>
    <col min="1" max="1" width="7.5" style="6" bestFit="1" customWidth="1"/>
    <col min="2" max="2" width="27" style="6" customWidth="1"/>
    <col min="3" max="3" width="27.5" style="6" bestFit="1" customWidth="1"/>
    <col min="4" max="4" width="20.33203125" style="42" customWidth="1"/>
    <col min="5" max="5" width="10.6640625" style="6" customWidth="1"/>
    <col min="6" max="6" width="38.33203125" style="6" bestFit="1" customWidth="1"/>
    <col min="7" max="9" width="5.5" style="7" customWidth="1"/>
    <col min="10" max="10" width="4.83203125" style="7" bestFit="1" customWidth="1"/>
    <col min="11" max="11" width="11.33203125" style="23" bestFit="1" customWidth="1"/>
    <col min="12" max="12" width="8.6640625" style="7" bestFit="1" customWidth="1"/>
    <col min="13" max="13" width="22.83203125" style="6" customWidth="1"/>
    <col min="14" max="16384" width="9.1640625" style="3"/>
  </cols>
  <sheetData>
    <row r="1" spans="1:13" s="2" customFormat="1" ht="29" customHeight="1">
      <c r="A1" s="88" t="s">
        <v>176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s="2" customFormat="1" ht="77" customHeight="1" thickBot="1">
      <c r="A2" s="92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96" t="s">
        <v>194</v>
      </c>
      <c r="B3" s="80" t="s">
        <v>0</v>
      </c>
      <c r="C3" s="98" t="s">
        <v>195</v>
      </c>
      <c r="D3" s="99" t="s">
        <v>6</v>
      </c>
      <c r="E3" s="82" t="s">
        <v>196</v>
      </c>
      <c r="F3" s="82" t="s">
        <v>5</v>
      </c>
      <c r="G3" s="82" t="s">
        <v>8</v>
      </c>
      <c r="H3" s="82"/>
      <c r="I3" s="82"/>
      <c r="J3" s="82"/>
      <c r="K3" s="108" t="s">
        <v>72</v>
      </c>
      <c r="L3" s="82" t="s">
        <v>3</v>
      </c>
      <c r="M3" s="84" t="s">
        <v>2</v>
      </c>
    </row>
    <row r="4" spans="1:13" s="1" customFormat="1" ht="21" customHeight="1" thickBot="1">
      <c r="A4" s="97"/>
      <c r="B4" s="81"/>
      <c r="C4" s="83"/>
      <c r="D4" s="100"/>
      <c r="E4" s="83"/>
      <c r="F4" s="83"/>
      <c r="G4" s="5">
        <v>1</v>
      </c>
      <c r="H4" s="5">
        <v>2</v>
      </c>
      <c r="I4" s="5">
        <v>3</v>
      </c>
      <c r="J4" s="5" t="s">
        <v>4</v>
      </c>
      <c r="K4" s="109"/>
      <c r="L4" s="83"/>
      <c r="M4" s="85"/>
    </row>
    <row r="5" spans="1:13" ht="16">
      <c r="A5" s="86" t="s">
        <v>93</v>
      </c>
      <c r="B5" s="86"/>
      <c r="C5" s="87"/>
      <c r="D5" s="87"/>
      <c r="E5" s="87"/>
      <c r="F5" s="87"/>
      <c r="G5" s="87"/>
      <c r="H5" s="87"/>
      <c r="I5" s="87"/>
      <c r="J5" s="87"/>
    </row>
    <row r="6" spans="1:13">
      <c r="A6" s="16">
        <v>1</v>
      </c>
      <c r="B6" s="8" t="s">
        <v>94</v>
      </c>
      <c r="C6" s="8" t="s">
        <v>95</v>
      </c>
      <c r="D6" s="41">
        <v>48</v>
      </c>
      <c r="E6" s="8" t="s">
        <v>200</v>
      </c>
      <c r="F6" s="8" t="s">
        <v>13</v>
      </c>
      <c r="G6" s="17">
        <v>25</v>
      </c>
      <c r="H6" s="18">
        <v>30</v>
      </c>
      <c r="I6" s="17">
        <v>30</v>
      </c>
      <c r="J6" s="19"/>
      <c r="K6" s="19" t="str">
        <f>"30,0"</f>
        <v>30,0</v>
      </c>
      <c r="L6" s="9" t="str">
        <f>"39,7320"</f>
        <v>39,7320</v>
      </c>
      <c r="M6" s="20" t="s">
        <v>193</v>
      </c>
    </row>
    <row r="7" spans="1:13">
      <c r="B7" s="6" t="s">
        <v>19</v>
      </c>
    </row>
    <row r="8" spans="1:13" ht="16">
      <c r="A8" s="79" t="s">
        <v>10</v>
      </c>
      <c r="B8" s="79"/>
      <c r="C8" s="79"/>
      <c r="D8" s="79"/>
      <c r="E8" s="79"/>
      <c r="F8" s="79"/>
      <c r="G8" s="79"/>
      <c r="H8" s="79"/>
      <c r="I8" s="79"/>
      <c r="J8" s="79"/>
    </row>
    <row r="9" spans="1:13">
      <c r="A9" s="16">
        <v>1</v>
      </c>
      <c r="B9" s="8" t="s">
        <v>96</v>
      </c>
      <c r="C9" s="8" t="s">
        <v>97</v>
      </c>
      <c r="D9" s="41">
        <v>55.7</v>
      </c>
      <c r="E9" s="8" t="s">
        <v>197</v>
      </c>
      <c r="F9" s="8" t="s">
        <v>13</v>
      </c>
      <c r="G9" s="17">
        <v>45</v>
      </c>
      <c r="H9" s="17">
        <v>47.5</v>
      </c>
      <c r="I9" s="17">
        <v>50</v>
      </c>
      <c r="J9" s="19"/>
      <c r="K9" s="19" t="str">
        <f>"50,0"</f>
        <v>50,0</v>
      </c>
      <c r="L9" s="9" t="str">
        <f>"59,0800"</f>
        <v>59,0800</v>
      </c>
      <c r="M9" s="8" t="s">
        <v>192</v>
      </c>
    </row>
    <row r="10" spans="1:13">
      <c r="B10" s="6" t="s">
        <v>19</v>
      </c>
    </row>
    <row r="11" spans="1:13" ht="16">
      <c r="A11" s="79" t="s">
        <v>30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3">
      <c r="A12" s="16">
        <v>1</v>
      </c>
      <c r="B12" s="8" t="s">
        <v>98</v>
      </c>
      <c r="C12" s="8" t="s">
        <v>99</v>
      </c>
      <c r="D12" s="41">
        <v>59.4</v>
      </c>
      <c r="E12" s="8" t="s">
        <v>200</v>
      </c>
      <c r="F12" s="8" t="s">
        <v>13</v>
      </c>
      <c r="G12" s="17">
        <v>45</v>
      </c>
      <c r="H12" s="18">
        <v>55</v>
      </c>
      <c r="I12" s="17">
        <v>55</v>
      </c>
      <c r="J12" s="19"/>
      <c r="K12" s="19" t="str">
        <f>"55,0"</f>
        <v>55,0</v>
      </c>
      <c r="L12" s="9" t="str">
        <f>"47,3440"</f>
        <v>47,3440</v>
      </c>
      <c r="M12" s="20" t="s">
        <v>193</v>
      </c>
    </row>
    <row r="13" spans="1:13">
      <c r="B13" s="6" t="s">
        <v>19</v>
      </c>
    </row>
    <row r="14" spans="1:13" ht="16">
      <c r="A14" s="79" t="s">
        <v>20</v>
      </c>
      <c r="B14" s="79"/>
      <c r="C14" s="79"/>
      <c r="D14" s="79"/>
      <c r="E14" s="79"/>
      <c r="F14" s="79"/>
      <c r="G14" s="79"/>
      <c r="H14" s="79"/>
      <c r="I14" s="79"/>
      <c r="J14" s="79"/>
    </row>
    <row r="15" spans="1:13">
      <c r="A15" s="21">
        <v>1</v>
      </c>
      <c r="B15" s="10" t="s">
        <v>100</v>
      </c>
      <c r="C15" s="10" t="s">
        <v>101</v>
      </c>
      <c r="D15" s="43">
        <v>64.8</v>
      </c>
      <c r="E15" s="10" t="s">
        <v>201</v>
      </c>
      <c r="F15" s="10" t="s">
        <v>102</v>
      </c>
      <c r="G15" s="25">
        <v>107.5</v>
      </c>
      <c r="H15" s="25">
        <v>110</v>
      </c>
      <c r="I15" s="27"/>
      <c r="J15" s="27"/>
      <c r="K15" s="27" t="str">
        <f>"110,0"</f>
        <v>110,0</v>
      </c>
      <c r="L15" s="11" t="str">
        <f>"87,7030"</f>
        <v>87,7030</v>
      </c>
      <c r="M15" s="24" t="s">
        <v>193</v>
      </c>
    </row>
    <row r="16" spans="1:13">
      <c r="A16" s="34">
        <v>1</v>
      </c>
      <c r="B16" s="14" t="s">
        <v>103</v>
      </c>
      <c r="C16" s="14" t="s">
        <v>104</v>
      </c>
      <c r="D16" s="53">
        <v>66.400000000000006</v>
      </c>
      <c r="E16" s="14" t="s">
        <v>197</v>
      </c>
      <c r="F16" s="14" t="s">
        <v>13</v>
      </c>
      <c r="G16" s="35">
        <v>145</v>
      </c>
      <c r="H16" s="36">
        <v>155</v>
      </c>
      <c r="I16" s="35">
        <v>155</v>
      </c>
      <c r="J16" s="37"/>
      <c r="K16" s="37" t="str">
        <f>"155,0"</f>
        <v>155,0</v>
      </c>
      <c r="L16" s="15" t="str">
        <f>"121,1015"</f>
        <v>121,1015</v>
      </c>
      <c r="M16" s="38" t="s">
        <v>193</v>
      </c>
    </row>
    <row r="17" spans="1:13">
      <c r="A17" s="34">
        <v>2</v>
      </c>
      <c r="B17" s="14" t="s">
        <v>105</v>
      </c>
      <c r="C17" s="14" t="s">
        <v>106</v>
      </c>
      <c r="D17" s="53">
        <v>67</v>
      </c>
      <c r="E17" s="14" t="s">
        <v>197</v>
      </c>
      <c r="F17" s="14" t="s">
        <v>13</v>
      </c>
      <c r="G17" s="35">
        <v>117.5</v>
      </c>
      <c r="H17" s="36">
        <v>125</v>
      </c>
      <c r="I17" s="37"/>
      <c r="J17" s="37"/>
      <c r="K17" s="37" t="str">
        <f>"117,5"</f>
        <v>117,5</v>
      </c>
      <c r="L17" s="15" t="str">
        <f>"91,1330"</f>
        <v>91,1330</v>
      </c>
      <c r="M17" s="38" t="s">
        <v>193</v>
      </c>
    </row>
    <row r="18" spans="1:13">
      <c r="A18" s="34">
        <v>3</v>
      </c>
      <c r="B18" s="14" t="s">
        <v>107</v>
      </c>
      <c r="C18" s="14" t="s">
        <v>108</v>
      </c>
      <c r="D18" s="53">
        <v>67</v>
      </c>
      <c r="E18" s="14" t="s">
        <v>197</v>
      </c>
      <c r="F18" s="14" t="s">
        <v>13</v>
      </c>
      <c r="G18" s="35">
        <v>102.5</v>
      </c>
      <c r="H18" s="35">
        <v>107.5</v>
      </c>
      <c r="I18" s="36">
        <v>110</v>
      </c>
      <c r="J18" s="37"/>
      <c r="K18" s="37" t="str">
        <f>"107,5"</f>
        <v>107,5</v>
      </c>
      <c r="L18" s="15" t="str">
        <f>"83,3770"</f>
        <v>83,3770</v>
      </c>
      <c r="M18" s="38" t="s">
        <v>193</v>
      </c>
    </row>
    <row r="19" spans="1:13">
      <c r="A19" s="34">
        <v>4</v>
      </c>
      <c r="B19" s="14" t="s">
        <v>109</v>
      </c>
      <c r="C19" s="14" t="s">
        <v>110</v>
      </c>
      <c r="D19" s="53">
        <v>65.7</v>
      </c>
      <c r="E19" s="14" t="s">
        <v>197</v>
      </c>
      <c r="F19" s="14" t="s">
        <v>13</v>
      </c>
      <c r="G19" s="35">
        <v>95</v>
      </c>
      <c r="H19" s="35">
        <v>102.5</v>
      </c>
      <c r="I19" s="36">
        <v>107.5</v>
      </c>
      <c r="J19" s="37"/>
      <c r="K19" s="37" t="str">
        <f>"102,5"</f>
        <v>102,5</v>
      </c>
      <c r="L19" s="15" t="str">
        <f>"80,7803"</f>
        <v>80,7803</v>
      </c>
      <c r="M19" s="38" t="s">
        <v>193</v>
      </c>
    </row>
    <row r="20" spans="1:13">
      <c r="A20" s="22">
        <v>5</v>
      </c>
      <c r="B20" s="12" t="s">
        <v>111</v>
      </c>
      <c r="C20" s="12" t="s">
        <v>112</v>
      </c>
      <c r="D20" s="44">
        <v>65.900000000000006</v>
      </c>
      <c r="E20" s="12" t="s">
        <v>197</v>
      </c>
      <c r="F20" s="12" t="s">
        <v>13</v>
      </c>
      <c r="G20" s="29">
        <v>87.5</v>
      </c>
      <c r="H20" s="28">
        <v>87.5</v>
      </c>
      <c r="I20" s="28">
        <v>92.5</v>
      </c>
      <c r="J20" s="30"/>
      <c r="K20" s="30" t="str">
        <f>"92,5"</f>
        <v>92,5</v>
      </c>
      <c r="L20" s="13" t="str">
        <f>"72,7235"</f>
        <v>72,7235</v>
      </c>
      <c r="M20" s="33" t="s">
        <v>193</v>
      </c>
    </row>
    <row r="21" spans="1:13">
      <c r="B21" s="6" t="s">
        <v>19</v>
      </c>
    </row>
    <row r="22" spans="1:13" ht="16">
      <c r="A22" s="79" t="s">
        <v>33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3">
      <c r="A23" s="21">
        <v>1</v>
      </c>
      <c r="B23" s="10" t="s">
        <v>113</v>
      </c>
      <c r="C23" s="10" t="s">
        <v>114</v>
      </c>
      <c r="D23" s="43">
        <v>74.099999999999994</v>
      </c>
      <c r="E23" s="10" t="s">
        <v>197</v>
      </c>
      <c r="F23" s="10" t="s">
        <v>13</v>
      </c>
      <c r="G23" s="26">
        <v>100</v>
      </c>
      <c r="H23" s="25">
        <v>100</v>
      </c>
      <c r="I23" s="26">
        <v>107.5</v>
      </c>
      <c r="J23" s="27"/>
      <c r="K23" s="27" t="str">
        <f>"100,0"</f>
        <v>100,0</v>
      </c>
      <c r="L23" s="11" t="str">
        <f>"71,8600"</f>
        <v>71,8600</v>
      </c>
      <c r="M23" s="10" t="s">
        <v>192</v>
      </c>
    </row>
    <row r="24" spans="1:13">
      <c r="A24" s="13" t="s">
        <v>92</v>
      </c>
      <c r="B24" s="12" t="s">
        <v>115</v>
      </c>
      <c r="C24" s="12" t="s">
        <v>116</v>
      </c>
      <c r="D24" s="44">
        <v>74.3</v>
      </c>
      <c r="E24" s="12" t="s">
        <v>197</v>
      </c>
      <c r="F24" s="12" t="s">
        <v>170</v>
      </c>
      <c r="G24" s="29">
        <v>117.5</v>
      </c>
      <c r="H24" s="29">
        <v>117.5</v>
      </c>
      <c r="I24" s="29">
        <v>117.5</v>
      </c>
      <c r="J24" s="30"/>
      <c r="K24" s="30">
        <v>0</v>
      </c>
      <c r="L24" s="13" t="str">
        <f>"0,0000"</f>
        <v>0,0000</v>
      </c>
      <c r="M24" s="33" t="s">
        <v>193</v>
      </c>
    </row>
    <row r="25" spans="1:13">
      <c r="B25" s="6" t="s">
        <v>19</v>
      </c>
    </row>
    <row r="26" spans="1:13" ht="16">
      <c r="A26" s="79" t="s">
        <v>23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3">
      <c r="A27" s="21">
        <v>1</v>
      </c>
      <c r="B27" s="10" t="s">
        <v>117</v>
      </c>
      <c r="C27" s="10" t="s">
        <v>118</v>
      </c>
      <c r="D27" s="43">
        <v>79.599999999999994</v>
      </c>
      <c r="E27" s="10" t="s">
        <v>201</v>
      </c>
      <c r="F27" s="10" t="s">
        <v>63</v>
      </c>
      <c r="G27" s="25">
        <v>110</v>
      </c>
      <c r="H27" s="25">
        <v>112.5</v>
      </c>
      <c r="I27" s="26">
        <v>127.5</v>
      </c>
      <c r="J27" s="27"/>
      <c r="K27" s="27" t="str">
        <f>"112,5"</f>
        <v>112,5</v>
      </c>
      <c r="L27" s="11" t="str">
        <f>"77,0512"</f>
        <v>77,0512</v>
      </c>
      <c r="M27" s="10" t="s">
        <v>188</v>
      </c>
    </row>
    <row r="28" spans="1:13">
      <c r="A28" s="34">
        <v>1</v>
      </c>
      <c r="B28" s="14" t="s">
        <v>119</v>
      </c>
      <c r="C28" s="14" t="s">
        <v>120</v>
      </c>
      <c r="D28" s="53">
        <v>81.900000000000006</v>
      </c>
      <c r="E28" s="14" t="s">
        <v>197</v>
      </c>
      <c r="F28" s="14" t="s">
        <v>166</v>
      </c>
      <c r="G28" s="35">
        <v>155</v>
      </c>
      <c r="H28" s="35">
        <v>165</v>
      </c>
      <c r="I28" s="36">
        <v>170</v>
      </c>
      <c r="J28" s="37"/>
      <c r="K28" s="37" t="str">
        <f>"165,0"</f>
        <v>165,0</v>
      </c>
      <c r="L28" s="15" t="str">
        <f>"111,0285"</f>
        <v>111,0285</v>
      </c>
      <c r="M28" s="38" t="s">
        <v>193</v>
      </c>
    </row>
    <row r="29" spans="1:13">
      <c r="A29" s="34">
        <v>2</v>
      </c>
      <c r="B29" s="14" t="s">
        <v>121</v>
      </c>
      <c r="C29" s="14" t="s">
        <v>122</v>
      </c>
      <c r="D29" s="53">
        <v>75.400000000000006</v>
      </c>
      <c r="E29" s="14" t="s">
        <v>197</v>
      </c>
      <c r="F29" s="38" t="s">
        <v>168</v>
      </c>
      <c r="G29" s="35">
        <v>135</v>
      </c>
      <c r="H29" s="35">
        <v>145</v>
      </c>
      <c r="I29" s="37"/>
      <c r="J29" s="37"/>
      <c r="K29" s="37" t="str">
        <f>"145,0"</f>
        <v>145,0</v>
      </c>
      <c r="L29" s="15" t="str">
        <f>"102,9355"</f>
        <v>102,9355</v>
      </c>
      <c r="M29" s="38" t="s">
        <v>193</v>
      </c>
    </row>
    <row r="30" spans="1:13">
      <c r="A30" s="22">
        <v>3</v>
      </c>
      <c r="B30" s="12" t="s">
        <v>123</v>
      </c>
      <c r="C30" s="12" t="s">
        <v>124</v>
      </c>
      <c r="D30" s="44">
        <v>82</v>
      </c>
      <c r="E30" s="12" t="s">
        <v>197</v>
      </c>
      <c r="F30" s="12" t="s">
        <v>13</v>
      </c>
      <c r="G30" s="28">
        <v>130</v>
      </c>
      <c r="H30" s="29">
        <v>135</v>
      </c>
      <c r="I30" s="29">
        <v>145</v>
      </c>
      <c r="J30" s="30"/>
      <c r="K30" s="30" t="str">
        <f>"130,0"</f>
        <v>130,0</v>
      </c>
      <c r="L30" s="13" t="str">
        <f>"87,4120"</f>
        <v>87,4120</v>
      </c>
      <c r="M30" s="33" t="s">
        <v>193</v>
      </c>
    </row>
    <row r="31" spans="1:13">
      <c r="B31" s="6" t="s">
        <v>19</v>
      </c>
    </row>
    <row r="32" spans="1:13" ht="16">
      <c r="A32" s="79" t="s">
        <v>37</v>
      </c>
      <c r="B32" s="79"/>
      <c r="C32" s="79"/>
      <c r="D32" s="79"/>
      <c r="E32" s="79"/>
      <c r="F32" s="79"/>
      <c r="G32" s="79"/>
      <c r="H32" s="79"/>
      <c r="I32" s="79"/>
      <c r="J32" s="79"/>
    </row>
    <row r="33" spans="1:13">
      <c r="A33" s="21">
        <v>1</v>
      </c>
      <c r="B33" s="10" t="s">
        <v>125</v>
      </c>
      <c r="C33" s="10" t="s">
        <v>126</v>
      </c>
      <c r="D33" s="43">
        <v>89.9</v>
      </c>
      <c r="E33" s="10" t="s">
        <v>197</v>
      </c>
      <c r="F33" s="10" t="s">
        <v>171</v>
      </c>
      <c r="G33" s="25">
        <v>162.5</v>
      </c>
      <c r="H33" s="25">
        <v>170</v>
      </c>
      <c r="I33" s="26">
        <v>175</v>
      </c>
      <c r="J33" s="11"/>
      <c r="K33" s="27" t="str">
        <f>"170,0"</f>
        <v>170,0</v>
      </c>
      <c r="L33" s="11" t="str">
        <f>"108,5960"</f>
        <v>108,5960</v>
      </c>
      <c r="M33" s="24" t="s">
        <v>193</v>
      </c>
    </row>
    <row r="34" spans="1:13">
      <c r="A34" s="13" t="s">
        <v>92</v>
      </c>
      <c r="B34" s="12" t="s">
        <v>127</v>
      </c>
      <c r="C34" s="12" t="s">
        <v>128</v>
      </c>
      <c r="D34" s="44">
        <v>88</v>
      </c>
      <c r="E34" s="12" t="s">
        <v>198</v>
      </c>
      <c r="F34" s="12" t="s">
        <v>13</v>
      </c>
      <c r="G34" s="29">
        <v>130</v>
      </c>
      <c r="H34" s="29">
        <v>135</v>
      </c>
      <c r="I34" s="29">
        <v>135</v>
      </c>
      <c r="J34" s="13"/>
      <c r="K34" s="30">
        <v>0</v>
      </c>
      <c r="L34" s="13" t="str">
        <f>"0,0000"</f>
        <v>0,0000</v>
      </c>
      <c r="M34" s="33" t="s">
        <v>193</v>
      </c>
    </row>
    <row r="35" spans="1:13">
      <c r="B35" s="6" t="s">
        <v>19</v>
      </c>
    </row>
    <row r="36" spans="1:13" ht="16">
      <c r="A36" s="79" t="s">
        <v>26</v>
      </c>
      <c r="B36" s="79"/>
      <c r="C36" s="79"/>
      <c r="D36" s="79"/>
      <c r="E36" s="79"/>
      <c r="F36" s="79"/>
      <c r="G36" s="79"/>
      <c r="H36" s="79"/>
      <c r="I36" s="79"/>
      <c r="J36" s="79"/>
    </row>
    <row r="37" spans="1:13">
      <c r="A37" s="21">
        <v>1</v>
      </c>
      <c r="B37" s="10" t="s">
        <v>129</v>
      </c>
      <c r="C37" s="10" t="s">
        <v>130</v>
      </c>
      <c r="D37" s="43">
        <v>94.5</v>
      </c>
      <c r="E37" s="10" t="s">
        <v>197</v>
      </c>
      <c r="F37" s="10" t="s">
        <v>131</v>
      </c>
      <c r="G37" s="25">
        <v>165</v>
      </c>
      <c r="H37" s="25">
        <v>175</v>
      </c>
      <c r="I37" s="26">
        <v>180</v>
      </c>
      <c r="J37" s="11"/>
      <c r="K37" s="27" t="str">
        <f>"175,0"</f>
        <v>175,0</v>
      </c>
      <c r="L37" s="11" t="str">
        <f>"109,1125"</f>
        <v>109,1125</v>
      </c>
      <c r="M37" s="24" t="s">
        <v>193</v>
      </c>
    </row>
    <row r="38" spans="1:13">
      <c r="A38" s="34">
        <v>2</v>
      </c>
      <c r="B38" s="14" t="s">
        <v>132</v>
      </c>
      <c r="C38" s="14" t="s">
        <v>133</v>
      </c>
      <c r="D38" s="53">
        <v>97.6</v>
      </c>
      <c r="E38" s="14" t="s">
        <v>197</v>
      </c>
      <c r="F38" s="14" t="s">
        <v>134</v>
      </c>
      <c r="G38" s="35">
        <v>140</v>
      </c>
      <c r="H38" s="35">
        <v>147.5</v>
      </c>
      <c r="I38" s="36">
        <v>152.5</v>
      </c>
      <c r="J38" s="15"/>
      <c r="K38" s="37" t="str">
        <f>"147,5"</f>
        <v>147,5</v>
      </c>
      <c r="L38" s="15" t="str">
        <f>"90,6683"</f>
        <v>90,6683</v>
      </c>
      <c r="M38" s="38" t="s">
        <v>193</v>
      </c>
    </row>
    <row r="39" spans="1:13">
      <c r="A39" s="34">
        <v>1</v>
      </c>
      <c r="B39" s="14" t="s">
        <v>135</v>
      </c>
      <c r="C39" s="14" t="s">
        <v>136</v>
      </c>
      <c r="D39" s="53">
        <v>98.4</v>
      </c>
      <c r="E39" s="14" t="s">
        <v>198</v>
      </c>
      <c r="F39" s="14" t="s">
        <v>13</v>
      </c>
      <c r="G39" s="35">
        <v>135</v>
      </c>
      <c r="H39" s="35">
        <v>140</v>
      </c>
      <c r="I39" s="37"/>
      <c r="J39" s="15"/>
      <c r="K39" s="37" t="str">
        <f>"140,0"</f>
        <v>140,0</v>
      </c>
      <c r="L39" s="15" t="str">
        <f>"89,5376"</f>
        <v>89,5376</v>
      </c>
      <c r="M39" s="38" t="s">
        <v>193</v>
      </c>
    </row>
    <row r="40" spans="1:13">
      <c r="A40" s="22">
        <v>1</v>
      </c>
      <c r="B40" s="12" t="s">
        <v>137</v>
      </c>
      <c r="C40" s="12" t="s">
        <v>138</v>
      </c>
      <c r="D40" s="44">
        <v>97.2</v>
      </c>
      <c r="E40" s="12" t="s">
        <v>202</v>
      </c>
      <c r="F40" s="12" t="s">
        <v>13</v>
      </c>
      <c r="G40" s="28">
        <v>130</v>
      </c>
      <c r="H40" s="29">
        <v>135</v>
      </c>
      <c r="I40" s="29">
        <v>142.5</v>
      </c>
      <c r="J40" s="13"/>
      <c r="K40" s="30" t="str">
        <f>"130,0"</f>
        <v>130,0</v>
      </c>
      <c r="L40" s="13" t="str">
        <f>"92,0621"</f>
        <v>92,0621</v>
      </c>
      <c r="M40" s="33" t="s">
        <v>193</v>
      </c>
    </row>
    <row r="41" spans="1:13">
      <c r="B41" s="6" t="s">
        <v>19</v>
      </c>
    </row>
    <row r="42" spans="1:13" ht="16">
      <c r="A42" s="79" t="s">
        <v>45</v>
      </c>
      <c r="B42" s="79"/>
      <c r="C42" s="79"/>
      <c r="D42" s="79"/>
      <c r="E42" s="79"/>
      <c r="F42" s="79"/>
      <c r="G42" s="79"/>
      <c r="H42" s="79"/>
      <c r="I42" s="79"/>
      <c r="J42" s="79"/>
    </row>
    <row r="43" spans="1:13">
      <c r="A43" s="16">
        <v>1</v>
      </c>
      <c r="B43" s="8" t="s">
        <v>139</v>
      </c>
      <c r="C43" s="8" t="s">
        <v>140</v>
      </c>
      <c r="D43" s="41">
        <v>108.9</v>
      </c>
      <c r="E43" s="8" t="s">
        <v>197</v>
      </c>
      <c r="F43" s="8" t="s">
        <v>13</v>
      </c>
      <c r="G43" s="17">
        <v>167.5</v>
      </c>
      <c r="H43" s="18">
        <v>177.5</v>
      </c>
      <c r="I43" s="18">
        <v>177.5</v>
      </c>
      <c r="J43" s="9"/>
      <c r="K43" s="19" t="str">
        <f>"167,5"</f>
        <v>167,5</v>
      </c>
      <c r="L43" s="9" t="str">
        <f>"98,8753"</f>
        <v>98,8753</v>
      </c>
      <c r="M43" s="20" t="s">
        <v>193</v>
      </c>
    </row>
    <row r="44" spans="1:13">
      <c r="B44" s="6" t="s">
        <v>19</v>
      </c>
    </row>
    <row r="45" spans="1:13" ht="16">
      <c r="A45" s="79" t="s">
        <v>69</v>
      </c>
      <c r="B45" s="79"/>
      <c r="C45" s="79"/>
      <c r="D45" s="79"/>
      <c r="E45" s="79"/>
      <c r="F45" s="79"/>
      <c r="G45" s="79"/>
      <c r="H45" s="79"/>
      <c r="I45" s="79"/>
      <c r="J45" s="79"/>
    </row>
    <row r="46" spans="1:13">
      <c r="A46" s="16">
        <v>1</v>
      </c>
      <c r="B46" s="8" t="s">
        <v>141</v>
      </c>
      <c r="C46" s="8" t="s">
        <v>142</v>
      </c>
      <c r="D46" s="41">
        <v>119.4</v>
      </c>
      <c r="E46" s="8" t="s">
        <v>197</v>
      </c>
      <c r="F46" s="8" t="s">
        <v>13</v>
      </c>
      <c r="G46" s="17">
        <v>155</v>
      </c>
      <c r="H46" s="17">
        <v>170</v>
      </c>
      <c r="I46" s="18">
        <v>177.5</v>
      </c>
      <c r="J46" s="9"/>
      <c r="K46" s="19" t="str">
        <f>"170,0"</f>
        <v>170,0</v>
      </c>
      <c r="L46" s="9" t="str">
        <f>"97,8520"</f>
        <v>97,8520</v>
      </c>
      <c r="M46" s="20" t="s">
        <v>193</v>
      </c>
    </row>
    <row r="47" spans="1:13">
      <c r="B47" s="6" t="s">
        <v>19</v>
      </c>
    </row>
    <row r="48" spans="1:13" ht="16">
      <c r="A48" s="79" t="s">
        <v>143</v>
      </c>
      <c r="B48" s="79"/>
      <c r="C48" s="79"/>
      <c r="D48" s="79"/>
      <c r="E48" s="79"/>
      <c r="F48" s="79"/>
      <c r="G48" s="79"/>
      <c r="H48" s="79"/>
      <c r="I48" s="79"/>
      <c r="J48" s="79"/>
    </row>
    <row r="49" spans="1:20">
      <c r="A49" s="16">
        <v>1</v>
      </c>
      <c r="B49" s="8" t="s">
        <v>144</v>
      </c>
      <c r="C49" s="8" t="s">
        <v>145</v>
      </c>
      <c r="D49" s="41">
        <v>138.9</v>
      </c>
      <c r="E49" s="8" t="s">
        <v>197</v>
      </c>
      <c r="F49" s="8" t="s">
        <v>66</v>
      </c>
      <c r="G49" s="17">
        <v>190</v>
      </c>
      <c r="H49" s="17">
        <v>200</v>
      </c>
      <c r="I49" s="18">
        <v>210</v>
      </c>
      <c r="J49" s="9"/>
      <c r="K49" s="19" t="str">
        <f>"200,0"</f>
        <v>200,0</v>
      </c>
      <c r="L49" s="9" t="str">
        <f>"111,9000"</f>
        <v>111,9000</v>
      </c>
      <c r="M49" s="20" t="s">
        <v>193</v>
      </c>
    </row>
    <row r="50" spans="1:20">
      <c r="B50" s="6" t="s">
        <v>19</v>
      </c>
    </row>
    <row r="51" spans="1:20">
      <c r="B51" s="6" t="s">
        <v>19</v>
      </c>
    </row>
    <row r="52" spans="1:20">
      <c r="B52" s="6" t="s">
        <v>19</v>
      </c>
    </row>
    <row r="53" spans="1:20" ht="18">
      <c r="A53" s="3"/>
      <c r="B53" s="59" t="s">
        <v>14</v>
      </c>
      <c r="C53" s="40"/>
      <c r="D53" s="54"/>
      <c r="E53" s="40"/>
    </row>
    <row r="54" spans="1:20" s="50" customFormat="1" ht="16">
      <c r="A54" s="46"/>
      <c r="B54" s="47" t="s">
        <v>190</v>
      </c>
      <c r="C54" s="47"/>
      <c r="D54" s="55"/>
      <c r="E54" s="46"/>
      <c r="F54" s="48"/>
      <c r="G54" s="48"/>
      <c r="H54" s="48"/>
      <c r="I54" s="48"/>
      <c r="J54" s="48"/>
      <c r="K54" s="49"/>
      <c r="L54" s="48"/>
      <c r="M54" s="48"/>
      <c r="N54" s="48"/>
      <c r="O54" s="48"/>
      <c r="P54" s="48"/>
      <c r="Q54" s="48"/>
      <c r="R54" s="49"/>
      <c r="S54" s="48"/>
      <c r="T54" s="46"/>
    </row>
    <row r="55" spans="1:20" s="50" customFormat="1" ht="14">
      <c r="A55" s="46"/>
      <c r="B55" s="51"/>
      <c r="C55" s="52" t="s">
        <v>15</v>
      </c>
      <c r="D55" s="55"/>
      <c r="E55" s="46"/>
      <c r="F55" s="48"/>
      <c r="G55" s="48"/>
      <c r="H55" s="48"/>
      <c r="I55" s="48"/>
      <c r="J55" s="48"/>
      <c r="K55" s="49"/>
      <c r="L55" s="48"/>
      <c r="M55" s="48"/>
      <c r="N55" s="48"/>
      <c r="O55" s="48"/>
      <c r="P55" s="48"/>
      <c r="Q55" s="48"/>
      <c r="R55" s="49"/>
      <c r="S55" s="48"/>
      <c r="T55" s="46"/>
    </row>
    <row r="56" spans="1:20" ht="15">
      <c r="A56" s="3"/>
      <c r="B56" s="39" t="s">
        <v>16</v>
      </c>
      <c r="C56" s="39" t="s">
        <v>17</v>
      </c>
      <c r="D56" s="56" t="s">
        <v>191</v>
      </c>
      <c r="E56" s="39" t="s">
        <v>91</v>
      </c>
      <c r="F56" s="39" t="s">
        <v>18</v>
      </c>
    </row>
    <row r="57" spans="1:20">
      <c r="A57" s="3"/>
      <c r="B57" s="6" t="s">
        <v>103</v>
      </c>
      <c r="C57" s="7" t="s">
        <v>15</v>
      </c>
      <c r="D57" s="57" t="s">
        <v>29</v>
      </c>
      <c r="E57" s="23">
        <v>155</v>
      </c>
      <c r="F57" s="58">
        <v>121.1015</v>
      </c>
    </row>
    <row r="58" spans="1:20">
      <c r="B58" s="6" t="s">
        <v>19</v>
      </c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6:J36"/>
    <mergeCell ref="A42:J42"/>
    <mergeCell ref="A45:J45"/>
    <mergeCell ref="A48:J48"/>
    <mergeCell ref="B3:B4"/>
    <mergeCell ref="A8:J8"/>
    <mergeCell ref="A11:J11"/>
    <mergeCell ref="A14:J14"/>
    <mergeCell ref="A22:J22"/>
    <mergeCell ref="A26:J26"/>
    <mergeCell ref="A32:J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7" style="6" customWidth="1"/>
    <col min="3" max="3" width="27.5" style="6" bestFit="1" customWidth="1"/>
    <col min="4" max="4" width="16.33203125" style="42" customWidth="1"/>
    <col min="5" max="5" width="10.5" style="6" bestFit="1" customWidth="1"/>
    <col min="6" max="6" width="34" style="6" customWidth="1"/>
    <col min="7" max="10" width="5.5" style="7" customWidth="1"/>
    <col min="11" max="11" width="11.33203125" style="23" bestFit="1" customWidth="1"/>
    <col min="12" max="12" width="8.6640625" style="7" bestFit="1" customWidth="1"/>
    <col min="13" max="13" width="22.83203125" style="6" customWidth="1"/>
    <col min="14" max="16384" width="9.1640625" style="3"/>
  </cols>
  <sheetData>
    <row r="1" spans="1:13" s="2" customFormat="1" ht="29" customHeight="1">
      <c r="A1" s="88" t="s">
        <v>177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s="2" customFormat="1" ht="72" customHeight="1" thickBot="1">
      <c r="A2" s="92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96" t="s">
        <v>194</v>
      </c>
      <c r="B3" s="80" t="s">
        <v>0</v>
      </c>
      <c r="C3" s="98" t="s">
        <v>195</v>
      </c>
      <c r="D3" s="99" t="s">
        <v>6</v>
      </c>
      <c r="E3" s="82" t="s">
        <v>196</v>
      </c>
      <c r="F3" s="82" t="s">
        <v>5</v>
      </c>
      <c r="G3" s="82" t="s">
        <v>8</v>
      </c>
      <c r="H3" s="82"/>
      <c r="I3" s="82"/>
      <c r="J3" s="82"/>
      <c r="K3" s="108" t="s">
        <v>72</v>
      </c>
      <c r="L3" s="82" t="s">
        <v>3</v>
      </c>
      <c r="M3" s="84" t="s">
        <v>2</v>
      </c>
    </row>
    <row r="4" spans="1:13" s="1" customFormat="1" ht="21" customHeight="1" thickBot="1">
      <c r="A4" s="97"/>
      <c r="B4" s="81"/>
      <c r="C4" s="83"/>
      <c r="D4" s="100"/>
      <c r="E4" s="83"/>
      <c r="F4" s="83"/>
      <c r="G4" s="4">
        <v>1</v>
      </c>
      <c r="H4" s="4">
        <v>2</v>
      </c>
      <c r="I4" s="4">
        <v>3</v>
      </c>
      <c r="J4" s="4" t="s">
        <v>4</v>
      </c>
      <c r="K4" s="109"/>
      <c r="L4" s="83"/>
      <c r="M4" s="85"/>
    </row>
    <row r="5" spans="1:13" ht="16">
      <c r="A5" s="86" t="s">
        <v>23</v>
      </c>
      <c r="B5" s="86"/>
      <c r="C5" s="87"/>
      <c r="D5" s="87"/>
      <c r="E5" s="87"/>
      <c r="F5" s="87"/>
      <c r="G5" s="87"/>
      <c r="H5" s="87"/>
      <c r="I5" s="87"/>
      <c r="J5" s="87"/>
    </row>
    <row r="6" spans="1:13">
      <c r="A6" s="16">
        <v>1</v>
      </c>
      <c r="B6" s="8" t="s">
        <v>73</v>
      </c>
      <c r="C6" s="8" t="s">
        <v>74</v>
      </c>
      <c r="D6" s="41">
        <v>81.599999999999994</v>
      </c>
      <c r="E6" s="8" t="s">
        <v>198</v>
      </c>
      <c r="F6" s="8" t="s">
        <v>13</v>
      </c>
      <c r="G6" s="17">
        <v>160</v>
      </c>
      <c r="H6" s="17">
        <v>170</v>
      </c>
      <c r="I6" s="17">
        <v>172.5</v>
      </c>
      <c r="J6" s="19"/>
      <c r="K6" s="19" t="str">
        <f>"172,5"</f>
        <v>172,5</v>
      </c>
      <c r="L6" s="9" t="str">
        <f>"116,3340"</f>
        <v>116,3340</v>
      </c>
      <c r="M6" s="20" t="s">
        <v>193</v>
      </c>
    </row>
    <row r="7" spans="1:13">
      <c r="B7" s="6" t="s">
        <v>19</v>
      </c>
    </row>
    <row r="8" spans="1:13" ht="16">
      <c r="A8" s="79" t="s">
        <v>37</v>
      </c>
      <c r="B8" s="79"/>
      <c r="C8" s="79"/>
      <c r="D8" s="79"/>
      <c r="E8" s="79"/>
      <c r="F8" s="79"/>
      <c r="G8" s="79"/>
      <c r="H8" s="79"/>
      <c r="I8" s="79"/>
      <c r="J8" s="79"/>
    </row>
    <row r="9" spans="1:13">
      <c r="A9" s="21">
        <v>1</v>
      </c>
      <c r="B9" s="10" t="s">
        <v>75</v>
      </c>
      <c r="C9" s="10" t="s">
        <v>76</v>
      </c>
      <c r="D9" s="43">
        <v>89.4</v>
      </c>
      <c r="E9" s="10" t="s">
        <v>199</v>
      </c>
      <c r="F9" s="10" t="s">
        <v>13</v>
      </c>
      <c r="G9" s="25">
        <v>142.5</v>
      </c>
      <c r="H9" s="26">
        <v>152.5</v>
      </c>
      <c r="I9" s="25">
        <v>152.5</v>
      </c>
      <c r="J9" s="27"/>
      <c r="K9" s="27" t="str">
        <f>"152,5"</f>
        <v>152,5</v>
      </c>
      <c r="L9" s="60" t="str">
        <f>"97,6915"</f>
        <v>97,6915</v>
      </c>
      <c r="M9" s="24" t="s">
        <v>193</v>
      </c>
    </row>
    <row r="10" spans="1:13">
      <c r="A10" s="34">
        <v>1</v>
      </c>
      <c r="B10" s="14" t="s">
        <v>77</v>
      </c>
      <c r="C10" s="14" t="s">
        <v>78</v>
      </c>
      <c r="D10" s="53">
        <v>87.3</v>
      </c>
      <c r="E10" s="14" t="s">
        <v>197</v>
      </c>
      <c r="F10" s="38" t="s">
        <v>167</v>
      </c>
      <c r="G10" s="35">
        <v>182.5</v>
      </c>
      <c r="H10" s="35">
        <v>190</v>
      </c>
      <c r="I10" s="36">
        <v>195</v>
      </c>
      <c r="J10" s="37"/>
      <c r="K10" s="37" t="str">
        <f>"190,0"</f>
        <v>190,0</v>
      </c>
      <c r="L10" s="61" t="str">
        <f>"123,2530"</f>
        <v>123,2530</v>
      </c>
      <c r="M10" s="38" t="s">
        <v>193</v>
      </c>
    </row>
    <row r="11" spans="1:13">
      <c r="A11" s="15" t="s">
        <v>92</v>
      </c>
      <c r="B11" s="14" t="s">
        <v>79</v>
      </c>
      <c r="C11" s="14" t="s">
        <v>80</v>
      </c>
      <c r="D11" s="53">
        <v>86.3</v>
      </c>
      <c r="E11" s="14" t="s">
        <v>197</v>
      </c>
      <c r="F11" s="14" t="s">
        <v>171</v>
      </c>
      <c r="G11" s="36">
        <v>140</v>
      </c>
      <c r="H11" s="36">
        <v>145</v>
      </c>
      <c r="I11" s="36">
        <v>145</v>
      </c>
      <c r="J11" s="37"/>
      <c r="K11" s="37">
        <v>0</v>
      </c>
      <c r="L11" s="61" t="str">
        <f>"0,0000"</f>
        <v>0,0000</v>
      </c>
      <c r="M11" s="38" t="s">
        <v>193</v>
      </c>
    </row>
    <row r="12" spans="1:13">
      <c r="A12" s="22">
        <v>1</v>
      </c>
      <c r="B12" s="12" t="s">
        <v>81</v>
      </c>
      <c r="C12" s="12" t="s">
        <v>82</v>
      </c>
      <c r="D12" s="44">
        <v>89.2</v>
      </c>
      <c r="E12" s="12" t="s">
        <v>198</v>
      </c>
      <c r="F12" s="12" t="s">
        <v>169</v>
      </c>
      <c r="G12" s="28">
        <v>165</v>
      </c>
      <c r="H12" s="28">
        <v>170</v>
      </c>
      <c r="I12" s="29">
        <v>175</v>
      </c>
      <c r="J12" s="30"/>
      <c r="K12" s="30" t="str">
        <f>"170,0"</f>
        <v>170,0</v>
      </c>
      <c r="L12" s="62" t="str">
        <f>"109,5661"</f>
        <v>109,5661</v>
      </c>
      <c r="M12" s="33" t="s">
        <v>193</v>
      </c>
    </row>
    <row r="13" spans="1:13">
      <c r="B13" s="6" t="s">
        <v>19</v>
      </c>
    </row>
    <row r="14" spans="1:13" ht="16">
      <c r="A14" s="79" t="s">
        <v>26</v>
      </c>
      <c r="B14" s="79"/>
      <c r="C14" s="79"/>
      <c r="D14" s="79"/>
      <c r="E14" s="79"/>
      <c r="F14" s="79"/>
      <c r="G14" s="79"/>
      <c r="H14" s="79"/>
      <c r="I14" s="79"/>
      <c r="J14" s="79"/>
    </row>
    <row r="15" spans="1:13">
      <c r="A15" s="16">
        <v>1</v>
      </c>
      <c r="B15" s="8" t="s">
        <v>83</v>
      </c>
      <c r="C15" s="8" t="s">
        <v>84</v>
      </c>
      <c r="D15" s="41">
        <v>93.6</v>
      </c>
      <c r="E15" s="8" t="s">
        <v>197</v>
      </c>
      <c r="F15" s="8" t="s">
        <v>13</v>
      </c>
      <c r="G15" s="17">
        <v>152.5</v>
      </c>
      <c r="H15" s="17">
        <v>157.5</v>
      </c>
      <c r="I15" s="17">
        <v>160</v>
      </c>
      <c r="J15" s="19"/>
      <c r="K15" s="19" t="str">
        <f>"160,0"</f>
        <v>160,0</v>
      </c>
      <c r="L15" s="19" t="str">
        <f>"100,2080"</f>
        <v>100,2080</v>
      </c>
      <c r="M15" s="20" t="s">
        <v>193</v>
      </c>
    </row>
    <row r="16" spans="1:13">
      <c r="B16" s="6" t="s">
        <v>19</v>
      </c>
    </row>
    <row r="17" spans="1:13" ht="16">
      <c r="A17" s="79" t="s">
        <v>45</v>
      </c>
      <c r="B17" s="79"/>
      <c r="C17" s="79"/>
      <c r="D17" s="79"/>
      <c r="E17" s="79"/>
      <c r="F17" s="79"/>
      <c r="G17" s="79"/>
      <c r="H17" s="79"/>
      <c r="I17" s="79"/>
      <c r="J17" s="79"/>
    </row>
    <row r="18" spans="1:13">
      <c r="A18" s="21">
        <v>1</v>
      </c>
      <c r="B18" s="10" t="s">
        <v>85</v>
      </c>
      <c r="C18" s="10" t="s">
        <v>86</v>
      </c>
      <c r="D18" s="43">
        <v>107.5</v>
      </c>
      <c r="E18" s="10" t="s">
        <v>197</v>
      </c>
      <c r="F18" s="10" t="s">
        <v>171</v>
      </c>
      <c r="G18" s="25">
        <v>182.5</v>
      </c>
      <c r="H18" s="26">
        <v>187.5</v>
      </c>
      <c r="I18" s="25">
        <v>187.5</v>
      </c>
      <c r="J18" s="27"/>
      <c r="K18" s="27" t="str">
        <f>"187,5"</f>
        <v>187,5</v>
      </c>
      <c r="L18" s="60" t="str">
        <f>"111,1500"</f>
        <v>111,1500</v>
      </c>
      <c r="M18" s="24" t="s">
        <v>193</v>
      </c>
    </row>
    <row r="19" spans="1:13">
      <c r="A19" s="22">
        <v>2</v>
      </c>
      <c r="B19" s="12" t="s">
        <v>87</v>
      </c>
      <c r="C19" s="12" t="s">
        <v>88</v>
      </c>
      <c r="D19" s="44">
        <v>101.2</v>
      </c>
      <c r="E19" s="12" t="s">
        <v>197</v>
      </c>
      <c r="F19" s="12" t="s">
        <v>13</v>
      </c>
      <c r="G19" s="28">
        <v>160</v>
      </c>
      <c r="H19" s="28">
        <v>170</v>
      </c>
      <c r="I19" s="28">
        <v>172.5</v>
      </c>
      <c r="J19" s="30"/>
      <c r="K19" s="30" t="str">
        <f>"172,5"</f>
        <v>172,5</v>
      </c>
      <c r="L19" s="62" t="str">
        <f>"104,4833"</f>
        <v>104,4833</v>
      </c>
      <c r="M19" s="33" t="s">
        <v>193</v>
      </c>
    </row>
    <row r="20" spans="1:13">
      <c r="B20" s="6" t="s">
        <v>19</v>
      </c>
    </row>
    <row r="21" spans="1:13" ht="16">
      <c r="A21" s="79" t="s">
        <v>69</v>
      </c>
      <c r="B21" s="79"/>
      <c r="C21" s="79"/>
      <c r="D21" s="79"/>
      <c r="E21" s="79"/>
      <c r="F21" s="79"/>
      <c r="G21" s="79"/>
      <c r="H21" s="79"/>
      <c r="I21" s="79"/>
      <c r="J21" s="79"/>
    </row>
    <row r="22" spans="1:13">
      <c r="A22" s="16">
        <v>1</v>
      </c>
      <c r="B22" s="8" t="s">
        <v>89</v>
      </c>
      <c r="C22" s="8" t="s">
        <v>90</v>
      </c>
      <c r="D22" s="41">
        <v>124.9</v>
      </c>
      <c r="E22" s="8" t="s">
        <v>197</v>
      </c>
      <c r="F22" s="8" t="s">
        <v>13</v>
      </c>
      <c r="G22" s="17">
        <v>175</v>
      </c>
      <c r="H22" s="17">
        <v>180</v>
      </c>
      <c r="I22" s="17">
        <v>185</v>
      </c>
      <c r="J22" s="19"/>
      <c r="K22" s="19" t="str">
        <f>"185,0"</f>
        <v>185,0</v>
      </c>
      <c r="L22" s="19" t="str">
        <f>"105,4315"</f>
        <v>105,4315</v>
      </c>
      <c r="M22" s="20" t="s">
        <v>193</v>
      </c>
    </row>
    <row r="23" spans="1:13">
      <c r="B23" s="6" t="s">
        <v>19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4:J14"/>
    <mergeCell ref="A17:J17"/>
    <mergeCell ref="A21:J21"/>
    <mergeCell ref="B3: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"/>
  <sheetViews>
    <sheetView zoomScaleNormal="100"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7" style="6" customWidth="1"/>
    <col min="3" max="3" width="27.5" style="6" bestFit="1" customWidth="1"/>
    <col min="4" max="4" width="16.33203125" style="42" customWidth="1"/>
    <col min="5" max="5" width="10.6640625" style="6" customWidth="1"/>
    <col min="6" max="6" width="34" style="6" customWidth="1"/>
    <col min="7" max="7" width="5.6640625" style="7" bestFit="1" customWidth="1"/>
    <col min="8" max="8" width="5.83203125" style="7" bestFit="1" customWidth="1"/>
    <col min="9" max="9" width="5.6640625" style="7" bestFit="1" customWidth="1"/>
    <col min="10" max="10" width="4.83203125" style="7" bestFit="1" customWidth="1"/>
    <col min="11" max="11" width="11.33203125" style="7" bestFit="1" customWidth="1"/>
    <col min="12" max="12" width="8.6640625" style="7" bestFit="1" customWidth="1"/>
    <col min="13" max="13" width="22.83203125" style="6" customWidth="1"/>
    <col min="14" max="16384" width="9.1640625" style="3"/>
  </cols>
  <sheetData>
    <row r="1" spans="1:13" s="2" customFormat="1" ht="29" customHeight="1">
      <c r="A1" s="88" t="s">
        <v>181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s="2" customFormat="1" ht="79" customHeight="1" thickBot="1">
      <c r="A2" s="92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96" t="s">
        <v>194</v>
      </c>
      <c r="B3" s="80" t="s">
        <v>0</v>
      </c>
      <c r="C3" s="98" t="s">
        <v>195</v>
      </c>
      <c r="D3" s="99" t="s">
        <v>6</v>
      </c>
      <c r="E3" s="82" t="s">
        <v>196</v>
      </c>
      <c r="F3" s="82" t="s">
        <v>5</v>
      </c>
      <c r="G3" s="82" t="s">
        <v>8</v>
      </c>
      <c r="H3" s="82"/>
      <c r="I3" s="82"/>
      <c r="J3" s="82"/>
      <c r="K3" s="82" t="s">
        <v>72</v>
      </c>
      <c r="L3" s="82" t="s">
        <v>3</v>
      </c>
      <c r="M3" s="84" t="s">
        <v>2</v>
      </c>
    </row>
    <row r="4" spans="1:13" s="1" customFormat="1" ht="21" customHeight="1" thickBot="1">
      <c r="A4" s="97"/>
      <c r="B4" s="81"/>
      <c r="C4" s="83"/>
      <c r="D4" s="100"/>
      <c r="E4" s="83"/>
      <c r="F4" s="83"/>
      <c r="G4" s="5">
        <v>1</v>
      </c>
      <c r="H4" s="5">
        <v>2</v>
      </c>
      <c r="I4" s="5">
        <v>3</v>
      </c>
      <c r="J4" s="5" t="s">
        <v>4</v>
      </c>
      <c r="K4" s="83"/>
      <c r="L4" s="83"/>
      <c r="M4" s="85"/>
    </row>
    <row r="5" spans="1:13" ht="16">
      <c r="A5" s="86" t="s">
        <v>20</v>
      </c>
      <c r="B5" s="86"/>
      <c r="C5" s="87"/>
      <c r="D5" s="87"/>
      <c r="E5" s="87"/>
      <c r="F5" s="87"/>
      <c r="G5" s="87"/>
      <c r="H5" s="87"/>
      <c r="I5" s="87"/>
      <c r="J5" s="87"/>
    </row>
    <row r="6" spans="1:13">
      <c r="A6" s="16">
        <v>1</v>
      </c>
      <c r="B6" s="8" t="s">
        <v>146</v>
      </c>
      <c r="C6" s="8" t="s">
        <v>147</v>
      </c>
      <c r="D6" s="41">
        <v>62.9</v>
      </c>
      <c r="E6" s="8" t="s">
        <v>201</v>
      </c>
      <c r="F6" s="8" t="s">
        <v>13</v>
      </c>
      <c r="G6" s="18">
        <v>120</v>
      </c>
      <c r="H6" s="18">
        <v>120</v>
      </c>
      <c r="I6" s="17">
        <v>120</v>
      </c>
      <c r="J6" s="19"/>
      <c r="K6" s="19" t="str">
        <f>"120,0"</f>
        <v>120,0</v>
      </c>
      <c r="L6" s="9" t="str">
        <f>"98,1360"</f>
        <v>98,1360</v>
      </c>
      <c r="M6" s="8"/>
    </row>
    <row r="7" spans="1:13">
      <c r="B7" s="6" t="s">
        <v>19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однослой ДК</vt:lpstr>
      <vt:lpstr>WEPF Жим софт многопетельнаяДК</vt:lpstr>
      <vt:lpstr>WRPF Тяга без экипировки ДК</vt:lpstr>
      <vt:lpstr>WRPF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2021-05-18T14:16:59Z</dcterms:modified>
</cp:coreProperties>
</file>