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4E31F931-CAFC-B547-A2EF-55A2DAE0A62D}" xr6:coauthVersionLast="45" xr6:coauthVersionMax="45" xr10:uidLastSave="{00000000-0000-0000-0000-000000000000}"/>
  <bookViews>
    <workbookView xWindow="1960" yWindow="460" windowWidth="26840" windowHeight="16180" tabRatio="936" firstSheet="11" activeTab="15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1" r:id="rId5"/>
    <sheet name="WRPF Жим лежа без экип ДК" sheetId="11" r:id="rId6"/>
    <sheet name="WRPF Жим лежа без экип" sheetId="10" r:id="rId7"/>
    <sheet name="WEPF Жим однослой ДК" sheetId="13" r:id="rId8"/>
    <sheet name="WEPF Жим многослой" sheetId="16" r:id="rId9"/>
    <sheet name="WEPF Жим софт однопетельная ДК" sheetId="12" r:id="rId10"/>
    <sheet name="WEPF Жим софт однопетельная" sheetId="9" r:id="rId11"/>
    <sheet name="WEPF Жим софт многопетельнаяДК" sheetId="15" r:id="rId12"/>
    <sheet name="WRPF Жим СФО" sheetId="38" r:id="rId13"/>
    <sheet name="WRPF Тяга без экипировки ДК" sheetId="18" r:id="rId14"/>
    <sheet name="WRPF Тяга без экипировки" sheetId="17" r:id="rId15"/>
    <sheet name="WRPF Подъем на бицепс" sheetId="34" r:id="rId16"/>
  </sheets>
  <definedNames>
    <definedName name="_FilterDatabase" localSheetId="3" hidden="1">'WRPF ПЛ в бинтах'!$A$1:$S$3</definedName>
  </definedNames>
  <calcPr calcId="191029" refMode="R1C1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" i="38" l="1"/>
  <c r="K38" i="38"/>
  <c r="L35" i="38"/>
  <c r="K35" i="38"/>
  <c r="L34" i="38"/>
  <c r="K34" i="38"/>
  <c r="L33" i="38"/>
  <c r="K33" i="38"/>
  <c r="L32" i="38"/>
  <c r="K32" i="38"/>
  <c r="L29" i="38"/>
  <c r="K29" i="38"/>
  <c r="L28" i="38"/>
  <c r="K28" i="38"/>
  <c r="L27" i="38"/>
  <c r="K27" i="38"/>
  <c r="L24" i="38"/>
  <c r="K24" i="38"/>
  <c r="L23" i="38"/>
  <c r="K23" i="38"/>
  <c r="L22" i="38"/>
  <c r="K22" i="38"/>
  <c r="L21" i="38"/>
  <c r="K21" i="38"/>
  <c r="L18" i="38"/>
  <c r="K18" i="38"/>
  <c r="L15" i="38"/>
  <c r="K15" i="38"/>
  <c r="L12" i="38"/>
  <c r="K12" i="38"/>
  <c r="L9" i="38"/>
  <c r="K9" i="38"/>
  <c r="L6" i="38"/>
  <c r="K6" i="38"/>
  <c r="L37" i="34"/>
  <c r="K37" i="34"/>
  <c r="L34" i="34"/>
  <c r="K34" i="34"/>
  <c r="L31" i="34"/>
  <c r="K31" i="34"/>
  <c r="L30" i="34"/>
  <c r="K30" i="34"/>
  <c r="L29" i="34"/>
  <c r="K29" i="34"/>
  <c r="L28" i="34"/>
  <c r="K28" i="34"/>
  <c r="L25" i="34"/>
  <c r="K25" i="34"/>
  <c r="L24" i="34"/>
  <c r="K24" i="34"/>
  <c r="L23" i="34"/>
  <c r="K23" i="34"/>
  <c r="L22" i="34"/>
  <c r="K22" i="34"/>
  <c r="L19" i="34"/>
  <c r="K19" i="34"/>
  <c r="L18" i="34"/>
  <c r="K18" i="34"/>
  <c r="L17" i="34"/>
  <c r="K17" i="34"/>
  <c r="L16" i="34"/>
  <c r="K16" i="34"/>
  <c r="L13" i="34"/>
  <c r="K13" i="34"/>
  <c r="L10" i="34"/>
  <c r="K10" i="34"/>
  <c r="L9" i="34"/>
  <c r="K9" i="34"/>
  <c r="L6" i="34"/>
  <c r="K6" i="34"/>
  <c r="P35" i="21"/>
  <c r="O35" i="21"/>
  <c r="P34" i="21"/>
  <c r="O34" i="21"/>
  <c r="P33" i="21"/>
  <c r="O33" i="21"/>
  <c r="P32" i="21"/>
  <c r="O32" i="21"/>
  <c r="P29" i="21"/>
  <c r="O29" i="21"/>
  <c r="P28" i="21"/>
  <c r="O28" i="21"/>
  <c r="P27" i="21"/>
  <c r="O27" i="21"/>
  <c r="P26" i="21"/>
  <c r="O26" i="21"/>
  <c r="P25" i="21"/>
  <c r="O25" i="21"/>
  <c r="P24" i="21"/>
  <c r="O24" i="21"/>
  <c r="P21" i="21"/>
  <c r="P18" i="21"/>
  <c r="O18" i="21"/>
  <c r="P17" i="21"/>
  <c r="O17" i="21"/>
  <c r="P14" i="21"/>
  <c r="O14" i="21"/>
  <c r="P13" i="21"/>
  <c r="O13" i="21"/>
  <c r="P10" i="21"/>
  <c r="O10" i="21"/>
  <c r="P7" i="21"/>
  <c r="O7" i="21"/>
  <c r="P6" i="21"/>
  <c r="O6" i="21"/>
  <c r="L33" i="18"/>
  <c r="K33" i="18"/>
  <c r="L30" i="18"/>
  <c r="K30" i="18"/>
  <c r="L29" i="18"/>
  <c r="K29" i="18"/>
  <c r="L26" i="18"/>
  <c r="K26" i="18"/>
  <c r="L25" i="18"/>
  <c r="K25" i="18"/>
  <c r="L24" i="18"/>
  <c r="K24" i="18"/>
  <c r="L23" i="18"/>
  <c r="K23" i="18"/>
  <c r="L22" i="18"/>
  <c r="K22" i="18"/>
  <c r="L19" i="18"/>
  <c r="K19" i="18"/>
  <c r="L16" i="18"/>
  <c r="K16" i="18"/>
  <c r="L15" i="18"/>
  <c r="K15" i="18"/>
  <c r="L14" i="18"/>
  <c r="K14" i="18"/>
  <c r="L13" i="18"/>
  <c r="K13" i="18"/>
  <c r="L10" i="18"/>
  <c r="K10" i="18"/>
  <c r="L9" i="18"/>
  <c r="K9" i="18"/>
  <c r="L6" i="18"/>
  <c r="K6" i="18"/>
  <c r="L15" i="17"/>
  <c r="K15" i="17"/>
  <c r="L14" i="17"/>
  <c r="K14" i="17"/>
  <c r="L11" i="17"/>
  <c r="K11" i="17"/>
  <c r="L10" i="17"/>
  <c r="K10" i="17"/>
  <c r="L7" i="17"/>
  <c r="K7" i="17"/>
  <c r="L6" i="17"/>
  <c r="K6" i="17"/>
  <c r="L6" i="16"/>
  <c r="K6" i="16"/>
  <c r="L6" i="15"/>
  <c r="K6" i="15"/>
  <c r="L6" i="13"/>
  <c r="K6" i="13"/>
  <c r="L6" i="12"/>
  <c r="K6" i="12"/>
  <c r="L75" i="11"/>
  <c r="K75" i="11"/>
  <c r="L72" i="11"/>
  <c r="K72" i="11"/>
  <c r="L71" i="11"/>
  <c r="K71" i="11"/>
  <c r="L70" i="11"/>
  <c r="K70" i="11"/>
  <c r="L69" i="11"/>
  <c r="K69" i="11"/>
  <c r="L68" i="11"/>
  <c r="K68" i="11"/>
  <c r="L67" i="11"/>
  <c r="K67" i="11"/>
  <c r="L66" i="11"/>
  <c r="K66" i="11"/>
  <c r="L63" i="11"/>
  <c r="K63" i="11"/>
  <c r="L62" i="11"/>
  <c r="K62" i="11"/>
  <c r="L59" i="11"/>
  <c r="K59" i="11"/>
  <c r="L58" i="11"/>
  <c r="K58" i="11"/>
  <c r="L57" i="11"/>
  <c r="K57" i="11"/>
  <c r="L56" i="11"/>
  <c r="K56" i="11"/>
  <c r="L53" i="11"/>
  <c r="K53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6" i="11"/>
  <c r="K46" i="11"/>
  <c r="L43" i="11"/>
  <c r="K43" i="11"/>
  <c r="L40" i="11"/>
  <c r="K40" i="11"/>
  <c r="L39" i="11"/>
  <c r="K39" i="11"/>
  <c r="L36" i="11"/>
  <c r="K36" i="11"/>
  <c r="L35" i="11"/>
  <c r="K35" i="11"/>
  <c r="L34" i="11"/>
  <c r="K34" i="11"/>
  <c r="L33" i="11"/>
  <c r="K33" i="11"/>
  <c r="L30" i="11"/>
  <c r="K30" i="11"/>
  <c r="L29" i="11"/>
  <c r="K29" i="11"/>
  <c r="L26" i="11"/>
  <c r="K26" i="11"/>
  <c r="L25" i="11"/>
  <c r="K25" i="11"/>
  <c r="L22" i="11"/>
  <c r="K22" i="11"/>
  <c r="L21" i="11"/>
  <c r="K21" i="11"/>
  <c r="L18" i="11"/>
  <c r="K18" i="11"/>
  <c r="L15" i="11"/>
  <c r="K15" i="11"/>
  <c r="L14" i="11"/>
  <c r="K14" i="11"/>
  <c r="L11" i="11"/>
  <c r="K11" i="11"/>
  <c r="L10" i="11"/>
  <c r="K10" i="11"/>
  <c r="L7" i="11"/>
  <c r="K7" i="11"/>
  <c r="L6" i="11"/>
  <c r="K6" i="11"/>
  <c r="L23" i="10"/>
  <c r="K23" i="10"/>
  <c r="L20" i="10"/>
  <c r="K20" i="10"/>
  <c r="L19" i="10"/>
  <c r="K19" i="10"/>
  <c r="L18" i="10"/>
  <c r="K18" i="10"/>
  <c r="L15" i="10"/>
  <c r="K15" i="10"/>
  <c r="L14" i="10"/>
  <c r="K14" i="10"/>
  <c r="L11" i="10"/>
  <c r="K11" i="10"/>
  <c r="L10" i="10"/>
  <c r="K10" i="10"/>
  <c r="L9" i="10"/>
  <c r="K9" i="10"/>
  <c r="L6" i="10"/>
  <c r="K6" i="10"/>
  <c r="L6" i="9"/>
  <c r="K6" i="9"/>
  <c r="T45" i="8"/>
  <c r="S45" i="8"/>
  <c r="T44" i="8"/>
  <c r="S44" i="8"/>
  <c r="T41" i="8"/>
  <c r="S41" i="8"/>
  <c r="T38" i="8"/>
  <c r="S38" i="8"/>
  <c r="T37" i="8"/>
  <c r="S37" i="8"/>
  <c r="T36" i="8"/>
  <c r="S36" i="8"/>
  <c r="T35" i="8"/>
  <c r="S35" i="8"/>
  <c r="T32" i="8"/>
  <c r="S32" i="8"/>
  <c r="T29" i="8"/>
  <c r="S29" i="8"/>
  <c r="T28" i="8"/>
  <c r="S28" i="8"/>
  <c r="T25" i="8"/>
  <c r="S25" i="8"/>
  <c r="T24" i="8"/>
  <c r="S24" i="8"/>
  <c r="T21" i="8"/>
  <c r="S21" i="8"/>
  <c r="T18" i="8"/>
  <c r="S18" i="8"/>
  <c r="T17" i="8"/>
  <c r="S17" i="8"/>
  <c r="T14" i="8"/>
  <c r="S14" i="8"/>
  <c r="T11" i="8"/>
  <c r="S11" i="8"/>
  <c r="T8" i="8"/>
  <c r="S8" i="8"/>
  <c r="T7" i="8"/>
  <c r="S7" i="8"/>
  <c r="T6" i="8"/>
  <c r="S6" i="8"/>
  <c r="T9" i="7"/>
  <c r="S9" i="7"/>
  <c r="T6" i="7"/>
  <c r="S6" i="7"/>
  <c r="T13" i="6"/>
  <c r="T10" i="6"/>
  <c r="S10" i="6"/>
  <c r="T7" i="6"/>
  <c r="T6" i="6"/>
  <c r="T10" i="5"/>
  <c r="T9" i="5"/>
  <c r="S9" i="5"/>
  <c r="T6" i="5"/>
  <c r="S6" i="5"/>
</calcChain>
</file>

<file path=xl/sharedStrings.xml><?xml version="1.0" encoding="utf-8"?>
<sst xmlns="http://schemas.openxmlformats.org/spreadsheetml/2006/main" count="2324" uniqueCount="634">
  <si>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</si>
  <si>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</si>
  <si>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</si>
  <si>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</si>
  <si>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</si>
  <si>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</si>
  <si>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</si>
  <si>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</si>
  <si>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</si>
  <si>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</si>
  <si>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</si>
  <si>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Козлов Владимир</t>
  </si>
  <si>
    <t>Открытая (21.07.1990)/30</t>
  </si>
  <si>
    <t>98,80</t>
  </si>
  <si>
    <t xml:space="preserve">Ярославль/Ярославская область </t>
  </si>
  <si>
    <t>185,0</t>
  </si>
  <si>
    <t>195,0</t>
  </si>
  <si>
    <t>200,0</t>
  </si>
  <si>
    <t>140,0</t>
  </si>
  <si>
    <t>150,0</t>
  </si>
  <si>
    <t>157,5</t>
  </si>
  <si>
    <t>190,0</t>
  </si>
  <si>
    <t>210,0</t>
  </si>
  <si>
    <t>ВЕСОВАЯ КАТЕГОРИЯ   110</t>
  </si>
  <si>
    <t>Саванин Павел</t>
  </si>
  <si>
    <t>Открытая (17.10.1988)/32</t>
  </si>
  <si>
    <t>101,50</t>
  </si>
  <si>
    <t xml:space="preserve">Обнинск/Калужская область </t>
  </si>
  <si>
    <t>240,0</t>
  </si>
  <si>
    <t>250,0</t>
  </si>
  <si>
    <t>152,5</t>
  </si>
  <si>
    <t>160,0</t>
  </si>
  <si>
    <t>270,0</t>
  </si>
  <si>
    <t>280,0</t>
  </si>
  <si>
    <t>290,0</t>
  </si>
  <si>
    <t>Зеленков Илья</t>
  </si>
  <si>
    <t>Открытая (24.12.1988)/32</t>
  </si>
  <si>
    <t>107,60</t>
  </si>
  <si>
    <t>230,0</t>
  </si>
  <si>
    <t>235,0</t>
  </si>
  <si>
    <t>125,0</t>
  </si>
  <si>
    <t>130,0</t>
  </si>
  <si>
    <t>135,0</t>
  </si>
  <si>
    <t>215,0</t>
  </si>
  <si>
    <t xml:space="preserve">Тимофеев С.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</si>
  <si>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</si>
  <si>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</si>
  <si>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</si>
  <si>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</si>
  <si>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</si>
  <si>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</si>
  <si>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</si>
  <si>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</si>
  <si>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</si>
  <si>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100</t>
  </si>
  <si>
    <t>1</t>
  </si>
  <si>
    <t/>
  </si>
  <si>
    <t>-</t>
  </si>
  <si>
    <t>ВЕСОВАЯ КАТЕГОРИЯ   67.5</t>
  </si>
  <si>
    <t>Мухина Валентина</t>
  </si>
  <si>
    <t>Открытая (12.03.1973)/48</t>
  </si>
  <si>
    <t>63,50</t>
  </si>
  <si>
    <t xml:space="preserve">Вологда/Вологодская область </t>
  </si>
  <si>
    <t>87,5</t>
  </si>
  <si>
    <t>40,0</t>
  </si>
  <si>
    <t>90,0</t>
  </si>
  <si>
    <t xml:space="preserve">Шиловский Е. </t>
  </si>
  <si>
    <t>Мастера 40-49 (12.03.1973)/48</t>
  </si>
  <si>
    <t>ВЕСОВАЯ КАТЕГОРИЯ   90</t>
  </si>
  <si>
    <t>Карпычев Сергей</t>
  </si>
  <si>
    <t>Открытая (30.05.1992)/28</t>
  </si>
  <si>
    <t>87,80</t>
  </si>
  <si>
    <t>155,0</t>
  </si>
  <si>
    <t>120,0</t>
  </si>
  <si>
    <t>127,5</t>
  </si>
  <si>
    <t>170,0</t>
  </si>
  <si>
    <t xml:space="preserve">Хренов В. </t>
  </si>
  <si>
    <t>Калинин Антон</t>
  </si>
  <si>
    <t>Открытая (05.07.1986)/34</t>
  </si>
  <si>
    <t>100,00</t>
  </si>
  <si>
    <t xml:space="preserve">Рязань/Рязанская область </t>
  </si>
  <si>
    <t>220,0</t>
  </si>
  <si>
    <t>162,5</t>
  </si>
  <si>
    <t>222,5</t>
  </si>
  <si>
    <t xml:space="preserve">Кашпар К. </t>
  </si>
  <si>
    <t>90</t>
  </si>
  <si>
    <t>Мухин Александр</t>
  </si>
  <si>
    <t>Открытая (19.05.1996)/24</t>
  </si>
  <si>
    <t>84,70</t>
  </si>
  <si>
    <t xml:space="preserve">Боровск/Калужская область </t>
  </si>
  <si>
    <t>180,0</t>
  </si>
  <si>
    <t>147,5</t>
  </si>
  <si>
    <t>192,5</t>
  </si>
  <si>
    <t xml:space="preserve">Трубичкин Я. </t>
  </si>
  <si>
    <t>ВЕСОВАЯ КАТЕГОРИЯ   125</t>
  </si>
  <si>
    <t>Грикин Илья</t>
  </si>
  <si>
    <t>Открытая (08.04.1992)/28</t>
  </si>
  <si>
    <t>120,00</t>
  </si>
  <si>
    <t>305,0</t>
  </si>
  <si>
    <t>315,0</t>
  </si>
  <si>
    <t>207,5</t>
  </si>
  <si>
    <t>310,0</t>
  </si>
  <si>
    <t>325,0</t>
  </si>
  <si>
    <t>ВЕСОВАЯ КАТЕГОРИЯ   44</t>
  </si>
  <si>
    <t>Желтикова Елизавета</t>
  </si>
  <si>
    <t>Девушки 17-19 (30.11.2003)/17</t>
  </si>
  <si>
    <t>43,70</t>
  </si>
  <si>
    <t>65,0</t>
  </si>
  <si>
    <t>70,0</t>
  </si>
  <si>
    <t>72,5</t>
  </si>
  <si>
    <t>37,5</t>
  </si>
  <si>
    <t>77,5</t>
  </si>
  <si>
    <t>82,5</t>
  </si>
  <si>
    <t>85,0</t>
  </si>
  <si>
    <t xml:space="preserve">Карпов И. </t>
  </si>
  <si>
    <t>Открытая (30.11.2003)/17</t>
  </si>
  <si>
    <t>Зонтова Алиса</t>
  </si>
  <si>
    <t>Открытая (26.04.1991)/29</t>
  </si>
  <si>
    <t>42,40</t>
  </si>
  <si>
    <t xml:space="preserve">Иваново/Ивановская область </t>
  </si>
  <si>
    <t>45,0</t>
  </si>
  <si>
    <t>50,0</t>
  </si>
  <si>
    <t>55,0</t>
  </si>
  <si>
    <t>25,0</t>
  </si>
  <si>
    <t>27,5</t>
  </si>
  <si>
    <t>30,0</t>
  </si>
  <si>
    <t>60,0</t>
  </si>
  <si>
    <t>75,0</t>
  </si>
  <si>
    <t>ВЕСОВАЯ КАТЕГОРИЯ   52</t>
  </si>
  <si>
    <t>Дадажанова Яна</t>
  </si>
  <si>
    <t>Открытая (08.06.1991)/29</t>
  </si>
  <si>
    <t>50,80</t>
  </si>
  <si>
    <t xml:space="preserve">Кострома/Костромская область </t>
  </si>
  <si>
    <t>67,5</t>
  </si>
  <si>
    <t>80,0</t>
  </si>
  <si>
    <t>ВЕСОВАЯ КАТЕГОРИЯ   56</t>
  </si>
  <si>
    <t>Следь Анастасия</t>
  </si>
  <si>
    <t>Открытая (05.08.1985)/35</t>
  </si>
  <si>
    <t>56,00</t>
  </si>
  <si>
    <t>92,5</t>
  </si>
  <si>
    <t>145,0</t>
  </si>
  <si>
    <t>Назарук Екатерина</t>
  </si>
  <si>
    <t>Девушки 17-19 (12.07.2002)/18</t>
  </si>
  <si>
    <t>67,20</t>
  </si>
  <si>
    <t xml:space="preserve">Серпухов/Московская область </t>
  </si>
  <si>
    <t>52,5</t>
  </si>
  <si>
    <t>57,5</t>
  </si>
  <si>
    <t>97,5</t>
  </si>
  <si>
    <t>100,0</t>
  </si>
  <si>
    <t xml:space="preserve">Гребнев Е. </t>
  </si>
  <si>
    <t>Открытая (12.07.2002)/18</t>
  </si>
  <si>
    <t>Савельев Никита</t>
  </si>
  <si>
    <t>Открытая (30.11.2001)/19</t>
  </si>
  <si>
    <t>66,00</t>
  </si>
  <si>
    <t>142,5</t>
  </si>
  <si>
    <t>105,0</t>
  </si>
  <si>
    <t>112,5</t>
  </si>
  <si>
    <t>115,0</t>
  </si>
  <si>
    <t>165,0</t>
  </si>
  <si>
    <t>172,5</t>
  </si>
  <si>
    <t>ВЕСОВАЯ КАТЕГОРИЯ   75</t>
  </si>
  <si>
    <t>Ермолов Михаил</t>
  </si>
  <si>
    <t>Юноши 17-19 (07.04.2003)/17</t>
  </si>
  <si>
    <t>73,10</t>
  </si>
  <si>
    <t>Открытая (07.04.2003)/17</t>
  </si>
  <si>
    <t>ВЕСОВАЯ КАТЕГОРИЯ   82.5</t>
  </si>
  <si>
    <t>Ремизевич Евгений</t>
  </si>
  <si>
    <t>Открытая (03.03.1992)/29</t>
  </si>
  <si>
    <t>81,50</t>
  </si>
  <si>
    <t>110,0</t>
  </si>
  <si>
    <t>117,5</t>
  </si>
  <si>
    <t>122,5</t>
  </si>
  <si>
    <t>Погадаев Владислав</t>
  </si>
  <si>
    <t>Открытая (28.06.2000)/20</t>
  </si>
  <si>
    <t>81,20</t>
  </si>
  <si>
    <t>102,5</t>
  </si>
  <si>
    <t>107,5</t>
  </si>
  <si>
    <t>212,5</t>
  </si>
  <si>
    <t>Пашков Игорь</t>
  </si>
  <si>
    <t>Открытая (10.06.1986)/34</t>
  </si>
  <si>
    <t>84,20</t>
  </si>
  <si>
    <t>205,0</t>
  </si>
  <si>
    <t>255,0</t>
  </si>
  <si>
    <t>257,5</t>
  </si>
  <si>
    <t>Черноситов Юлий</t>
  </si>
  <si>
    <t>Открытая (30.11.1979)/41</t>
  </si>
  <si>
    <t>92,80</t>
  </si>
  <si>
    <t xml:space="preserve">Тутаев/Ярославская область </t>
  </si>
  <si>
    <t>217,5</t>
  </si>
  <si>
    <t>247,5</t>
  </si>
  <si>
    <t>Лысенко Александр</t>
  </si>
  <si>
    <t>Открытая (05.03.1999)/22</t>
  </si>
  <si>
    <t>99,70</t>
  </si>
  <si>
    <t>182,5</t>
  </si>
  <si>
    <t>187,5</t>
  </si>
  <si>
    <t>Щербаков Вадим</t>
  </si>
  <si>
    <t>Открытая (20.07.1989)/31</t>
  </si>
  <si>
    <t>97,50</t>
  </si>
  <si>
    <t xml:space="preserve">Фрязино/Московская область </t>
  </si>
  <si>
    <t xml:space="preserve">Тимофеев Д. </t>
  </si>
  <si>
    <t>Мастера 40-49 (30.11.1979)/41</t>
  </si>
  <si>
    <t>Левенец Евгений</t>
  </si>
  <si>
    <t>Открытая (01.01.1992)/29</t>
  </si>
  <si>
    <t>100,60</t>
  </si>
  <si>
    <t>132,5</t>
  </si>
  <si>
    <t>137,5</t>
  </si>
  <si>
    <t>Гребнев Евгений</t>
  </si>
  <si>
    <t>Открытая (07.05.1980)/40</t>
  </si>
  <si>
    <t>114,90</t>
  </si>
  <si>
    <t>Мастера 40-49 (07.05.1980)/40</t>
  </si>
  <si>
    <t xml:space="preserve">Женщины </t>
  </si>
  <si>
    <t>44</t>
  </si>
  <si>
    <t>272,2912</t>
  </si>
  <si>
    <t>67.5</t>
  </si>
  <si>
    <t>242,5</t>
  </si>
  <si>
    <t>248,2958</t>
  </si>
  <si>
    <t>56</t>
  </si>
  <si>
    <t>362,5</t>
  </si>
  <si>
    <t>426,5175</t>
  </si>
  <si>
    <t>607,5</t>
  </si>
  <si>
    <t>402,1042</t>
  </si>
  <si>
    <t>625,0</t>
  </si>
  <si>
    <t>393,0000</t>
  </si>
  <si>
    <t>82.5</t>
  </si>
  <si>
    <t>512,5</t>
  </si>
  <si>
    <t>345,8862</t>
  </si>
  <si>
    <t xml:space="preserve">Мастера </t>
  </si>
  <si>
    <t>2</t>
  </si>
  <si>
    <t>3</t>
  </si>
  <si>
    <t>Воробьёв Александр</t>
  </si>
  <si>
    <t>Открытая (11.02.1972)/49</t>
  </si>
  <si>
    <t>118,00</t>
  </si>
  <si>
    <t xml:space="preserve">Тейково/Ивановская область </t>
  </si>
  <si>
    <t>260,0</t>
  </si>
  <si>
    <t xml:space="preserve">Результат </t>
  </si>
  <si>
    <t xml:space="preserve">Gloss </t>
  </si>
  <si>
    <t>Результат</t>
  </si>
  <si>
    <t>Марченко Михаил</t>
  </si>
  <si>
    <t>Открытая (27.05.1991)/29</t>
  </si>
  <si>
    <t>80,80</t>
  </si>
  <si>
    <t>167,5</t>
  </si>
  <si>
    <t xml:space="preserve">Грикин И </t>
  </si>
  <si>
    <t>Чуканов Виктор</t>
  </si>
  <si>
    <t>Открытая (31.08.1946)/74</t>
  </si>
  <si>
    <t>87,90</t>
  </si>
  <si>
    <t>Иванов Максим</t>
  </si>
  <si>
    <t>Открытая (16.07.1989)/31</t>
  </si>
  <si>
    <t>90,00</t>
  </si>
  <si>
    <t xml:space="preserve">Голицыно/Московская область </t>
  </si>
  <si>
    <t>Мастера 70-79 (31.08.1946)/74</t>
  </si>
  <si>
    <t>Иванов Николай</t>
  </si>
  <si>
    <t>Открытая (01.07.1989)/31</t>
  </si>
  <si>
    <t>96,70</t>
  </si>
  <si>
    <t>197,5</t>
  </si>
  <si>
    <t>202,5</t>
  </si>
  <si>
    <t>Румянцев Сергей</t>
  </si>
  <si>
    <t>Открытая (14.08.1990)/30</t>
  </si>
  <si>
    <t>99,10</t>
  </si>
  <si>
    <t>Карпов Илья</t>
  </si>
  <si>
    <t>Открытая (29.06.1993)/27</t>
  </si>
  <si>
    <t>109,50</t>
  </si>
  <si>
    <t>Лисицын Сергей</t>
  </si>
  <si>
    <t>Открытая (26.10.1970)/50</t>
  </si>
  <si>
    <t>105,60</t>
  </si>
  <si>
    <t xml:space="preserve">Нахабино/Московская область </t>
  </si>
  <si>
    <t>177,5</t>
  </si>
  <si>
    <t>Мастера 50-59 (26.10.1970)/50</t>
  </si>
  <si>
    <t>ВЕСОВАЯ КАТЕГОРИЯ   140</t>
  </si>
  <si>
    <t>Гаджиев Магомед</t>
  </si>
  <si>
    <t>Открытая (22.01.1991)/30</t>
  </si>
  <si>
    <t>139,70</t>
  </si>
  <si>
    <t xml:space="preserve">Филимонов О. </t>
  </si>
  <si>
    <t>126,6995</t>
  </si>
  <si>
    <t>124,9830</t>
  </si>
  <si>
    <t>122,1600</t>
  </si>
  <si>
    <t>Целищева Анастасия</t>
  </si>
  <si>
    <t>Юниорки (11.03.1998)/23</t>
  </si>
  <si>
    <t>42,70</t>
  </si>
  <si>
    <t>42,5</t>
  </si>
  <si>
    <t>Открытая (11.03.1998)/23</t>
  </si>
  <si>
    <t>Гусева Ксения</t>
  </si>
  <si>
    <t>Юниорки (26.06.2000)/20</t>
  </si>
  <si>
    <t>49,10</t>
  </si>
  <si>
    <t>47,5</t>
  </si>
  <si>
    <t>Открытая (26.06.2000)/20</t>
  </si>
  <si>
    <t>Бессольцева Даша</t>
  </si>
  <si>
    <t>Девушки 14-16 (08.12.2005)/15</t>
  </si>
  <si>
    <t>53,90</t>
  </si>
  <si>
    <t>35,0</t>
  </si>
  <si>
    <t>Открытая (08.12.2005)/15</t>
  </si>
  <si>
    <t>Киселёва Елена</t>
  </si>
  <si>
    <t>Открытая (27.11.1981)/39</t>
  </si>
  <si>
    <t>65,80</t>
  </si>
  <si>
    <t>Семыкина Дарья</t>
  </si>
  <si>
    <t>Юниорки (03.03.2001)/20</t>
  </si>
  <si>
    <t>68,50</t>
  </si>
  <si>
    <t xml:space="preserve">Румянцев С. </t>
  </si>
  <si>
    <t>Открытая (03.03.2001)/20</t>
  </si>
  <si>
    <t>Мурцев Ярослав</t>
  </si>
  <si>
    <t>Юноши 14-16 (07.06.2010)/10</t>
  </si>
  <si>
    <t>44,20</t>
  </si>
  <si>
    <t>Открытая (07.06.2010)/10</t>
  </si>
  <si>
    <t>Крюков Максим</t>
  </si>
  <si>
    <t>Юноши 14-16 (08.02.2006)/15</t>
  </si>
  <si>
    <t>53,40</t>
  </si>
  <si>
    <t>Открытая (08.02.2006)/15</t>
  </si>
  <si>
    <t>ВЕСОВАЯ КАТЕГОРИЯ   60</t>
  </si>
  <si>
    <t>Мошиашвили Михаил</t>
  </si>
  <si>
    <t>Юниоры (16.10.2000)/20</t>
  </si>
  <si>
    <t>59,50</t>
  </si>
  <si>
    <t>Осипян Арсен</t>
  </si>
  <si>
    <t>Юниоры (14.04.1997)/23</t>
  </si>
  <si>
    <t>59,20</t>
  </si>
  <si>
    <t>Открытая (16.10.2000)/20</t>
  </si>
  <si>
    <t>Открытая (14.04.1997)/23</t>
  </si>
  <si>
    <t>Масолбасов Алексей</t>
  </si>
  <si>
    <t>Юноши 17-19 (29.03.2002)/18</t>
  </si>
  <si>
    <t>66,30</t>
  </si>
  <si>
    <t>Открытая (29.03.2002)/18</t>
  </si>
  <si>
    <t>Аскаров Тимур</t>
  </si>
  <si>
    <t>Открытая (21.07.1983)/37</t>
  </si>
  <si>
    <t>75,00</t>
  </si>
  <si>
    <t xml:space="preserve">Кубинка/Московская область </t>
  </si>
  <si>
    <t>Матросов Игорь</t>
  </si>
  <si>
    <t>Юниоры (27.08.1997)/23</t>
  </si>
  <si>
    <t>82,50</t>
  </si>
  <si>
    <t>Панов Александр</t>
  </si>
  <si>
    <t>Открытая (01.12.1983)/37</t>
  </si>
  <si>
    <t>Горшков Валентин</t>
  </si>
  <si>
    <t>Открытая (11.03.1981)/40</t>
  </si>
  <si>
    <t>Открытая (27.08.1997)/23</t>
  </si>
  <si>
    <t>Целищев Дмитрий</t>
  </si>
  <si>
    <t>Открытая (09.08.1995)/25</t>
  </si>
  <si>
    <t>82,00</t>
  </si>
  <si>
    <t xml:space="preserve">Балашиха/Московская область </t>
  </si>
  <si>
    <t>Щекин Александр</t>
  </si>
  <si>
    <t>Открытая (22.11.1996)/24</t>
  </si>
  <si>
    <t>78,60</t>
  </si>
  <si>
    <t>Мастера 40-49 (11.03.1981)/40</t>
  </si>
  <si>
    <t>Оглуздин Александр</t>
  </si>
  <si>
    <t>Юноши 17-19 (06.05.2003)/17</t>
  </si>
  <si>
    <t>89,70</t>
  </si>
  <si>
    <t xml:space="preserve">Тарногский городок/Вологодская область </t>
  </si>
  <si>
    <t>Мищенко Артем</t>
  </si>
  <si>
    <t>Открытая (26.06.1984)/36</t>
  </si>
  <si>
    <t>175,0</t>
  </si>
  <si>
    <t xml:space="preserve">Чокаев У. </t>
  </si>
  <si>
    <t>Открытая (06.05.2003)/17</t>
  </si>
  <si>
    <t>Гайдей Сергей</t>
  </si>
  <si>
    <t>Открытая (10.02.1986)/35</t>
  </si>
  <si>
    <t>87,70</t>
  </si>
  <si>
    <t xml:space="preserve">Ногинск/Московская область </t>
  </si>
  <si>
    <t>Васильев Дмитрий</t>
  </si>
  <si>
    <t>Открытая (21.02.1984)/37</t>
  </si>
  <si>
    <t>91,50</t>
  </si>
  <si>
    <t xml:space="preserve">Лебедев А. </t>
  </si>
  <si>
    <t xml:space="preserve">Щенников А. </t>
  </si>
  <si>
    <t>Солопов Владислав</t>
  </si>
  <si>
    <t>Юноши 14-16 (25.02.2006)/15</t>
  </si>
  <si>
    <t>100,90</t>
  </si>
  <si>
    <t>Качанов Клим</t>
  </si>
  <si>
    <t>Открытая (19.06.1973)/47</t>
  </si>
  <si>
    <t>101,40</t>
  </si>
  <si>
    <t xml:space="preserve">Архангельск/Архангельская область </t>
  </si>
  <si>
    <t>Пальцев Алексей</t>
  </si>
  <si>
    <t>Открытая (20.03.1989)/31</t>
  </si>
  <si>
    <t>101,70</t>
  </si>
  <si>
    <t xml:space="preserve">Коломна/Московская область </t>
  </si>
  <si>
    <t>Сердюк Святослав</t>
  </si>
  <si>
    <t>Открытая (07.01.1986)/35</t>
  </si>
  <si>
    <t>102,90</t>
  </si>
  <si>
    <t>Открытая (25.02.2006)/15</t>
  </si>
  <si>
    <t>Мастера 40-49 (19.06.1973)/47</t>
  </si>
  <si>
    <t>Чубаров Владимир</t>
  </si>
  <si>
    <t>Мастера 50-59 (03.04.1964)/56</t>
  </si>
  <si>
    <t>134,10</t>
  </si>
  <si>
    <t>60</t>
  </si>
  <si>
    <t>113,8705</t>
  </si>
  <si>
    <t>116,5080</t>
  </si>
  <si>
    <t>140</t>
  </si>
  <si>
    <t>4</t>
  </si>
  <si>
    <t>5</t>
  </si>
  <si>
    <t>6</t>
  </si>
  <si>
    <t>Коробов Максим</t>
  </si>
  <si>
    <t>Юноши 17-19 (31.03.2001)/19</t>
  </si>
  <si>
    <t>89,90</t>
  </si>
  <si>
    <t>Заморуев Денис</t>
  </si>
  <si>
    <t>Юниоры (16.01.1998)/23</t>
  </si>
  <si>
    <t>62,20</t>
  </si>
  <si>
    <t>Гаража Юрий</t>
  </si>
  <si>
    <t>Открытая (02.06.1982)/38</t>
  </si>
  <si>
    <t>108,30</t>
  </si>
  <si>
    <t>Кровиков Александр</t>
  </si>
  <si>
    <t>Мастера 50-59 (26.09.1961)/59</t>
  </si>
  <si>
    <t xml:space="preserve">Дзержинский/Московская область </t>
  </si>
  <si>
    <t>Дмитриев Иван</t>
  </si>
  <si>
    <t>Открытая (11.06.1970)/50</t>
  </si>
  <si>
    <t>90,90</t>
  </si>
  <si>
    <t>300,0</t>
  </si>
  <si>
    <t>312,5</t>
  </si>
  <si>
    <t>317,5</t>
  </si>
  <si>
    <t>Мастера 50-59 (11.06.1970)/50</t>
  </si>
  <si>
    <t>Шайфлер Марсель</t>
  </si>
  <si>
    <t>Юноши 17-19 (17.05.2002)/18</t>
  </si>
  <si>
    <t>110,00</t>
  </si>
  <si>
    <t>Открытая (17.05.2002)/18</t>
  </si>
  <si>
    <t>Сергеева Татьяна</t>
  </si>
  <si>
    <t>Открытая (26.05.1983)/37</t>
  </si>
  <si>
    <t>43,30</t>
  </si>
  <si>
    <t>121,0</t>
  </si>
  <si>
    <t>Кириленко Елизавета</t>
  </si>
  <si>
    <t>Девушки 14-16 (28.09.2004)/16</t>
  </si>
  <si>
    <t>50,00</t>
  </si>
  <si>
    <t>95,0</t>
  </si>
  <si>
    <t>Открытая (28.09.2004)/16</t>
  </si>
  <si>
    <t>Шемякин Виталий</t>
  </si>
  <si>
    <t>Юноши 14-16 (24.07.2005)/15</t>
  </si>
  <si>
    <t>67,40</t>
  </si>
  <si>
    <t>Крылов Роман</t>
  </si>
  <si>
    <t>Юниоры (13.05.1999)/21</t>
  </si>
  <si>
    <t>66,80</t>
  </si>
  <si>
    <t>Открытая (24.07.2005)/15</t>
  </si>
  <si>
    <t>Открытая (13.05.1999)/21</t>
  </si>
  <si>
    <t>Ступин Максим</t>
  </si>
  <si>
    <t>Открытая (22.03.1988)/32</t>
  </si>
  <si>
    <t>74,40</t>
  </si>
  <si>
    <t xml:space="preserve">Дмитриев И. </t>
  </si>
  <si>
    <t>Амплеев Александр</t>
  </si>
  <si>
    <t>Открытая (20.05.1983)/37</t>
  </si>
  <si>
    <t>88,70</t>
  </si>
  <si>
    <t xml:space="preserve">Владимир/Владимирская область </t>
  </si>
  <si>
    <t>272,5</t>
  </si>
  <si>
    <t>Хусеинов Даниил</t>
  </si>
  <si>
    <t>Открытая (11.11.1994)/26</t>
  </si>
  <si>
    <t>85,80</t>
  </si>
  <si>
    <t xml:space="preserve">Энгельс/Саратовская область </t>
  </si>
  <si>
    <t>237,5</t>
  </si>
  <si>
    <t>Смирнов Алексей</t>
  </si>
  <si>
    <t>Открытая (29.10.1994)/26</t>
  </si>
  <si>
    <t>86,90</t>
  </si>
  <si>
    <t>225,0</t>
  </si>
  <si>
    <t>Антонцев Александр</t>
  </si>
  <si>
    <t>Открытая (18.10.1985)/35</t>
  </si>
  <si>
    <t>Писарев Андрей</t>
  </si>
  <si>
    <t>Открытая (26.09.1995)/25</t>
  </si>
  <si>
    <t>99,60</t>
  </si>
  <si>
    <t>275,0</t>
  </si>
  <si>
    <t xml:space="preserve">Савин А. </t>
  </si>
  <si>
    <t>Кукушкин Дмитрий</t>
  </si>
  <si>
    <t>Открытая (24.06.1987)/33</t>
  </si>
  <si>
    <t>90,60</t>
  </si>
  <si>
    <t>Гнабро Элизе</t>
  </si>
  <si>
    <t>Открытая (11.07.1998)/22</t>
  </si>
  <si>
    <t>122,70</t>
  </si>
  <si>
    <t>168,7845</t>
  </si>
  <si>
    <t>167,2320</t>
  </si>
  <si>
    <t>159,0750</t>
  </si>
  <si>
    <t>Долгих Мария</t>
  </si>
  <si>
    <t>Девушки 17-19 (15.12.2003)/17</t>
  </si>
  <si>
    <t>58,30</t>
  </si>
  <si>
    <t xml:space="preserve">Чижова И. </t>
  </si>
  <si>
    <t>Открытая (15.12.2003)/17</t>
  </si>
  <si>
    <t>Усачева Анна</t>
  </si>
  <si>
    <t>Открытая (05.11.1992)/28</t>
  </si>
  <si>
    <t>70,20</t>
  </si>
  <si>
    <t>Котов Глеб</t>
  </si>
  <si>
    <t>Юноши 14-16 (14.06.2011)/9</t>
  </si>
  <si>
    <t>40,70</t>
  </si>
  <si>
    <t xml:space="preserve">Дурандин С. </t>
  </si>
  <si>
    <t>Открытая (14.06.2011)/9</t>
  </si>
  <si>
    <t>Кравцов Артём</t>
  </si>
  <si>
    <t>Юноши 17-19 (19.11.2002)/18</t>
  </si>
  <si>
    <t>74,70</t>
  </si>
  <si>
    <t>Открытая (19.11.2002)/18</t>
  </si>
  <si>
    <t>Кулакли Артур</t>
  </si>
  <si>
    <t>Юноши 17-19 (17.06.2003)/17</t>
  </si>
  <si>
    <t>89,60</t>
  </si>
  <si>
    <t>Баранов Олег</t>
  </si>
  <si>
    <t>Юноши 17-19 (23.05.2003)/17</t>
  </si>
  <si>
    <t>84,90</t>
  </si>
  <si>
    <t>Открытая (17.06.2003)/17</t>
  </si>
  <si>
    <t>Открытая (23.05.2003)/17</t>
  </si>
  <si>
    <t>Дурандин Сергей</t>
  </si>
  <si>
    <t>Открытая (04.05.1974)/46</t>
  </si>
  <si>
    <t>99,20</t>
  </si>
  <si>
    <t>245,0</t>
  </si>
  <si>
    <t>Привизенцев Андрей</t>
  </si>
  <si>
    <t>Открытая (08.08.1988)/32</t>
  </si>
  <si>
    <t>98,40</t>
  </si>
  <si>
    <t>Мастера 40-49 (04.05.1974)/46</t>
  </si>
  <si>
    <t>397,5</t>
  </si>
  <si>
    <t>263,1052</t>
  </si>
  <si>
    <t>405,0</t>
  </si>
  <si>
    <t>247,2930</t>
  </si>
  <si>
    <t>380,0</t>
  </si>
  <si>
    <t>232,7880</t>
  </si>
  <si>
    <t>20,0</t>
  </si>
  <si>
    <t>62,5</t>
  </si>
  <si>
    <t xml:space="preserve">Ковалев С. </t>
  </si>
  <si>
    <t>22,5</t>
  </si>
  <si>
    <t xml:space="preserve">Фурманов/Ивановская область </t>
  </si>
  <si>
    <t>Гребнева Наталья</t>
  </si>
  <si>
    <t>Открытая (30.09.1984)/36</t>
  </si>
  <si>
    <t>54,70</t>
  </si>
  <si>
    <t>Евменчикова Елена</t>
  </si>
  <si>
    <t>Открытая (21.06.1978)/42</t>
  </si>
  <si>
    <t>73,30</t>
  </si>
  <si>
    <t>32,5</t>
  </si>
  <si>
    <t>Надин Вадим</t>
  </si>
  <si>
    <t>Открытая (01.12.1996)/24</t>
  </si>
  <si>
    <t>74,00</t>
  </si>
  <si>
    <t xml:space="preserve">Атюрьево/Республика Мордовия </t>
  </si>
  <si>
    <t>Блинов Дмитрий</t>
  </si>
  <si>
    <t>Открытая (11.04.1982)/38</t>
  </si>
  <si>
    <t>80,90</t>
  </si>
  <si>
    <t>Потапов Вячеслав</t>
  </si>
  <si>
    <t>Открытая (26.07.1986)/34</t>
  </si>
  <si>
    <t>85,90</t>
  </si>
  <si>
    <t>Хизриев Махтимагомед</t>
  </si>
  <si>
    <t>Открытая (10.03.1973)/48</t>
  </si>
  <si>
    <t>97,10</t>
  </si>
  <si>
    <t xml:space="preserve">Гаджиево/Мурманская область </t>
  </si>
  <si>
    <t>Жомов Николай</t>
  </si>
  <si>
    <t>Открытая (06.11.1983)/37</t>
  </si>
  <si>
    <t>47,4184</t>
  </si>
  <si>
    <t>42,5148</t>
  </si>
  <si>
    <t>42,0391</t>
  </si>
  <si>
    <t>Одинцова Любовь</t>
  </si>
  <si>
    <t>Мастера 60-69 (24.10.1960)/60</t>
  </si>
  <si>
    <t>64,10</t>
  </si>
  <si>
    <t xml:space="preserve">Родники/Ивановская область </t>
  </si>
  <si>
    <t>Новикова Лилия</t>
  </si>
  <si>
    <t>Мастера 50-59 (20.08.1964)/56</t>
  </si>
  <si>
    <t>69,70</t>
  </si>
  <si>
    <t xml:space="preserve">Ковалёв С. </t>
  </si>
  <si>
    <t>Маева Татьяна</t>
  </si>
  <si>
    <t>Мастера 60-69 (05.07.1958)/62</t>
  </si>
  <si>
    <t>89,80</t>
  </si>
  <si>
    <t>Беляев Станислав</t>
  </si>
  <si>
    <t>Открытая (20.08.1984)/36</t>
  </si>
  <si>
    <t>52,50</t>
  </si>
  <si>
    <t xml:space="preserve">Шуя/Ивановская область </t>
  </si>
  <si>
    <t>Михайлов Дмитрий</t>
  </si>
  <si>
    <t>64,00</t>
  </si>
  <si>
    <t>Жирнов Никита</t>
  </si>
  <si>
    <t>Открытая (09.03.2003)/18</t>
  </si>
  <si>
    <t>71,80</t>
  </si>
  <si>
    <t xml:space="preserve">Муром/Владимирская область </t>
  </si>
  <si>
    <t xml:space="preserve">Кашицын Д. </t>
  </si>
  <si>
    <t>Пачин Алексей</t>
  </si>
  <si>
    <t>Мастера 40-49 (02.03.1979)/42</t>
  </si>
  <si>
    <t>71,10</t>
  </si>
  <si>
    <t xml:space="preserve">Вичуга/Ивановская область </t>
  </si>
  <si>
    <t>Косарев Евгений</t>
  </si>
  <si>
    <t>Мастера 50-59 (29.03.1961)/59</t>
  </si>
  <si>
    <t>Горев Николай</t>
  </si>
  <si>
    <t>Мастера 70-79 (15.03.1950)/70</t>
  </si>
  <si>
    <t>69,00</t>
  </si>
  <si>
    <t>Гвоздев Георгий</t>
  </si>
  <si>
    <t>Мастера 60-69 (26.04.1959)/61</t>
  </si>
  <si>
    <t>81,90</t>
  </si>
  <si>
    <t xml:space="preserve">Новописцово/Ивановская область </t>
  </si>
  <si>
    <t>Аркадьев Анатолий</t>
  </si>
  <si>
    <t>Мастера 60-69 (17.08.1954)/66</t>
  </si>
  <si>
    <t>82,20</t>
  </si>
  <si>
    <t>Груничев Вячеслав</t>
  </si>
  <si>
    <t>Мастера 80+ (22.06.1939)/81</t>
  </si>
  <si>
    <t>75,30</t>
  </si>
  <si>
    <t>Избяков Александр</t>
  </si>
  <si>
    <t>Открытая (10.12.1984)/36</t>
  </si>
  <si>
    <t>Пурышев Иван</t>
  </si>
  <si>
    <t>Мастера 40-49 (03.05.1980)/40</t>
  </si>
  <si>
    <t>Ковалев Сергей</t>
  </si>
  <si>
    <t>Мастера 50-59 (22.05.1969)/51</t>
  </si>
  <si>
    <t>97,80</t>
  </si>
  <si>
    <t>Кузнецов Владимир</t>
  </si>
  <si>
    <t>Мастера 70-79 (04.03.1945)/76</t>
  </si>
  <si>
    <t>98,50</t>
  </si>
  <si>
    <t>Аристов Олег</t>
  </si>
  <si>
    <t>Мастера 60-69 (08.03.1954)/67</t>
  </si>
  <si>
    <t xml:space="preserve">Кохма/Ивановская область </t>
  </si>
  <si>
    <t xml:space="preserve">Мастера 60-69 </t>
  </si>
  <si>
    <t>106,9114</t>
  </si>
  <si>
    <t>99,5276</t>
  </si>
  <si>
    <t>97,6333</t>
  </si>
  <si>
    <t xml:space="preserve">Горев Н. </t>
  </si>
  <si>
    <t>Юниоры 20-23 (17.10.1997)/23</t>
  </si>
  <si>
    <t>Мастера 40-49 (21.06.1978)/42</t>
  </si>
  <si>
    <t>Юниоры 20-23 (27.08.1997)/23</t>
  </si>
  <si>
    <t>Юноши 13-19 (06.05.2003)/17</t>
  </si>
  <si>
    <t>Мастера 40-49 (10.03.1973)/48</t>
  </si>
  <si>
    <t>Национальный Чемпионат
WRPF Жим лежа СФО
Ярославль/Ярославская область, 14 марта 2021 года</t>
  </si>
  <si>
    <t>Национальный Чемпионат
WRPF Строгий подъем штанги на бицепс
Ярославль/Ярославская область, 14 марта 2021 года</t>
  </si>
  <si>
    <t>Национальный Чемпионат
WRPF любители Силовое двоеборье без экипировки ДК
Ярославль/Ярославская область, 14 марта 2021 года</t>
  </si>
  <si>
    <t>Национальный Чемпионат
WRPF любители Становая тяга без экипировки ДК
Ярославль/Ярославская область, 14 марта 2021 года</t>
  </si>
  <si>
    <t>Национальный Чемпионат
WRPF любители Становая тяга без экипировки
Ярославль/Ярославская область, 14 марта 2021 года</t>
  </si>
  <si>
    <t>Национальный Чемпионат
WEPF любители Жим лежа в многослойной экипировке
Ярославль/Ярославская область, 14 марта 2021 года</t>
  </si>
  <si>
    <t>Национальный Чемпионат
WEPF Жим лежа в многопетельной софт экипировке ДК
Ярославль/Ярославская область, 14 марта 2021 года</t>
  </si>
  <si>
    <t>Национальный Чемпионат
WEPF любители Жим лежа в однослойной экипировке ДК
Ярославль/Ярославская область, 14 марта 2021 года</t>
  </si>
  <si>
    <t>Национальный Чемпионат
WEPF Жим лежа в однопетельной софт экипировке ДК
Ярославль/Ярославская область, 14 марта 2021 года</t>
  </si>
  <si>
    <t>Национальный Чемпионат
WRPF любители Жим лежа без экипировки ДК
Ярославль/Ярославская область, 14 марта 2021 года</t>
  </si>
  <si>
    <t>Национальный Чемпионат
WRPF любители Жим лежа без экипировки
Ярославль/Ярославская область, 14 марта 2021 года</t>
  </si>
  <si>
    <t>Национальный Чемпионат
WEPF Жим лежа в однопетельной софт экипировке
Ярославль/Ярославская область, 14 марта 2021 года</t>
  </si>
  <si>
    <t>Национальный Чемпионат
WRPF любители Пауэрлифтинг без экипировки ДК
Ярославль/Ярославская область, 14 марта 2021 года</t>
  </si>
  <si>
    <t>Национальный Чемпионат
WRPF любители Пауэрлифтинг без экипировки
Ярославль/Ярославская область, 14 марта 2021 года</t>
  </si>
  <si>
    <t>Национальный Чемпионат
WRPF любители Пауэрлифтинг классический в бинтах ДК
Ярославль/Ярославская область, 14 марта 2021 года</t>
  </si>
  <si>
    <t>Национальный Чемпионат
WRPF любители Пауэрлифтинг классический в бинтах
Ярославль/Ярославская область, 14 марта 2021 года</t>
  </si>
  <si>
    <t>Минск/Белоруссия</t>
  </si>
  <si>
    <t xml:space="preserve">Москва </t>
  </si>
  <si>
    <t xml:space="preserve">Коробов И. </t>
  </si>
  <si>
    <t xml:space="preserve">Грикин И. </t>
  </si>
  <si>
    <t xml:space="preserve">Палоян В. </t>
  </si>
  <si>
    <t xml:space="preserve">Бархатова О. </t>
  </si>
  <si>
    <t xml:space="preserve">Румянцева С. </t>
  </si>
  <si>
    <t xml:space="preserve">Косьянов А. </t>
  </si>
  <si>
    <t xml:space="preserve">Дербент/Республика Дагестан </t>
  </si>
  <si>
    <t xml:space="preserve">Крылова Е. </t>
  </si>
  <si>
    <t xml:space="preserve">Сухов А. </t>
  </si>
  <si>
    <t xml:space="preserve">Григорьев И. </t>
  </si>
  <si>
    <t xml:space="preserve">Соколов Н. </t>
  </si>
  <si>
    <t>№</t>
  </si>
  <si>
    <t>Жим</t>
  </si>
  <si>
    <t xml:space="preserve">
Дата рождения/Возраст</t>
  </si>
  <si>
    <t>Возрастная группа</t>
  </si>
  <si>
    <t>T2</t>
  </si>
  <si>
    <t>O</t>
  </si>
  <si>
    <t>M1</t>
  </si>
  <si>
    <t>T1</t>
  </si>
  <si>
    <t>J</t>
  </si>
  <si>
    <t>M2</t>
  </si>
  <si>
    <t>M4</t>
  </si>
  <si>
    <t>M3</t>
  </si>
  <si>
    <t>M5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</si>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</sst>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2"/>
  <sheetViews>
    <sheetView topLeftCell="A14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7.6640625" style="5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55" t="s">
        <v>603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103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10" t="s">
        <v>55</v>
      </c>
      <c r="B6" s="9" t="s">
        <v>104</v>
      </c>
      <c r="C6" s="9" t="s">
        <v>105</v>
      </c>
      <c r="D6" s="9" t="s">
        <v>106</v>
      </c>
      <c r="E6" s="9" t="s">
        <v>624</v>
      </c>
      <c r="F6" s="9" t="s">
        <v>14</v>
      </c>
      <c r="G6" s="21" t="s">
        <v>107</v>
      </c>
      <c r="H6" s="21" t="s">
        <v>108</v>
      </c>
      <c r="I6" s="20" t="s">
        <v>109</v>
      </c>
      <c r="J6" s="10"/>
      <c r="K6" s="20" t="s">
        <v>110</v>
      </c>
      <c r="L6" s="20" t="s">
        <v>110</v>
      </c>
      <c r="M6" s="21" t="s">
        <v>110</v>
      </c>
      <c r="N6" s="10"/>
      <c r="O6" s="21" t="s">
        <v>111</v>
      </c>
      <c r="P6" s="21" t="s">
        <v>112</v>
      </c>
      <c r="Q6" s="21" t="s">
        <v>113</v>
      </c>
      <c r="R6" s="21" t="s">
        <v>63</v>
      </c>
      <c r="S6" s="10" t="str">
        <f>"192,5"</f>
        <v>192,5</v>
      </c>
      <c r="T6" s="10" t="str">
        <f>"272,2912"</f>
        <v>272,2912</v>
      </c>
      <c r="U6" s="9" t="s">
        <v>114</v>
      </c>
    </row>
    <row r="7" spans="1:21">
      <c r="A7" s="25" t="s">
        <v>55</v>
      </c>
      <c r="B7" s="24" t="s">
        <v>104</v>
      </c>
      <c r="C7" s="24" t="s">
        <v>115</v>
      </c>
      <c r="D7" s="24" t="s">
        <v>106</v>
      </c>
      <c r="E7" s="24" t="s">
        <v>625</v>
      </c>
      <c r="F7" s="24" t="s">
        <v>14</v>
      </c>
      <c r="G7" s="26" t="s">
        <v>107</v>
      </c>
      <c r="H7" s="26" t="s">
        <v>108</v>
      </c>
      <c r="I7" s="27" t="s">
        <v>109</v>
      </c>
      <c r="J7" s="25"/>
      <c r="K7" s="27" t="s">
        <v>110</v>
      </c>
      <c r="L7" s="27" t="s">
        <v>110</v>
      </c>
      <c r="M7" s="26" t="s">
        <v>110</v>
      </c>
      <c r="N7" s="25"/>
      <c r="O7" s="26" t="s">
        <v>111</v>
      </c>
      <c r="P7" s="26" t="s">
        <v>112</v>
      </c>
      <c r="Q7" s="26" t="s">
        <v>113</v>
      </c>
      <c r="R7" s="26" t="s">
        <v>63</v>
      </c>
      <c r="S7" s="25" t="str">
        <f>"192,5"</f>
        <v>192,5</v>
      </c>
      <c r="T7" s="25" t="str">
        <f>"272,2912"</f>
        <v>272,2912</v>
      </c>
      <c r="U7" s="24" t="s">
        <v>114</v>
      </c>
    </row>
    <row r="8" spans="1:21">
      <c r="A8" s="12" t="s">
        <v>227</v>
      </c>
      <c r="B8" s="11" t="s">
        <v>116</v>
      </c>
      <c r="C8" s="11" t="s">
        <v>117</v>
      </c>
      <c r="D8" s="11" t="s">
        <v>118</v>
      </c>
      <c r="E8" s="11" t="s">
        <v>625</v>
      </c>
      <c r="F8" s="11" t="s">
        <v>119</v>
      </c>
      <c r="G8" s="23" t="s">
        <v>120</v>
      </c>
      <c r="H8" s="23" t="s">
        <v>121</v>
      </c>
      <c r="I8" s="23" t="s">
        <v>122</v>
      </c>
      <c r="J8" s="12"/>
      <c r="K8" s="23" t="s">
        <v>123</v>
      </c>
      <c r="L8" s="23" t="s">
        <v>124</v>
      </c>
      <c r="M8" s="22" t="s">
        <v>125</v>
      </c>
      <c r="N8" s="12"/>
      <c r="O8" s="23" t="s">
        <v>126</v>
      </c>
      <c r="P8" s="23" t="s">
        <v>108</v>
      </c>
      <c r="Q8" s="23" t="s">
        <v>127</v>
      </c>
      <c r="R8" s="12"/>
      <c r="S8" s="12" t="str">
        <f>"157,5"</f>
        <v>157,5</v>
      </c>
      <c r="T8" s="12" t="str">
        <f>"227,1780"</f>
        <v>227,1780</v>
      </c>
      <c r="U8" s="11" t="s">
        <v>617</v>
      </c>
    </row>
    <row r="9" spans="1:21">
      <c r="B9" s="5" t="s">
        <v>56</v>
      </c>
    </row>
    <row r="10" spans="1:21" ht="16">
      <c r="A10" s="66" t="s">
        <v>128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1">
      <c r="A11" s="8" t="s">
        <v>55</v>
      </c>
      <c r="B11" s="7" t="s">
        <v>129</v>
      </c>
      <c r="C11" s="7" t="s">
        <v>130</v>
      </c>
      <c r="D11" s="7" t="s">
        <v>131</v>
      </c>
      <c r="E11" s="7" t="s">
        <v>625</v>
      </c>
      <c r="F11" s="7" t="s">
        <v>132</v>
      </c>
      <c r="G11" s="18" t="s">
        <v>126</v>
      </c>
      <c r="H11" s="18" t="s">
        <v>107</v>
      </c>
      <c r="I11" s="18" t="s">
        <v>133</v>
      </c>
      <c r="J11" s="8"/>
      <c r="K11" s="18" t="s">
        <v>110</v>
      </c>
      <c r="L11" s="19" t="s">
        <v>64</v>
      </c>
      <c r="M11" s="18" t="s">
        <v>64</v>
      </c>
      <c r="N11" s="8"/>
      <c r="O11" s="18" t="s">
        <v>127</v>
      </c>
      <c r="P11" s="18" t="s">
        <v>134</v>
      </c>
      <c r="Q11" s="8"/>
      <c r="R11" s="8"/>
      <c r="S11" s="8" t="str">
        <f>"187,5"</f>
        <v>187,5</v>
      </c>
      <c r="T11" s="8" t="str">
        <f>"237,9750"</f>
        <v>237,9750</v>
      </c>
      <c r="U11" s="7"/>
    </row>
    <row r="12" spans="1:21">
      <c r="B12" s="5" t="s">
        <v>56</v>
      </c>
    </row>
    <row r="13" spans="1:21" ht="16">
      <c r="A13" s="66" t="s">
        <v>135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21">
      <c r="A14" s="8" t="s">
        <v>55</v>
      </c>
      <c r="B14" s="7" t="s">
        <v>136</v>
      </c>
      <c r="C14" s="7" t="s">
        <v>137</v>
      </c>
      <c r="D14" s="7" t="s">
        <v>138</v>
      </c>
      <c r="E14" s="7" t="s">
        <v>625</v>
      </c>
      <c r="F14" s="7" t="s">
        <v>608</v>
      </c>
      <c r="G14" s="18" t="s">
        <v>40</v>
      </c>
      <c r="H14" s="19" t="s">
        <v>18</v>
      </c>
      <c r="I14" s="19" t="s">
        <v>18</v>
      </c>
      <c r="J14" s="8"/>
      <c r="K14" s="18" t="s">
        <v>127</v>
      </c>
      <c r="L14" s="18" t="s">
        <v>113</v>
      </c>
      <c r="M14" s="18" t="s">
        <v>139</v>
      </c>
      <c r="N14" s="8"/>
      <c r="O14" s="18" t="s">
        <v>40</v>
      </c>
      <c r="P14" s="18" t="s">
        <v>42</v>
      </c>
      <c r="Q14" s="18" t="s">
        <v>140</v>
      </c>
      <c r="R14" s="8"/>
      <c r="S14" s="8" t="str">
        <f>"362,5"</f>
        <v>362,5</v>
      </c>
      <c r="T14" s="8" t="str">
        <f>"426,5175"</f>
        <v>426,5175</v>
      </c>
      <c r="U14" s="7" t="s">
        <v>619</v>
      </c>
    </row>
    <row r="15" spans="1:21">
      <c r="B15" s="5" t="s">
        <v>56</v>
      </c>
    </row>
    <row r="16" spans="1:21" ht="16">
      <c r="A16" s="66" t="s">
        <v>58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21">
      <c r="A17" s="10" t="s">
        <v>55</v>
      </c>
      <c r="B17" s="9" t="s">
        <v>141</v>
      </c>
      <c r="C17" s="9" t="s">
        <v>142</v>
      </c>
      <c r="D17" s="9" t="s">
        <v>143</v>
      </c>
      <c r="E17" s="9" t="s">
        <v>624</v>
      </c>
      <c r="F17" s="9" t="s">
        <v>144</v>
      </c>
      <c r="G17" s="21" t="s">
        <v>63</v>
      </c>
      <c r="H17" s="20" t="s">
        <v>65</v>
      </c>
      <c r="I17" s="20" t="s">
        <v>65</v>
      </c>
      <c r="J17" s="10"/>
      <c r="K17" s="21" t="s">
        <v>145</v>
      </c>
      <c r="L17" s="21" t="s">
        <v>122</v>
      </c>
      <c r="M17" s="20" t="s">
        <v>146</v>
      </c>
      <c r="N17" s="10"/>
      <c r="O17" s="21" t="s">
        <v>65</v>
      </c>
      <c r="P17" s="21" t="s">
        <v>147</v>
      </c>
      <c r="Q17" s="21" t="s">
        <v>148</v>
      </c>
      <c r="R17" s="10"/>
      <c r="S17" s="10" t="str">
        <f>"242,5"</f>
        <v>242,5</v>
      </c>
      <c r="T17" s="10" t="str">
        <f>"248,2958"</f>
        <v>248,2958</v>
      </c>
      <c r="U17" s="9" t="s">
        <v>149</v>
      </c>
    </row>
    <row r="18" spans="1:21">
      <c r="A18" s="12" t="s">
        <v>55</v>
      </c>
      <c r="B18" s="11" t="s">
        <v>141</v>
      </c>
      <c r="C18" s="11" t="s">
        <v>150</v>
      </c>
      <c r="D18" s="11" t="s">
        <v>143</v>
      </c>
      <c r="E18" s="11" t="s">
        <v>625</v>
      </c>
      <c r="F18" s="11" t="s">
        <v>144</v>
      </c>
      <c r="G18" s="23" t="s">
        <v>63</v>
      </c>
      <c r="H18" s="22" t="s">
        <v>65</v>
      </c>
      <c r="I18" s="22" t="s">
        <v>65</v>
      </c>
      <c r="J18" s="12"/>
      <c r="K18" s="23" t="s">
        <v>145</v>
      </c>
      <c r="L18" s="23" t="s">
        <v>122</v>
      </c>
      <c r="M18" s="22" t="s">
        <v>146</v>
      </c>
      <c r="N18" s="12"/>
      <c r="O18" s="23" t="s">
        <v>65</v>
      </c>
      <c r="P18" s="23" t="s">
        <v>147</v>
      </c>
      <c r="Q18" s="23" t="s">
        <v>148</v>
      </c>
      <c r="R18" s="12"/>
      <c r="S18" s="12" t="str">
        <f>"242,5"</f>
        <v>242,5</v>
      </c>
      <c r="T18" s="12" t="str">
        <f>"248,2958"</f>
        <v>248,2958</v>
      </c>
      <c r="U18" s="11" t="s">
        <v>149</v>
      </c>
    </row>
    <row r="19" spans="1:21">
      <c r="B19" s="5" t="s">
        <v>56</v>
      </c>
    </row>
    <row r="20" spans="1:21" ht="16">
      <c r="A20" s="66" t="s">
        <v>58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21">
      <c r="A21" s="8" t="s">
        <v>55</v>
      </c>
      <c r="B21" s="7" t="s">
        <v>151</v>
      </c>
      <c r="C21" s="7" t="s">
        <v>152</v>
      </c>
      <c r="D21" s="7" t="s">
        <v>153</v>
      </c>
      <c r="E21" s="7" t="s">
        <v>625</v>
      </c>
      <c r="F21" s="7" t="s">
        <v>608</v>
      </c>
      <c r="G21" s="18" t="s">
        <v>41</v>
      </c>
      <c r="H21" s="18" t="s">
        <v>154</v>
      </c>
      <c r="I21" s="19" t="s">
        <v>91</v>
      </c>
      <c r="J21" s="8"/>
      <c r="K21" s="18" t="s">
        <v>155</v>
      </c>
      <c r="L21" s="18" t="s">
        <v>156</v>
      </c>
      <c r="M21" s="19" t="s">
        <v>157</v>
      </c>
      <c r="N21" s="8"/>
      <c r="O21" s="18" t="s">
        <v>72</v>
      </c>
      <c r="P21" s="19" t="s">
        <v>158</v>
      </c>
      <c r="Q21" s="18" t="s">
        <v>159</v>
      </c>
      <c r="R21" s="8"/>
      <c r="S21" s="8" t="str">
        <f>"427,5"</f>
        <v>427,5</v>
      </c>
      <c r="T21" s="8" t="str">
        <f>"335,6730"</f>
        <v>335,6730</v>
      </c>
      <c r="U21" s="7" t="s">
        <v>296</v>
      </c>
    </row>
    <row r="22" spans="1:21">
      <c r="B22" s="5" t="s">
        <v>56</v>
      </c>
    </row>
    <row r="23" spans="1:21" ht="16">
      <c r="A23" s="66" t="s">
        <v>160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21">
      <c r="A24" s="10" t="s">
        <v>55</v>
      </c>
      <c r="B24" s="9" t="s">
        <v>161</v>
      </c>
      <c r="C24" s="9" t="s">
        <v>162</v>
      </c>
      <c r="D24" s="9" t="s">
        <v>163</v>
      </c>
      <c r="E24" s="9" t="s">
        <v>624</v>
      </c>
      <c r="F24" s="9" t="s">
        <v>144</v>
      </c>
      <c r="G24" s="21" t="s">
        <v>41</v>
      </c>
      <c r="H24" s="20" t="s">
        <v>140</v>
      </c>
      <c r="I24" s="21" t="s">
        <v>140</v>
      </c>
      <c r="J24" s="10"/>
      <c r="K24" s="21" t="s">
        <v>134</v>
      </c>
      <c r="L24" s="20" t="s">
        <v>63</v>
      </c>
      <c r="M24" s="21" t="s">
        <v>65</v>
      </c>
      <c r="N24" s="10"/>
      <c r="O24" s="21" t="s">
        <v>18</v>
      </c>
      <c r="P24" s="21" t="s">
        <v>72</v>
      </c>
      <c r="Q24" s="21" t="s">
        <v>158</v>
      </c>
      <c r="R24" s="10"/>
      <c r="S24" s="10" t="str">
        <f>"400,0"</f>
        <v>400,0</v>
      </c>
      <c r="T24" s="10" t="str">
        <f>"290,2400"</f>
        <v>290,2400</v>
      </c>
      <c r="U24" s="9" t="s">
        <v>149</v>
      </c>
    </row>
    <row r="25" spans="1:21">
      <c r="A25" s="12" t="s">
        <v>55</v>
      </c>
      <c r="B25" s="11" t="s">
        <v>161</v>
      </c>
      <c r="C25" s="11" t="s">
        <v>164</v>
      </c>
      <c r="D25" s="11" t="s">
        <v>163</v>
      </c>
      <c r="E25" s="11" t="s">
        <v>625</v>
      </c>
      <c r="F25" s="11" t="s">
        <v>144</v>
      </c>
      <c r="G25" s="23" t="s">
        <v>41</v>
      </c>
      <c r="H25" s="22" t="s">
        <v>140</v>
      </c>
      <c r="I25" s="23" t="s">
        <v>140</v>
      </c>
      <c r="J25" s="12"/>
      <c r="K25" s="23" t="s">
        <v>134</v>
      </c>
      <c r="L25" s="22" t="s">
        <v>63</v>
      </c>
      <c r="M25" s="23" t="s">
        <v>65</v>
      </c>
      <c r="N25" s="12"/>
      <c r="O25" s="23" t="s">
        <v>18</v>
      </c>
      <c r="P25" s="23" t="s">
        <v>72</v>
      </c>
      <c r="Q25" s="23" t="s">
        <v>158</v>
      </c>
      <c r="R25" s="12"/>
      <c r="S25" s="12" t="str">
        <f>"400,0"</f>
        <v>400,0</v>
      </c>
      <c r="T25" s="12" t="str">
        <f>"290,2400"</f>
        <v>290,2400</v>
      </c>
      <c r="U25" s="11" t="s">
        <v>149</v>
      </c>
    </row>
    <row r="26" spans="1:21">
      <c r="B26" s="5" t="s">
        <v>56</v>
      </c>
    </row>
    <row r="27" spans="1:21" ht="16">
      <c r="A27" s="66" t="s">
        <v>165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1:21">
      <c r="A28" s="10" t="s">
        <v>55</v>
      </c>
      <c r="B28" s="9" t="s">
        <v>166</v>
      </c>
      <c r="C28" s="9" t="s">
        <v>167</v>
      </c>
      <c r="D28" s="9" t="s">
        <v>168</v>
      </c>
      <c r="E28" s="9" t="s">
        <v>625</v>
      </c>
      <c r="F28" s="9" t="s">
        <v>607</v>
      </c>
      <c r="G28" s="21" t="s">
        <v>19</v>
      </c>
      <c r="H28" s="21" t="s">
        <v>31</v>
      </c>
      <c r="I28" s="21" t="s">
        <v>75</v>
      </c>
      <c r="J28" s="10"/>
      <c r="K28" s="21" t="s">
        <v>169</v>
      </c>
      <c r="L28" s="21" t="s">
        <v>170</v>
      </c>
      <c r="M28" s="21" t="s">
        <v>171</v>
      </c>
      <c r="N28" s="10"/>
      <c r="O28" s="21" t="s">
        <v>22</v>
      </c>
      <c r="P28" s="21" t="s">
        <v>81</v>
      </c>
      <c r="Q28" s="20" t="s">
        <v>38</v>
      </c>
      <c r="R28" s="10"/>
      <c r="S28" s="10" t="str">
        <f>"512,5"</f>
        <v>512,5</v>
      </c>
      <c r="T28" s="10" t="str">
        <f>"345,8862"</f>
        <v>345,8862</v>
      </c>
      <c r="U28" s="9" t="s">
        <v>618</v>
      </c>
    </row>
    <row r="29" spans="1:21">
      <c r="A29" s="12" t="s">
        <v>227</v>
      </c>
      <c r="B29" s="11" t="s">
        <v>172</v>
      </c>
      <c r="C29" s="11" t="s">
        <v>173</v>
      </c>
      <c r="D29" s="11" t="s">
        <v>174</v>
      </c>
      <c r="E29" s="11" t="s">
        <v>625</v>
      </c>
      <c r="F29" s="11" t="s">
        <v>608</v>
      </c>
      <c r="G29" s="22" t="s">
        <v>19</v>
      </c>
      <c r="H29" s="23" t="s">
        <v>19</v>
      </c>
      <c r="I29" s="23" t="s">
        <v>82</v>
      </c>
      <c r="J29" s="12"/>
      <c r="K29" s="23" t="s">
        <v>175</v>
      </c>
      <c r="L29" s="23" t="s">
        <v>176</v>
      </c>
      <c r="M29" s="22" t="s">
        <v>156</v>
      </c>
      <c r="N29" s="12"/>
      <c r="O29" s="23" t="s">
        <v>21</v>
      </c>
      <c r="P29" s="23" t="s">
        <v>17</v>
      </c>
      <c r="Q29" s="23" t="s">
        <v>177</v>
      </c>
      <c r="R29" s="12"/>
      <c r="S29" s="12" t="str">
        <f>"482,5"</f>
        <v>482,5</v>
      </c>
      <c r="T29" s="12" t="str">
        <f>"326,3630"</f>
        <v>326,3630</v>
      </c>
      <c r="U29" s="11" t="s">
        <v>296</v>
      </c>
    </row>
    <row r="30" spans="1:21">
      <c r="B30" s="5" t="s">
        <v>56</v>
      </c>
    </row>
    <row r="31" spans="1:21" ht="16">
      <c r="A31" s="66" t="s">
        <v>68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1:21">
      <c r="A32" s="8" t="s">
        <v>55</v>
      </c>
      <c r="B32" s="7" t="s">
        <v>178</v>
      </c>
      <c r="C32" s="7" t="s">
        <v>179</v>
      </c>
      <c r="D32" s="7" t="s">
        <v>180</v>
      </c>
      <c r="E32" s="7" t="s">
        <v>625</v>
      </c>
      <c r="F32" s="7" t="s">
        <v>119</v>
      </c>
      <c r="G32" s="18" t="s">
        <v>17</v>
      </c>
      <c r="H32" s="18" t="s">
        <v>181</v>
      </c>
      <c r="I32" s="18" t="s">
        <v>22</v>
      </c>
      <c r="J32" s="8"/>
      <c r="K32" s="18" t="s">
        <v>42</v>
      </c>
      <c r="L32" s="18" t="s">
        <v>18</v>
      </c>
      <c r="M32" s="18" t="s">
        <v>154</v>
      </c>
      <c r="N32" s="8"/>
      <c r="O32" s="18" t="s">
        <v>29</v>
      </c>
      <c r="P32" s="18" t="s">
        <v>182</v>
      </c>
      <c r="Q32" s="19" t="s">
        <v>183</v>
      </c>
      <c r="R32" s="8"/>
      <c r="S32" s="8" t="str">
        <f>"607,5"</f>
        <v>607,5</v>
      </c>
      <c r="T32" s="8" t="str">
        <f>"402,1042"</f>
        <v>402,1042</v>
      </c>
      <c r="U32" s="7"/>
    </row>
    <row r="33" spans="1:21">
      <c r="B33" s="5" t="s">
        <v>56</v>
      </c>
    </row>
    <row r="34" spans="1:21" ht="16">
      <c r="A34" s="66" t="s">
        <v>10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21">
      <c r="A35" s="10" t="s">
        <v>55</v>
      </c>
      <c r="B35" s="9" t="s">
        <v>184</v>
      </c>
      <c r="C35" s="9" t="s">
        <v>185</v>
      </c>
      <c r="D35" s="9" t="s">
        <v>186</v>
      </c>
      <c r="E35" s="9" t="s">
        <v>625</v>
      </c>
      <c r="F35" s="9" t="s">
        <v>187</v>
      </c>
      <c r="G35" s="21" t="s">
        <v>22</v>
      </c>
      <c r="H35" s="21" t="s">
        <v>188</v>
      </c>
      <c r="I35" s="20" t="s">
        <v>83</v>
      </c>
      <c r="J35" s="10"/>
      <c r="K35" s="21" t="s">
        <v>72</v>
      </c>
      <c r="L35" s="20" t="s">
        <v>31</v>
      </c>
      <c r="M35" s="21" t="s">
        <v>31</v>
      </c>
      <c r="N35" s="10"/>
      <c r="O35" s="21" t="s">
        <v>38</v>
      </c>
      <c r="P35" s="21" t="s">
        <v>28</v>
      </c>
      <c r="Q35" s="21" t="s">
        <v>189</v>
      </c>
      <c r="R35" s="10"/>
      <c r="S35" s="10" t="str">
        <f>"625,0"</f>
        <v>625,0</v>
      </c>
      <c r="T35" s="10" t="str">
        <f>"393,0000"</f>
        <v>393,0000</v>
      </c>
      <c r="U35" s="9"/>
    </row>
    <row r="36" spans="1:21">
      <c r="A36" s="25" t="s">
        <v>227</v>
      </c>
      <c r="B36" s="24" t="s">
        <v>190</v>
      </c>
      <c r="C36" s="24" t="s">
        <v>191</v>
      </c>
      <c r="D36" s="24" t="s">
        <v>192</v>
      </c>
      <c r="E36" s="24" t="s">
        <v>625</v>
      </c>
      <c r="F36" s="24" t="s">
        <v>608</v>
      </c>
      <c r="G36" s="26" t="s">
        <v>75</v>
      </c>
      <c r="H36" s="26" t="s">
        <v>193</v>
      </c>
      <c r="I36" s="26" t="s">
        <v>194</v>
      </c>
      <c r="J36" s="25"/>
      <c r="K36" s="26" t="s">
        <v>154</v>
      </c>
      <c r="L36" s="26" t="s">
        <v>19</v>
      </c>
      <c r="M36" s="26" t="s">
        <v>20</v>
      </c>
      <c r="N36" s="25"/>
      <c r="O36" s="26" t="s">
        <v>21</v>
      </c>
      <c r="P36" s="26" t="s">
        <v>181</v>
      </c>
      <c r="Q36" s="26" t="s">
        <v>81</v>
      </c>
      <c r="R36" s="25"/>
      <c r="S36" s="25" t="str">
        <f>"565,0"</f>
        <v>565,0</v>
      </c>
      <c r="T36" s="25" t="str">
        <f>"344,2545"</f>
        <v>344,2545</v>
      </c>
      <c r="U36" s="24" t="s">
        <v>296</v>
      </c>
    </row>
    <row r="37" spans="1:21">
      <c r="A37" s="25" t="s">
        <v>228</v>
      </c>
      <c r="B37" s="24" t="s">
        <v>195</v>
      </c>
      <c r="C37" s="24" t="s">
        <v>196</v>
      </c>
      <c r="D37" s="24" t="s">
        <v>197</v>
      </c>
      <c r="E37" s="24" t="s">
        <v>625</v>
      </c>
      <c r="F37" s="24" t="s">
        <v>198</v>
      </c>
      <c r="G37" s="26" t="s">
        <v>19</v>
      </c>
      <c r="H37" s="27" t="s">
        <v>31</v>
      </c>
      <c r="I37" s="26" t="s">
        <v>31</v>
      </c>
      <c r="J37" s="25"/>
      <c r="K37" s="26" t="s">
        <v>73</v>
      </c>
      <c r="L37" s="27" t="s">
        <v>74</v>
      </c>
      <c r="M37" s="27" t="s">
        <v>74</v>
      </c>
      <c r="N37" s="25"/>
      <c r="O37" s="26" t="s">
        <v>75</v>
      </c>
      <c r="P37" s="26" t="s">
        <v>90</v>
      </c>
      <c r="Q37" s="26" t="s">
        <v>21</v>
      </c>
      <c r="R37" s="25"/>
      <c r="S37" s="25" t="str">
        <f>"470,0"</f>
        <v>470,0</v>
      </c>
      <c r="T37" s="25" t="str">
        <f>"289,0500"</f>
        <v>289,0500</v>
      </c>
      <c r="U37" s="24" t="s">
        <v>199</v>
      </c>
    </row>
    <row r="38" spans="1:21">
      <c r="A38" s="12" t="s">
        <v>55</v>
      </c>
      <c r="B38" s="11" t="s">
        <v>184</v>
      </c>
      <c r="C38" s="11" t="s">
        <v>200</v>
      </c>
      <c r="D38" s="11" t="s">
        <v>186</v>
      </c>
      <c r="E38" s="11" t="s">
        <v>626</v>
      </c>
      <c r="F38" s="11" t="s">
        <v>187</v>
      </c>
      <c r="G38" s="23" t="s">
        <v>22</v>
      </c>
      <c r="H38" s="23" t="s">
        <v>188</v>
      </c>
      <c r="I38" s="22" t="s">
        <v>83</v>
      </c>
      <c r="J38" s="12"/>
      <c r="K38" s="23" t="s">
        <v>72</v>
      </c>
      <c r="L38" s="22" t="s">
        <v>31</v>
      </c>
      <c r="M38" s="23" t="s">
        <v>31</v>
      </c>
      <c r="N38" s="12"/>
      <c r="O38" s="23" t="s">
        <v>38</v>
      </c>
      <c r="P38" s="23" t="s">
        <v>28</v>
      </c>
      <c r="Q38" s="23" t="s">
        <v>189</v>
      </c>
      <c r="R38" s="12"/>
      <c r="S38" s="12" t="str">
        <f>"625,0"</f>
        <v>625,0</v>
      </c>
      <c r="T38" s="12" t="str">
        <f>"394,9650"</f>
        <v>394,9650</v>
      </c>
      <c r="U38" s="11"/>
    </row>
    <row r="39" spans="1:21">
      <c r="B39" s="5" t="s">
        <v>56</v>
      </c>
    </row>
    <row r="40" spans="1:21" ht="16">
      <c r="A40" s="66" t="s">
        <v>23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</row>
    <row r="41" spans="1:21">
      <c r="A41" s="8" t="s">
        <v>55</v>
      </c>
      <c r="B41" s="7" t="s">
        <v>201</v>
      </c>
      <c r="C41" s="7" t="s">
        <v>202</v>
      </c>
      <c r="D41" s="7" t="s">
        <v>203</v>
      </c>
      <c r="E41" s="7" t="s">
        <v>625</v>
      </c>
      <c r="F41" s="7" t="s">
        <v>144</v>
      </c>
      <c r="G41" s="19" t="s">
        <v>42</v>
      </c>
      <c r="H41" s="18" t="s">
        <v>42</v>
      </c>
      <c r="I41" s="18" t="s">
        <v>140</v>
      </c>
      <c r="J41" s="8"/>
      <c r="K41" s="18" t="s">
        <v>40</v>
      </c>
      <c r="L41" s="18" t="s">
        <v>204</v>
      </c>
      <c r="M41" s="19" t="s">
        <v>205</v>
      </c>
      <c r="N41" s="8"/>
      <c r="O41" s="18" t="s">
        <v>140</v>
      </c>
      <c r="P41" s="18" t="s">
        <v>31</v>
      </c>
      <c r="Q41" s="18" t="s">
        <v>90</v>
      </c>
      <c r="R41" s="8"/>
      <c r="S41" s="8" t="str">
        <f>"457,5"</f>
        <v>457,5</v>
      </c>
      <c r="T41" s="8" t="str">
        <f>"277,7483"</f>
        <v>277,7483</v>
      </c>
      <c r="U41" s="7" t="s">
        <v>149</v>
      </c>
    </row>
    <row r="42" spans="1:21">
      <c r="B42" s="5" t="s">
        <v>56</v>
      </c>
    </row>
    <row r="43" spans="1:21" ht="16">
      <c r="A43" s="66" t="s">
        <v>94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21">
      <c r="A44" s="10" t="s">
        <v>55</v>
      </c>
      <c r="B44" s="9" t="s">
        <v>206</v>
      </c>
      <c r="C44" s="9" t="s">
        <v>207</v>
      </c>
      <c r="D44" s="9" t="s">
        <v>208</v>
      </c>
      <c r="E44" s="9" t="s">
        <v>625</v>
      </c>
      <c r="F44" s="9" t="s">
        <v>144</v>
      </c>
      <c r="G44" s="21" t="s">
        <v>72</v>
      </c>
      <c r="H44" s="21" t="s">
        <v>82</v>
      </c>
      <c r="I44" s="21" t="s">
        <v>75</v>
      </c>
      <c r="J44" s="10"/>
      <c r="K44" s="21" t="s">
        <v>19</v>
      </c>
      <c r="L44" s="21" t="s">
        <v>20</v>
      </c>
      <c r="M44" s="21" t="s">
        <v>82</v>
      </c>
      <c r="N44" s="10"/>
      <c r="O44" s="21" t="s">
        <v>21</v>
      </c>
      <c r="P44" s="21" t="s">
        <v>17</v>
      </c>
      <c r="Q44" s="21" t="s">
        <v>22</v>
      </c>
      <c r="R44" s="10"/>
      <c r="S44" s="10" t="str">
        <f>"542,5"</f>
        <v>542,5</v>
      </c>
      <c r="T44" s="10" t="str">
        <f>"315,3010"</f>
        <v>315,3010</v>
      </c>
      <c r="U44" s="9"/>
    </row>
    <row r="45" spans="1:21">
      <c r="A45" s="12" t="s">
        <v>55</v>
      </c>
      <c r="B45" s="11" t="s">
        <v>206</v>
      </c>
      <c r="C45" s="11" t="s">
        <v>209</v>
      </c>
      <c r="D45" s="11" t="s">
        <v>208</v>
      </c>
      <c r="E45" s="11" t="s">
        <v>626</v>
      </c>
      <c r="F45" s="11" t="s">
        <v>144</v>
      </c>
      <c r="G45" s="23" t="s">
        <v>72</v>
      </c>
      <c r="H45" s="23" t="s">
        <v>82</v>
      </c>
      <c r="I45" s="23" t="s">
        <v>75</v>
      </c>
      <c r="J45" s="12"/>
      <c r="K45" s="23" t="s">
        <v>19</v>
      </c>
      <c r="L45" s="23" t="s">
        <v>20</v>
      </c>
      <c r="M45" s="23" t="s">
        <v>82</v>
      </c>
      <c r="N45" s="12"/>
      <c r="O45" s="23" t="s">
        <v>21</v>
      </c>
      <c r="P45" s="23" t="s">
        <v>17</v>
      </c>
      <c r="Q45" s="23" t="s">
        <v>22</v>
      </c>
      <c r="R45" s="12"/>
      <c r="S45" s="12" t="str">
        <f>"542,5"</f>
        <v>542,5</v>
      </c>
      <c r="T45" s="12" t="str">
        <f>"315,3010"</f>
        <v>315,3010</v>
      </c>
      <c r="U45" s="11"/>
    </row>
    <row r="46" spans="1:21">
      <c r="B46" s="5" t="s">
        <v>56</v>
      </c>
    </row>
    <row r="47" spans="1:21">
      <c r="B47" s="5" t="s">
        <v>56</v>
      </c>
    </row>
    <row r="48" spans="1:21">
      <c r="B48" s="5" t="s">
        <v>56</v>
      </c>
    </row>
    <row r="49" spans="2:6" ht="18">
      <c r="B49" s="13" t="s">
        <v>45</v>
      </c>
      <c r="C49" s="13"/>
      <c r="F49" s="3"/>
    </row>
    <row r="50" spans="2:6" ht="16">
      <c r="B50" s="14" t="s">
        <v>210</v>
      </c>
      <c r="C50" s="14"/>
      <c r="F50" s="3"/>
    </row>
    <row r="51" spans="2:6" ht="14">
      <c r="B51" s="15"/>
      <c r="C51" s="16" t="s">
        <v>47</v>
      </c>
      <c r="F51" s="3"/>
    </row>
    <row r="52" spans="2:6" ht="14">
      <c r="B52" s="17" t="s">
        <v>48</v>
      </c>
      <c r="C52" s="17" t="s">
        <v>49</v>
      </c>
      <c r="D52" s="17" t="s">
        <v>50</v>
      </c>
      <c r="E52" s="17" t="s">
        <v>51</v>
      </c>
      <c r="F52" s="17" t="s">
        <v>52</v>
      </c>
    </row>
    <row r="53" spans="2:6">
      <c r="B53" s="5" t="s">
        <v>136</v>
      </c>
      <c r="C53" s="5" t="s">
        <v>47</v>
      </c>
      <c r="D53" s="6" t="s">
        <v>216</v>
      </c>
      <c r="E53" s="6" t="s">
        <v>217</v>
      </c>
      <c r="F53" s="6" t="s">
        <v>218</v>
      </c>
    </row>
    <row r="54" spans="2:6">
      <c r="B54" s="5" t="s">
        <v>104</v>
      </c>
      <c r="C54" s="5" t="s">
        <v>47</v>
      </c>
      <c r="D54" s="6" t="s">
        <v>211</v>
      </c>
      <c r="E54" s="6" t="s">
        <v>92</v>
      </c>
      <c r="F54" s="6" t="s">
        <v>212</v>
      </c>
    </row>
    <row r="55" spans="2:6">
      <c r="B55" s="5" t="s">
        <v>141</v>
      </c>
      <c r="C55" s="5" t="s">
        <v>47</v>
      </c>
      <c r="D55" s="6" t="s">
        <v>213</v>
      </c>
      <c r="E55" s="6" t="s">
        <v>214</v>
      </c>
      <c r="F55" s="6" t="s">
        <v>215</v>
      </c>
    </row>
    <row r="57" spans="2:6" ht="16">
      <c r="B57" s="14" t="s">
        <v>46</v>
      </c>
      <c r="C57" s="14"/>
    </row>
    <row r="58" spans="2:6" ht="14">
      <c r="B58" s="15"/>
      <c r="C58" s="16" t="s">
        <v>47</v>
      </c>
    </row>
    <row r="59" spans="2:6" ht="14">
      <c r="B59" s="17" t="s">
        <v>48</v>
      </c>
      <c r="C59" s="17" t="s">
        <v>49</v>
      </c>
      <c r="D59" s="17" t="s">
        <v>50</v>
      </c>
      <c r="E59" s="17" t="s">
        <v>51</v>
      </c>
      <c r="F59" s="17" t="s">
        <v>52</v>
      </c>
    </row>
    <row r="60" spans="2:6">
      <c r="B60" s="5" t="s">
        <v>178</v>
      </c>
      <c r="C60" s="5" t="s">
        <v>47</v>
      </c>
      <c r="D60" s="6" t="s">
        <v>85</v>
      </c>
      <c r="E60" s="6" t="s">
        <v>219</v>
      </c>
      <c r="F60" s="6" t="s">
        <v>220</v>
      </c>
    </row>
    <row r="61" spans="2:6">
      <c r="B61" s="5" t="s">
        <v>184</v>
      </c>
      <c r="C61" s="5" t="s">
        <v>47</v>
      </c>
      <c r="D61" s="6" t="s">
        <v>54</v>
      </c>
      <c r="E61" s="6" t="s">
        <v>221</v>
      </c>
      <c r="F61" s="6" t="s">
        <v>222</v>
      </c>
    </row>
    <row r="62" spans="2:6">
      <c r="B62" s="5" t="s">
        <v>166</v>
      </c>
      <c r="C62" s="5" t="s">
        <v>47</v>
      </c>
      <c r="D62" s="6" t="s">
        <v>223</v>
      </c>
      <c r="E62" s="6" t="s">
        <v>224</v>
      </c>
      <c r="F62" s="6" t="s">
        <v>225</v>
      </c>
    </row>
  </sheetData>
  <mergeCells count="24">
    <mergeCell ref="A31:R31"/>
    <mergeCell ref="A34:R34"/>
    <mergeCell ref="A40:R40"/>
    <mergeCell ref="A43:R43"/>
    <mergeCell ref="B3:B4"/>
    <mergeCell ref="A10:R10"/>
    <mergeCell ref="A13:R13"/>
    <mergeCell ref="A16:R16"/>
    <mergeCell ref="A20:R20"/>
    <mergeCell ref="A23:R23"/>
    <mergeCell ref="A27:R2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55" t="s">
        <v>599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68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383</v>
      </c>
      <c r="C6" s="7" t="s">
        <v>384</v>
      </c>
      <c r="D6" s="7" t="s">
        <v>385</v>
      </c>
      <c r="E6" s="7" t="s">
        <v>624</v>
      </c>
      <c r="F6" s="7" t="s">
        <v>144</v>
      </c>
      <c r="G6" s="18" t="s">
        <v>345</v>
      </c>
      <c r="H6" s="19" t="s">
        <v>194</v>
      </c>
      <c r="I6" s="19" t="s">
        <v>194</v>
      </c>
      <c r="J6" s="8"/>
      <c r="K6" s="8" t="str">
        <f>"175,0"</f>
        <v>175,0</v>
      </c>
      <c r="L6" s="8" t="str">
        <f>"107,1437"</f>
        <v>107,1437</v>
      </c>
      <c r="M6" s="7" t="s">
        <v>149</v>
      </c>
    </row>
    <row r="7" spans="1:13">
      <c r="B7" s="5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55" t="s">
        <v>602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94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229</v>
      </c>
      <c r="C6" s="7" t="s">
        <v>230</v>
      </c>
      <c r="D6" s="7" t="s">
        <v>231</v>
      </c>
      <c r="E6" s="7" t="s">
        <v>625</v>
      </c>
      <c r="F6" s="7" t="s">
        <v>232</v>
      </c>
      <c r="G6" s="19" t="s">
        <v>233</v>
      </c>
      <c r="H6" s="18" t="s">
        <v>233</v>
      </c>
      <c r="I6" s="19" t="s">
        <v>32</v>
      </c>
      <c r="J6" s="8"/>
      <c r="K6" s="8" t="str">
        <f>"260,0"</f>
        <v>260,0</v>
      </c>
      <c r="L6" s="8" t="str">
        <f>"143,7800"</f>
        <v>143,7800</v>
      </c>
      <c r="M6" s="7"/>
    </row>
    <row r="7" spans="1:13">
      <c r="B7" s="5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55" t="s">
        <v>597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389</v>
      </c>
      <c r="C6" s="7" t="s">
        <v>390</v>
      </c>
      <c r="D6" s="7" t="s">
        <v>391</v>
      </c>
      <c r="E6" s="7" t="s">
        <v>625</v>
      </c>
      <c r="F6" s="7" t="s">
        <v>363</v>
      </c>
      <c r="G6" s="18" t="s">
        <v>28</v>
      </c>
      <c r="H6" s="19" t="s">
        <v>29</v>
      </c>
      <c r="I6" s="18" t="s">
        <v>29</v>
      </c>
      <c r="J6" s="8"/>
      <c r="K6" s="8" t="str">
        <f>"250,0"</f>
        <v>250,0</v>
      </c>
      <c r="L6" s="8" t="str">
        <f>"141,2500"</f>
        <v>141,2500</v>
      </c>
      <c r="M6" s="7"/>
    </row>
    <row r="7" spans="1:13">
      <c r="B7" s="5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topLeftCell="A9" workbookViewId="0">
      <selection activeCell="F38" sqref="F38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5" t="s">
        <v>591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58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527</v>
      </c>
      <c r="C6" s="7" t="s">
        <v>528</v>
      </c>
      <c r="D6" s="7" t="s">
        <v>529</v>
      </c>
      <c r="E6" s="7" t="s">
        <v>631</v>
      </c>
      <c r="F6" s="7" t="s">
        <v>530</v>
      </c>
      <c r="G6" s="18" t="s">
        <v>64</v>
      </c>
      <c r="H6" s="18" t="s">
        <v>278</v>
      </c>
      <c r="I6" s="18" t="s">
        <v>120</v>
      </c>
      <c r="J6" s="8"/>
      <c r="K6" s="8" t="str">
        <f>"45,0"</f>
        <v>45,0</v>
      </c>
      <c r="L6" s="8" t="str">
        <f>"56,5222"</f>
        <v>56,5222</v>
      </c>
      <c r="M6" s="7" t="s">
        <v>498</v>
      </c>
    </row>
    <row r="7" spans="1:13">
      <c r="B7" s="5" t="s">
        <v>56</v>
      </c>
    </row>
    <row r="8" spans="1:13" ht="16">
      <c r="A8" s="66" t="s">
        <v>160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8" t="s">
        <v>55</v>
      </c>
      <c r="B9" s="7" t="s">
        <v>531</v>
      </c>
      <c r="C9" s="7" t="s">
        <v>532</v>
      </c>
      <c r="D9" s="7" t="s">
        <v>533</v>
      </c>
      <c r="E9" s="7" t="s">
        <v>629</v>
      </c>
      <c r="F9" s="7" t="s">
        <v>530</v>
      </c>
      <c r="G9" s="18" t="s">
        <v>122</v>
      </c>
      <c r="H9" s="19" t="s">
        <v>126</v>
      </c>
      <c r="I9" s="18" t="s">
        <v>126</v>
      </c>
      <c r="J9" s="8"/>
      <c r="K9" s="8" t="str">
        <f>"60,0"</f>
        <v>60,0</v>
      </c>
      <c r="L9" s="8" t="str">
        <f>"65,7215"</f>
        <v>65,7215</v>
      </c>
      <c r="M9" s="7" t="s">
        <v>534</v>
      </c>
    </row>
    <row r="10" spans="1:13">
      <c r="B10" s="5" t="s">
        <v>56</v>
      </c>
    </row>
    <row r="11" spans="1:13" ht="16">
      <c r="A11" s="66" t="s">
        <v>68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8" t="s">
        <v>55</v>
      </c>
      <c r="B12" s="7" t="s">
        <v>535</v>
      </c>
      <c r="C12" s="7" t="s">
        <v>536</v>
      </c>
      <c r="D12" s="7" t="s">
        <v>537</v>
      </c>
      <c r="E12" s="7" t="s">
        <v>631</v>
      </c>
      <c r="F12" s="7" t="s">
        <v>530</v>
      </c>
      <c r="G12" s="18" t="s">
        <v>134</v>
      </c>
      <c r="H12" s="18" t="s">
        <v>113</v>
      </c>
      <c r="I12" s="18" t="s">
        <v>63</v>
      </c>
      <c r="J12" s="8"/>
      <c r="K12" s="8" t="str">
        <f>"87,5"</f>
        <v>87,5</v>
      </c>
      <c r="L12" s="8" t="str">
        <f>"91,2084"</f>
        <v>91,2084</v>
      </c>
      <c r="M12" s="7" t="s">
        <v>498</v>
      </c>
    </row>
    <row r="13" spans="1:13">
      <c r="B13" s="5" t="s">
        <v>56</v>
      </c>
    </row>
    <row r="14" spans="1:13" ht="16">
      <c r="A14" s="66" t="s">
        <v>135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3">
      <c r="A15" s="8" t="s">
        <v>55</v>
      </c>
      <c r="B15" s="7" t="s">
        <v>538</v>
      </c>
      <c r="C15" s="7" t="s">
        <v>539</v>
      </c>
      <c r="D15" s="7" t="s">
        <v>540</v>
      </c>
      <c r="E15" s="7" t="s">
        <v>625</v>
      </c>
      <c r="F15" s="7" t="s">
        <v>541</v>
      </c>
      <c r="G15" s="19" t="s">
        <v>126</v>
      </c>
      <c r="H15" s="18" t="s">
        <v>107</v>
      </c>
      <c r="I15" s="19" t="s">
        <v>108</v>
      </c>
      <c r="J15" s="8"/>
      <c r="K15" s="8" t="str">
        <f>"65,0"</f>
        <v>65,0</v>
      </c>
      <c r="L15" s="8" t="str">
        <f>"62,1563"</f>
        <v>62,1563</v>
      </c>
      <c r="M15" s="7" t="s">
        <v>498</v>
      </c>
    </row>
    <row r="16" spans="1:13">
      <c r="B16" s="5" t="s">
        <v>56</v>
      </c>
    </row>
    <row r="17" spans="1:13" ht="16">
      <c r="A17" s="66" t="s">
        <v>58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8" t="s">
        <v>55</v>
      </c>
      <c r="B18" s="7" t="s">
        <v>542</v>
      </c>
      <c r="C18" s="7" t="s">
        <v>586</v>
      </c>
      <c r="D18" s="7" t="s">
        <v>543</v>
      </c>
      <c r="E18" s="7" t="s">
        <v>628</v>
      </c>
      <c r="F18" s="7" t="s">
        <v>500</v>
      </c>
      <c r="G18" s="18" t="s">
        <v>65</v>
      </c>
      <c r="H18" s="18" t="s">
        <v>413</v>
      </c>
      <c r="I18" s="19" t="s">
        <v>148</v>
      </c>
      <c r="J18" s="8"/>
      <c r="K18" s="8" t="str">
        <f>"95,0"</f>
        <v>95,0</v>
      </c>
      <c r="L18" s="8" t="str">
        <f>"74,4895"</f>
        <v>74,4895</v>
      </c>
      <c r="M18" s="7" t="s">
        <v>585</v>
      </c>
    </row>
    <row r="19" spans="1:13">
      <c r="B19" s="5" t="s">
        <v>56</v>
      </c>
    </row>
    <row r="20" spans="1:13" ht="16">
      <c r="A20" s="66" t="s">
        <v>160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10" t="s">
        <v>55</v>
      </c>
      <c r="B21" s="9" t="s">
        <v>544</v>
      </c>
      <c r="C21" s="9" t="s">
        <v>545</v>
      </c>
      <c r="D21" s="9" t="s">
        <v>546</v>
      </c>
      <c r="E21" s="9" t="s">
        <v>625</v>
      </c>
      <c r="F21" s="9" t="s">
        <v>547</v>
      </c>
      <c r="G21" s="21" t="s">
        <v>42</v>
      </c>
      <c r="H21" s="20" t="s">
        <v>154</v>
      </c>
      <c r="I21" s="20" t="s">
        <v>154</v>
      </c>
      <c r="J21" s="10"/>
      <c r="K21" s="10" t="str">
        <f>"135,0"</f>
        <v>135,0</v>
      </c>
      <c r="L21" s="10" t="str">
        <f>"96,0795"</f>
        <v>96,0795</v>
      </c>
      <c r="M21" s="9" t="s">
        <v>548</v>
      </c>
    </row>
    <row r="22" spans="1:13">
      <c r="A22" s="25" t="s">
        <v>55</v>
      </c>
      <c r="B22" s="24" t="s">
        <v>549</v>
      </c>
      <c r="C22" s="24" t="s">
        <v>550</v>
      </c>
      <c r="D22" s="24" t="s">
        <v>551</v>
      </c>
      <c r="E22" s="24" t="s">
        <v>626</v>
      </c>
      <c r="F22" s="24" t="s">
        <v>552</v>
      </c>
      <c r="G22" s="26" t="s">
        <v>127</v>
      </c>
      <c r="H22" s="26" t="s">
        <v>113</v>
      </c>
      <c r="I22" s="27" t="s">
        <v>65</v>
      </c>
      <c r="J22" s="25"/>
      <c r="K22" s="25" t="str">
        <f>"85,0"</f>
        <v>85,0</v>
      </c>
      <c r="L22" s="25" t="str">
        <f>"62,1856"</f>
        <v>62,1856</v>
      </c>
      <c r="M22" s="24" t="s">
        <v>534</v>
      </c>
    </row>
    <row r="23" spans="1:13">
      <c r="A23" s="25" t="s">
        <v>55</v>
      </c>
      <c r="B23" s="24" t="s">
        <v>553</v>
      </c>
      <c r="C23" s="24" t="s">
        <v>554</v>
      </c>
      <c r="D23" s="24" t="s">
        <v>295</v>
      </c>
      <c r="E23" s="24" t="s">
        <v>629</v>
      </c>
      <c r="F23" s="24" t="s">
        <v>561</v>
      </c>
      <c r="G23" s="26" t="s">
        <v>413</v>
      </c>
      <c r="H23" s="27" t="s">
        <v>148</v>
      </c>
      <c r="I23" s="26" t="s">
        <v>148</v>
      </c>
      <c r="J23" s="25"/>
      <c r="K23" s="25" t="str">
        <f>"100,0"</f>
        <v>100,0</v>
      </c>
      <c r="L23" s="25" t="str">
        <f>"97,2114"</f>
        <v>97,2114</v>
      </c>
      <c r="M23" s="24" t="s">
        <v>498</v>
      </c>
    </row>
    <row r="24" spans="1:13">
      <c r="A24" s="12" t="s">
        <v>55</v>
      </c>
      <c r="B24" s="11" t="s">
        <v>555</v>
      </c>
      <c r="C24" s="11" t="s">
        <v>556</v>
      </c>
      <c r="D24" s="11" t="s">
        <v>557</v>
      </c>
      <c r="E24" s="11" t="s">
        <v>631</v>
      </c>
      <c r="F24" s="11" t="s">
        <v>500</v>
      </c>
      <c r="G24" s="23" t="s">
        <v>109</v>
      </c>
      <c r="H24" s="23" t="s">
        <v>127</v>
      </c>
      <c r="I24" s="22" t="s">
        <v>111</v>
      </c>
      <c r="J24" s="12"/>
      <c r="K24" s="12" t="str">
        <f>"75,0"</f>
        <v>75,0</v>
      </c>
      <c r="L24" s="12" t="str">
        <f>"90,6621"</f>
        <v>90,6621</v>
      </c>
      <c r="M24" s="11"/>
    </row>
    <row r="25" spans="1:13">
      <c r="B25" s="5" t="s">
        <v>56</v>
      </c>
    </row>
    <row r="26" spans="1:13" ht="16">
      <c r="A26" s="66" t="s">
        <v>165</v>
      </c>
      <c r="B26" s="66"/>
      <c r="C26" s="66"/>
      <c r="D26" s="66"/>
      <c r="E26" s="66"/>
      <c r="F26" s="66"/>
      <c r="G26" s="66"/>
      <c r="H26" s="66"/>
      <c r="I26" s="66"/>
      <c r="J26" s="66"/>
    </row>
    <row r="27" spans="1:13">
      <c r="A27" s="10" t="s">
        <v>55</v>
      </c>
      <c r="B27" s="9" t="s">
        <v>558</v>
      </c>
      <c r="C27" s="9" t="s">
        <v>559</v>
      </c>
      <c r="D27" s="9" t="s">
        <v>560</v>
      </c>
      <c r="E27" s="9" t="s">
        <v>631</v>
      </c>
      <c r="F27" s="9" t="s">
        <v>561</v>
      </c>
      <c r="G27" s="21" t="s">
        <v>155</v>
      </c>
      <c r="H27" s="21" t="s">
        <v>169</v>
      </c>
      <c r="I27" s="21" t="s">
        <v>156</v>
      </c>
      <c r="J27" s="10"/>
      <c r="K27" s="10" t="str">
        <f>"112,5"</f>
        <v>112,5</v>
      </c>
      <c r="L27" s="10" t="str">
        <f>"99,5276"</f>
        <v>99,5276</v>
      </c>
      <c r="M27" s="9" t="s">
        <v>534</v>
      </c>
    </row>
    <row r="28" spans="1:13">
      <c r="A28" s="25" t="s">
        <v>227</v>
      </c>
      <c r="B28" s="24" t="s">
        <v>562</v>
      </c>
      <c r="C28" s="24" t="s">
        <v>563</v>
      </c>
      <c r="D28" s="24" t="s">
        <v>564</v>
      </c>
      <c r="E28" s="24" t="s">
        <v>631</v>
      </c>
      <c r="F28" s="24" t="s">
        <v>552</v>
      </c>
      <c r="G28" s="26" t="s">
        <v>148</v>
      </c>
      <c r="H28" s="27" t="s">
        <v>155</v>
      </c>
      <c r="I28" s="27" t="s">
        <v>155</v>
      </c>
      <c r="J28" s="25"/>
      <c r="K28" s="25" t="str">
        <f>"100,0"</f>
        <v>100,0</v>
      </c>
      <c r="L28" s="25" t="str">
        <f>"97,6333"</f>
        <v>97,6333</v>
      </c>
      <c r="M28" s="24" t="s">
        <v>498</v>
      </c>
    </row>
    <row r="29" spans="1:13">
      <c r="A29" s="12" t="s">
        <v>55</v>
      </c>
      <c r="B29" s="11" t="s">
        <v>565</v>
      </c>
      <c r="C29" s="11" t="s">
        <v>566</v>
      </c>
      <c r="D29" s="11" t="s">
        <v>567</v>
      </c>
      <c r="E29" s="11" t="s">
        <v>632</v>
      </c>
      <c r="F29" s="11" t="s">
        <v>552</v>
      </c>
      <c r="G29" s="23" t="s">
        <v>123</v>
      </c>
      <c r="H29" s="22" t="s">
        <v>124</v>
      </c>
      <c r="I29" s="12"/>
      <c r="J29" s="12"/>
      <c r="K29" s="12" t="str">
        <f>"25,0"</f>
        <v>25,0</v>
      </c>
      <c r="L29" s="12" t="str">
        <f>"35,1831"</f>
        <v>35,1831</v>
      </c>
      <c r="M29" s="11" t="s">
        <v>498</v>
      </c>
    </row>
    <row r="30" spans="1:13">
      <c r="B30" s="5" t="s">
        <v>56</v>
      </c>
    </row>
    <row r="31" spans="1:13" ht="16">
      <c r="A31" s="66" t="s">
        <v>10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3">
      <c r="A32" s="10" t="s">
        <v>55</v>
      </c>
      <c r="B32" s="9" t="s">
        <v>568</v>
      </c>
      <c r="C32" s="9" t="s">
        <v>569</v>
      </c>
      <c r="D32" s="9" t="s">
        <v>186</v>
      </c>
      <c r="E32" s="9" t="s">
        <v>625</v>
      </c>
      <c r="F32" s="9" t="s">
        <v>541</v>
      </c>
      <c r="G32" s="21" t="s">
        <v>73</v>
      </c>
      <c r="H32" s="21" t="s">
        <v>40</v>
      </c>
      <c r="I32" s="20" t="s">
        <v>74</v>
      </c>
      <c r="J32" s="10"/>
      <c r="K32" s="10" t="str">
        <f>"125,0"</f>
        <v>125,0</v>
      </c>
      <c r="L32" s="10" t="str">
        <f>"75,2437"</f>
        <v>75,2437</v>
      </c>
      <c r="M32" s="9" t="s">
        <v>498</v>
      </c>
    </row>
    <row r="33" spans="1:13">
      <c r="A33" s="25" t="s">
        <v>55</v>
      </c>
      <c r="B33" s="24" t="s">
        <v>570</v>
      </c>
      <c r="C33" s="24" t="s">
        <v>571</v>
      </c>
      <c r="D33" s="24" t="s">
        <v>79</v>
      </c>
      <c r="E33" s="24" t="s">
        <v>626</v>
      </c>
      <c r="F33" s="24" t="s">
        <v>552</v>
      </c>
      <c r="G33" s="26" t="s">
        <v>113</v>
      </c>
      <c r="H33" s="27" t="s">
        <v>413</v>
      </c>
      <c r="I33" s="26" t="s">
        <v>413</v>
      </c>
      <c r="J33" s="25"/>
      <c r="K33" s="25" t="str">
        <f>"95,0"</f>
        <v>95,0</v>
      </c>
      <c r="L33" s="25" t="str">
        <f>"55,2235"</f>
        <v>55,2235</v>
      </c>
      <c r="M33" s="24" t="s">
        <v>534</v>
      </c>
    </row>
    <row r="34" spans="1:13">
      <c r="A34" s="25" t="s">
        <v>55</v>
      </c>
      <c r="B34" s="24" t="s">
        <v>572</v>
      </c>
      <c r="C34" s="24" t="s">
        <v>573</v>
      </c>
      <c r="D34" s="24" t="s">
        <v>574</v>
      </c>
      <c r="E34" s="24" t="s">
        <v>629</v>
      </c>
      <c r="F34" s="24" t="s">
        <v>552</v>
      </c>
      <c r="G34" s="26" t="s">
        <v>42</v>
      </c>
      <c r="H34" s="27" t="s">
        <v>19</v>
      </c>
      <c r="I34" s="27" t="s">
        <v>19</v>
      </c>
      <c r="J34" s="25"/>
      <c r="K34" s="25" t="str">
        <f>"135,0"</f>
        <v>135,0</v>
      </c>
      <c r="L34" s="25" t="str">
        <f>"90,8863"</f>
        <v>90,8863</v>
      </c>
      <c r="M34" s="24"/>
    </row>
    <row r="35" spans="1:13">
      <c r="A35" s="12" t="s">
        <v>55</v>
      </c>
      <c r="B35" s="11" t="s">
        <v>575</v>
      </c>
      <c r="C35" s="11" t="s">
        <v>576</v>
      </c>
      <c r="D35" s="11" t="s">
        <v>577</v>
      </c>
      <c r="E35" s="11" t="s">
        <v>630</v>
      </c>
      <c r="F35" s="11" t="s">
        <v>552</v>
      </c>
      <c r="G35" s="23" t="s">
        <v>126</v>
      </c>
      <c r="H35" s="23" t="s">
        <v>108</v>
      </c>
      <c r="I35" s="22" t="s">
        <v>111</v>
      </c>
      <c r="J35" s="12"/>
      <c r="K35" s="12" t="str">
        <f>"70,0"</f>
        <v>70,0</v>
      </c>
      <c r="L35" s="12" t="str">
        <f>"76,8288"</f>
        <v>76,8288</v>
      </c>
      <c r="M35" s="11" t="s">
        <v>498</v>
      </c>
    </row>
    <row r="36" spans="1:13">
      <c r="B36" s="5" t="s">
        <v>56</v>
      </c>
    </row>
    <row r="37" spans="1:13" ht="16">
      <c r="A37" s="66" t="s">
        <v>23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3">
      <c r="A38" s="8" t="s">
        <v>55</v>
      </c>
      <c r="B38" s="7" t="s">
        <v>578</v>
      </c>
      <c r="C38" s="7" t="s">
        <v>579</v>
      </c>
      <c r="D38" s="7" t="s">
        <v>366</v>
      </c>
      <c r="E38" s="7" t="s">
        <v>631</v>
      </c>
      <c r="F38" s="7" t="s">
        <v>580</v>
      </c>
      <c r="G38" s="18" t="s">
        <v>156</v>
      </c>
      <c r="H38" s="18" t="s">
        <v>170</v>
      </c>
      <c r="I38" s="18" t="s">
        <v>73</v>
      </c>
      <c r="J38" s="8"/>
      <c r="K38" s="8" t="str">
        <f>"120,0"</f>
        <v>120,0</v>
      </c>
      <c r="L38" s="8" t="str">
        <f>"106,9114"</f>
        <v>106,9114</v>
      </c>
      <c r="M38" s="7" t="s">
        <v>498</v>
      </c>
    </row>
    <row r="39" spans="1:13">
      <c r="B39" s="5" t="s">
        <v>56</v>
      </c>
    </row>
    <row r="40" spans="1:13">
      <c r="B40" s="5" t="s">
        <v>56</v>
      </c>
    </row>
    <row r="41" spans="1:13">
      <c r="B41" s="5" t="s">
        <v>56</v>
      </c>
    </row>
    <row r="42" spans="1:13" ht="18">
      <c r="B42" s="13" t="s">
        <v>45</v>
      </c>
      <c r="C42" s="13"/>
    </row>
    <row r="43" spans="1:13" ht="16">
      <c r="B43" s="14" t="s">
        <v>46</v>
      </c>
      <c r="C43" s="14"/>
    </row>
    <row r="44" spans="1:13" ht="14">
      <c r="B44" s="15"/>
      <c r="C44" s="16" t="s">
        <v>226</v>
      </c>
    </row>
    <row r="45" spans="1:13" ht="14">
      <c r="B45" s="17" t="s">
        <v>48</v>
      </c>
      <c r="C45" s="17" t="s">
        <v>49</v>
      </c>
      <c r="D45" s="17" t="s">
        <v>50</v>
      </c>
      <c r="E45" s="17" t="s">
        <v>234</v>
      </c>
      <c r="F45" s="17" t="s">
        <v>235</v>
      </c>
    </row>
    <row r="46" spans="1:13">
      <c r="B46" s="5" t="s">
        <v>578</v>
      </c>
      <c r="C46" s="5" t="s">
        <v>581</v>
      </c>
      <c r="D46" s="6" t="s">
        <v>53</v>
      </c>
      <c r="E46" s="6" t="s">
        <v>73</v>
      </c>
      <c r="F46" s="6" t="s">
        <v>582</v>
      </c>
    </row>
    <row r="47" spans="1:13">
      <c r="B47" s="5" t="s">
        <v>558</v>
      </c>
      <c r="C47" s="5" t="s">
        <v>581</v>
      </c>
      <c r="D47" s="6" t="s">
        <v>223</v>
      </c>
      <c r="E47" s="6" t="s">
        <v>156</v>
      </c>
      <c r="F47" s="6" t="s">
        <v>583</v>
      </c>
    </row>
    <row r="48" spans="1:13">
      <c r="B48" s="5" t="s">
        <v>562</v>
      </c>
      <c r="C48" s="5" t="s">
        <v>581</v>
      </c>
      <c r="D48" s="6" t="s">
        <v>223</v>
      </c>
      <c r="E48" s="6" t="s">
        <v>148</v>
      </c>
      <c r="F48" s="6" t="s">
        <v>584</v>
      </c>
    </row>
    <row r="49" spans="2:2">
      <c r="B49" s="5" t="s">
        <v>56</v>
      </c>
    </row>
    <row r="50" spans="2:2">
      <c r="B50" s="5" t="s">
        <v>56</v>
      </c>
    </row>
    <row r="51" spans="2:2">
      <c r="B51" s="5" t="s">
        <v>56</v>
      </c>
    </row>
    <row r="52" spans="2:2">
      <c r="B52" s="5" t="s">
        <v>56</v>
      </c>
    </row>
    <row r="53" spans="2:2">
      <c r="B53" s="5" t="s">
        <v>56</v>
      </c>
    </row>
    <row r="54" spans="2:2">
      <c r="B54" s="5" t="s">
        <v>56</v>
      </c>
    </row>
    <row r="55" spans="2:2">
      <c r="B55" s="5" t="s">
        <v>56</v>
      </c>
    </row>
  </sheetData>
  <mergeCells count="20">
    <mergeCell ref="A31:J31"/>
    <mergeCell ref="A37:J37"/>
    <mergeCell ref="B3:B4"/>
    <mergeCell ref="A8:J8"/>
    <mergeCell ref="A11:J11"/>
    <mergeCell ref="A14:J14"/>
    <mergeCell ref="A17:J17"/>
    <mergeCell ref="A20:J20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55" t="s">
        <v>594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9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103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406</v>
      </c>
      <c r="C6" s="7" t="s">
        <v>407</v>
      </c>
      <c r="D6" s="7" t="s">
        <v>408</v>
      </c>
      <c r="E6" s="7" t="s">
        <v>625</v>
      </c>
      <c r="F6" s="7" t="s">
        <v>14</v>
      </c>
      <c r="G6" s="18" t="s">
        <v>155</v>
      </c>
      <c r="H6" s="18" t="s">
        <v>157</v>
      </c>
      <c r="I6" s="18" t="s">
        <v>409</v>
      </c>
      <c r="J6" s="8"/>
      <c r="K6" s="8" t="str">
        <f>"121,0"</f>
        <v>121,0</v>
      </c>
      <c r="L6" s="8" t="str">
        <f>"172,1951"</f>
        <v>172,1951</v>
      </c>
      <c r="M6" s="7" t="s">
        <v>114</v>
      </c>
    </row>
    <row r="7" spans="1:13">
      <c r="B7" s="5" t="s">
        <v>56</v>
      </c>
    </row>
    <row r="8" spans="1:13" ht="16">
      <c r="A8" s="66" t="s">
        <v>128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10" t="s">
        <v>55</v>
      </c>
      <c r="B9" s="9" t="s">
        <v>410</v>
      </c>
      <c r="C9" s="9" t="s">
        <v>411</v>
      </c>
      <c r="D9" s="9" t="s">
        <v>412</v>
      </c>
      <c r="E9" s="9" t="s">
        <v>627</v>
      </c>
      <c r="F9" s="9" t="s">
        <v>144</v>
      </c>
      <c r="G9" s="20" t="s">
        <v>65</v>
      </c>
      <c r="H9" s="21" t="s">
        <v>65</v>
      </c>
      <c r="I9" s="20" t="s">
        <v>413</v>
      </c>
      <c r="J9" s="10"/>
      <c r="K9" s="10" t="str">
        <f>"90,0"</f>
        <v>90,0</v>
      </c>
      <c r="L9" s="10" t="str">
        <f>"115,6140"</f>
        <v>115,6140</v>
      </c>
      <c r="M9" s="9" t="s">
        <v>149</v>
      </c>
    </row>
    <row r="10" spans="1:13">
      <c r="A10" s="12" t="s">
        <v>55</v>
      </c>
      <c r="B10" s="11" t="s">
        <v>410</v>
      </c>
      <c r="C10" s="11" t="s">
        <v>414</v>
      </c>
      <c r="D10" s="11" t="s">
        <v>412</v>
      </c>
      <c r="E10" s="11" t="s">
        <v>625</v>
      </c>
      <c r="F10" s="11" t="s">
        <v>144</v>
      </c>
      <c r="G10" s="22" t="s">
        <v>65</v>
      </c>
      <c r="H10" s="23" t="s">
        <v>65</v>
      </c>
      <c r="I10" s="22" t="s">
        <v>413</v>
      </c>
      <c r="J10" s="12"/>
      <c r="K10" s="12" t="str">
        <f>"90,0"</f>
        <v>90,0</v>
      </c>
      <c r="L10" s="12" t="str">
        <f>"115,6140"</f>
        <v>115,6140</v>
      </c>
      <c r="M10" s="11" t="s">
        <v>149</v>
      </c>
    </row>
    <row r="11" spans="1:13">
      <c r="B11" s="5" t="s">
        <v>56</v>
      </c>
    </row>
    <row r="12" spans="1:13" ht="16">
      <c r="A12" s="66" t="s">
        <v>58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10" t="s">
        <v>55</v>
      </c>
      <c r="B13" s="9" t="s">
        <v>415</v>
      </c>
      <c r="C13" s="9" t="s">
        <v>416</v>
      </c>
      <c r="D13" s="9" t="s">
        <v>417</v>
      </c>
      <c r="E13" s="9" t="s">
        <v>627</v>
      </c>
      <c r="F13" s="9" t="s">
        <v>14</v>
      </c>
      <c r="G13" s="21" t="s">
        <v>16</v>
      </c>
      <c r="H13" s="20" t="s">
        <v>100</v>
      </c>
      <c r="I13" s="10"/>
      <c r="J13" s="10"/>
      <c r="K13" s="10" t="str">
        <f>"195,0"</f>
        <v>195,0</v>
      </c>
      <c r="L13" s="10" t="str">
        <f>"150,5205"</f>
        <v>150,5205</v>
      </c>
      <c r="M13" s="9" t="s">
        <v>114</v>
      </c>
    </row>
    <row r="14" spans="1:13">
      <c r="A14" s="25" t="s">
        <v>55</v>
      </c>
      <c r="B14" s="24" t="s">
        <v>418</v>
      </c>
      <c r="C14" s="24" t="s">
        <v>419</v>
      </c>
      <c r="D14" s="24" t="s">
        <v>420</v>
      </c>
      <c r="E14" s="24" t="s">
        <v>628</v>
      </c>
      <c r="F14" s="24" t="s">
        <v>14</v>
      </c>
      <c r="G14" s="27" t="s">
        <v>72</v>
      </c>
      <c r="H14" s="26" t="s">
        <v>72</v>
      </c>
      <c r="I14" s="26" t="s">
        <v>75</v>
      </c>
      <c r="J14" s="25"/>
      <c r="K14" s="25" t="str">
        <f>"170,0"</f>
        <v>170,0</v>
      </c>
      <c r="L14" s="25" t="str">
        <f>"132,1750"</f>
        <v>132,1750</v>
      </c>
      <c r="M14" s="24" t="s">
        <v>114</v>
      </c>
    </row>
    <row r="15" spans="1:13">
      <c r="A15" s="25" t="s">
        <v>55</v>
      </c>
      <c r="B15" s="24" t="s">
        <v>415</v>
      </c>
      <c r="C15" s="24" t="s">
        <v>421</v>
      </c>
      <c r="D15" s="24" t="s">
        <v>417</v>
      </c>
      <c r="E15" s="24" t="s">
        <v>625</v>
      </c>
      <c r="F15" s="24" t="s">
        <v>14</v>
      </c>
      <c r="G15" s="26" t="s">
        <v>16</v>
      </c>
      <c r="H15" s="27" t="s">
        <v>100</v>
      </c>
      <c r="I15" s="25"/>
      <c r="J15" s="25"/>
      <c r="K15" s="25" t="str">
        <f>"195,0"</f>
        <v>195,0</v>
      </c>
      <c r="L15" s="25" t="str">
        <f>"150,5205"</f>
        <v>150,5205</v>
      </c>
      <c r="M15" s="24" t="s">
        <v>114</v>
      </c>
    </row>
    <row r="16" spans="1:13">
      <c r="A16" s="12" t="s">
        <v>227</v>
      </c>
      <c r="B16" s="11" t="s">
        <v>418</v>
      </c>
      <c r="C16" s="11" t="s">
        <v>422</v>
      </c>
      <c r="D16" s="11" t="s">
        <v>420</v>
      </c>
      <c r="E16" s="11" t="s">
        <v>625</v>
      </c>
      <c r="F16" s="11" t="s">
        <v>14</v>
      </c>
      <c r="G16" s="22" t="s">
        <v>72</v>
      </c>
      <c r="H16" s="23" t="s">
        <v>72</v>
      </c>
      <c r="I16" s="23" t="s">
        <v>75</v>
      </c>
      <c r="J16" s="12"/>
      <c r="K16" s="12" t="str">
        <f>"170,0"</f>
        <v>170,0</v>
      </c>
      <c r="L16" s="12" t="str">
        <f>"132,1750"</f>
        <v>132,1750</v>
      </c>
      <c r="M16" s="11" t="s">
        <v>114</v>
      </c>
    </row>
    <row r="17" spans="1:13">
      <c r="B17" s="5" t="s">
        <v>56</v>
      </c>
    </row>
    <row r="18" spans="1:13" ht="16">
      <c r="A18" s="66" t="s">
        <v>160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3">
      <c r="A19" s="8" t="s">
        <v>55</v>
      </c>
      <c r="B19" s="7" t="s">
        <v>423</v>
      </c>
      <c r="C19" s="7" t="s">
        <v>424</v>
      </c>
      <c r="D19" s="7" t="s">
        <v>425</v>
      </c>
      <c r="E19" s="7" t="s">
        <v>625</v>
      </c>
      <c r="F19" s="7" t="s">
        <v>132</v>
      </c>
      <c r="G19" s="18" t="s">
        <v>17</v>
      </c>
      <c r="H19" s="19" t="s">
        <v>22</v>
      </c>
      <c r="I19" s="19" t="s">
        <v>22</v>
      </c>
      <c r="J19" s="8"/>
      <c r="K19" s="8" t="str">
        <f>"200,0"</f>
        <v>200,0</v>
      </c>
      <c r="L19" s="8" t="str">
        <f>"143,3200"</f>
        <v>143,3200</v>
      </c>
      <c r="M19" s="7" t="s">
        <v>426</v>
      </c>
    </row>
    <row r="20" spans="1:13">
      <c r="B20" s="5" t="s">
        <v>56</v>
      </c>
    </row>
    <row r="21" spans="1:13" ht="16">
      <c r="A21" s="66" t="s">
        <v>68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>
      <c r="A22" s="10" t="s">
        <v>55</v>
      </c>
      <c r="B22" s="9" t="s">
        <v>427</v>
      </c>
      <c r="C22" s="9" t="s">
        <v>428</v>
      </c>
      <c r="D22" s="9" t="s">
        <v>429</v>
      </c>
      <c r="E22" s="9" t="s">
        <v>625</v>
      </c>
      <c r="F22" s="9" t="s">
        <v>430</v>
      </c>
      <c r="G22" s="21" t="s">
        <v>233</v>
      </c>
      <c r="H22" s="20" t="s">
        <v>431</v>
      </c>
      <c r="I22" s="20" t="s">
        <v>431</v>
      </c>
      <c r="J22" s="10"/>
      <c r="K22" s="10" t="str">
        <f>"260,0"</f>
        <v>260,0</v>
      </c>
      <c r="L22" s="10" t="str">
        <f>"167,2320"</f>
        <v>167,2320</v>
      </c>
      <c r="M22" s="9"/>
    </row>
    <row r="23" spans="1:13">
      <c r="A23" s="25" t="s">
        <v>227</v>
      </c>
      <c r="B23" s="24" t="s">
        <v>178</v>
      </c>
      <c r="C23" s="24" t="s">
        <v>179</v>
      </c>
      <c r="D23" s="24" t="s">
        <v>180</v>
      </c>
      <c r="E23" s="24" t="s">
        <v>625</v>
      </c>
      <c r="F23" s="24" t="s">
        <v>119</v>
      </c>
      <c r="G23" s="41" t="s">
        <v>29</v>
      </c>
      <c r="H23" s="41" t="s">
        <v>182</v>
      </c>
      <c r="I23" s="43" t="s">
        <v>183</v>
      </c>
      <c r="J23" s="25"/>
      <c r="K23" s="25" t="str">
        <f>"255,0"</f>
        <v>255,0</v>
      </c>
      <c r="L23" s="25" t="str">
        <f>"168,7845"</f>
        <v>168,7845</v>
      </c>
      <c r="M23" s="24"/>
    </row>
    <row r="24" spans="1:13">
      <c r="A24" s="25" t="s">
        <v>228</v>
      </c>
      <c r="B24" s="24" t="s">
        <v>432</v>
      </c>
      <c r="C24" s="24" t="s">
        <v>433</v>
      </c>
      <c r="D24" s="24" t="s">
        <v>434</v>
      </c>
      <c r="E24" s="24" t="s">
        <v>625</v>
      </c>
      <c r="F24" s="24" t="s">
        <v>435</v>
      </c>
      <c r="G24" s="26" t="s">
        <v>188</v>
      </c>
      <c r="H24" s="26" t="s">
        <v>38</v>
      </c>
      <c r="I24" s="27" t="s">
        <v>436</v>
      </c>
      <c r="J24" s="25"/>
      <c r="K24" s="25" t="str">
        <f>"230,0"</f>
        <v>230,0</v>
      </c>
      <c r="L24" s="25" t="str">
        <f>"150,6270"</f>
        <v>150,6270</v>
      </c>
      <c r="M24" s="24"/>
    </row>
    <row r="25" spans="1:13">
      <c r="A25" s="25" t="s">
        <v>380</v>
      </c>
      <c r="B25" s="24" t="s">
        <v>437</v>
      </c>
      <c r="C25" s="24" t="s">
        <v>438</v>
      </c>
      <c r="D25" s="24" t="s">
        <v>439</v>
      </c>
      <c r="E25" s="24" t="s">
        <v>625</v>
      </c>
      <c r="F25" s="24" t="s">
        <v>14</v>
      </c>
      <c r="G25" s="26" t="s">
        <v>17</v>
      </c>
      <c r="H25" s="26" t="s">
        <v>177</v>
      </c>
      <c r="I25" s="26" t="s">
        <v>440</v>
      </c>
      <c r="J25" s="25"/>
      <c r="K25" s="25" t="str">
        <f>"225,0"</f>
        <v>225,0</v>
      </c>
      <c r="L25" s="25" t="str">
        <f>"146,3175"</f>
        <v>146,3175</v>
      </c>
      <c r="M25" s="24"/>
    </row>
    <row r="26" spans="1:13">
      <c r="A26" s="12" t="s">
        <v>381</v>
      </c>
      <c r="B26" s="11" t="s">
        <v>441</v>
      </c>
      <c r="C26" s="11" t="s">
        <v>442</v>
      </c>
      <c r="D26" s="11" t="s">
        <v>350</v>
      </c>
      <c r="E26" s="11" t="s">
        <v>625</v>
      </c>
      <c r="F26" s="11" t="s">
        <v>363</v>
      </c>
      <c r="G26" s="23" t="s">
        <v>16</v>
      </c>
      <c r="H26" s="23" t="s">
        <v>181</v>
      </c>
      <c r="I26" s="23" t="s">
        <v>43</v>
      </c>
      <c r="J26" s="12"/>
      <c r="K26" s="12" t="str">
        <f>"215,0"</f>
        <v>215,0</v>
      </c>
      <c r="L26" s="12" t="str">
        <f>"139,1265"</f>
        <v>139,1265</v>
      </c>
      <c r="M26" s="11"/>
    </row>
    <row r="27" spans="1:13">
      <c r="B27" s="5" t="s">
        <v>56</v>
      </c>
    </row>
    <row r="28" spans="1:13" ht="16">
      <c r="A28" s="66" t="s">
        <v>10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3">
      <c r="A29" s="10" t="s">
        <v>55</v>
      </c>
      <c r="B29" s="9" t="s">
        <v>443</v>
      </c>
      <c r="C29" s="9" t="s">
        <v>444</v>
      </c>
      <c r="D29" s="9" t="s">
        <v>445</v>
      </c>
      <c r="E29" s="9" t="s">
        <v>625</v>
      </c>
      <c r="F29" s="9" t="s">
        <v>608</v>
      </c>
      <c r="G29" s="21" t="s">
        <v>39</v>
      </c>
      <c r="H29" s="21" t="s">
        <v>182</v>
      </c>
      <c r="I29" s="20" t="s">
        <v>446</v>
      </c>
      <c r="J29" s="10"/>
      <c r="K29" s="10" t="str">
        <f>"255,0"</f>
        <v>255,0</v>
      </c>
      <c r="L29" s="10" t="str">
        <f>"155,4480"</f>
        <v>155,4480</v>
      </c>
      <c r="M29" s="9" t="s">
        <v>447</v>
      </c>
    </row>
    <row r="30" spans="1:13">
      <c r="A30" s="12" t="s">
        <v>227</v>
      </c>
      <c r="B30" s="11" t="s">
        <v>448</v>
      </c>
      <c r="C30" s="11" t="s">
        <v>449</v>
      </c>
      <c r="D30" s="11" t="s">
        <v>450</v>
      </c>
      <c r="E30" s="11" t="s">
        <v>625</v>
      </c>
      <c r="F30" s="11" t="s">
        <v>232</v>
      </c>
      <c r="G30" s="23" t="s">
        <v>28</v>
      </c>
      <c r="H30" s="22" t="s">
        <v>29</v>
      </c>
      <c r="I30" s="23" t="s">
        <v>29</v>
      </c>
      <c r="J30" s="12"/>
      <c r="K30" s="12" t="str">
        <f>"250,0"</f>
        <v>250,0</v>
      </c>
      <c r="L30" s="12" t="str">
        <f>"159,0750"</f>
        <v>159,0750</v>
      </c>
      <c r="M30" s="11" t="s">
        <v>611</v>
      </c>
    </row>
    <row r="31" spans="1:13">
      <c r="B31" s="5" t="s">
        <v>56</v>
      </c>
    </row>
    <row r="32" spans="1:13" ht="16">
      <c r="A32" s="66" t="s">
        <v>94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3">
      <c r="A33" s="8" t="s">
        <v>55</v>
      </c>
      <c r="B33" s="7" t="s">
        <v>451</v>
      </c>
      <c r="C33" s="7" t="s">
        <v>452</v>
      </c>
      <c r="D33" s="7" t="s">
        <v>453</v>
      </c>
      <c r="E33" s="7" t="s">
        <v>625</v>
      </c>
      <c r="F33" s="7" t="s">
        <v>608</v>
      </c>
      <c r="G33" s="18" t="s">
        <v>39</v>
      </c>
      <c r="H33" s="18" t="s">
        <v>29</v>
      </c>
      <c r="I33" s="19" t="s">
        <v>183</v>
      </c>
      <c r="J33" s="8"/>
      <c r="K33" s="8" t="str">
        <f>"250,0"</f>
        <v>250,0</v>
      </c>
      <c r="L33" s="8" t="str">
        <f>"143,0250"</f>
        <v>143,0250</v>
      </c>
      <c r="M33" s="7" t="s">
        <v>296</v>
      </c>
    </row>
    <row r="34" spans="1:13">
      <c r="B34" s="5" t="s">
        <v>56</v>
      </c>
    </row>
    <row r="35" spans="1:13">
      <c r="B35" s="5" t="s">
        <v>56</v>
      </c>
    </row>
    <row r="36" spans="1:13">
      <c r="B36" s="5" t="s">
        <v>56</v>
      </c>
    </row>
    <row r="37" spans="1:13" ht="18">
      <c r="B37" s="13" t="s">
        <v>45</v>
      </c>
      <c r="C37" s="13"/>
      <c r="F37" s="3"/>
    </row>
    <row r="38" spans="1:13" ht="16">
      <c r="B38" s="14" t="s">
        <v>46</v>
      </c>
      <c r="C38" s="14"/>
      <c r="F38" s="3"/>
    </row>
    <row r="39" spans="1:13" ht="14">
      <c r="B39" s="15"/>
      <c r="C39" s="16" t="s">
        <v>47</v>
      </c>
      <c r="F39" s="3"/>
    </row>
    <row r="40" spans="1:13" ht="14">
      <c r="B40" s="17" t="s">
        <v>48</v>
      </c>
      <c r="C40" s="17" t="s">
        <v>49</v>
      </c>
      <c r="D40" s="17" t="s">
        <v>50</v>
      </c>
      <c r="E40" s="17" t="s">
        <v>234</v>
      </c>
      <c r="F40" s="17" t="s">
        <v>52</v>
      </c>
    </row>
    <row r="41" spans="1:13">
      <c r="B41" s="5" t="s">
        <v>178</v>
      </c>
      <c r="C41" s="5" t="s">
        <v>47</v>
      </c>
      <c r="D41" s="6" t="s">
        <v>85</v>
      </c>
      <c r="E41" s="6" t="s">
        <v>182</v>
      </c>
      <c r="F41" s="6" t="s">
        <v>454</v>
      </c>
    </row>
    <row r="42" spans="1:13">
      <c r="B42" s="5" t="s">
        <v>427</v>
      </c>
      <c r="C42" s="5" t="s">
        <v>47</v>
      </c>
      <c r="D42" s="6" t="s">
        <v>85</v>
      </c>
      <c r="E42" s="6" t="s">
        <v>233</v>
      </c>
      <c r="F42" s="6" t="s">
        <v>455</v>
      </c>
    </row>
    <row r="43" spans="1:13">
      <c r="B43" s="5" t="s">
        <v>448</v>
      </c>
      <c r="C43" s="5" t="s">
        <v>47</v>
      </c>
      <c r="D43" s="6" t="s">
        <v>54</v>
      </c>
      <c r="E43" s="6" t="s">
        <v>29</v>
      </c>
      <c r="F43" s="6" t="s">
        <v>456</v>
      </c>
    </row>
    <row r="44" spans="1:13">
      <c r="B44" s="5" t="s">
        <v>56</v>
      </c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2:J12"/>
    <mergeCell ref="A18:J18"/>
    <mergeCell ref="A21:J21"/>
    <mergeCell ref="A28:J28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55" t="s">
        <v>595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9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68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0" t="s">
        <v>55</v>
      </c>
      <c r="B6" s="9" t="s">
        <v>242</v>
      </c>
      <c r="C6" s="9" t="s">
        <v>243</v>
      </c>
      <c r="D6" s="9" t="s">
        <v>244</v>
      </c>
      <c r="E6" s="9" t="s">
        <v>625</v>
      </c>
      <c r="F6" s="9" t="s">
        <v>119</v>
      </c>
      <c r="G6" s="21" t="s">
        <v>157</v>
      </c>
      <c r="H6" s="21" t="s">
        <v>40</v>
      </c>
      <c r="I6" s="21" t="s">
        <v>18</v>
      </c>
      <c r="J6" s="10"/>
      <c r="K6" s="10" t="str">
        <f>"140,0"</f>
        <v>140,0</v>
      </c>
      <c r="L6" s="10" t="str">
        <f>"90,4820"</f>
        <v>90,4820</v>
      </c>
      <c r="M6" s="9" t="s">
        <v>498</v>
      </c>
    </row>
    <row r="7" spans="1:13">
      <c r="A7" s="12" t="s">
        <v>55</v>
      </c>
      <c r="B7" s="11" t="s">
        <v>242</v>
      </c>
      <c r="C7" s="11" t="s">
        <v>249</v>
      </c>
      <c r="D7" s="11" t="s">
        <v>244</v>
      </c>
      <c r="E7" s="11" t="s">
        <v>630</v>
      </c>
      <c r="F7" s="11" t="s">
        <v>119</v>
      </c>
      <c r="G7" s="23" t="s">
        <v>157</v>
      </c>
      <c r="H7" s="23" t="s">
        <v>40</v>
      </c>
      <c r="I7" s="23" t="s">
        <v>18</v>
      </c>
      <c r="J7" s="12"/>
      <c r="K7" s="12" t="str">
        <f>"140,0"</f>
        <v>140,0</v>
      </c>
      <c r="L7" s="12" t="str">
        <f>"168,2965"</f>
        <v>168,2965</v>
      </c>
      <c r="M7" s="11" t="s">
        <v>498</v>
      </c>
    </row>
    <row r="8" spans="1:13">
      <c r="B8" s="5" t="s">
        <v>56</v>
      </c>
    </row>
    <row r="9" spans="1:13" ht="16">
      <c r="A9" s="66" t="s">
        <v>10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10" t="s">
        <v>55</v>
      </c>
      <c r="B10" s="9" t="s">
        <v>395</v>
      </c>
      <c r="C10" s="9" t="s">
        <v>396</v>
      </c>
      <c r="D10" s="9" t="s">
        <v>397</v>
      </c>
      <c r="E10" s="9" t="s">
        <v>625</v>
      </c>
      <c r="F10" s="9" t="s">
        <v>132</v>
      </c>
      <c r="G10" s="21" t="s">
        <v>398</v>
      </c>
      <c r="H10" s="21" t="s">
        <v>399</v>
      </c>
      <c r="I10" s="20" t="s">
        <v>400</v>
      </c>
      <c r="J10" s="10"/>
      <c r="K10" s="10" t="str">
        <f>"312,5"</f>
        <v>312,5</v>
      </c>
      <c r="L10" s="10" t="str">
        <f>"198,5000"</f>
        <v>198,5000</v>
      </c>
      <c r="M10" s="9"/>
    </row>
    <row r="11" spans="1:13">
      <c r="A11" s="12" t="s">
        <v>55</v>
      </c>
      <c r="B11" s="11" t="s">
        <v>395</v>
      </c>
      <c r="C11" s="11" t="s">
        <v>401</v>
      </c>
      <c r="D11" s="11" t="s">
        <v>397</v>
      </c>
      <c r="E11" s="11" t="s">
        <v>629</v>
      </c>
      <c r="F11" s="11" t="s">
        <v>132</v>
      </c>
      <c r="G11" s="23" t="s">
        <v>398</v>
      </c>
      <c r="H11" s="23" t="s">
        <v>399</v>
      </c>
      <c r="I11" s="22" t="s">
        <v>400</v>
      </c>
      <c r="J11" s="12"/>
      <c r="K11" s="12" t="str">
        <f>"312,5"</f>
        <v>312,5</v>
      </c>
      <c r="L11" s="12" t="str">
        <f>"228,2750"</f>
        <v>228,2750</v>
      </c>
      <c r="M11" s="11"/>
    </row>
    <row r="12" spans="1:13">
      <c r="B12" s="5" t="s">
        <v>56</v>
      </c>
    </row>
    <row r="13" spans="1:13" ht="16">
      <c r="A13" s="66" t="s">
        <v>23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3">
      <c r="A14" s="10" t="s">
        <v>55</v>
      </c>
      <c r="B14" s="9" t="s">
        <v>402</v>
      </c>
      <c r="C14" s="9" t="s">
        <v>403</v>
      </c>
      <c r="D14" s="9" t="s">
        <v>404</v>
      </c>
      <c r="E14" s="9" t="s">
        <v>624</v>
      </c>
      <c r="F14" s="9" t="s">
        <v>608</v>
      </c>
      <c r="G14" s="21" t="s">
        <v>75</v>
      </c>
      <c r="H14" s="21" t="s">
        <v>90</v>
      </c>
      <c r="I14" s="21" t="s">
        <v>194</v>
      </c>
      <c r="J14" s="10"/>
      <c r="K14" s="10" t="str">
        <f>"187,5"</f>
        <v>187,5</v>
      </c>
      <c r="L14" s="10" t="str">
        <f>"110,3438"</f>
        <v>110,3438</v>
      </c>
      <c r="M14" s="9" t="s">
        <v>612</v>
      </c>
    </row>
    <row r="15" spans="1:13">
      <c r="A15" s="12" t="s">
        <v>55</v>
      </c>
      <c r="B15" s="11" t="s">
        <v>402</v>
      </c>
      <c r="C15" s="11" t="s">
        <v>405</v>
      </c>
      <c r="D15" s="11" t="s">
        <v>404</v>
      </c>
      <c r="E15" s="11" t="s">
        <v>625</v>
      </c>
      <c r="F15" s="11" t="s">
        <v>608</v>
      </c>
      <c r="G15" s="23" t="s">
        <v>75</v>
      </c>
      <c r="H15" s="23" t="s">
        <v>90</v>
      </c>
      <c r="I15" s="23" t="s">
        <v>194</v>
      </c>
      <c r="J15" s="12"/>
      <c r="K15" s="12" t="str">
        <f>"187,5"</f>
        <v>187,5</v>
      </c>
      <c r="L15" s="12" t="str">
        <f>"110,3438"</f>
        <v>110,3438</v>
      </c>
      <c r="M15" s="11" t="s">
        <v>612</v>
      </c>
    </row>
    <row r="16" spans="1:13">
      <c r="B16" s="5" t="s">
        <v>56</v>
      </c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8"/>
  <sheetViews>
    <sheetView tabSelected="1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8.332031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5" t="s">
        <v>592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621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135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501</v>
      </c>
      <c r="C6" s="7" t="s">
        <v>502</v>
      </c>
      <c r="D6" s="7" t="s">
        <v>503</v>
      </c>
      <c r="E6" s="7" t="s">
        <v>625</v>
      </c>
      <c r="F6" s="7" t="s">
        <v>144</v>
      </c>
      <c r="G6" s="18" t="s">
        <v>496</v>
      </c>
      <c r="H6" s="18" t="s">
        <v>499</v>
      </c>
      <c r="I6" s="19" t="s">
        <v>124</v>
      </c>
      <c r="J6" s="8"/>
      <c r="K6" s="8" t="str">
        <f>"22,5"</f>
        <v>22,5</v>
      </c>
      <c r="L6" s="8" t="str">
        <f>"23,9355"</f>
        <v>23,9355</v>
      </c>
      <c r="M6" s="7" t="s">
        <v>149</v>
      </c>
    </row>
    <row r="7" spans="1:13">
      <c r="B7" s="5" t="s">
        <v>56</v>
      </c>
    </row>
    <row r="8" spans="1:13" ht="16">
      <c r="A8" s="66" t="s">
        <v>160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10" t="s">
        <v>55</v>
      </c>
      <c r="B9" s="9" t="s">
        <v>504</v>
      </c>
      <c r="C9" s="9" t="s">
        <v>505</v>
      </c>
      <c r="D9" s="9" t="s">
        <v>506</v>
      </c>
      <c r="E9" s="9" t="s">
        <v>625</v>
      </c>
      <c r="F9" s="9" t="s">
        <v>607</v>
      </c>
      <c r="G9" s="21" t="s">
        <v>507</v>
      </c>
      <c r="H9" s="21" t="s">
        <v>288</v>
      </c>
      <c r="I9" s="20" t="s">
        <v>110</v>
      </c>
      <c r="J9" s="10"/>
      <c r="K9" s="10" t="str">
        <f>"35,0"</f>
        <v>35,0</v>
      </c>
      <c r="L9" s="10" t="str">
        <f>"29,7185"</f>
        <v>29,7185</v>
      </c>
      <c r="M9" s="9"/>
    </row>
    <row r="10" spans="1:13">
      <c r="A10" s="12" t="s">
        <v>55</v>
      </c>
      <c r="B10" s="11" t="s">
        <v>504</v>
      </c>
      <c r="C10" s="11" t="s">
        <v>587</v>
      </c>
      <c r="D10" s="11" t="s">
        <v>506</v>
      </c>
      <c r="E10" s="11" t="s">
        <v>626</v>
      </c>
      <c r="F10" s="11" t="s">
        <v>607</v>
      </c>
      <c r="G10" s="23" t="s">
        <v>507</v>
      </c>
      <c r="H10" s="23" t="s">
        <v>288</v>
      </c>
      <c r="I10" s="22" t="s">
        <v>110</v>
      </c>
      <c r="J10" s="12"/>
      <c r="K10" s="12" t="str">
        <f>"35,0"</f>
        <v>35,0</v>
      </c>
      <c r="L10" s="12" t="str">
        <f>"30,3129"</f>
        <v>30,3129</v>
      </c>
      <c r="M10" s="11"/>
    </row>
    <row r="11" spans="1:13">
      <c r="B11" s="5" t="s">
        <v>56</v>
      </c>
    </row>
    <row r="12" spans="1:13" ht="16">
      <c r="A12" s="66" t="s">
        <v>160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8" t="s">
        <v>55</v>
      </c>
      <c r="B13" s="7" t="s">
        <v>508</v>
      </c>
      <c r="C13" s="7" t="s">
        <v>509</v>
      </c>
      <c r="D13" s="7" t="s">
        <v>510</v>
      </c>
      <c r="E13" s="7" t="s">
        <v>625</v>
      </c>
      <c r="F13" s="7" t="s">
        <v>511</v>
      </c>
      <c r="G13" s="18" t="s">
        <v>120</v>
      </c>
      <c r="H13" s="18" t="s">
        <v>121</v>
      </c>
      <c r="I13" s="19" t="s">
        <v>133</v>
      </c>
      <c r="J13" s="8"/>
      <c r="K13" s="8" t="str">
        <f>"50,0"</f>
        <v>50,0</v>
      </c>
      <c r="L13" s="8" t="str">
        <f>"34,7725"</f>
        <v>34,7725</v>
      </c>
      <c r="M13" s="7"/>
    </row>
    <row r="14" spans="1:13">
      <c r="B14" s="5" t="s">
        <v>56</v>
      </c>
    </row>
    <row r="15" spans="1:13" ht="16">
      <c r="A15" s="66" t="s">
        <v>165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3">
      <c r="A16" s="10" t="s">
        <v>55</v>
      </c>
      <c r="B16" s="9" t="s">
        <v>323</v>
      </c>
      <c r="C16" s="9" t="s">
        <v>588</v>
      </c>
      <c r="D16" s="9" t="s">
        <v>325</v>
      </c>
      <c r="E16" s="9" t="s">
        <v>628</v>
      </c>
      <c r="F16" s="9" t="s">
        <v>608</v>
      </c>
      <c r="G16" s="21" t="s">
        <v>146</v>
      </c>
      <c r="H16" s="21" t="s">
        <v>497</v>
      </c>
      <c r="I16" s="20" t="s">
        <v>109</v>
      </c>
      <c r="J16" s="10"/>
      <c r="K16" s="10" t="str">
        <f>"62,5"</f>
        <v>62,5</v>
      </c>
      <c r="L16" s="10" t="str">
        <f>"40,2875"</f>
        <v>40,2875</v>
      </c>
      <c r="M16" s="9"/>
    </row>
    <row r="17" spans="1:13">
      <c r="A17" s="25" t="s">
        <v>55</v>
      </c>
      <c r="B17" s="24" t="s">
        <v>323</v>
      </c>
      <c r="C17" s="24" t="s">
        <v>330</v>
      </c>
      <c r="D17" s="24" t="s">
        <v>325</v>
      </c>
      <c r="E17" s="24" t="s">
        <v>625</v>
      </c>
      <c r="F17" s="24" t="s">
        <v>608</v>
      </c>
      <c r="G17" s="26" t="s">
        <v>146</v>
      </c>
      <c r="H17" s="26" t="s">
        <v>497</v>
      </c>
      <c r="I17" s="27" t="s">
        <v>109</v>
      </c>
      <c r="J17" s="25"/>
      <c r="K17" s="25" t="str">
        <f>"62,5"</f>
        <v>62,5</v>
      </c>
      <c r="L17" s="25" t="str">
        <f>"40,2875"</f>
        <v>40,2875</v>
      </c>
      <c r="M17" s="24"/>
    </row>
    <row r="18" spans="1:13">
      <c r="A18" s="25" t="s">
        <v>227</v>
      </c>
      <c r="B18" s="24" t="s">
        <v>512</v>
      </c>
      <c r="C18" s="24" t="s">
        <v>513</v>
      </c>
      <c r="D18" s="24" t="s">
        <v>514</v>
      </c>
      <c r="E18" s="24" t="s">
        <v>625</v>
      </c>
      <c r="F18" s="24" t="s">
        <v>14</v>
      </c>
      <c r="G18" s="26" t="s">
        <v>122</v>
      </c>
      <c r="H18" s="26" t="s">
        <v>146</v>
      </c>
      <c r="I18" s="26" t="s">
        <v>126</v>
      </c>
      <c r="J18" s="25"/>
      <c r="K18" s="25" t="str">
        <f>"60,0"</f>
        <v>60,0</v>
      </c>
      <c r="L18" s="25" t="str">
        <f>"39,1740"</f>
        <v>39,1740</v>
      </c>
      <c r="M18" s="24"/>
    </row>
    <row r="19" spans="1:13">
      <c r="A19" s="12" t="s">
        <v>228</v>
      </c>
      <c r="B19" s="11" t="s">
        <v>335</v>
      </c>
      <c r="C19" s="11" t="s">
        <v>336</v>
      </c>
      <c r="D19" s="11" t="s">
        <v>337</v>
      </c>
      <c r="E19" s="11" t="s">
        <v>625</v>
      </c>
      <c r="F19" s="11" t="s">
        <v>144</v>
      </c>
      <c r="G19" s="23" t="s">
        <v>64</v>
      </c>
      <c r="H19" s="22" t="s">
        <v>283</v>
      </c>
      <c r="I19" s="22" t="s">
        <v>283</v>
      </c>
      <c r="J19" s="12"/>
      <c r="K19" s="12" t="str">
        <f>"40,0"</f>
        <v>40,0</v>
      </c>
      <c r="L19" s="12" t="str">
        <f>"26,6340"</f>
        <v>26,6340</v>
      </c>
      <c r="M19" s="11" t="s">
        <v>149</v>
      </c>
    </row>
    <row r="20" spans="1:13">
      <c r="B20" s="5" t="s">
        <v>56</v>
      </c>
    </row>
    <row r="21" spans="1:13" ht="16">
      <c r="A21" s="66" t="s">
        <v>68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>
      <c r="A22" s="10" t="s">
        <v>55</v>
      </c>
      <c r="B22" s="9" t="s">
        <v>339</v>
      </c>
      <c r="C22" s="9" t="s">
        <v>589</v>
      </c>
      <c r="D22" s="9" t="s">
        <v>341</v>
      </c>
      <c r="E22" s="9" t="s">
        <v>633</v>
      </c>
      <c r="F22" s="9" t="s">
        <v>342</v>
      </c>
      <c r="G22" s="21" t="s">
        <v>121</v>
      </c>
      <c r="H22" s="21" t="s">
        <v>126</v>
      </c>
      <c r="I22" s="20" t="s">
        <v>133</v>
      </c>
      <c r="J22" s="10"/>
      <c r="K22" s="10" t="str">
        <f>"60,0"</f>
        <v>60,0</v>
      </c>
      <c r="L22" s="10" t="str">
        <f>"36,7800"</f>
        <v>36,7800</v>
      </c>
      <c r="M22" s="9"/>
    </row>
    <row r="23" spans="1:13">
      <c r="A23" s="25" t="s">
        <v>55</v>
      </c>
      <c r="B23" s="24" t="s">
        <v>343</v>
      </c>
      <c r="C23" s="24" t="s">
        <v>344</v>
      </c>
      <c r="D23" s="24" t="s">
        <v>247</v>
      </c>
      <c r="E23" s="24" t="s">
        <v>625</v>
      </c>
      <c r="F23" s="24" t="s">
        <v>608</v>
      </c>
      <c r="G23" s="26" t="s">
        <v>127</v>
      </c>
      <c r="H23" s="26" t="s">
        <v>111</v>
      </c>
      <c r="I23" s="27" t="s">
        <v>134</v>
      </c>
      <c r="J23" s="25"/>
      <c r="K23" s="25" t="str">
        <f>"77,5"</f>
        <v>77,5</v>
      </c>
      <c r="L23" s="25" t="str">
        <f>"47,4184"</f>
        <v>47,4184</v>
      </c>
      <c r="M23" s="24" t="s">
        <v>346</v>
      </c>
    </row>
    <row r="24" spans="1:13">
      <c r="A24" s="25" t="s">
        <v>227</v>
      </c>
      <c r="B24" s="24" t="s">
        <v>515</v>
      </c>
      <c r="C24" s="24" t="s">
        <v>516</v>
      </c>
      <c r="D24" s="24" t="s">
        <v>517</v>
      </c>
      <c r="E24" s="24" t="s">
        <v>625</v>
      </c>
      <c r="F24" s="24" t="s">
        <v>132</v>
      </c>
      <c r="G24" s="27" t="s">
        <v>126</v>
      </c>
      <c r="H24" s="26" t="s">
        <v>126</v>
      </c>
      <c r="I24" s="27" t="s">
        <v>133</v>
      </c>
      <c r="J24" s="25"/>
      <c r="K24" s="25" t="str">
        <f>"60,0"</f>
        <v>60,0</v>
      </c>
      <c r="L24" s="25" t="str">
        <f>"37,7160"</f>
        <v>37,7160</v>
      </c>
      <c r="M24" s="24"/>
    </row>
    <row r="25" spans="1:13">
      <c r="A25" s="12" t="s">
        <v>228</v>
      </c>
      <c r="B25" s="11" t="s">
        <v>339</v>
      </c>
      <c r="C25" s="11" t="s">
        <v>347</v>
      </c>
      <c r="D25" s="11" t="s">
        <v>341</v>
      </c>
      <c r="E25" s="11" t="s">
        <v>625</v>
      </c>
      <c r="F25" s="11" t="s">
        <v>342</v>
      </c>
      <c r="G25" s="23" t="s">
        <v>121</v>
      </c>
      <c r="H25" s="23" t="s">
        <v>126</v>
      </c>
      <c r="I25" s="22" t="s">
        <v>133</v>
      </c>
      <c r="J25" s="12"/>
      <c r="K25" s="12" t="str">
        <f>"60,0"</f>
        <v>60,0</v>
      </c>
      <c r="L25" s="12" t="str">
        <f>"36,7800"</f>
        <v>36,7800</v>
      </c>
      <c r="M25" s="11"/>
    </row>
    <row r="26" spans="1:13">
      <c r="B26" s="5" t="s">
        <v>56</v>
      </c>
    </row>
    <row r="27" spans="1:13" ht="16">
      <c r="A27" s="66" t="s">
        <v>10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3">
      <c r="A28" s="10" t="s">
        <v>55</v>
      </c>
      <c r="B28" s="9" t="s">
        <v>518</v>
      </c>
      <c r="C28" s="9" t="s">
        <v>519</v>
      </c>
      <c r="D28" s="9" t="s">
        <v>520</v>
      </c>
      <c r="E28" s="9" t="s">
        <v>625</v>
      </c>
      <c r="F28" s="9" t="s">
        <v>521</v>
      </c>
      <c r="G28" s="21" t="s">
        <v>133</v>
      </c>
      <c r="H28" s="21" t="s">
        <v>108</v>
      </c>
      <c r="I28" s="20" t="s">
        <v>109</v>
      </c>
      <c r="J28" s="10"/>
      <c r="K28" s="10" t="str">
        <f>"70,0"</f>
        <v>70,0</v>
      </c>
      <c r="L28" s="10" t="str">
        <f>"41,2195"</f>
        <v>41,2195</v>
      </c>
      <c r="M28" s="9" t="s">
        <v>609</v>
      </c>
    </row>
    <row r="29" spans="1:13">
      <c r="A29" s="25" t="s">
        <v>227</v>
      </c>
      <c r="B29" s="24" t="s">
        <v>482</v>
      </c>
      <c r="C29" s="24" t="s">
        <v>483</v>
      </c>
      <c r="D29" s="24" t="s">
        <v>484</v>
      </c>
      <c r="E29" s="24" t="s">
        <v>625</v>
      </c>
      <c r="F29" s="24" t="s">
        <v>132</v>
      </c>
      <c r="G29" s="27" t="s">
        <v>126</v>
      </c>
      <c r="H29" s="26" t="s">
        <v>133</v>
      </c>
      <c r="I29" s="27" t="s">
        <v>127</v>
      </c>
      <c r="J29" s="25"/>
      <c r="K29" s="25" t="str">
        <f>"67,5"</f>
        <v>67,5</v>
      </c>
      <c r="L29" s="25" t="str">
        <f>"39,3727"</f>
        <v>39,3727</v>
      </c>
      <c r="M29" s="24"/>
    </row>
    <row r="30" spans="1:13">
      <c r="A30" s="25" t="s">
        <v>55</v>
      </c>
      <c r="B30" s="24" t="s">
        <v>518</v>
      </c>
      <c r="C30" s="24" t="s">
        <v>590</v>
      </c>
      <c r="D30" s="24" t="s">
        <v>520</v>
      </c>
      <c r="E30" s="24" t="s">
        <v>626</v>
      </c>
      <c r="F30" s="24" t="s">
        <v>521</v>
      </c>
      <c r="G30" s="26" t="s">
        <v>133</v>
      </c>
      <c r="H30" s="26" t="s">
        <v>108</v>
      </c>
      <c r="I30" s="27" t="s">
        <v>109</v>
      </c>
      <c r="J30" s="25"/>
      <c r="K30" s="25" t="str">
        <f>"70,0"</f>
        <v>70,0</v>
      </c>
      <c r="L30" s="25" t="str">
        <f>"45,2178"</f>
        <v>45,2178</v>
      </c>
      <c r="M30" s="24" t="s">
        <v>609</v>
      </c>
    </row>
    <row r="31" spans="1:13">
      <c r="A31" s="12" t="s">
        <v>227</v>
      </c>
      <c r="B31" s="11" t="s">
        <v>482</v>
      </c>
      <c r="C31" s="11" t="s">
        <v>489</v>
      </c>
      <c r="D31" s="11" t="s">
        <v>484</v>
      </c>
      <c r="E31" s="11" t="s">
        <v>626</v>
      </c>
      <c r="F31" s="11" t="s">
        <v>132</v>
      </c>
      <c r="G31" s="22" t="s">
        <v>126</v>
      </c>
      <c r="H31" s="23" t="s">
        <v>133</v>
      </c>
      <c r="I31" s="22" t="s">
        <v>127</v>
      </c>
      <c r="J31" s="12"/>
      <c r="K31" s="12" t="str">
        <f>"67,5"</f>
        <v>67,5</v>
      </c>
      <c r="L31" s="12" t="str">
        <f>"42,0501"</f>
        <v>42,0501</v>
      </c>
      <c r="M31" s="11"/>
    </row>
    <row r="32" spans="1:13">
      <c r="B32" s="5" t="s">
        <v>56</v>
      </c>
    </row>
    <row r="33" spans="1:13" ht="16">
      <c r="A33" s="66" t="s">
        <v>23</v>
      </c>
      <c r="B33" s="66"/>
      <c r="C33" s="66"/>
      <c r="D33" s="66"/>
      <c r="E33" s="66"/>
      <c r="F33" s="66"/>
      <c r="G33" s="66"/>
      <c r="H33" s="66"/>
      <c r="I33" s="66"/>
      <c r="J33" s="66"/>
    </row>
    <row r="34" spans="1:13">
      <c r="A34" s="8" t="s">
        <v>55</v>
      </c>
      <c r="B34" s="7" t="s">
        <v>201</v>
      </c>
      <c r="C34" s="7" t="s">
        <v>202</v>
      </c>
      <c r="D34" s="7" t="s">
        <v>203</v>
      </c>
      <c r="E34" s="7" t="s">
        <v>625</v>
      </c>
      <c r="F34" s="7" t="s">
        <v>144</v>
      </c>
      <c r="G34" s="18" t="s">
        <v>122</v>
      </c>
      <c r="H34" s="18" t="s">
        <v>497</v>
      </c>
      <c r="I34" s="18" t="s">
        <v>109</v>
      </c>
      <c r="J34" s="8"/>
      <c r="K34" s="8" t="str">
        <f>"72,5"</f>
        <v>72,5</v>
      </c>
      <c r="L34" s="8" t="str">
        <f>"42,0391"</f>
        <v>42,0391</v>
      </c>
      <c r="M34" s="7" t="s">
        <v>149</v>
      </c>
    </row>
    <row r="35" spans="1:13">
      <c r="B35" s="5" t="s">
        <v>56</v>
      </c>
    </row>
    <row r="36" spans="1:13" ht="16">
      <c r="A36" s="66" t="s">
        <v>267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3">
      <c r="A37" s="8" t="s">
        <v>55</v>
      </c>
      <c r="B37" s="7" t="s">
        <v>522</v>
      </c>
      <c r="C37" s="7" t="s">
        <v>523</v>
      </c>
      <c r="D37" s="7" t="s">
        <v>270</v>
      </c>
      <c r="E37" s="7" t="s">
        <v>625</v>
      </c>
      <c r="F37" s="7" t="s">
        <v>14</v>
      </c>
      <c r="G37" s="18" t="s">
        <v>108</v>
      </c>
      <c r="H37" s="18" t="s">
        <v>134</v>
      </c>
      <c r="I37" s="19" t="s">
        <v>65</v>
      </c>
      <c r="J37" s="8"/>
      <c r="K37" s="8" t="str">
        <f>"80,0"</f>
        <v>80,0</v>
      </c>
      <c r="L37" s="8" t="str">
        <f>"42,5148"</f>
        <v>42,5148</v>
      </c>
      <c r="M37" s="7"/>
    </row>
    <row r="38" spans="1:13">
      <c r="B38" s="5" t="s">
        <v>56</v>
      </c>
    </row>
    <row r="39" spans="1:13">
      <c r="B39" s="5" t="s">
        <v>56</v>
      </c>
    </row>
    <row r="40" spans="1:13">
      <c r="B40" s="5" t="s">
        <v>56</v>
      </c>
    </row>
    <row r="41" spans="1:13" ht="18">
      <c r="B41" s="13" t="s">
        <v>45</v>
      </c>
      <c r="C41" s="13"/>
      <c r="F41" s="3"/>
    </row>
    <row r="42" spans="1:13" ht="16">
      <c r="B42" s="14" t="s">
        <v>46</v>
      </c>
      <c r="C42" s="14"/>
      <c r="F42" s="3"/>
    </row>
    <row r="43" spans="1:13" ht="14">
      <c r="B43" s="15"/>
      <c r="C43" s="16" t="s">
        <v>47</v>
      </c>
      <c r="F43" s="3"/>
    </row>
    <row r="44" spans="1:13" ht="14">
      <c r="B44" s="17" t="s">
        <v>48</v>
      </c>
      <c r="C44" s="17" t="s">
        <v>49</v>
      </c>
      <c r="D44" s="17" t="s">
        <v>50</v>
      </c>
      <c r="E44" s="17" t="s">
        <v>234</v>
      </c>
      <c r="F44" s="17" t="s">
        <v>235</v>
      </c>
    </row>
    <row r="45" spans="1:13">
      <c r="B45" s="5" t="s">
        <v>343</v>
      </c>
      <c r="C45" s="5" t="s">
        <v>47</v>
      </c>
      <c r="D45" s="6" t="s">
        <v>85</v>
      </c>
      <c r="E45" s="6" t="s">
        <v>111</v>
      </c>
      <c r="F45" s="6" t="s">
        <v>524</v>
      </c>
    </row>
    <row r="46" spans="1:13">
      <c r="B46" s="5" t="s">
        <v>522</v>
      </c>
      <c r="C46" s="5" t="s">
        <v>47</v>
      </c>
      <c r="D46" s="6" t="s">
        <v>379</v>
      </c>
      <c r="E46" s="6" t="s">
        <v>134</v>
      </c>
      <c r="F46" s="6" t="s">
        <v>525</v>
      </c>
    </row>
    <row r="47" spans="1:13">
      <c r="B47" s="5" t="s">
        <v>201</v>
      </c>
      <c r="C47" s="5" t="s">
        <v>47</v>
      </c>
      <c r="D47" s="6" t="s">
        <v>53</v>
      </c>
      <c r="E47" s="6" t="s">
        <v>109</v>
      </c>
      <c r="F47" s="6" t="s">
        <v>526</v>
      </c>
    </row>
    <row r="48" spans="1:13">
      <c r="F48" s="3"/>
    </row>
  </sheetData>
  <mergeCells count="19">
    <mergeCell ref="A36:J36"/>
    <mergeCell ref="B3:B4"/>
    <mergeCell ref="A8:J8"/>
    <mergeCell ref="A12:J12"/>
    <mergeCell ref="A15:J15"/>
    <mergeCell ref="A21:J21"/>
    <mergeCell ref="A27:J27"/>
    <mergeCell ref="A33:J3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55" t="s">
        <v>604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68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55</v>
      </c>
      <c r="B6" s="7" t="s">
        <v>86</v>
      </c>
      <c r="C6" s="7" t="s">
        <v>87</v>
      </c>
      <c r="D6" s="7" t="s">
        <v>88</v>
      </c>
      <c r="E6" s="7" t="s">
        <v>625</v>
      </c>
      <c r="F6" s="7" t="s">
        <v>89</v>
      </c>
      <c r="G6" s="18" t="s">
        <v>75</v>
      </c>
      <c r="H6" s="18" t="s">
        <v>90</v>
      </c>
      <c r="I6" s="18" t="s">
        <v>21</v>
      </c>
      <c r="J6" s="8"/>
      <c r="K6" s="18" t="s">
        <v>18</v>
      </c>
      <c r="L6" s="18" t="s">
        <v>91</v>
      </c>
      <c r="M6" s="18" t="s">
        <v>19</v>
      </c>
      <c r="N6" s="8"/>
      <c r="O6" s="18" t="s">
        <v>21</v>
      </c>
      <c r="P6" s="19" t="s">
        <v>92</v>
      </c>
      <c r="Q6" s="8"/>
      <c r="R6" s="8"/>
      <c r="S6" s="8" t="str">
        <f>"530,0"</f>
        <v>530,0</v>
      </c>
      <c r="T6" s="8" t="str">
        <f>"349,6410"</f>
        <v>349,6410</v>
      </c>
      <c r="U6" s="7" t="s">
        <v>93</v>
      </c>
    </row>
    <row r="7" spans="1:21">
      <c r="B7" s="5" t="s">
        <v>56</v>
      </c>
    </row>
    <row r="8" spans="1:21" ht="16">
      <c r="A8" s="66" t="s">
        <v>94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8" t="s">
        <v>55</v>
      </c>
      <c r="B9" s="7" t="s">
        <v>95</v>
      </c>
      <c r="C9" s="7" t="s">
        <v>96</v>
      </c>
      <c r="D9" s="7" t="s">
        <v>97</v>
      </c>
      <c r="E9" s="7" t="s">
        <v>625</v>
      </c>
      <c r="F9" s="7" t="s">
        <v>14</v>
      </c>
      <c r="G9" s="18" t="s">
        <v>34</v>
      </c>
      <c r="H9" s="19" t="s">
        <v>98</v>
      </c>
      <c r="I9" s="19" t="s">
        <v>99</v>
      </c>
      <c r="J9" s="8"/>
      <c r="K9" s="18" t="s">
        <v>17</v>
      </c>
      <c r="L9" s="19" t="s">
        <v>100</v>
      </c>
      <c r="M9" s="19" t="s">
        <v>100</v>
      </c>
      <c r="N9" s="8"/>
      <c r="O9" s="18" t="s">
        <v>101</v>
      </c>
      <c r="P9" s="19" t="s">
        <v>102</v>
      </c>
      <c r="Q9" s="19" t="s">
        <v>102</v>
      </c>
      <c r="R9" s="8"/>
      <c r="S9" s="8" t="str">
        <f>"800,0"</f>
        <v>800,0</v>
      </c>
      <c r="T9" s="8" t="str">
        <f>"459,9200"</f>
        <v>459,9200</v>
      </c>
      <c r="U9" s="7"/>
    </row>
    <row r="10" spans="1:21">
      <c r="B10" s="5" t="s">
        <v>56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14"/>
  <sheetViews>
    <sheetView workbookViewId="0">
      <selection activeCell="F29" sqref="F29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4" style="5" customWidth="1"/>
    <col min="22" max="16384" width="9.1640625" style="3"/>
  </cols>
  <sheetData>
    <row r="1" spans="1:21" s="2" customFormat="1" ht="29" customHeight="1">
      <c r="A1" s="55" t="s">
        <v>605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6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50"/>
      <c r="U4" s="52"/>
    </row>
    <row r="5" spans="1:21" ht="16">
      <c r="A5" s="53" t="s">
        <v>58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10" t="s">
        <v>57</v>
      </c>
      <c r="B6" s="9" t="s">
        <v>59</v>
      </c>
      <c r="C6" s="9" t="s">
        <v>60</v>
      </c>
      <c r="D6" s="9" t="s">
        <v>61</v>
      </c>
      <c r="E6" s="9" t="s">
        <v>625</v>
      </c>
      <c r="F6" s="9" t="s">
        <v>62</v>
      </c>
      <c r="G6" s="20" t="s">
        <v>63</v>
      </c>
      <c r="H6" s="20" t="s">
        <v>63</v>
      </c>
      <c r="I6" s="20" t="s">
        <v>63</v>
      </c>
      <c r="J6" s="10"/>
      <c r="K6" s="20"/>
      <c r="L6" s="10"/>
      <c r="M6" s="10"/>
      <c r="N6" s="10"/>
      <c r="O6" s="20"/>
      <c r="P6" s="10"/>
      <c r="Q6" s="10"/>
      <c r="R6" s="10"/>
      <c r="S6" s="30">
        <v>0</v>
      </c>
      <c r="T6" s="10" t="str">
        <f>"0,0000"</f>
        <v>0,0000</v>
      </c>
      <c r="U6" s="9" t="s">
        <v>66</v>
      </c>
    </row>
    <row r="7" spans="1:21">
      <c r="A7" s="12" t="s">
        <v>57</v>
      </c>
      <c r="B7" s="11" t="s">
        <v>59</v>
      </c>
      <c r="C7" s="11" t="s">
        <v>67</v>
      </c>
      <c r="D7" s="11" t="s">
        <v>61</v>
      </c>
      <c r="E7" s="11" t="s">
        <v>626</v>
      </c>
      <c r="F7" s="11" t="s">
        <v>62</v>
      </c>
      <c r="G7" s="22" t="s">
        <v>63</v>
      </c>
      <c r="H7" s="22" t="s">
        <v>63</v>
      </c>
      <c r="I7" s="22" t="s">
        <v>63</v>
      </c>
      <c r="J7" s="12"/>
      <c r="K7" s="22"/>
      <c r="L7" s="12"/>
      <c r="M7" s="12"/>
      <c r="N7" s="12"/>
      <c r="O7" s="22"/>
      <c r="P7" s="12"/>
      <c r="Q7" s="12"/>
      <c r="R7" s="12"/>
      <c r="S7" s="31">
        <v>0</v>
      </c>
      <c r="T7" s="12" t="str">
        <f>"0,0000"</f>
        <v>0,0000</v>
      </c>
      <c r="U7" s="11" t="s">
        <v>66</v>
      </c>
    </row>
    <row r="8" spans="1:21">
      <c r="B8" s="5" t="s">
        <v>56</v>
      </c>
    </row>
    <row r="9" spans="1:21" ht="16">
      <c r="A9" s="66" t="s">
        <v>68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21">
      <c r="A10" s="8" t="s">
        <v>55</v>
      </c>
      <c r="B10" s="7" t="s">
        <v>69</v>
      </c>
      <c r="C10" s="7" t="s">
        <v>70</v>
      </c>
      <c r="D10" s="7" t="s">
        <v>71</v>
      </c>
      <c r="E10" s="7" t="s">
        <v>625</v>
      </c>
      <c r="F10" s="7" t="s">
        <v>14</v>
      </c>
      <c r="G10" s="18" t="s">
        <v>19</v>
      </c>
      <c r="H10" s="18" t="s">
        <v>72</v>
      </c>
      <c r="I10" s="18" t="s">
        <v>31</v>
      </c>
      <c r="J10" s="8"/>
      <c r="K10" s="18" t="s">
        <v>73</v>
      </c>
      <c r="L10" s="18" t="s">
        <v>40</v>
      </c>
      <c r="M10" s="19" t="s">
        <v>74</v>
      </c>
      <c r="N10" s="8"/>
      <c r="O10" s="18" t="s">
        <v>19</v>
      </c>
      <c r="P10" s="18" t="s">
        <v>31</v>
      </c>
      <c r="Q10" s="18" t="s">
        <v>75</v>
      </c>
      <c r="R10" s="8"/>
      <c r="S10" s="28" t="str">
        <f>"455,0"</f>
        <v>455,0</v>
      </c>
      <c r="T10" s="8" t="str">
        <f>"294,2485"</f>
        <v>294,2485</v>
      </c>
      <c r="U10" s="7" t="s">
        <v>76</v>
      </c>
    </row>
    <row r="11" spans="1:21">
      <c r="B11" s="5" t="s">
        <v>56</v>
      </c>
    </row>
    <row r="12" spans="1:21" ht="16">
      <c r="A12" s="66" t="s">
        <v>10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21">
      <c r="A13" s="8" t="s">
        <v>57</v>
      </c>
      <c r="B13" s="7" t="s">
        <v>77</v>
      </c>
      <c r="C13" s="7" t="s">
        <v>78</v>
      </c>
      <c r="D13" s="7" t="s">
        <v>79</v>
      </c>
      <c r="E13" s="7" t="s">
        <v>625</v>
      </c>
      <c r="F13" s="7" t="s">
        <v>80</v>
      </c>
      <c r="G13" s="19" t="s">
        <v>81</v>
      </c>
      <c r="H13" s="19" t="s">
        <v>38</v>
      </c>
      <c r="I13" s="19" t="s">
        <v>38</v>
      </c>
      <c r="J13" s="8"/>
      <c r="K13" s="8"/>
      <c r="L13" s="19"/>
      <c r="M13" s="19"/>
      <c r="N13" s="8"/>
      <c r="O13" s="8"/>
      <c r="P13" s="19"/>
      <c r="Q13" s="19"/>
      <c r="R13" s="8"/>
      <c r="S13" s="28">
        <v>0</v>
      </c>
      <c r="T13" s="8" t="str">
        <f>"0,0000"</f>
        <v>0,0000</v>
      </c>
      <c r="U13" s="7" t="s">
        <v>84</v>
      </c>
    </row>
    <row r="14" spans="1:21">
      <c r="B14" s="5" t="s">
        <v>56</v>
      </c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5">
    <pageSetUpPr fitToPage="1"/>
  </sheetPr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55" t="s">
        <v>606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6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50"/>
      <c r="U4" s="52"/>
    </row>
    <row r="5" spans="1:21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55</v>
      </c>
      <c r="B6" s="7" t="s">
        <v>11</v>
      </c>
      <c r="C6" s="7" t="s">
        <v>12</v>
      </c>
      <c r="D6" s="7" t="s">
        <v>13</v>
      </c>
      <c r="E6" s="7" t="s">
        <v>625</v>
      </c>
      <c r="F6" s="7" t="s">
        <v>14</v>
      </c>
      <c r="G6" s="18" t="s">
        <v>15</v>
      </c>
      <c r="H6" s="18" t="s">
        <v>16</v>
      </c>
      <c r="I6" s="18" t="s">
        <v>17</v>
      </c>
      <c r="J6" s="8"/>
      <c r="K6" s="18" t="s">
        <v>18</v>
      </c>
      <c r="L6" s="18" t="s">
        <v>19</v>
      </c>
      <c r="M6" s="19" t="s">
        <v>20</v>
      </c>
      <c r="N6" s="8"/>
      <c r="O6" s="18" t="s">
        <v>21</v>
      </c>
      <c r="P6" s="18" t="s">
        <v>17</v>
      </c>
      <c r="Q6" s="19" t="s">
        <v>22</v>
      </c>
      <c r="R6" s="8"/>
      <c r="S6" s="28" t="str">
        <f>"550,0"</f>
        <v>550,0</v>
      </c>
      <c r="T6" s="8" t="str">
        <f>"336,3800"</f>
        <v>336,3800</v>
      </c>
      <c r="U6" s="7"/>
    </row>
    <row r="7" spans="1:21">
      <c r="B7" s="5" t="s">
        <v>56</v>
      </c>
    </row>
    <row r="8" spans="1:21" ht="16">
      <c r="A8" s="66" t="s">
        <v>23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10" t="s">
        <v>55</v>
      </c>
      <c r="B9" s="9" t="s">
        <v>24</v>
      </c>
      <c r="C9" s="9" t="s">
        <v>25</v>
      </c>
      <c r="D9" s="9" t="s">
        <v>26</v>
      </c>
      <c r="E9" s="9" t="s">
        <v>625</v>
      </c>
      <c r="F9" s="9" t="s">
        <v>27</v>
      </c>
      <c r="G9" s="20" t="s">
        <v>28</v>
      </c>
      <c r="H9" s="21" t="s">
        <v>28</v>
      </c>
      <c r="I9" s="21" t="s">
        <v>29</v>
      </c>
      <c r="J9" s="10"/>
      <c r="K9" s="21" t="s">
        <v>30</v>
      </c>
      <c r="L9" s="21" t="s">
        <v>20</v>
      </c>
      <c r="M9" s="21" t="s">
        <v>31</v>
      </c>
      <c r="N9" s="10"/>
      <c r="O9" s="21" t="s">
        <v>32</v>
      </c>
      <c r="P9" s="21" t="s">
        <v>33</v>
      </c>
      <c r="Q9" s="21" t="s">
        <v>34</v>
      </c>
      <c r="R9" s="10"/>
      <c r="S9" s="30" t="str">
        <f>"700,0"</f>
        <v>700,0</v>
      </c>
      <c r="T9" s="10" t="str">
        <f>"423,5000"</f>
        <v>423,5000</v>
      </c>
      <c r="U9" s="9"/>
    </row>
    <row r="10" spans="1:21">
      <c r="A10" s="12" t="s">
        <v>57</v>
      </c>
      <c r="B10" s="11" t="s">
        <v>35</v>
      </c>
      <c r="C10" s="11" t="s">
        <v>36</v>
      </c>
      <c r="D10" s="11" t="s">
        <v>37</v>
      </c>
      <c r="E10" s="11" t="s">
        <v>625</v>
      </c>
      <c r="F10" s="11" t="s">
        <v>14</v>
      </c>
      <c r="G10" s="22" t="s">
        <v>38</v>
      </c>
      <c r="H10" s="23" t="s">
        <v>38</v>
      </c>
      <c r="I10" s="22" t="s">
        <v>39</v>
      </c>
      <c r="J10" s="12"/>
      <c r="K10" s="23" t="s">
        <v>40</v>
      </c>
      <c r="L10" s="23" t="s">
        <v>41</v>
      </c>
      <c r="M10" s="22" t="s">
        <v>42</v>
      </c>
      <c r="N10" s="12"/>
      <c r="O10" s="22" t="s">
        <v>43</v>
      </c>
      <c r="P10" s="22" t="s">
        <v>43</v>
      </c>
      <c r="Q10" s="22" t="s">
        <v>43</v>
      </c>
      <c r="R10" s="12"/>
      <c r="S10" s="31">
        <v>0</v>
      </c>
      <c r="T10" s="12" t="str">
        <f>"0,0000"</f>
        <v>0,0000</v>
      </c>
      <c r="U10" s="11" t="s">
        <v>44</v>
      </c>
    </row>
    <row r="11" spans="1:21">
      <c r="B11" s="5" t="s">
        <v>56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46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3" width="27.83203125" style="5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9" bestFit="1" customWidth="1"/>
    <col min="16" max="16" width="8.5" style="6" bestFit="1" customWidth="1"/>
    <col min="17" max="17" width="20.33203125" style="5" customWidth="1"/>
    <col min="18" max="16384" width="9.1640625" style="3"/>
  </cols>
  <sheetData>
    <row r="1" spans="1:17" s="2" customFormat="1" ht="29" customHeight="1">
      <c r="A1" s="55" t="s">
        <v>593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6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0"/>
      <c r="P4" s="50"/>
      <c r="Q4" s="52"/>
    </row>
    <row r="5" spans="1:17" ht="16">
      <c r="A5" s="53" t="s">
        <v>306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10" t="s">
        <v>55</v>
      </c>
      <c r="B6" s="9" t="s">
        <v>457</v>
      </c>
      <c r="C6" s="9" t="s">
        <v>458</v>
      </c>
      <c r="D6" s="9" t="s">
        <v>459</v>
      </c>
      <c r="E6" s="9" t="s">
        <v>624</v>
      </c>
      <c r="F6" s="9" t="s">
        <v>14</v>
      </c>
      <c r="G6" s="21" t="s">
        <v>145</v>
      </c>
      <c r="H6" s="21" t="s">
        <v>146</v>
      </c>
      <c r="I6" s="20" t="s">
        <v>126</v>
      </c>
      <c r="J6" s="10"/>
      <c r="K6" s="21" t="s">
        <v>176</v>
      </c>
      <c r="L6" s="21" t="s">
        <v>156</v>
      </c>
      <c r="M6" s="20" t="s">
        <v>157</v>
      </c>
      <c r="N6" s="10"/>
      <c r="O6" s="30" t="str">
        <f>"170,0"</f>
        <v>170,0</v>
      </c>
      <c r="P6" s="10" t="str">
        <f>"193,8170"</f>
        <v>193,8170</v>
      </c>
      <c r="Q6" s="9" t="s">
        <v>460</v>
      </c>
    </row>
    <row r="7" spans="1:17">
      <c r="A7" s="12" t="s">
        <v>55</v>
      </c>
      <c r="B7" s="11" t="s">
        <v>457</v>
      </c>
      <c r="C7" s="11" t="s">
        <v>461</v>
      </c>
      <c r="D7" s="11" t="s">
        <v>459</v>
      </c>
      <c r="E7" s="11" t="s">
        <v>625</v>
      </c>
      <c r="F7" s="11" t="s">
        <v>14</v>
      </c>
      <c r="G7" s="23" t="s">
        <v>145</v>
      </c>
      <c r="H7" s="23" t="s">
        <v>146</v>
      </c>
      <c r="I7" s="22" t="s">
        <v>126</v>
      </c>
      <c r="J7" s="12"/>
      <c r="K7" s="23" t="s">
        <v>176</v>
      </c>
      <c r="L7" s="23" t="s">
        <v>156</v>
      </c>
      <c r="M7" s="22" t="s">
        <v>157</v>
      </c>
      <c r="N7" s="12"/>
      <c r="O7" s="31" t="str">
        <f>"170,0"</f>
        <v>170,0</v>
      </c>
      <c r="P7" s="12" t="str">
        <f>"193,8170"</f>
        <v>193,8170</v>
      </c>
      <c r="Q7" s="11" t="s">
        <v>460</v>
      </c>
    </row>
    <row r="8" spans="1:17">
      <c r="B8" s="5" t="s">
        <v>56</v>
      </c>
    </row>
    <row r="9" spans="1:17" ht="16">
      <c r="A9" s="66" t="s">
        <v>160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7">
      <c r="A10" s="8" t="s">
        <v>55</v>
      </c>
      <c r="B10" s="7" t="s">
        <v>462</v>
      </c>
      <c r="C10" s="7" t="s">
        <v>463</v>
      </c>
      <c r="D10" s="7" t="s">
        <v>464</v>
      </c>
      <c r="E10" s="7" t="s">
        <v>625</v>
      </c>
      <c r="F10" s="7" t="s">
        <v>144</v>
      </c>
      <c r="G10" s="18" t="s">
        <v>278</v>
      </c>
      <c r="H10" s="18" t="s">
        <v>120</v>
      </c>
      <c r="I10" s="19" t="s">
        <v>283</v>
      </c>
      <c r="J10" s="8"/>
      <c r="K10" s="18" t="s">
        <v>127</v>
      </c>
      <c r="L10" s="18" t="s">
        <v>134</v>
      </c>
      <c r="M10" s="19" t="s">
        <v>113</v>
      </c>
      <c r="N10" s="8"/>
      <c r="O10" s="28" t="str">
        <f>"125,0"</f>
        <v>125,0</v>
      </c>
      <c r="P10" s="8" t="str">
        <f>"124,1125"</f>
        <v>124,1125</v>
      </c>
      <c r="Q10" s="7" t="s">
        <v>149</v>
      </c>
    </row>
    <row r="11" spans="1:17">
      <c r="B11" s="5" t="s">
        <v>56</v>
      </c>
    </row>
    <row r="12" spans="1:17" ht="16">
      <c r="A12" s="66" t="s">
        <v>128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7">
      <c r="A13" s="10" t="s">
        <v>55</v>
      </c>
      <c r="B13" s="9" t="s">
        <v>465</v>
      </c>
      <c r="C13" s="9" t="s">
        <v>466</v>
      </c>
      <c r="D13" s="9" t="s">
        <v>467</v>
      </c>
      <c r="E13" s="9" t="s">
        <v>627</v>
      </c>
      <c r="F13" s="9" t="s">
        <v>132</v>
      </c>
      <c r="G13" s="21" t="s">
        <v>123</v>
      </c>
      <c r="H13" s="21" t="s">
        <v>125</v>
      </c>
      <c r="I13" s="21" t="s">
        <v>288</v>
      </c>
      <c r="J13" s="10"/>
      <c r="K13" s="21" t="s">
        <v>122</v>
      </c>
      <c r="L13" s="21" t="s">
        <v>107</v>
      </c>
      <c r="M13" s="21" t="s">
        <v>109</v>
      </c>
      <c r="N13" s="10"/>
      <c r="O13" s="30" t="str">
        <f>"107,5"</f>
        <v>107,5</v>
      </c>
      <c r="P13" s="10" t="str">
        <f>"140,3627"</f>
        <v>140,3627</v>
      </c>
      <c r="Q13" s="9" t="s">
        <v>468</v>
      </c>
    </row>
    <row r="14" spans="1:17">
      <c r="A14" s="12" t="s">
        <v>55</v>
      </c>
      <c r="B14" s="11" t="s">
        <v>465</v>
      </c>
      <c r="C14" s="11" t="s">
        <v>469</v>
      </c>
      <c r="D14" s="11" t="s">
        <v>467</v>
      </c>
      <c r="E14" s="11" t="s">
        <v>625</v>
      </c>
      <c r="F14" s="11" t="s">
        <v>132</v>
      </c>
      <c r="G14" s="23" t="s">
        <v>123</v>
      </c>
      <c r="H14" s="23" t="s">
        <v>125</v>
      </c>
      <c r="I14" s="23" t="s">
        <v>288</v>
      </c>
      <c r="J14" s="12"/>
      <c r="K14" s="23" t="s">
        <v>122</v>
      </c>
      <c r="L14" s="23" t="s">
        <v>107</v>
      </c>
      <c r="M14" s="23" t="s">
        <v>109</v>
      </c>
      <c r="N14" s="12"/>
      <c r="O14" s="31" t="str">
        <f>"107,5"</f>
        <v>107,5</v>
      </c>
      <c r="P14" s="12" t="str">
        <f>"140,3627"</f>
        <v>140,3627</v>
      </c>
      <c r="Q14" s="11" t="s">
        <v>468</v>
      </c>
    </row>
    <row r="15" spans="1:17">
      <c r="B15" s="5" t="s">
        <v>56</v>
      </c>
    </row>
    <row r="16" spans="1:17" ht="16">
      <c r="A16" s="66" t="s">
        <v>160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7">
      <c r="A17" s="10" t="s">
        <v>55</v>
      </c>
      <c r="B17" s="9" t="s">
        <v>470</v>
      </c>
      <c r="C17" s="9" t="s">
        <v>471</v>
      </c>
      <c r="D17" s="9" t="s">
        <v>472</v>
      </c>
      <c r="E17" s="9" t="s">
        <v>624</v>
      </c>
      <c r="F17" s="9" t="s">
        <v>144</v>
      </c>
      <c r="G17" s="21" t="s">
        <v>126</v>
      </c>
      <c r="H17" s="21" t="s">
        <v>107</v>
      </c>
      <c r="I17" s="21" t="s">
        <v>133</v>
      </c>
      <c r="J17" s="10"/>
      <c r="K17" s="21" t="s">
        <v>65</v>
      </c>
      <c r="L17" s="21" t="s">
        <v>148</v>
      </c>
      <c r="M17" s="21" t="s">
        <v>169</v>
      </c>
      <c r="N17" s="10"/>
      <c r="O17" s="30" t="str">
        <f>"177,5"</f>
        <v>177,5</v>
      </c>
      <c r="P17" s="10" t="str">
        <f>"126,8415"</f>
        <v>126,8415</v>
      </c>
      <c r="Q17" s="9" t="s">
        <v>149</v>
      </c>
    </row>
    <row r="18" spans="1:17">
      <c r="A18" s="12" t="s">
        <v>55</v>
      </c>
      <c r="B18" s="11" t="s">
        <v>470</v>
      </c>
      <c r="C18" s="11" t="s">
        <v>473</v>
      </c>
      <c r="D18" s="11" t="s">
        <v>472</v>
      </c>
      <c r="E18" s="11" t="s">
        <v>625</v>
      </c>
      <c r="F18" s="11" t="s">
        <v>144</v>
      </c>
      <c r="G18" s="23" t="s">
        <v>126</v>
      </c>
      <c r="H18" s="23" t="s">
        <v>107</v>
      </c>
      <c r="I18" s="23" t="s">
        <v>133</v>
      </c>
      <c r="J18" s="12"/>
      <c r="K18" s="23" t="s">
        <v>65</v>
      </c>
      <c r="L18" s="23" t="s">
        <v>148</v>
      </c>
      <c r="M18" s="23" t="s">
        <v>169</v>
      </c>
      <c r="N18" s="12"/>
      <c r="O18" s="31" t="str">
        <f>"177,5"</f>
        <v>177,5</v>
      </c>
      <c r="P18" s="12" t="str">
        <f>"126,8415"</f>
        <v>126,8415</v>
      </c>
      <c r="Q18" s="11" t="s">
        <v>149</v>
      </c>
    </row>
    <row r="19" spans="1:17">
      <c r="B19" s="5" t="s">
        <v>56</v>
      </c>
    </row>
    <row r="20" spans="1:17" ht="16">
      <c r="A20" s="66" t="s">
        <v>165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7">
      <c r="A21" s="8" t="s">
        <v>57</v>
      </c>
      <c r="B21" s="7" t="s">
        <v>237</v>
      </c>
      <c r="C21" s="7" t="s">
        <v>238</v>
      </c>
      <c r="D21" s="7" t="s">
        <v>239</v>
      </c>
      <c r="E21" s="7" t="s">
        <v>625</v>
      </c>
      <c r="F21" s="7" t="s">
        <v>14</v>
      </c>
      <c r="G21" s="19" t="s">
        <v>31</v>
      </c>
      <c r="H21" s="18" t="s">
        <v>31</v>
      </c>
      <c r="I21" s="19" t="s">
        <v>240</v>
      </c>
      <c r="J21" s="8"/>
      <c r="K21" s="19" t="s">
        <v>75</v>
      </c>
      <c r="L21" s="8"/>
      <c r="M21" s="8"/>
      <c r="N21" s="8"/>
      <c r="O21" s="28">
        <v>0</v>
      </c>
      <c r="P21" s="8" t="str">
        <f>"0,0000"</f>
        <v>0,0000</v>
      </c>
      <c r="Q21" s="7" t="s">
        <v>610</v>
      </c>
    </row>
    <row r="22" spans="1:17">
      <c r="B22" s="5" t="s">
        <v>56</v>
      </c>
    </row>
    <row r="23" spans="1:17" ht="16">
      <c r="A23" s="66" t="s">
        <v>68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7">
      <c r="A24" s="10" t="s">
        <v>55</v>
      </c>
      <c r="B24" s="9" t="s">
        <v>474</v>
      </c>
      <c r="C24" s="9" t="s">
        <v>475</v>
      </c>
      <c r="D24" s="9" t="s">
        <v>476</v>
      </c>
      <c r="E24" s="9" t="s">
        <v>624</v>
      </c>
      <c r="F24" s="32" t="s">
        <v>144</v>
      </c>
      <c r="G24" s="38" t="s">
        <v>127</v>
      </c>
      <c r="H24" s="38" t="s">
        <v>134</v>
      </c>
      <c r="I24" s="46" t="s">
        <v>63</v>
      </c>
      <c r="J24" s="10"/>
      <c r="K24" s="39" t="s">
        <v>73</v>
      </c>
      <c r="L24" s="39" t="s">
        <v>42</v>
      </c>
      <c r="M24" s="39" t="s">
        <v>154</v>
      </c>
      <c r="N24" s="35"/>
      <c r="O24" s="30" t="str">
        <f>"222,5"</f>
        <v>222,5</v>
      </c>
      <c r="P24" s="10" t="str">
        <f>"142,3555"</f>
        <v>142,3555</v>
      </c>
      <c r="Q24" s="9" t="s">
        <v>149</v>
      </c>
    </row>
    <row r="25" spans="1:17">
      <c r="A25" s="25" t="s">
        <v>227</v>
      </c>
      <c r="B25" s="24" t="s">
        <v>477</v>
      </c>
      <c r="C25" s="24" t="s">
        <v>478</v>
      </c>
      <c r="D25" s="24" t="s">
        <v>479</v>
      </c>
      <c r="E25" s="24" t="s">
        <v>624</v>
      </c>
      <c r="F25" s="33" t="s">
        <v>144</v>
      </c>
      <c r="G25" s="40" t="s">
        <v>112</v>
      </c>
      <c r="H25" s="40" t="s">
        <v>112</v>
      </c>
      <c r="I25" s="42" t="s">
        <v>112</v>
      </c>
      <c r="J25" s="25"/>
      <c r="K25" s="41" t="s">
        <v>169</v>
      </c>
      <c r="L25" s="41" t="s">
        <v>73</v>
      </c>
      <c r="M25" s="41" t="s">
        <v>42</v>
      </c>
      <c r="N25" s="36"/>
      <c r="O25" s="48" t="str">
        <f>"217,5"</f>
        <v>217,5</v>
      </c>
      <c r="P25" s="25" t="str">
        <f>"143,2890"</f>
        <v>143,2890</v>
      </c>
      <c r="Q25" s="24" t="s">
        <v>149</v>
      </c>
    </row>
    <row r="26" spans="1:17">
      <c r="A26" s="25" t="s">
        <v>55</v>
      </c>
      <c r="B26" s="24" t="s">
        <v>178</v>
      </c>
      <c r="C26" s="24" t="s">
        <v>179</v>
      </c>
      <c r="D26" s="24" t="s">
        <v>180</v>
      </c>
      <c r="E26" s="24" t="s">
        <v>625</v>
      </c>
      <c r="F26" s="33" t="s">
        <v>119</v>
      </c>
      <c r="G26" s="42" t="s">
        <v>42</v>
      </c>
      <c r="H26" s="42" t="s">
        <v>18</v>
      </c>
      <c r="I26" s="42" t="s">
        <v>154</v>
      </c>
      <c r="J26" s="25"/>
      <c r="K26" s="41" t="s">
        <v>29</v>
      </c>
      <c r="L26" s="41" t="s">
        <v>182</v>
      </c>
      <c r="M26" s="43" t="s">
        <v>183</v>
      </c>
      <c r="N26" s="36"/>
      <c r="O26" s="48" t="str">
        <f>"397,5"</f>
        <v>397,5</v>
      </c>
      <c r="P26" s="25" t="str">
        <f>"263,1052"</f>
        <v>263,1052</v>
      </c>
      <c r="Q26" s="24"/>
    </row>
    <row r="27" spans="1:17">
      <c r="A27" s="25" t="s">
        <v>227</v>
      </c>
      <c r="B27" s="24" t="s">
        <v>437</v>
      </c>
      <c r="C27" s="24" t="s">
        <v>438</v>
      </c>
      <c r="D27" s="24" t="s">
        <v>439</v>
      </c>
      <c r="E27" s="24" t="s">
        <v>625</v>
      </c>
      <c r="F27" s="33" t="s">
        <v>14</v>
      </c>
      <c r="G27" s="42" t="s">
        <v>73</v>
      </c>
      <c r="H27" s="42" t="s">
        <v>74</v>
      </c>
      <c r="I27" s="40" t="s">
        <v>204</v>
      </c>
      <c r="J27" s="25"/>
      <c r="K27" s="41" t="s">
        <v>17</v>
      </c>
      <c r="L27" s="41" t="s">
        <v>177</v>
      </c>
      <c r="M27" s="41" t="s">
        <v>440</v>
      </c>
      <c r="N27" s="36"/>
      <c r="O27" s="48" t="str">
        <f>"352,5"</f>
        <v>352,5</v>
      </c>
      <c r="P27" s="25" t="str">
        <f>"229,2308"</f>
        <v>229,2308</v>
      </c>
      <c r="Q27" s="24"/>
    </row>
    <row r="28" spans="1:17">
      <c r="A28" s="25" t="s">
        <v>228</v>
      </c>
      <c r="B28" s="24" t="s">
        <v>474</v>
      </c>
      <c r="C28" s="24" t="s">
        <v>480</v>
      </c>
      <c r="D28" s="24" t="s">
        <v>476</v>
      </c>
      <c r="E28" s="24" t="s">
        <v>625</v>
      </c>
      <c r="F28" s="33" t="s">
        <v>144</v>
      </c>
      <c r="G28" s="42" t="s">
        <v>127</v>
      </c>
      <c r="H28" s="42" t="s">
        <v>134</v>
      </c>
      <c r="I28" s="40" t="s">
        <v>63</v>
      </c>
      <c r="J28" s="25"/>
      <c r="K28" s="41" t="s">
        <v>73</v>
      </c>
      <c r="L28" s="41" t="s">
        <v>42</v>
      </c>
      <c r="M28" s="41" t="s">
        <v>154</v>
      </c>
      <c r="N28" s="36"/>
      <c r="O28" s="48" t="str">
        <f>"222,5"</f>
        <v>222,5</v>
      </c>
      <c r="P28" s="25" t="str">
        <f>"142,3555"</f>
        <v>142,3555</v>
      </c>
      <c r="Q28" s="24" t="s">
        <v>149</v>
      </c>
    </row>
    <row r="29" spans="1:17">
      <c r="A29" s="12" t="s">
        <v>380</v>
      </c>
      <c r="B29" s="11" t="s">
        <v>477</v>
      </c>
      <c r="C29" s="11" t="s">
        <v>481</v>
      </c>
      <c r="D29" s="11" t="s">
        <v>479</v>
      </c>
      <c r="E29" s="11" t="s">
        <v>625</v>
      </c>
      <c r="F29" s="34" t="s">
        <v>144</v>
      </c>
      <c r="G29" s="44" t="s">
        <v>112</v>
      </c>
      <c r="H29" s="44" t="s">
        <v>112</v>
      </c>
      <c r="I29" s="47" t="s">
        <v>112</v>
      </c>
      <c r="J29" s="12"/>
      <c r="K29" s="45" t="s">
        <v>169</v>
      </c>
      <c r="L29" s="45" t="s">
        <v>73</v>
      </c>
      <c r="M29" s="45" t="s">
        <v>42</v>
      </c>
      <c r="N29" s="37"/>
      <c r="O29" s="31" t="str">
        <f>"217,5"</f>
        <v>217,5</v>
      </c>
      <c r="P29" s="12" t="str">
        <f>"143,2890"</f>
        <v>143,2890</v>
      </c>
      <c r="Q29" s="11" t="s">
        <v>149</v>
      </c>
    </row>
    <row r="30" spans="1:17">
      <c r="B30" s="5" t="s">
        <v>56</v>
      </c>
    </row>
    <row r="31" spans="1:17" ht="16">
      <c r="A31" s="66" t="s">
        <v>10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17">
      <c r="A32" s="10" t="s">
        <v>55</v>
      </c>
      <c r="B32" s="9" t="s">
        <v>482</v>
      </c>
      <c r="C32" s="9" t="s">
        <v>483</v>
      </c>
      <c r="D32" s="9" t="s">
        <v>484</v>
      </c>
      <c r="E32" s="9" t="s">
        <v>625</v>
      </c>
      <c r="F32" s="9" t="s">
        <v>132</v>
      </c>
      <c r="G32" s="21" t="s">
        <v>72</v>
      </c>
      <c r="H32" s="21" t="s">
        <v>31</v>
      </c>
      <c r="I32" s="20" t="s">
        <v>158</v>
      </c>
      <c r="J32" s="10"/>
      <c r="K32" s="21" t="s">
        <v>39</v>
      </c>
      <c r="L32" s="21" t="s">
        <v>485</v>
      </c>
      <c r="M32" s="20" t="s">
        <v>29</v>
      </c>
      <c r="N32" s="10"/>
      <c r="O32" s="30" t="str">
        <f>"405,0"</f>
        <v>405,0</v>
      </c>
      <c r="P32" s="10" t="str">
        <f>"247,2930"</f>
        <v>247,2930</v>
      </c>
      <c r="Q32" s="9"/>
    </row>
    <row r="33" spans="1:17">
      <c r="A33" s="25" t="s">
        <v>227</v>
      </c>
      <c r="B33" s="24" t="s">
        <v>486</v>
      </c>
      <c r="C33" s="24" t="s">
        <v>487</v>
      </c>
      <c r="D33" s="24" t="s">
        <v>488</v>
      </c>
      <c r="E33" s="24" t="s">
        <v>625</v>
      </c>
      <c r="F33" s="24" t="s">
        <v>14</v>
      </c>
      <c r="G33" s="26" t="s">
        <v>41</v>
      </c>
      <c r="H33" s="26" t="s">
        <v>42</v>
      </c>
      <c r="I33" s="26" t="s">
        <v>18</v>
      </c>
      <c r="J33" s="25"/>
      <c r="K33" s="26" t="s">
        <v>28</v>
      </c>
      <c r="L33" s="27" t="s">
        <v>182</v>
      </c>
      <c r="M33" s="27" t="s">
        <v>182</v>
      </c>
      <c r="N33" s="25"/>
      <c r="O33" s="48" t="str">
        <f>"380,0"</f>
        <v>380,0</v>
      </c>
      <c r="P33" s="25" t="str">
        <f>"232,7880"</f>
        <v>232,7880</v>
      </c>
      <c r="Q33" s="24"/>
    </row>
    <row r="34" spans="1:17">
      <c r="A34" s="25" t="s">
        <v>228</v>
      </c>
      <c r="B34" s="24" t="s">
        <v>77</v>
      </c>
      <c r="C34" s="24" t="s">
        <v>78</v>
      </c>
      <c r="D34" s="24" t="s">
        <v>79</v>
      </c>
      <c r="E34" s="24" t="s">
        <v>625</v>
      </c>
      <c r="F34" s="24" t="s">
        <v>80</v>
      </c>
      <c r="G34" s="26" t="s">
        <v>19</v>
      </c>
      <c r="H34" s="27" t="s">
        <v>82</v>
      </c>
      <c r="I34" s="27" t="s">
        <v>82</v>
      </c>
      <c r="J34" s="25"/>
      <c r="K34" s="26" t="s">
        <v>22</v>
      </c>
      <c r="L34" s="27" t="s">
        <v>83</v>
      </c>
      <c r="M34" s="27" t="s">
        <v>83</v>
      </c>
      <c r="N34" s="25"/>
      <c r="O34" s="48" t="str">
        <f>"360,0"</f>
        <v>360,0</v>
      </c>
      <c r="P34" s="25" t="str">
        <f>"219,0960"</f>
        <v>219,0960</v>
      </c>
      <c r="Q34" s="24" t="s">
        <v>84</v>
      </c>
    </row>
    <row r="35" spans="1:17">
      <c r="A35" s="12" t="s">
        <v>55</v>
      </c>
      <c r="B35" s="11" t="s">
        <v>482</v>
      </c>
      <c r="C35" s="11" t="s">
        <v>489</v>
      </c>
      <c r="D35" s="11" t="s">
        <v>484</v>
      </c>
      <c r="E35" s="11" t="s">
        <v>626</v>
      </c>
      <c r="F35" s="11" t="s">
        <v>132</v>
      </c>
      <c r="G35" s="23" t="s">
        <v>72</v>
      </c>
      <c r="H35" s="23" t="s">
        <v>31</v>
      </c>
      <c r="I35" s="22" t="s">
        <v>158</v>
      </c>
      <c r="J35" s="12"/>
      <c r="K35" s="23" t="s">
        <v>39</v>
      </c>
      <c r="L35" s="23" t="s">
        <v>485</v>
      </c>
      <c r="M35" s="22" t="s">
        <v>29</v>
      </c>
      <c r="N35" s="12"/>
      <c r="O35" s="31" t="str">
        <f>"405,0"</f>
        <v>405,0</v>
      </c>
      <c r="P35" s="12" t="str">
        <f>"266,5819"</f>
        <v>266,5819</v>
      </c>
      <c r="Q35" s="11"/>
    </row>
    <row r="36" spans="1:17">
      <c r="B36" s="5" t="s">
        <v>56</v>
      </c>
    </row>
    <row r="37" spans="1:17">
      <c r="B37" s="5" t="s">
        <v>56</v>
      </c>
    </row>
    <row r="38" spans="1:17">
      <c r="B38" s="5" t="s">
        <v>56</v>
      </c>
    </row>
    <row r="39" spans="1:17" ht="18">
      <c r="B39" s="13" t="s">
        <v>45</v>
      </c>
      <c r="C39" s="13"/>
      <c r="F39" s="3"/>
    </row>
    <row r="40" spans="1:17" ht="16">
      <c r="B40" s="14" t="s">
        <v>46</v>
      </c>
      <c r="C40" s="14"/>
      <c r="F40" s="3"/>
    </row>
    <row r="41" spans="1:17" ht="14">
      <c r="B41" s="15"/>
      <c r="C41" s="16" t="s">
        <v>47</v>
      </c>
      <c r="F41" s="3"/>
    </row>
    <row r="42" spans="1:17" ht="14">
      <c r="B42" s="17" t="s">
        <v>48</v>
      </c>
      <c r="C42" s="17" t="s">
        <v>49</v>
      </c>
      <c r="D42" s="17" t="s">
        <v>50</v>
      </c>
      <c r="E42" s="17" t="s">
        <v>51</v>
      </c>
      <c r="F42" s="17" t="s">
        <v>52</v>
      </c>
    </row>
    <row r="43" spans="1:17">
      <c r="B43" s="5" t="s">
        <v>178</v>
      </c>
      <c r="C43" s="5" t="s">
        <v>47</v>
      </c>
      <c r="D43" s="6" t="s">
        <v>85</v>
      </c>
      <c r="E43" s="6" t="s">
        <v>490</v>
      </c>
      <c r="F43" s="6" t="s">
        <v>491</v>
      </c>
    </row>
    <row r="44" spans="1:17">
      <c r="B44" s="5" t="s">
        <v>482</v>
      </c>
      <c r="C44" s="5" t="s">
        <v>47</v>
      </c>
      <c r="D44" s="6" t="s">
        <v>54</v>
      </c>
      <c r="E44" s="6" t="s">
        <v>492</v>
      </c>
      <c r="F44" s="6" t="s">
        <v>493</v>
      </c>
    </row>
    <row r="45" spans="1:17">
      <c r="B45" s="5" t="s">
        <v>486</v>
      </c>
      <c r="C45" s="5" t="s">
        <v>47</v>
      </c>
      <c r="D45" s="6" t="s">
        <v>54</v>
      </c>
      <c r="E45" s="6" t="s">
        <v>494</v>
      </c>
      <c r="F45" s="6" t="s">
        <v>495</v>
      </c>
    </row>
    <row r="46" spans="1:17">
      <c r="B46" s="5" t="s">
        <v>56</v>
      </c>
    </row>
  </sheetData>
  <mergeCells count="19">
    <mergeCell ref="A31:N31"/>
    <mergeCell ref="O3:O4"/>
    <mergeCell ref="P3:P4"/>
    <mergeCell ref="Q3:Q4"/>
    <mergeCell ref="A5:N5"/>
    <mergeCell ref="B3:B4"/>
    <mergeCell ref="A9:N9"/>
    <mergeCell ref="A12:N12"/>
    <mergeCell ref="A16:N16"/>
    <mergeCell ref="A20:N20"/>
    <mergeCell ref="A23:N23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85"/>
  <sheetViews>
    <sheetView topLeftCell="A50" workbookViewId="0">
      <selection activeCell="E76" sqref="E76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55" t="s">
        <v>600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103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0" t="s">
        <v>55</v>
      </c>
      <c r="B6" s="9" t="s">
        <v>275</v>
      </c>
      <c r="C6" s="9" t="s">
        <v>276</v>
      </c>
      <c r="D6" s="9" t="s">
        <v>277</v>
      </c>
      <c r="E6" s="9" t="s">
        <v>628</v>
      </c>
      <c r="F6" s="9" t="s">
        <v>608</v>
      </c>
      <c r="G6" s="21" t="s">
        <v>110</v>
      </c>
      <c r="H6" s="21" t="s">
        <v>64</v>
      </c>
      <c r="I6" s="20" t="s">
        <v>278</v>
      </c>
      <c r="J6" s="10"/>
      <c r="K6" s="10" t="str">
        <f>"40,0"</f>
        <v>40,0</v>
      </c>
      <c r="L6" s="10" t="str">
        <f>"57,4360"</f>
        <v>57,4360</v>
      </c>
      <c r="M6" s="9"/>
    </row>
    <row r="7" spans="1:13">
      <c r="A7" s="12" t="s">
        <v>55</v>
      </c>
      <c r="B7" s="11" t="s">
        <v>275</v>
      </c>
      <c r="C7" s="11" t="s">
        <v>279</v>
      </c>
      <c r="D7" s="11" t="s">
        <v>277</v>
      </c>
      <c r="E7" s="11" t="s">
        <v>625</v>
      </c>
      <c r="F7" s="11" t="s">
        <v>608</v>
      </c>
      <c r="G7" s="23" t="s">
        <v>110</v>
      </c>
      <c r="H7" s="23" t="s">
        <v>64</v>
      </c>
      <c r="I7" s="22" t="s">
        <v>278</v>
      </c>
      <c r="J7" s="12"/>
      <c r="K7" s="12" t="str">
        <f>"40,0"</f>
        <v>40,0</v>
      </c>
      <c r="L7" s="12" t="str">
        <f>"57,4360"</f>
        <v>57,4360</v>
      </c>
      <c r="M7" s="11"/>
    </row>
    <row r="8" spans="1:13">
      <c r="B8" s="5" t="s">
        <v>56</v>
      </c>
    </row>
    <row r="9" spans="1:13" ht="16">
      <c r="A9" s="66" t="s">
        <v>128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10" t="s">
        <v>55</v>
      </c>
      <c r="B10" s="9" t="s">
        <v>280</v>
      </c>
      <c r="C10" s="9" t="s">
        <v>281</v>
      </c>
      <c r="D10" s="9" t="s">
        <v>282</v>
      </c>
      <c r="E10" s="9" t="s">
        <v>628</v>
      </c>
      <c r="F10" s="9" t="s">
        <v>608</v>
      </c>
      <c r="G10" s="21" t="s">
        <v>64</v>
      </c>
      <c r="H10" s="21" t="s">
        <v>120</v>
      </c>
      <c r="I10" s="20" t="s">
        <v>283</v>
      </c>
      <c r="J10" s="10"/>
      <c r="K10" s="10" t="str">
        <f>"45,0"</f>
        <v>45,0</v>
      </c>
      <c r="L10" s="10" t="str">
        <f>"58,6035"</f>
        <v>58,6035</v>
      </c>
      <c r="M10" s="9" t="s">
        <v>296</v>
      </c>
    </row>
    <row r="11" spans="1:13">
      <c r="A11" s="12" t="s">
        <v>55</v>
      </c>
      <c r="B11" s="11" t="s">
        <v>280</v>
      </c>
      <c r="C11" s="11" t="s">
        <v>284</v>
      </c>
      <c r="D11" s="11" t="s">
        <v>282</v>
      </c>
      <c r="E11" s="11" t="s">
        <v>625</v>
      </c>
      <c r="F11" s="11" t="s">
        <v>608</v>
      </c>
      <c r="G11" s="23" t="s">
        <v>64</v>
      </c>
      <c r="H11" s="23" t="s">
        <v>120</v>
      </c>
      <c r="I11" s="22" t="s">
        <v>283</v>
      </c>
      <c r="J11" s="12"/>
      <c r="K11" s="12" t="str">
        <f>"45,0"</f>
        <v>45,0</v>
      </c>
      <c r="L11" s="12" t="str">
        <f>"58,6035"</f>
        <v>58,6035</v>
      </c>
      <c r="M11" s="11" t="s">
        <v>296</v>
      </c>
    </row>
    <row r="12" spans="1:13">
      <c r="B12" s="5" t="s">
        <v>56</v>
      </c>
    </row>
    <row r="13" spans="1:13" ht="16">
      <c r="A13" s="66" t="s">
        <v>135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3">
      <c r="A14" s="10" t="s">
        <v>55</v>
      </c>
      <c r="B14" s="9" t="s">
        <v>285</v>
      </c>
      <c r="C14" s="9" t="s">
        <v>286</v>
      </c>
      <c r="D14" s="9" t="s">
        <v>287</v>
      </c>
      <c r="E14" s="9" t="s">
        <v>627</v>
      </c>
      <c r="F14" s="9" t="s">
        <v>144</v>
      </c>
      <c r="G14" s="21" t="s">
        <v>125</v>
      </c>
      <c r="H14" s="21" t="s">
        <v>288</v>
      </c>
      <c r="I14" s="21" t="s">
        <v>64</v>
      </c>
      <c r="J14" s="10"/>
      <c r="K14" s="10" t="str">
        <f>"40,0"</f>
        <v>40,0</v>
      </c>
      <c r="L14" s="10" t="str">
        <f>"48,4920"</f>
        <v>48,4920</v>
      </c>
      <c r="M14" s="9" t="s">
        <v>149</v>
      </c>
    </row>
    <row r="15" spans="1:13">
      <c r="A15" s="12" t="s">
        <v>55</v>
      </c>
      <c r="B15" s="11" t="s">
        <v>285</v>
      </c>
      <c r="C15" s="11" t="s">
        <v>289</v>
      </c>
      <c r="D15" s="11" t="s">
        <v>287</v>
      </c>
      <c r="E15" s="11" t="s">
        <v>625</v>
      </c>
      <c r="F15" s="11" t="s">
        <v>144</v>
      </c>
      <c r="G15" s="23" t="s">
        <v>125</v>
      </c>
      <c r="H15" s="23" t="s">
        <v>288</v>
      </c>
      <c r="I15" s="23" t="s">
        <v>64</v>
      </c>
      <c r="J15" s="12"/>
      <c r="K15" s="12" t="str">
        <f>"40,0"</f>
        <v>40,0</v>
      </c>
      <c r="L15" s="12" t="str">
        <f>"48,4920"</f>
        <v>48,4920</v>
      </c>
      <c r="M15" s="11" t="s">
        <v>149</v>
      </c>
    </row>
    <row r="16" spans="1:13">
      <c r="B16" s="5" t="s">
        <v>56</v>
      </c>
    </row>
    <row r="17" spans="1:13" ht="16">
      <c r="A17" s="66" t="s">
        <v>58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8" t="s">
        <v>55</v>
      </c>
      <c r="B18" s="7" t="s">
        <v>290</v>
      </c>
      <c r="C18" s="7" t="s">
        <v>291</v>
      </c>
      <c r="D18" s="7" t="s">
        <v>292</v>
      </c>
      <c r="E18" s="7" t="s">
        <v>625</v>
      </c>
      <c r="F18" s="7" t="s">
        <v>608</v>
      </c>
      <c r="G18" s="18" t="s">
        <v>108</v>
      </c>
      <c r="H18" s="19" t="s">
        <v>127</v>
      </c>
      <c r="I18" s="19" t="s">
        <v>127</v>
      </c>
      <c r="J18" s="8"/>
      <c r="K18" s="8" t="str">
        <f>"70,0"</f>
        <v>70,0</v>
      </c>
      <c r="L18" s="8" t="str">
        <f>"72,7790"</f>
        <v>72,7790</v>
      </c>
      <c r="M18" s="7"/>
    </row>
    <row r="19" spans="1:13">
      <c r="B19" s="5" t="s">
        <v>56</v>
      </c>
    </row>
    <row r="20" spans="1:13" ht="16">
      <c r="A20" s="66" t="s">
        <v>160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10" t="s">
        <v>55</v>
      </c>
      <c r="B21" s="9" t="s">
        <v>293</v>
      </c>
      <c r="C21" s="9" t="s">
        <v>294</v>
      </c>
      <c r="D21" s="9" t="s">
        <v>295</v>
      </c>
      <c r="E21" s="9" t="s">
        <v>628</v>
      </c>
      <c r="F21" s="9" t="s">
        <v>608</v>
      </c>
      <c r="G21" s="21" t="s">
        <v>133</v>
      </c>
      <c r="H21" s="21" t="s">
        <v>109</v>
      </c>
      <c r="I21" s="20" t="s">
        <v>127</v>
      </c>
      <c r="J21" s="10"/>
      <c r="K21" s="10" t="str">
        <f>"72,5"</f>
        <v>72,5</v>
      </c>
      <c r="L21" s="10" t="str">
        <f>"73,2250"</f>
        <v>73,2250</v>
      </c>
      <c r="M21" s="9" t="s">
        <v>296</v>
      </c>
    </row>
    <row r="22" spans="1:13">
      <c r="A22" s="12" t="s">
        <v>55</v>
      </c>
      <c r="B22" s="11" t="s">
        <v>293</v>
      </c>
      <c r="C22" s="11" t="s">
        <v>297</v>
      </c>
      <c r="D22" s="11" t="s">
        <v>295</v>
      </c>
      <c r="E22" s="11" t="s">
        <v>625</v>
      </c>
      <c r="F22" s="11" t="s">
        <v>608</v>
      </c>
      <c r="G22" s="23" t="s">
        <v>133</v>
      </c>
      <c r="H22" s="23" t="s">
        <v>109</v>
      </c>
      <c r="I22" s="22" t="s">
        <v>127</v>
      </c>
      <c r="J22" s="12"/>
      <c r="K22" s="12" t="str">
        <f>"72,5"</f>
        <v>72,5</v>
      </c>
      <c r="L22" s="12" t="str">
        <f>"73,2250"</f>
        <v>73,2250</v>
      </c>
      <c r="M22" s="11" t="s">
        <v>296</v>
      </c>
    </row>
    <row r="23" spans="1:13">
      <c r="B23" s="5" t="s">
        <v>56</v>
      </c>
    </row>
    <row r="24" spans="1:13" ht="16">
      <c r="A24" s="66" t="s">
        <v>128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3">
      <c r="A25" s="10" t="s">
        <v>55</v>
      </c>
      <c r="B25" s="9" t="s">
        <v>298</v>
      </c>
      <c r="C25" s="9" t="s">
        <v>299</v>
      </c>
      <c r="D25" s="9" t="s">
        <v>300</v>
      </c>
      <c r="E25" s="9" t="s">
        <v>627</v>
      </c>
      <c r="F25" s="9" t="s">
        <v>144</v>
      </c>
      <c r="G25" s="21" t="s">
        <v>124</v>
      </c>
      <c r="H25" s="21" t="s">
        <v>125</v>
      </c>
      <c r="I25" s="21" t="s">
        <v>288</v>
      </c>
      <c r="J25" s="10"/>
      <c r="K25" s="10" t="str">
        <f>"35,0"</f>
        <v>35,0</v>
      </c>
      <c r="L25" s="10" t="str">
        <f>"41,2335"</f>
        <v>41,2335</v>
      </c>
      <c r="M25" s="9" t="s">
        <v>149</v>
      </c>
    </row>
    <row r="26" spans="1:13">
      <c r="A26" s="12" t="s">
        <v>55</v>
      </c>
      <c r="B26" s="11" t="s">
        <v>298</v>
      </c>
      <c r="C26" s="11" t="s">
        <v>301</v>
      </c>
      <c r="D26" s="11" t="s">
        <v>300</v>
      </c>
      <c r="E26" s="11" t="s">
        <v>625</v>
      </c>
      <c r="F26" s="11" t="s">
        <v>144</v>
      </c>
      <c r="G26" s="23" t="s">
        <v>124</v>
      </c>
      <c r="H26" s="23" t="s">
        <v>125</v>
      </c>
      <c r="I26" s="23" t="s">
        <v>288</v>
      </c>
      <c r="J26" s="12"/>
      <c r="K26" s="12" t="str">
        <f>"35,0"</f>
        <v>35,0</v>
      </c>
      <c r="L26" s="12" t="str">
        <f>"41,2335"</f>
        <v>41,2335</v>
      </c>
      <c r="M26" s="11" t="s">
        <v>149</v>
      </c>
    </row>
    <row r="27" spans="1:13">
      <c r="B27" s="5" t="s">
        <v>56</v>
      </c>
    </row>
    <row r="28" spans="1:13" ht="16">
      <c r="A28" s="66" t="s">
        <v>135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3">
      <c r="A29" s="10" t="s">
        <v>55</v>
      </c>
      <c r="B29" s="9" t="s">
        <v>302</v>
      </c>
      <c r="C29" s="9" t="s">
        <v>303</v>
      </c>
      <c r="D29" s="9" t="s">
        <v>304</v>
      </c>
      <c r="E29" s="9" t="s">
        <v>627</v>
      </c>
      <c r="F29" s="9" t="s">
        <v>144</v>
      </c>
      <c r="G29" s="21" t="s">
        <v>64</v>
      </c>
      <c r="H29" s="21" t="s">
        <v>120</v>
      </c>
      <c r="I29" s="21" t="s">
        <v>121</v>
      </c>
      <c r="J29" s="10"/>
      <c r="K29" s="10" t="str">
        <f>"50,0"</f>
        <v>50,0</v>
      </c>
      <c r="L29" s="10" t="str">
        <f>"47,7350"</f>
        <v>47,7350</v>
      </c>
      <c r="M29" s="9" t="s">
        <v>149</v>
      </c>
    </row>
    <row r="30" spans="1:13">
      <c r="A30" s="12" t="s">
        <v>55</v>
      </c>
      <c r="B30" s="11" t="s">
        <v>302</v>
      </c>
      <c r="C30" s="11" t="s">
        <v>305</v>
      </c>
      <c r="D30" s="11" t="s">
        <v>304</v>
      </c>
      <c r="E30" s="11" t="s">
        <v>625</v>
      </c>
      <c r="F30" s="11" t="s">
        <v>144</v>
      </c>
      <c r="G30" s="23" t="s">
        <v>64</v>
      </c>
      <c r="H30" s="23" t="s">
        <v>120</v>
      </c>
      <c r="I30" s="23" t="s">
        <v>121</v>
      </c>
      <c r="J30" s="12"/>
      <c r="K30" s="12" t="str">
        <f>"50,0"</f>
        <v>50,0</v>
      </c>
      <c r="L30" s="12" t="str">
        <f>"47,7350"</f>
        <v>47,7350</v>
      </c>
      <c r="M30" s="11" t="s">
        <v>149</v>
      </c>
    </row>
    <row r="31" spans="1:13">
      <c r="B31" s="5" t="s">
        <v>56</v>
      </c>
    </row>
    <row r="32" spans="1:13" ht="16">
      <c r="A32" s="66" t="s">
        <v>306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3">
      <c r="A33" s="10" t="s">
        <v>55</v>
      </c>
      <c r="B33" s="9" t="s">
        <v>307</v>
      </c>
      <c r="C33" s="9" t="s">
        <v>308</v>
      </c>
      <c r="D33" s="9" t="s">
        <v>309</v>
      </c>
      <c r="E33" s="9" t="s">
        <v>628</v>
      </c>
      <c r="F33" s="9" t="s">
        <v>608</v>
      </c>
      <c r="G33" s="21" t="s">
        <v>74</v>
      </c>
      <c r="H33" s="21" t="s">
        <v>204</v>
      </c>
      <c r="I33" s="10"/>
      <c r="J33" s="10"/>
      <c r="K33" s="10" t="str">
        <f>"132,5"</f>
        <v>132,5</v>
      </c>
      <c r="L33" s="10" t="str">
        <f>"113,8705"</f>
        <v>113,8705</v>
      </c>
      <c r="M33" s="9"/>
    </row>
    <row r="34" spans="1:13">
      <c r="A34" s="25" t="s">
        <v>227</v>
      </c>
      <c r="B34" s="24" t="s">
        <v>310</v>
      </c>
      <c r="C34" s="24" t="s">
        <v>311</v>
      </c>
      <c r="D34" s="24" t="s">
        <v>312</v>
      </c>
      <c r="E34" s="24" t="s">
        <v>628</v>
      </c>
      <c r="F34" s="24" t="s">
        <v>608</v>
      </c>
      <c r="G34" s="26" t="s">
        <v>176</v>
      </c>
      <c r="H34" s="27" t="s">
        <v>156</v>
      </c>
      <c r="I34" s="27" t="s">
        <v>156</v>
      </c>
      <c r="J34" s="25"/>
      <c r="K34" s="25" t="str">
        <f>"107,5"</f>
        <v>107,5</v>
      </c>
      <c r="L34" s="25" t="str">
        <f>"92,8262"</f>
        <v>92,8262</v>
      </c>
      <c r="M34" s="24" t="s">
        <v>271</v>
      </c>
    </row>
    <row r="35" spans="1:13">
      <c r="A35" s="25" t="s">
        <v>55</v>
      </c>
      <c r="B35" s="24" t="s">
        <v>307</v>
      </c>
      <c r="C35" s="24" t="s">
        <v>313</v>
      </c>
      <c r="D35" s="24" t="s">
        <v>309</v>
      </c>
      <c r="E35" s="24" t="s">
        <v>625</v>
      </c>
      <c r="F35" s="24" t="s">
        <v>608</v>
      </c>
      <c r="G35" s="26" t="s">
        <v>74</v>
      </c>
      <c r="H35" s="26" t="s">
        <v>204</v>
      </c>
      <c r="I35" s="25"/>
      <c r="J35" s="25"/>
      <c r="K35" s="25" t="str">
        <f>"132,5"</f>
        <v>132,5</v>
      </c>
      <c r="L35" s="25" t="str">
        <f>"113,8705"</f>
        <v>113,8705</v>
      </c>
      <c r="M35" s="24"/>
    </row>
    <row r="36" spans="1:13">
      <c r="A36" s="12" t="s">
        <v>227</v>
      </c>
      <c r="B36" s="11" t="s">
        <v>310</v>
      </c>
      <c r="C36" s="11" t="s">
        <v>314</v>
      </c>
      <c r="D36" s="11" t="s">
        <v>312</v>
      </c>
      <c r="E36" s="11" t="s">
        <v>625</v>
      </c>
      <c r="F36" s="11" t="s">
        <v>608</v>
      </c>
      <c r="G36" s="23" t="s">
        <v>176</v>
      </c>
      <c r="H36" s="22" t="s">
        <v>156</v>
      </c>
      <c r="I36" s="22" t="s">
        <v>156</v>
      </c>
      <c r="J36" s="12"/>
      <c r="K36" s="12" t="str">
        <f>"107,5"</f>
        <v>107,5</v>
      </c>
      <c r="L36" s="12" t="str">
        <f>"92,8262"</f>
        <v>92,8262</v>
      </c>
      <c r="M36" s="11" t="s">
        <v>271</v>
      </c>
    </row>
    <row r="37" spans="1:13">
      <c r="B37" s="5" t="s">
        <v>56</v>
      </c>
    </row>
    <row r="38" spans="1:13" ht="16">
      <c r="A38" s="66" t="s">
        <v>58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3">
      <c r="A39" s="10" t="s">
        <v>55</v>
      </c>
      <c r="B39" s="9" t="s">
        <v>315</v>
      </c>
      <c r="C39" s="9" t="s">
        <v>316</v>
      </c>
      <c r="D39" s="9" t="s">
        <v>317</v>
      </c>
      <c r="E39" s="9" t="s">
        <v>624</v>
      </c>
      <c r="F39" s="9" t="s">
        <v>608</v>
      </c>
      <c r="G39" s="21" t="s">
        <v>113</v>
      </c>
      <c r="H39" s="21" t="s">
        <v>139</v>
      </c>
      <c r="I39" s="21" t="s">
        <v>147</v>
      </c>
      <c r="J39" s="10"/>
      <c r="K39" s="10" t="str">
        <f>"97,5"</f>
        <v>97,5</v>
      </c>
      <c r="L39" s="10" t="str">
        <f>"76,2742"</f>
        <v>76,2742</v>
      </c>
      <c r="M39" s="9" t="s">
        <v>613</v>
      </c>
    </row>
    <row r="40" spans="1:13">
      <c r="A40" s="12" t="s">
        <v>55</v>
      </c>
      <c r="B40" s="11" t="s">
        <v>315</v>
      </c>
      <c r="C40" s="11" t="s">
        <v>318</v>
      </c>
      <c r="D40" s="11" t="s">
        <v>317</v>
      </c>
      <c r="E40" s="11" t="s">
        <v>625</v>
      </c>
      <c r="F40" s="11" t="s">
        <v>608</v>
      </c>
      <c r="G40" s="23" t="s">
        <v>113</v>
      </c>
      <c r="H40" s="23" t="s">
        <v>139</v>
      </c>
      <c r="I40" s="23" t="s">
        <v>147</v>
      </c>
      <c r="J40" s="12"/>
      <c r="K40" s="12" t="str">
        <f>"97,5"</f>
        <v>97,5</v>
      </c>
      <c r="L40" s="12" t="str">
        <f>"76,2742"</f>
        <v>76,2742</v>
      </c>
      <c r="M40" s="11" t="s">
        <v>613</v>
      </c>
    </row>
    <row r="41" spans="1:13">
      <c r="B41" s="5" t="s">
        <v>56</v>
      </c>
    </row>
    <row r="42" spans="1:13" ht="16">
      <c r="A42" s="66" t="s">
        <v>160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3">
      <c r="A43" s="8" t="s">
        <v>55</v>
      </c>
      <c r="B43" s="7" t="s">
        <v>319</v>
      </c>
      <c r="C43" s="7" t="s">
        <v>320</v>
      </c>
      <c r="D43" s="7" t="s">
        <v>321</v>
      </c>
      <c r="E43" s="7" t="s">
        <v>625</v>
      </c>
      <c r="F43" s="7" t="s">
        <v>322</v>
      </c>
      <c r="G43" s="18" t="s">
        <v>41</v>
      </c>
      <c r="H43" s="18" t="s">
        <v>42</v>
      </c>
      <c r="I43" s="19" t="s">
        <v>205</v>
      </c>
      <c r="J43" s="8"/>
      <c r="K43" s="8" t="str">
        <f>"135,0"</f>
        <v>135,0</v>
      </c>
      <c r="L43" s="8" t="str">
        <f>"96,2010"</f>
        <v>96,2010</v>
      </c>
      <c r="M43" s="7"/>
    </row>
    <row r="44" spans="1:13">
      <c r="B44" s="5" t="s">
        <v>56</v>
      </c>
    </row>
    <row r="45" spans="1:13" ht="16">
      <c r="A45" s="66" t="s">
        <v>165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3">
      <c r="A46" s="10" t="s">
        <v>55</v>
      </c>
      <c r="B46" s="9" t="s">
        <v>323</v>
      </c>
      <c r="C46" s="9" t="s">
        <v>324</v>
      </c>
      <c r="D46" s="9" t="s">
        <v>325</v>
      </c>
      <c r="E46" s="9" t="s">
        <v>628</v>
      </c>
      <c r="F46" s="9" t="s">
        <v>608</v>
      </c>
      <c r="G46" s="21" t="s">
        <v>157</v>
      </c>
      <c r="H46" s="20" t="s">
        <v>74</v>
      </c>
      <c r="I46" s="20" t="s">
        <v>74</v>
      </c>
      <c r="J46" s="10"/>
      <c r="K46" s="10" t="str">
        <f>"115,0"</f>
        <v>115,0</v>
      </c>
      <c r="L46" s="10" t="str">
        <f>"77,0385"</f>
        <v>77,0385</v>
      </c>
      <c r="M46" s="9"/>
    </row>
    <row r="47" spans="1:13">
      <c r="A47" s="25" t="s">
        <v>55</v>
      </c>
      <c r="B47" s="24" t="s">
        <v>237</v>
      </c>
      <c r="C47" s="24" t="s">
        <v>238</v>
      </c>
      <c r="D47" s="24" t="s">
        <v>239</v>
      </c>
      <c r="E47" s="24" t="s">
        <v>625</v>
      </c>
      <c r="F47" s="24" t="s">
        <v>14</v>
      </c>
      <c r="G47" s="27" t="s">
        <v>31</v>
      </c>
      <c r="H47" s="26" t="s">
        <v>31</v>
      </c>
      <c r="I47" s="27" t="s">
        <v>240</v>
      </c>
      <c r="J47" s="25"/>
      <c r="K47" s="25" t="str">
        <f>"160,0"</f>
        <v>160,0</v>
      </c>
      <c r="L47" s="25" t="str">
        <f>"108,5600"</f>
        <v>108,5600</v>
      </c>
      <c r="M47" s="24" t="s">
        <v>241</v>
      </c>
    </row>
    <row r="48" spans="1:13">
      <c r="A48" s="25" t="s">
        <v>227</v>
      </c>
      <c r="B48" s="24" t="s">
        <v>326</v>
      </c>
      <c r="C48" s="24" t="s">
        <v>327</v>
      </c>
      <c r="D48" s="24" t="s">
        <v>174</v>
      </c>
      <c r="E48" s="24" t="s">
        <v>625</v>
      </c>
      <c r="F48" s="24" t="s">
        <v>14</v>
      </c>
      <c r="G48" s="26" t="s">
        <v>72</v>
      </c>
      <c r="H48" s="27" t="s">
        <v>31</v>
      </c>
      <c r="I48" s="26" t="s">
        <v>31</v>
      </c>
      <c r="J48" s="25"/>
      <c r="K48" s="25" t="str">
        <f>"160,0"</f>
        <v>160,0</v>
      </c>
      <c r="L48" s="25" t="str">
        <f>"108,2240"</f>
        <v>108,2240</v>
      </c>
      <c r="M48" s="24"/>
    </row>
    <row r="49" spans="1:13">
      <c r="A49" s="25" t="s">
        <v>228</v>
      </c>
      <c r="B49" s="24" t="s">
        <v>328</v>
      </c>
      <c r="C49" s="24" t="s">
        <v>329</v>
      </c>
      <c r="D49" s="24" t="s">
        <v>174</v>
      </c>
      <c r="E49" s="24" t="s">
        <v>625</v>
      </c>
      <c r="F49" s="24" t="s">
        <v>608</v>
      </c>
      <c r="G49" s="26" t="s">
        <v>18</v>
      </c>
      <c r="H49" s="26" t="s">
        <v>140</v>
      </c>
      <c r="I49" s="27" t="s">
        <v>72</v>
      </c>
      <c r="J49" s="25"/>
      <c r="K49" s="25" t="str">
        <f>"145,0"</f>
        <v>145,0</v>
      </c>
      <c r="L49" s="25" t="str">
        <f>"98,0780"</f>
        <v>98,0780</v>
      </c>
      <c r="M49" s="24" t="s">
        <v>271</v>
      </c>
    </row>
    <row r="50" spans="1:13">
      <c r="A50" s="25" t="s">
        <v>380</v>
      </c>
      <c r="B50" s="24" t="s">
        <v>323</v>
      </c>
      <c r="C50" s="24" t="s">
        <v>330</v>
      </c>
      <c r="D50" s="24" t="s">
        <v>325</v>
      </c>
      <c r="E50" s="24" t="s">
        <v>625</v>
      </c>
      <c r="F50" s="24" t="s">
        <v>608</v>
      </c>
      <c r="G50" s="26" t="s">
        <v>157</v>
      </c>
      <c r="H50" s="27" t="s">
        <v>74</v>
      </c>
      <c r="I50" s="27" t="s">
        <v>74</v>
      </c>
      <c r="J50" s="25"/>
      <c r="K50" s="25" t="str">
        <f>"115,0"</f>
        <v>115,0</v>
      </c>
      <c r="L50" s="25" t="str">
        <f>"77,0385"</f>
        <v>77,0385</v>
      </c>
      <c r="M50" s="24"/>
    </row>
    <row r="51" spans="1:13">
      <c r="A51" s="25" t="s">
        <v>381</v>
      </c>
      <c r="B51" s="24" t="s">
        <v>331</v>
      </c>
      <c r="C51" s="24" t="s">
        <v>332</v>
      </c>
      <c r="D51" s="24" t="s">
        <v>333</v>
      </c>
      <c r="E51" s="24" t="s">
        <v>625</v>
      </c>
      <c r="F51" s="24" t="s">
        <v>334</v>
      </c>
      <c r="G51" s="26" t="s">
        <v>156</v>
      </c>
      <c r="H51" s="27" t="s">
        <v>74</v>
      </c>
      <c r="I51" s="27" t="s">
        <v>74</v>
      </c>
      <c r="J51" s="25"/>
      <c r="K51" s="25" t="str">
        <f>"112,5"</f>
        <v>112,5</v>
      </c>
      <c r="L51" s="25" t="str">
        <f>"75,6450"</f>
        <v>75,6450</v>
      </c>
      <c r="M51" s="24"/>
    </row>
    <row r="52" spans="1:13">
      <c r="A52" s="25" t="s">
        <v>382</v>
      </c>
      <c r="B52" s="24" t="s">
        <v>335</v>
      </c>
      <c r="C52" s="24" t="s">
        <v>336</v>
      </c>
      <c r="D52" s="24" t="s">
        <v>337</v>
      </c>
      <c r="E52" s="24" t="s">
        <v>625</v>
      </c>
      <c r="F52" s="24" t="s">
        <v>144</v>
      </c>
      <c r="G52" s="26" t="s">
        <v>113</v>
      </c>
      <c r="H52" s="26" t="s">
        <v>139</v>
      </c>
      <c r="I52" s="26" t="s">
        <v>148</v>
      </c>
      <c r="J52" s="25"/>
      <c r="K52" s="25" t="str">
        <f>"100,0"</f>
        <v>100,0</v>
      </c>
      <c r="L52" s="25" t="str">
        <f>"69,0500"</f>
        <v>69,0500</v>
      </c>
      <c r="M52" s="24" t="s">
        <v>149</v>
      </c>
    </row>
    <row r="53" spans="1:13">
      <c r="A53" s="12" t="s">
        <v>55</v>
      </c>
      <c r="B53" s="11" t="s">
        <v>328</v>
      </c>
      <c r="C53" s="11" t="s">
        <v>338</v>
      </c>
      <c r="D53" s="11" t="s">
        <v>174</v>
      </c>
      <c r="E53" s="11" t="s">
        <v>626</v>
      </c>
      <c r="F53" s="11" t="s">
        <v>608</v>
      </c>
      <c r="G53" s="23" t="s">
        <v>18</v>
      </c>
      <c r="H53" s="23" t="s">
        <v>140</v>
      </c>
      <c r="I53" s="22" t="s">
        <v>72</v>
      </c>
      <c r="J53" s="12"/>
      <c r="K53" s="12" t="str">
        <f>"145,0"</f>
        <v>145,0</v>
      </c>
      <c r="L53" s="12" t="str">
        <f>"98,0780"</f>
        <v>98,0780</v>
      </c>
      <c r="M53" s="11" t="s">
        <v>271</v>
      </c>
    </row>
    <row r="54" spans="1:13">
      <c r="B54" s="5" t="s">
        <v>56</v>
      </c>
    </row>
    <row r="55" spans="1:13" ht="16">
      <c r="A55" s="66" t="s">
        <v>68</v>
      </c>
      <c r="B55" s="66"/>
      <c r="C55" s="66"/>
      <c r="D55" s="66"/>
      <c r="E55" s="66"/>
      <c r="F55" s="66"/>
      <c r="G55" s="66"/>
      <c r="H55" s="66"/>
      <c r="I55" s="66"/>
      <c r="J55" s="66"/>
    </row>
    <row r="56" spans="1:13">
      <c r="A56" s="10" t="s">
        <v>55</v>
      </c>
      <c r="B56" s="9" t="s">
        <v>339</v>
      </c>
      <c r="C56" s="9" t="s">
        <v>340</v>
      </c>
      <c r="D56" s="9" t="s">
        <v>341</v>
      </c>
      <c r="E56" s="9" t="s">
        <v>624</v>
      </c>
      <c r="F56" s="9" t="s">
        <v>342</v>
      </c>
      <c r="G56" s="21" t="s">
        <v>140</v>
      </c>
      <c r="H56" s="21" t="s">
        <v>30</v>
      </c>
      <c r="I56" s="21" t="s">
        <v>72</v>
      </c>
      <c r="J56" s="10"/>
      <c r="K56" s="10" t="str">
        <f>"155,0"</f>
        <v>155,0</v>
      </c>
      <c r="L56" s="10" t="str">
        <f>"99,1225"</f>
        <v>99,1225</v>
      </c>
      <c r="M56" s="9"/>
    </row>
    <row r="57" spans="1:13">
      <c r="A57" s="25" t="s">
        <v>55</v>
      </c>
      <c r="B57" s="24" t="s">
        <v>343</v>
      </c>
      <c r="C57" s="24" t="s">
        <v>344</v>
      </c>
      <c r="D57" s="24" t="s">
        <v>247</v>
      </c>
      <c r="E57" s="24" t="s">
        <v>625</v>
      </c>
      <c r="F57" s="24" t="s">
        <v>608</v>
      </c>
      <c r="G57" s="26" t="s">
        <v>345</v>
      </c>
      <c r="H57" s="26" t="s">
        <v>90</v>
      </c>
      <c r="I57" s="26" t="s">
        <v>193</v>
      </c>
      <c r="J57" s="25"/>
      <c r="K57" s="25" t="str">
        <f>"182,5"</f>
        <v>182,5</v>
      </c>
      <c r="L57" s="25" t="str">
        <f>"116,5080"</f>
        <v>116,5080</v>
      </c>
      <c r="M57" s="24" t="s">
        <v>346</v>
      </c>
    </row>
    <row r="58" spans="1:13">
      <c r="A58" s="25" t="s">
        <v>227</v>
      </c>
      <c r="B58" s="24" t="s">
        <v>339</v>
      </c>
      <c r="C58" s="24" t="s">
        <v>347</v>
      </c>
      <c r="D58" s="24" t="s">
        <v>341</v>
      </c>
      <c r="E58" s="24" t="s">
        <v>625</v>
      </c>
      <c r="F58" s="24" t="s">
        <v>342</v>
      </c>
      <c r="G58" s="26" t="s">
        <v>140</v>
      </c>
      <c r="H58" s="26" t="s">
        <v>30</v>
      </c>
      <c r="I58" s="26" t="s">
        <v>72</v>
      </c>
      <c r="J58" s="25"/>
      <c r="K58" s="25" t="str">
        <f>"155,0"</f>
        <v>155,0</v>
      </c>
      <c r="L58" s="25" t="str">
        <f>"99,1225"</f>
        <v>99,1225</v>
      </c>
      <c r="M58" s="24"/>
    </row>
    <row r="59" spans="1:13">
      <c r="A59" s="12" t="s">
        <v>228</v>
      </c>
      <c r="B59" s="11" t="s">
        <v>348</v>
      </c>
      <c r="C59" s="11" t="s">
        <v>349</v>
      </c>
      <c r="D59" s="11" t="s">
        <v>350</v>
      </c>
      <c r="E59" s="11" t="s">
        <v>625</v>
      </c>
      <c r="F59" s="11" t="s">
        <v>351</v>
      </c>
      <c r="G59" s="22" t="s">
        <v>204</v>
      </c>
      <c r="H59" s="23" t="s">
        <v>204</v>
      </c>
      <c r="I59" s="22" t="s">
        <v>30</v>
      </c>
      <c r="J59" s="12"/>
      <c r="K59" s="12" t="str">
        <f>"132,5"</f>
        <v>132,5</v>
      </c>
      <c r="L59" s="12" t="str">
        <f>"85,7407"</f>
        <v>85,7407</v>
      </c>
      <c r="M59" s="11"/>
    </row>
    <row r="60" spans="1:13">
      <c r="B60" s="5" t="s">
        <v>56</v>
      </c>
    </row>
    <row r="61" spans="1:13" ht="16">
      <c r="A61" s="66" t="s">
        <v>10</v>
      </c>
      <c r="B61" s="66"/>
      <c r="C61" s="66"/>
      <c r="D61" s="66"/>
      <c r="E61" s="66"/>
      <c r="F61" s="66"/>
      <c r="G61" s="66"/>
      <c r="H61" s="66"/>
      <c r="I61" s="66"/>
      <c r="J61" s="66"/>
    </row>
    <row r="62" spans="1:13">
      <c r="A62" s="10" t="s">
        <v>55</v>
      </c>
      <c r="B62" s="9" t="s">
        <v>352</v>
      </c>
      <c r="C62" s="9" t="s">
        <v>353</v>
      </c>
      <c r="D62" s="9" t="s">
        <v>354</v>
      </c>
      <c r="E62" s="9" t="s">
        <v>625</v>
      </c>
      <c r="F62" s="9" t="s">
        <v>322</v>
      </c>
      <c r="G62" s="21" t="s">
        <v>75</v>
      </c>
      <c r="H62" s="20" t="s">
        <v>345</v>
      </c>
      <c r="I62" s="21" t="s">
        <v>345</v>
      </c>
      <c r="J62" s="10"/>
      <c r="K62" s="10" t="str">
        <f>"175,0"</f>
        <v>175,0</v>
      </c>
      <c r="L62" s="10" t="str">
        <f>"110,7925"</f>
        <v>110,7925</v>
      </c>
      <c r="M62" s="9" t="s">
        <v>355</v>
      </c>
    </row>
    <row r="63" spans="1:13">
      <c r="A63" s="12" t="s">
        <v>227</v>
      </c>
      <c r="B63" s="11" t="s">
        <v>77</v>
      </c>
      <c r="C63" s="11" t="s">
        <v>78</v>
      </c>
      <c r="D63" s="11" t="s">
        <v>79</v>
      </c>
      <c r="E63" s="11" t="s">
        <v>625</v>
      </c>
      <c r="F63" s="11" t="s">
        <v>80</v>
      </c>
      <c r="G63" s="23" t="s">
        <v>19</v>
      </c>
      <c r="H63" s="22" t="s">
        <v>82</v>
      </c>
      <c r="I63" s="22" t="s">
        <v>82</v>
      </c>
      <c r="J63" s="12"/>
      <c r="K63" s="12" t="str">
        <f>"150,0"</f>
        <v>150,0</v>
      </c>
      <c r="L63" s="12" t="str">
        <f>"91,2900"</f>
        <v>91,2900</v>
      </c>
      <c r="M63" s="11" t="s">
        <v>356</v>
      </c>
    </row>
    <row r="64" spans="1:13">
      <c r="B64" s="5" t="s">
        <v>56</v>
      </c>
    </row>
    <row r="65" spans="1:13" ht="16">
      <c r="A65" s="66" t="s">
        <v>23</v>
      </c>
      <c r="B65" s="66"/>
      <c r="C65" s="66"/>
      <c r="D65" s="66"/>
      <c r="E65" s="66"/>
      <c r="F65" s="66"/>
      <c r="G65" s="66"/>
      <c r="H65" s="66"/>
      <c r="I65" s="66"/>
      <c r="J65" s="66"/>
    </row>
    <row r="66" spans="1:13">
      <c r="A66" s="10" t="s">
        <v>55</v>
      </c>
      <c r="B66" s="9" t="s">
        <v>357</v>
      </c>
      <c r="C66" s="9" t="s">
        <v>358</v>
      </c>
      <c r="D66" s="9" t="s">
        <v>359</v>
      </c>
      <c r="E66" s="9" t="s">
        <v>627</v>
      </c>
      <c r="F66" s="9" t="s">
        <v>144</v>
      </c>
      <c r="G66" s="21" t="s">
        <v>134</v>
      </c>
      <c r="H66" s="21" t="s">
        <v>65</v>
      </c>
      <c r="I66" s="20" t="s">
        <v>147</v>
      </c>
      <c r="J66" s="10"/>
      <c r="K66" s="10" t="str">
        <f>"90,0"</f>
        <v>90,0</v>
      </c>
      <c r="L66" s="10" t="str">
        <f>"54,5760"</f>
        <v>54,5760</v>
      </c>
      <c r="M66" s="9" t="s">
        <v>149</v>
      </c>
    </row>
    <row r="67" spans="1:13">
      <c r="A67" s="25" t="s">
        <v>55</v>
      </c>
      <c r="B67" s="24" t="s">
        <v>258</v>
      </c>
      <c r="C67" s="24" t="s">
        <v>259</v>
      </c>
      <c r="D67" s="24" t="s">
        <v>260</v>
      </c>
      <c r="E67" s="24" t="s">
        <v>625</v>
      </c>
      <c r="F67" s="24" t="s">
        <v>14</v>
      </c>
      <c r="G67" s="27" t="s">
        <v>43</v>
      </c>
      <c r="H67" s="27" t="s">
        <v>43</v>
      </c>
      <c r="I67" s="26" t="s">
        <v>43</v>
      </c>
      <c r="J67" s="25"/>
      <c r="K67" s="25" t="str">
        <f>"215,0"</f>
        <v>215,0</v>
      </c>
      <c r="L67" s="25" t="str">
        <f>"126,6995"</f>
        <v>126,6995</v>
      </c>
      <c r="M67" s="24"/>
    </row>
    <row r="68" spans="1:13">
      <c r="A68" s="25" t="s">
        <v>227</v>
      </c>
      <c r="B68" s="24" t="s">
        <v>360</v>
      </c>
      <c r="C68" s="24" t="s">
        <v>361</v>
      </c>
      <c r="D68" s="24" t="s">
        <v>362</v>
      </c>
      <c r="E68" s="24" t="s">
        <v>625</v>
      </c>
      <c r="F68" s="24" t="s">
        <v>363</v>
      </c>
      <c r="G68" s="26" t="s">
        <v>82</v>
      </c>
      <c r="H68" s="26" t="s">
        <v>75</v>
      </c>
      <c r="I68" s="26" t="s">
        <v>345</v>
      </c>
      <c r="J68" s="25"/>
      <c r="K68" s="25" t="str">
        <f>"175,0"</f>
        <v>175,0</v>
      </c>
      <c r="L68" s="25" t="str">
        <f>"105,9275"</f>
        <v>105,9275</v>
      </c>
      <c r="M68" s="24"/>
    </row>
    <row r="69" spans="1:13">
      <c r="A69" s="25" t="s">
        <v>228</v>
      </c>
      <c r="B69" s="24" t="s">
        <v>364</v>
      </c>
      <c r="C69" s="24" t="s">
        <v>365</v>
      </c>
      <c r="D69" s="24" t="s">
        <v>366</v>
      </c>
      <c r="E69" s="24" t="s">
        <v>625</v>
      </c>
      <c r="F69" s="24" t="s">
        <v>367</v>
      </c>
      <c r="G69" s="26" t="s">
        <v>82</v>
      </c>
      <c r="H69" s="27" t="s">
        <v>240</v>
      </c>
      <c r="I69" s="26" t="s">
        <v>240</v>
      </c>
      <c r="J69" s="25"/>
      <c r="K69" s="25" t="str">
        <f>"167,5"</f>
        <v>167,5</v>
      </c>
      <c r="L69" s="25" t="str">
        <f>"101,2705"</f>
        <v>101,2705</v>
      </c>
      <c r="M69" s="24" t="s">
        <v>614</v>
      </c>
    </row>
    <row r="70" spans="1:13">
      <c r="A70" s="25" t="s">
        <v>380</v>
      </c>
      <c r="B70" s="24" t="s">
        <v>368</v>
      </c>
      <c r="C70" s="24" t="s">
        <v>369</v>
      </c>
      <c r="D70" s="24" t="s">
        <v>370</v>
      </c>
      <c r="E70" s="24" t="s">
        <v>625</v>
      </c>
      <c r="F70" s="24" t="s">
        <v>14</v>
      </c>
      <c r="G70" s="27" t="s">
        <v>18</v>
      </c>
      <c r="H70" s="26" t="s">
        <v>18</v>
      </c>
      <c r="I70" s="26" t="s">
        <v>91</v>
      </c>
      <c r="J70" s="25"/>
      <c r="K70" s="25" t="str">
        <f>"147,5"</f>
        <v>147,5</v>
      </c>
      <c r="L70" s="25" t="str">
        <f>"88,7802"</f>
        <v>88,7802</v>
      </c>
      <c r="M70" s="24"/>
    </row>
    <row r="71" spans="1:13">
      <c r="A71" s="25" t="s">
        <v>381</v>
      </c>
      <c r="B71" s="24" t="s">
        <v>357</v>
      </c>
      <c r="C71" s="24" t="s">
        <v>371</v>
      </c>
      <c r="D71" s="24" t="s">
        <v>359</v>
      </c>
      <c r="E71" s="24" t="s">
        <v>625</v>
      </c>
      <c r="F71" s="24" t="s">
        <v>144</v>
      </c>
      <c r="G71" s="26" t="s">
        <v>134</v>
      </c>
      <c r="H71" s="26" t="s">
        <v>65</v>
      </c>
      <c r="I71" s="27" t="s">
        <v>147</v>
      </c>
      <c r="J71" s="25"/>
      <c r="K71" s="25" t="str">
        <f>"90,0"</f>
        <v>90,0</v>
      </c>
      <c r="L71" s="25" t="str">
        <f>"54,5760"</f>
        <v>54,5760</v>
      </c>
      <c r="M71" s="24" t="s">
        <v>149</v>
      </c>
    </row>
    <row r="72" spans="1:13">
      <c r="A72" s="12" t="s">
        <v>55</v>
      </c>
      <c r="B72" s="11" t="s">
        <v>360</v>
      </c>
      <c r="C72" s="11" t="s">
        <v>372</v>
      </c>
      <c r="D72" s="11" t="s">
        <v>362</v>
      </c>
      <c r="E72" s="11" t="s">
        <v>626</v>
      </c>
      <c r="F72" s="11" t="s">
        <v>363</v>
      </c>
      <c r="G72" s="23" t="s">
        <v>82</v>
      </c>
      <c r="H72" s="23" t="s">
        <v>75</v>
      </c>
      <c r="I72" s="23" t="s">
        <v>345</v>
      </c>
      <c r="J72" s="12"/>
      <c r="K72" s="12" t="str">
        <f>"175,0"</f>
        <v>175,0</v>
      </c>
      <c r="L72" s="12" t="str">
        <f>"116,0965"</f>
        <v>116,0965</v>
      </c>
      <c r="M72" s="11"/>
    </row>
    <row r="73" spans="1:13">
      <c r="B73" s="5" t="s">
        <v>56</v>
      </c>
    </row>
    <row r="74" spans="1:13" ht="16">
      <c r="A74" s="66" t="s">
        <v>267</v>
      </c>
      <c r="B74" s="66"/>
      <c r="C74" s="66"/>
      <c r="D74" s="66"/>
      <c r="E74" s="66"/>
      <c r="F74" s="66"/>
      <c r="G74" s="66"/>
      <c r="H74" s="66"/>
      <c r="I74" s="66"/>
      <c r="J74" s="66"/>
    </row>
    <row r="75" spans="1:13">
      <c r="A75" s="8" t="s">
        <v>55</v>
      </c>
      <c r="B75" s="7" t="s">
        <v>373</v>
      </c>
      <c r="C75" s="7" t="s">
        <v>374</v>
      </c>
      <c r="D75" s="7" t="s">
        <v>375</v>
      </c>
      <c r="E75" s="7" t="s">
        <v>629</v>
      </c>
      <c r="F75" s="7" t="s">
        <v>608</v>
      </c>
      <c r="G75" s="18" t="s">
        <v>75</v>
      </c>
      <c r="H75" s="18" t="s">
        <v>345</v>
      </c>
      <c r="I75" s="19" t="s">
        <v>90</v>
      </c>
      <c r="J75" s="8"/>
      <c r="K75" s="8" t="str">
        <f>"175,0"</f>
        <v>175,0</v>
      </c>
      <c r="L75" s="8" t="str">
        <f>"125,3332"</f>
        <v>125,3332</v>
      </c>
      <c r="M75" s="7"/>
    </row>
    <row r="76" spans="1:13">
      <c r="B76" s="5" t="s">
        <v>56</v>
      </c>
    </row>
    <row r="77" spans="1:13">
      <c r="B77" s="5" t="s">
        <v>56</v>
      </c>
    </row>
    <row r="78" spans="1:13">
      <c r="B78" s="5" t="s">
        <v>56</v>
      </c>
    </row>
    <row r="79" spans="1:13" ht="18">
      <c r="B79" s="13" t="s">
        <v>45</v>
      </c>
      <c r="C79" s="13"/>
      <c r="F79" s="3"/>
    </row>
    <row r="80" spans="1:13" ht="16">
      <c r="B80" s="14" t="s">
        <v>46</v>
      </c>
      <c r="C80" s="14"/>
      <c r="F80" s="3"/>
    </row>
    <row r="81" spans="2:6" ht="14">
      <c r="B81" s="15"/>
      <c r="C81" s="16" t="s">
        <v>47</v>
      </c>
      <c r="F81" s="3"/>
    </row>
    <row r="82" spans="2:6" ht="14">
      <c r="B82" s="17" t="s">
        <v>48</v>
      </c>
      <c r="C82" s="17" t="s">
        <v>49</v>
      </c>
      <c r="D82" s="17" t="s">
        <v>50</v>
      </c>
      <c r="E82" s="17" t="s">
        <v>234</v>
      </c>
      <c r="F82" s="17" t="s">
        <v>52</v>
      </c>
    </row>
    <row r="83" spans="2:6">
      <c r="B83" s="5" t="s">
        <v>258</v>
      </c>
      <c r="C83" s="5" t="s">
        <v>47</v>
      </c>
      <c r="D83" s="6" t="s">
        <v>53</v>
      </c>
      <c r="E83" s="6" t="s">
        <v>43</v>
      </c>
      <c r="F83" s="6" t="s">
        <v>272</v>
      </c>
    </row>
    <row r="84" spans="2:6">
      <c r="B84" s="5" t="s">
        <v>343</v>
      </c>
      <c r="C84" s="5" t="s">
        <v>47</v>
      </c>
      <c r="D84" s="6" t="s">
        <v>85</v>
      </c>
      <c r="E84" s="6" t="s">
        <v>193</v>
      </c>
      <c r="F84" s="6" t="s">
        <v>378</v>
      </c>
    </row>
    <row r="85" spans="2:6">
      <c r="B85" s="5" t="s">
        <v>307</v>
      </c>
      <c r="C85" s="5" t="s">
        <v>47</v>
      </c>
      <c r="D85" s="6" t="s">
        <v>376</v>
      </c>
      <c r="E85" s="6" t="s">
        <v>204</v>
      </c>
      <c r="F85" s="6" t="s">
        <v>377</v>
      </c>
    </row>
  </sheetData>
  <mergeCells count="26">
    <mergeCell ref="A65:J65"/>
    <mergeCell ref="A74:J74"/>
    <mergeCell ref="B3:B4"/>
    <mergeCell ref="A32:J32"/>
    <mergeCell ref="A38:J38"/>
    <mergeCell ref="A42:J42"/>
    <mergeCell ref="A45:J45"/>
    <mergeCell ref="A55:J55"/>
    <mergeCell ref="A61:J61"/>
    <mergeCell ref="A9:J9"/>
    <mergeCell ref="A13:J13"/>
    <mergeCell ref="A17:J17"/>
    <mergeCell ref="A20:J20"/>
    <mergeCell ref="A24:J24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55" t="s">
        <v>601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165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237</v>
      </c>
      <c r="C6" s="7" t="s">
        <v>238</v>
      </c>
      <c r="D6" s="7" t="s">
        <v>239</v>
      </c>
      <c r="E6" s="7" t="s">
        <v>625</v>
      </c>
      <c r="F6" s="7" t="s">
        <v>14</v>
      </c>
      <c r="G6" s="19" t="s">
        <v>31</v>
      </c>
      <c r="H6" s="18" t="s">
        <v>31</v>
      </c>
      <c r="I6" s="19" t="s">
        <v>240</v>
      </c>
      <c r="J6" s="8"/>
      <c r="K6" s="8" t="str">
        <f>"160,0"</f>
        <v>160,0</v>
      </c>
      <c r="L6" s="8" t="str">
        <f>"108,5600"</f>
        <v>108,5600</v>
      </c>
      <c r="M6" s="7" t="s">
        <v>610</v>
      </c>
    </row>
    <row r="7" spans="1:13">
      <c r="B7" s="5" t="s">
        <v>56</v>
      </c>
    </row>
    <row r="8" spans="1:13" ht="16">
      <c r="A8" s="66" t="s">
        <v>68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10" t="s">
        <v>55</v>
      </c>
      <c r="B9" s="9" t="s">
        <v>242</v>
      </c>
      <c r="C9" s="9" t="s">
        <v>243</v>
      </c>
      <c r="D9" s="9" t="s">
        <v>244</v>
      </c>
      <c r="E9" s="9" t="s">
        <v>625</v>
      </c>
      <c r="F9" s="9" t="s">
        <v>119</v>
      </c>
      <c r="G9" s="21" t="s">
        <v>134</v>
      </c>
      <c r="H9" s="21" t="s">
        <v>113</v>
      </c>
      <c r="I9" s="21" t="s">
        <v>65</v>
      </c>
      <c r="J9" s="10"/>
      <c r="K9" s="10" t="str">
        <f>"90,0"</f>
        <v>90,0</v>
      </c>
      <c r="L9" s="10" t="str">
        <f>"58,1670"</f>
        <v>58,1670</v>
      </c>
      <c r="M9" s="9" t="s">
        <v>498</v>
      </c>
    </row>
    <row r="10" spans="1:13">
      <c r="A10" s="25" t="s">
        <v>57</v>
      </c>
      <c r="B10" s="24" t="s">
        <v>245</v>
      </c>
      <c r="C10" s="24" t="s">
        <v>246</v>
      </c>
      <c r="D10" s="24" t="s">
        <v>247</v>
      </c>
      <c r="E10" s="24" t="s">
        <v>625</v>
      </c>
      <c r="F10" s="24" t="s">
        <v>248</v>
      </c>
      <c r="G10" s="27" t="s">
        <v>31</v>
      </c>
      <c r="H10" s="27" t="s">
        <v>31</v>
      </c>
      <c r="I10" s="27" t="s">
        <v>31</v>
      </c>
      <c r="J10" s="25"/>
      <c r="K10" s="25" t="str">
        <f>"0.00"</f>
        <v>0.00</v>
      </c>
      <c r="L10" s="25" t="str">
        <f>"0,0000"</f>
        <v>0,0000</v>
      </c>
      <c r="M10" s="24"/>
    </row>
    <row r="11" spans="1:13">
      <c r="A11" s="12" t="s">
        <v>55</v>
      </c>
      <c r="B11" s="11" t="s">
        <v>242</v>
      </c>
      <c r="C11" s="11" t="s">
        <v>249</v>
      </c>
      <c r="D11" s="11" t="s">
        <v>244</v>
      </c>
      <c r="E11" s="11" t="s">
        <v>630</v>
      </c>
      <c r="F11" s="11" t="s">
        <v>119</v>
      </c>
      <c r="G11" s="23" t="s">
        <v>134</v>
      </c>
      <c r="H11" s="23" t="s">
        <v>113</v>
      </c>
      <c r="I11" s="23" t="s">
        <v>65</v>
      </c>
      <c r="J11" s="12"/>
      <c r="K11" s="12" t="str">
        <f>"90,0"</f>
        <v>90,0</v>
      </c>
      <c r="L11" s="12" t="str">
        <f>"108,1906"</f>
        <v>108,1906</v>
      </c>
      <c r="M11" s="11" t="s">
        <v>498</v>
      </c>
    </row>
    <row r="12" spans="1:13">
      <c r="B12" s="5" t="s">
        <v>56</v>
      </c>
    </row>
    <row r="13" spans="1:13" ht="16">
      <c r="A13" s="66" t="s">
        <v>10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3">
      <c r="A14" s="10" t="s">
        <v>55</v>
      </c>
      <c r="B14" s="9" t="s">
        <v>250</v>
      </c>
      <c r="C14" s="9" t="s">
        <v>251</v>
      </c>
      <c r="D14" s="9" t="s">
        <v>252</v>
      </c>
      <c r="E14" s="9" t="s">
        <v>625</v>
      </c>
      <c r="F14" s="9" t="s">
        <v>14</v>
      </c>
      <c r="G14" s="20" t="s">
        <v>16</v>
      </c>
      <c r="H14" s="21" t="s">
        <v>253</v>
      </c>
      <c r="I14" s="21" t="s">
        <v>254</v>
      </c>
      <c r="J14" s="10"/>
      <c r="K14" s="10" t="str">
        <f>"202,5"</f>
        <v>202,5</v>
      </c>
      <c r="L14" s="10" t="str">
        <f>"124,9830"</f>
        <v>124,9830</v>
      </c>
      <c r="M14" s="9"/>
    </row>
    <row r="15" spans="1:13">
      <c r="A15" s="12" t="s">
        <v>227</v>
      </c>
      <c r="B15" s="11" t="s">
        <v>255</v>
      </c>
      <c r="C15" s="11" t="s">
        <v>256</v>
      </c>
      <c r="D15" s="11" t="s">
        <v>257</v>
      </c>
      <c r="E15" s="11" t="s">
        <v>625</v>
      </c>
      <c r="F15" s="11" t="s">
        <v>608</v>
      </c>
      <c r="G15" s="23" t="s">
        <v>15</v>
      </c>
      <c r="H15" s="23" t="s">
        <v>16</v>
      </c>
      <c r="I15" s="23" t="s">
        <v>17</v>
      </c>
      <c r="J15" s="12"/>
      <c r="K15" s="12" t="str">
        <f>"200,0"</f>
        <v>200,0</v>
      </c>
      <c r="L15" s="12" t="str">
        <f>"122,1600"</f>
        <v>122,1600</v>
      </c>
      <c r="M15" s="11" t="s">
        <v>296</v>
      </c>
    </row>
    <row r="16" spans="1:13">
      <c r="B16" s="5" t="s">
        <v>56</v>
      </c>
    </row>
    <row r="17" spans="1:13" ht="16">
      <c r="A17" s="66" t="s">
        <v>23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10" t="s">
        <v>55</v>
      </c>
      <c r="B18" s="9" t="s">
        <v>258</v>
      </c>
      <c r="C18" s="9" t="s">
        <v>259</v>
      </c>
      <c r="D18" s="9" t="s">
        <v>260</v>
      </c>
      <c r="E18" s="9" t="s">
        <v>625</v>
      </c>
      <c r="F18" s="9" t="s">
        <v>14</v>
      </c>
      <c r="G18" s="20" t="s">
        <v>43</v>
      </c>
      <c r="H18" s="20" t="s">
        <v>43</v>
      </c>
      <c r="I18" s="21" t="s">
        <v>43</v>
      </c>
      <c r="J18" s="10"/>
      <c r="K18" s="10" t="str">
        <f>"215,0"</f>
        <v>215,0</v>
      </c>
      <c r="L18" s="10" t="str">
        <f>"126,6995"</f>
        <v>126,6995</v>
      </c>
      <c r="M18" s="9"/>
    </row>
    <row r="19" spans="1:13">
      <c r="A19" s="25" t="s">
        <v>227</v>
      </c>
      <c r="B19" s="24" t="s">
        <v>261</v>
      </c>
      <c r="C19" s="24" t="s">
        <v>262</v>
      </c>
      <c r="D19" s="24" t="s">
        <v>263</v>
      </c>
      <c r="E19" s="24" t="s">
        <v>625</v>
      </c>
      <c r="F19" s="24" t="s">
        <v>264</v>
      </c>
      <c r="G19" s="26" t="s">
        <v>265</v>
      </c>
      <c r="H19" s="26" t="s">
        <v>21</v>
      </c>
      <c r="I19" s="27" t="s">
        <v>253</v>
      </c>
      <c r="J19" s="25"/>
      <c r="K19" s="25" t="str">
        <f>"190,0"</f>
        <v>190,0</v>
      </c>
      <c r="L19" s="25" t="str">
        <f>"113,3160"</f>
        <v>113,3160</v>
      </c>
      <c r="M19" s="24" t="s">
        <v>616</v>
      </c>
    </row>
    <row r="20" spans="1:13">
      <c r="A20" s="12" t="s">
        <v>55</v>
      </c>
      <c r="B20" s="11" t="s">
        <v>261</v>
      </c>
      <c r="C20" s="11" t="s">
        <v>266</v>
      </c>
      <c r="D20" s="11" t="s">
        <v>263</v>
      </c>
      <c r="E20" s="11" t="s">
        <v>629</v>
      </c>
      <c r="F20" s="11" t="s">
        <v>264</v>
      </c>
      <c r="G20" s="23" t="s">
        <v>265</v>
      </c>
      <c r="H20" s="23" t="s">
        <v>21</v>
      </c>
      <c r="I20" s="22" t="s">
        <v>253</v>
      </c>
      <c r="J20" s="12"/>
      <c r="K20" s="12" t="str">
        <f>"190,0"</f>
        <v>190,0</v>
      </c>
      <c r="L20" s="12" t="str">
        <f>"130,3134"</f>
        <v>130,3134</v>
      </c>
      <c r="M20" s="11" t="s">
        <v>616</v>
      </c>
    </row>
    <row r="21" spans="1:13">
      <c r="B21" s="5" t="s">
        <v>56</v>
      </c>
    </row>
    <row r="22" spans="1:13" ht="16">
      <c r="A22" s="66" t="s">
        <v>267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3">
      <c r="A23" s="8" t="s">
        <v>55</v>
      </c>
      <c r="B23" s="7" t="s">
        <v>268</v>
      </c>
      <c r="C23" s="7" t="s">
        <v>269</v>
      </c>
      <c r="D23" s="7" t="s">
        <v>270</v>
      </c>
      <c r="E23" s="7" t="s">
        <v>625</v>
      </c>
      <c r="F23" s="7" t="s">
        <v>615</v>
      </c>
      <c r="G23" s="18" t="s">
        <v>181</v>
      </c>
      <c r="H23" s="18" t="s">
        <v>22</v>
      </c>
      <c r="I23" s="19" t="s">
        <v>43</v>
      </c>
      <c r="J23" s="8"/>
      <c r="K23" s="8" t="str">
        <f>"210,0"</f>
        <v>210,0</v>
      </c>
      <c r="L23" s="8" t="str">
        <f>"117,3900"</f>
        <v>117,3900</v>
      </c>
      <c r="M23" s="7" t="s">
        <v>271</v>
      </c>
    </row>
    <row r="24" spans="1:13">
      <c r="B24" s="5" t="s">
        <v>56</v>
      </c>
    </row>
    <row r="25" spans="1:13">
      <c r="B25" s="5" t="s">
        <v>56</v>
      </c>
    </row>
    <row r="26" spans="1:13">
      <c r="B26" s="5" t="s">
        <v>56</v>
      </c>
    </row>
    <row r="27" spans="1:13" ht="18">
      <c r="B27" s="13" t="s">
        <v>45</v>
      </c>
      <c r="C27" s="13"/>
      <c r="F27" s="3"/>
    </row>
    <row r="28" spans="1:13" ht="16">
      <c r="B28" s="14" t="s">
        <v>46</v>
      </c>
      <c r="C28" s="14"/>
      <c r="F28" s="3"/>
    </row>
    <row r="29" spans="1:13" ht="14">
      <c r="B29" s="15"/>
      <c r="C29" s="16" t="s">
        <v>47</v>
      </c>
      <c r="F29" s="3"/>
    </row>
    <row r="30" spans="1:13" ht="14">
      <c r="B30" s="17" t="s">
        <v>48</v>
      </c>
      <c r="C30" s="17" t="s">
        <v>49</v>
      </c>
      <c r="D30" s="17" t="s">
        <v>50</v>
      </c>
      <c r="E30" s="17" t="s">
        <v>234</v>
      </c>
      <c r="F30" s="17" t="s">
        <v>52</v>
      </c>
    </row>
    <row r="31" spans="1:13">
      <c r="B31" s="5" t="s">
        <v>258</v>
      </c>
      <c r="C31" s="5" t="s">
        <v>47</v>
      </c>
      <c r="D31" s="6" t="s">
        <v>53</v>
      </c>
      <c r="E31" s="6" t="s">
        <v>43</v>
      </c>
      <c r="F31" s="6" t="s">
        <v>272</v>
      </c>
    </row>
    <row r="32" spans="1:13">
      <c r="B32" s="5" t="s">
        <v>250</v>
      </c>
      <c r="C32" s="5" t="s">
        <v>47</v>
      </c>
      <c r="D32" s="6" t="s">
        <v>54</v>
      </c>
      <c r="E32" s="6" t="s">
        <v>254</v>
      </c>
      <c r="F32" s="6" t="s">
        <v>273</v>
      </c>
    </row>
    <row r="33" spans="2:6">
      <c r="B33" s="5" t="s">
        <v>255</v>
      </c>
      <c r="C33" s="5" t="s">
        <v>47</v>
      </c>
      <c r="D33" s="6" t="s">
        <v>54</v>
      </c>
      <c r="E33" s="6" t="s">
        <v>17</v>
      </c>
      <c r="F33" s="6" t="s">
        <v>274</v>
      </c>
    </row>
  </sheetData>
  <mergeCells count="16">
    <mergeCell ref="A8:J8"/>
    <mergeCell ref="A13:J13"/>
    <mergeCell ref="A17:J17"/>
    <mergeCell ref="A22:J2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55" t="s">
        <v>598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58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386</v>
      </c>
      <c r="C6" s="7" t="s">
        <v>387</v>
      </c>
      <c r="D6" s="7" t="s">
        <v>388</v>
      </c>
      <c r="E6" s="7" t="s">
        <v>628</v>
      </c>
      <c r="F6" s="7" t="s">
        <v>144</v>
      </c>
      <c r="G6" s="18" t="s">
        <v>73</v>
      </c>
      <c r="H6" s="18" t="s">
        <v>40</v>
      </c>
      <c r="I6" s="19" t="s">
        <v>41</v>
      </c>
      <c r="J6" s="8"/>
      <c r="K6" s="8" t="str">
        <f>"125,0"</f>
        <v>125,0</v>
      </c>
      <c r="L6" s="8" t="str">
        <f>"103,2250"</f>
        <v>103,2250</v>
      </c>
      <c r="M6" s="7" t="s">
        <v>149</v>
      </c>
    </row>
    <row r="7" spans="1:13">
      <c r="B7" s="5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5" t="s">
        <v>596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620</v>
      </c>
      <c r="B3" s="67" t="s">
        <v>0</v>
      </c>
      <c r="C3" s="65" t="s">
        <v>622</v>
      </c>
      <c r="D3" s="65" t="s">
        <v>6</v>
      </c>
      <c r="E3" s="49" t="s">
        <v>623</v>
      </c>
      <c r="F3" s="49" t="s">
        <v>5</v>
      </c>
      <c r="G3" s="49" t="s">
        <v>8</v>
      </c>
      <c r="H3" s="49"/>
      <c r="I3" s="49"/>
      <c r="J3" s="49"/>
      <c r="K3" s="49" t="s">
        <v>236</v>
      </c>
      <c r="L3" s="49" t="s">
        <v>3</v>
      </c>
      <c r="M3" s="51" t="s">
        <v>2</v>
      </c>
    </row>
    <row r="4" spans="1:13" s="1" customFormat="1" ht="21" customHeight="1" thickBot="1">
      <c r="A4" s="64"/>
      <c r="B4" s="6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55</v>
      </c>
      <c r="B6" s="7" t="s">
        <v>392</v>
      </c>
      <c r="C6" s="7" t="s">
        <v>393</v>
      </c>
      <c r="D6" s="7" t="s">
        <v>79</v>
      </c>
      <c r="E6" s="7" t="s">
        <v>629</v>
      </c>
      <c r="F6" s="7" t="s">
        <v>394</v>
      </c>
      <c r="G6" s="18" t="s">
        <v>140</v>
      </c>
      <c r="H6" s="19" t="s">
        <v>31</v>
      </c>
      <c r="I6" s="18" t="s">
        <v>31</v>
      </c>
      <c r="J6" s="8"/>
      <c r="K6" s="8" t="str">
        <f>"160,0"</f>
        <v>160,0</v>
      </c>
      <c r="L6" s="8" t="str">
        <f>"131,4576"</f>
        <v>131,4576</v>
      </c>
      <c r="M6" s="7"/>
    </row>
    <row r="7" spans="1:13">
      <c r="B7" s="5" t="s">
        <v>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однослой ДК</vt:lpstr>
      <vt:lpstr>WEPF Жим многослой</vt:lpstr>
      <vt:lpstr>WEPF Жим софт однопетельная ДК</vt:lpstr>
      <vt:lpstr>WEPF Жим софт однопетельная</vt:lpstr>
      <vt:lpstr>WEPF Жим софт многопетельнаяДК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2021-03-19T15:16:40Z</dcterms:modified>
</cp:coreProperties>
</file>