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activeTab="2"/>
  </bookViews>
  <sheets>
    <sheet name="Люб. тяга софт экип." sheetId="11" r:id="rId1"/>
    <sheet name="Люб. жим софт экип." sheetId="10" r:id="rId2"/>
    <sheet name="Люб. тяга б.э." sheetId="9" r:id="rId3"/>
    <sheet name="Люб. жим б.э." sheetId="8" r:id="rId4"/>
    <sheet name="ПРО жим софт экип." sheetId="7" r:id="rId5"/>
    <sheet name="ПРО тяга б.э." sheetId="6" r:id="rId6"/>
    <sheet name="ПРО жим б.э." sheetId="5" r:id="rId7"/>
    <sheet name="Военный жим Любители" sheetId="13" r:id="rId8"/>
    <sheet name="Русский жим. Любители" sheetId="14" r:id="rId9"/>
    <sheet name="Русский жим. ПРО" sheetId="15" r:id="rId10"/>
    <sheet name="Народный жим. Любители" sheetId="16" r:id="rId11"/>
    <sheet name="Народный жим ПРО" sheetId="17" r:id="rId12"/>
  </sheets>
  <definedNames>
    <definedName name="_xlnm._FilterDatabase" localSheetId="6" hidden="1">'ПРО жим б.э.'!$A$1:$K$3</definedName>
  </definedNames>
  <calcPr calcId="124519" concurrentCalc="0"/>
</workbook>
</file>

<file path=xl/calcChain.xml><?xml version="1.0" encoding="utf-8"?>
<calcChain xmlns="http://schemas.openxmlformats.org/spreadsheetml/2006/main">
  <c r="D6" i="15"/>
  <c r="E30" i="6"/>
  <c r="D6"/>
  <c r="K6"/>
  <c r="L6"/>
  <c r="L23" i="5"/>
  <c r="K23"/>
  <c r="D23"/>
  <c r="E26" i="7"/>
  <c r="E25"/>
  <c r="D26"/>
  <c r="D25"/>
  <c r="L6"/>
  <c r="K6"/>
  <c r="D6"/>
  <c r="L10" i="5"/>
  <c r="K10"/>
  <c r="D10"/>
  <c r="L27"/>
  <c r="K27"/>
  <c r="D27"/>
  <c r="L19"/>
  <c r="K19"/>
  <c r="D19"/>
  <c r="L15"/>
  <c r="K15"/>
  <c r="D15"/>
  <c r="L14"/>
  <c r="K14"/>
  <c r="D14"/>
  <c r="L13"/>
  <c r="K13"/>
  <c r="D13"/>
  <c r="L6"/>
  <c r="K6"/>
  <c r="D6"/>
  <c r="D6" i="17"/>
  <c r="D9" i="16"/>
  <c r="D8"/>
  <c r="D9" i="14"/>
  <c r="D6" i="16"/>
  <c r="D9" i="15"/>
  <c r="D8" i="14"/>
  <c r="D14"/>
  <c r="D12"/>
  <c r="D11"/>
  <c r="D6"/>
  <c r="D10" i="13"/>
  <c r="D8"/>
  <c r="D6"/>
  <c r="L9" i="7"/>
  <c r="K9"/>
  <c r="D9"/>
  <c r="L6" i="11"/>
  <c r="K6"/>
  <c r="D6"/>
  <c r="L23" i="10"/>
  <c r="K23"/>
  <c r="D23"/>
  <c r="L20"/>
  <c r="K20"/>
  <c r="D20"/>
  <c r="L19"/>
  <c r="K19"/>
  <c r="D19"/>
  <c r="L16"/>
  <c r="K16"/>
  <c r="D16"/>
  <c r="L13"/>
  <c r="K13"/>
  <c r="D13"/>
  <c r="L12"/>
  <c r="K12"/>
  <c r="D12"/>
  <c r="L9"/>
  <c r="K9"/>
  <c r="D9"/>
  <c r="L6"/>
  <c r="K6"/>
  <c r="D6"/>
  <c r="L33" i="9"/>
  <c r="K33"/>
  <c r="D33"/>
  <c r="L32"/>
  <c r="K32"/>
  <c r="D32"/>
  <c r="L29"/>
  <c r="K29"/>
  <c r="D29"/>
  <c r="L26"/>
  <c r="K26"/>
  <c r="D26"/>
  <c r="L25"/>
  <c r="K25"/>
  <c r="D25"/>
  <c r="L22"/>
  <c r="K22"/>
  <c r="D22"/>
  <c r="L21"/>
  <c r="K21"/>
  <c r="D21"/>
  <c r="L18"/>
  <c r="K18"/>
  <c r="D18"/>
  <c r="L17"/>
  <c r="K17"/>
  <c r="D17"/>
  <c r="L16"/>
  <c r="K16"/>
  <c r="D16"/>
  <c r="L13"/>
  <c r="K13"/>
  <c r="D13"/>
  <c r="L12"/>
  <c r="K12"/>
  <c r="D12"/>
  <c r="L9"/>
  <c r="K9"/>
  <c r="D9"/>
  <c r="L6"/>
  <c r="K6"/>
  <c r="D6"/>
  <c r="L29" i="8"/>
  <c r="K29"/>
  <c r="D29"/>
  <c r="L28"/>
  <c r="K28"/>
  <c r="D28"/>
  <c r="L27"/>
  <c r="K27"/>
  <c r="D27"/>
  <c r="L26"/>
  <c r="K26"/>
  <c r="D26"/>
  <c r="L23"/>
  <c r="K23"/>
  <c r="D23"/>
  <c r="L22"/>
  <c r="K22"/>
  <c r="D22"/>
  <c r="L21"/>
  <c r="K21"/>
  <c r="D21"/>
  <c r="L18"/>
  <c r="K18"/>
  <c r="D18"/>
  <c r="L15"/>
  <c r="K15"/>
  <c r="D15"/>
  <c r="L14"/>
  <c r="K14"/>
  <c r="D14"/>
  <c r="L13"/>
  <c r="K13"/>
  <c r="D13"/>
  <c r="L10"/>
  <c r="K10"/>
  <c r="D10"/>
  <c r="L9"/>
  <c r="K9"/>
  <c r="D9"/>
  <c r="L6"/>
  <c r="K6"/>
  <c r="D6"/>
  <c r="L12" i="6"/>
  <c r="K12"/>
  <c r="D12"/>
  <c r="L9"/>
  <c r="K9"/>
  <c r="D9"/>
  <c r="L26" i="5"/>
  <c r="K26"/>
  <c r="D26"/>
  <c r="L22"/>
  <c r="K22"/>
  <c r="D22"/>
  <c r="L18"/>
  <c r="K18"/>
  <c r="D18"/>
</calcChain>
</file>

<file path=xl/sharedStrings.xml><?xml version="1.0" encoding="utf-8"?>
<sst xmlns="http://schemas.openxmlformats.org/spreadsheetml/2006/main" count="1520" uniqueCount="493">
  <si>
    <t>ФИО</t>
  </si>
  <si>
    <t>Жим</t>
  </si>
  <si>
    <t>Тяга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</si>
  <si>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</si>
  <si>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</si>
  <si>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</si>
  <si>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</si>
  <si>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</si>
  <si>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</si>
  <si>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</si>
  <si>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Shv/Mel</t>
  </si>
  <si>
    <t>ВЕСОВАЯ КАТЕГОРИЯ   82.5</t>
  </si>
  <si>
    <t>Кильдюшев Андрей</t>
  </si>
  <si>
    <t>1. Кильдюшев Андрей</t>
  </si>
  <si>
    <t>Открытая (04.08.1988)/29</t>
  </si>
  <si>
    <t>79,65</t>
  </si>
  <si>
    <t xml:space="preserve">ФОК Олимпийский </t>
  </si>
  <si>
    <t xml:space="preserve">Новый Оскол/Белгородская область </t>
  </si>
  <si>
    <t>160,0</t>
  </si>
  <si>
    <t>170,0</t>
  </si>
  <si>
    <t>180,0</t>
  </si>
  <si>
    <t xml:space="preserve"> </t>
  </si>
  <si>
    <t>ВЕСОВАЯ КАТЕГОРИЯ   100</t>
  </si>
  <si>
    <t>Бугорский Иван</t>
  </si>
  <si>
    <t>1. Бугорский Иван</t>
  </si>
  <si>
    <t>Юниоры 20 - 23 (18.04.1997)/20</t>
  </si>
  <si>
    <t>97,30</t>
  </si>
  <si>
    <t xml:space="preserve">Лично </t>
  </si>
  <si>
    <t xml:space="preserve">Белгород/Белгородская область </t>
  </si>
  <si>
    <t>110,0o</t>
  </si>
  <si>
    <t>117,5o</t>
  </si>
  <si>
    <t>120,0</t>
  </si>
  <si>
    <t>ВЕСОВАЯ КАТЕГОРИЯ   110</t>
  </si>
  <si>
    <t>Кудинов Игорь</t>
  </si>
  <si>
    <t>1. Кудинов Игорь</t>
  </si>
  <si>
    <t>Открытая (16.03.1982)/36</t>
  </si>
  <si>
    <t>108,60</t>
  </si>
  <si>
    <t xml:space="preserve">СпортКласс </t>
  </si>
  <si>
    <t>190,0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</si>
  <si>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</si>
  <si>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</si>
  <si>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</si>
  <si>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</si>
  <si>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</si>
  <si>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</si>
  <si>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</si>
  <si>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Юниоры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</si>
  <si>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</si>
  <si>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</si>
  <si>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</si>
  <si>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</si>
  <si>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</si>
  <si>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Юниоры 20 - 23 </t>
  </si>
  <si>
    <t>100,0</t>
  </si>
  <si>
    <t>117,5</t>
  </si>
  <si>
    <t>67,8950</t>
  </si>
  <si>
    <t xml:space="preserve">Открытая </t>
  </si>
  <si>
    <t>82,5</t>
  </si>
  <si>
    <t>114,2910</t>
  </si>
  <si>
    <t>110,0</t>
  </si>
  <si>
    <t>96,8760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</si>
  <si>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</si>
  <si>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</si>
  <si>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</si>
  <si>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</si>
  <si>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</si>
  <si>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>Результат</t>
  </si>
  <si>
    <t>Подпорина Любовь</t>
  </si>
  <si>
    <t>1. Подпорина Любовь</t>
  </si>
  <si>
    <t>Мастера 45 - 49 (30.09.1970)/47</t>
  </si>
  <si>
    <t>79,50</t>
  </si>
  <si>
    <t>95,0o</t>
  </si>
  <si>
    <t>105,0o</t>
  </si>
  <si>
    <t>115,0o</t>
  </si>
  <si>
    <t>Мотайло Дмитрий</t>
  </si>
  <si>
    <t>1. Мотайло Дмитрий</t>
  </si>
  <si>
    <t>Открытая (06.06.1985)/32</t>
  </si>
  <si>
    <t>95,70</t>
  </si>
  <si>
    <t xml:space="preserve">Zeus </t>
  </si>
  <si>
    <t>200,0</t>
  </si>
  <si>
    <t>230,0</t>
  </si>
  <si>
    <t xml:space="preserve">Женщины </t>
  </si>
  <si>
    <t xml:space="preserve">Мастера </t>
  </si>
  <si>
    <t xml:space="preserve">Мастера 45 - 49 </t>
  </si>
  <si>
    <t>115,0</t>
  </si>
  <si>
    <t>86,9014</t>
  </si>
  <si>
    <t>130,1110</t>
  </si>
  <si>
    <t xml:space="preserve">Мотайло Дмитрий </t>
  </si>
  <si>
    <t xml:space="preserve">Подпорина Любовь </t>
  </si>
  <si>
    <t>ВЕСОВАЯ КАТЕГОРИЯ   75</t>
  </si>
  <si>
    <t>Литвинова Елена</t>
  </si>
  <si>
    <t>1. Литвинова Елена</t>
  </si>
  <si>
    <t>Открытая (10.04.1991)/26</t>
  </si>
  <si>
    <t>73,00</t>
  </si>
  <si>
    <t xml:space="preserve">Старый Оскол/Белгородская область </t>
  </si>
  <si>
    <t>70,0</t>
  </si>
  <si>
    <t>75,0</t>
  </si>
  <si>
    <t>77,5</t>
  </si>
  <si>
    <t>-. Бинчурова Светлана</t>
  </si>
  <si>
    <t>Открытая (25.11.1982)/35</t>
  </si>
  <si>
    <t>69,00</t>
  </si>
  <si>
    <t>55,0</t>
  </si>
  <si>
    <t>ВЕСОВАЯ КАТЕГОРИЯ   60</t>
  </si>
  <si>
    <t>Молчанов Роман</t>
  </si>
  <si>
    <t>1. Молчанов Роман</t>
  </si>
  <si>
    <t>Юниоры 20 - 23 (03.07.1995)/22</t>
  </si>
  <si>
    <t>59,80</t>
  </si>
  <si>
    <t>Махфузов Афраим</t>
  </si>
  <si>
    <t>2. Махфузов Афраим</t>
  </si>
  <si>
    <t>Юниоры 20 - 23 (19.10.1997)/20</t>
  </si>
  <si>
    <t>60,00</t>
  </si>
  <si>
    <t xml:space="preserve">Валуйки/Белгородская область </t>
  </si>
  <si>
    <t>ВЕСОВАЯ КАТЕГОРИЯ   67.5</t>
  </si>
  <si>
    <t>Бурков Юрий</t>
  </si>
  <si>
    <t>1. Бурков Юрий</t>
  </si>
  <si>
    <t>Открытая (03.06.1991)/26</t>
  </si>
  <si>
    <t>66,35</t>
  </si>
  <si>
    <t xml:space="preserve">Курск </t>
  </si>
  <si>
    <t xml:space="preserve">Курск/Курская область </t>
  </si>
  <si>
    <t>90,0</t>
  </si>
  <si>
    <t>95,0</t>
  </si>
  <si>
    <t>Гамалей Владимир</t>
  </si>
  <si>
    <t>1. Гамалей Владимир</t>
  </si>
  <si>
    <t>Юноши 14 - 15 (06.07.2002)/15</t>
  </si>
  <si>
    <t>74,50</t>
  </si>
  <si>
    <t xml:space="preserve">AlexFitnes </t>
  </si>
  <si>
    <t>65,0</t>
  </si>
  <si>
    <t>72,5</t>
  </si>
  <si>
    <t>Анискин Дмитрий</t>
  </si>
  <si>
    <t>1. Анискин Дмитрий</t>
  </si>
  <si>
    <t>Юноши 18 - 19 (01.05.1998)/19</t>
  </si>
  <si>
    <t>72,40</t>
  </si>
  <si>
    <t xml:space="preserve">Патриотический Центр </t>
  </si>
  <si>
    <t>107,5</t>
  </si>
  <si>
    <t>Симкин Александр</t>
  </si>
  <si>
    <t>1. Симкин Александр</t>
  </si>
  <si>
    <t>Юниоры 20 - 23 (13.12.1995)/22</t>
  </si>
  <si>
    <t>122,5</t>
  </si>
  <si>
    <t>125,0</t>
  </si>
  <si>
    <t>Шульгин Виталий</t>
  </si>
  <si>
    <t>2. Шульгин Виталий</t>
  </si>
  <si>
    <t>Юниоры 20 - 23 (22.09.1997)/20</t>
  </si>
  <si>
    <t>74,10</t>
  </si>
  <si>
    <t>Афанасьев Роман</t>
  </si>
  <si>
    <t>Юниоры 20 - 23 (13.02.1997)/21</t>
  </si>
  <si>
    <t>72,00</t>
  </si>
  <si>
    <t>100,0o</t>
  </si>
  <si>
    <t>Чубарых Петр</t>
  </si>
  <si>
    <t>1. Чубарых Петр</t>
  </si>
  <si>
    <t>Открытая (17.04.1980)/37</t>
  </si>
  <si>
    <t>Образцов Андрей</t>
  </si>
  <si>
    <t>1. Образцов Андрей</t>
  </si>
  <si>
    <t>Юниоры 20 - 23 (26.01.1995)/23</t>
  </si>
  <si>
    <t>82,00</t>
  </si>
  <si>
    <t>130,0</t>
  </si>
  <si>
    <t>147,5</t>
  </si>
  <si>
    <t>Дубенцов Вячеслав</t>
  </si>
  <si>
    <t>Юниоры 20 - 23 (02.09.1996)/21</t>
  </si>
  <si>
    <t>81,00</t>
  </si>
  <si>
    <t>ВЕСОВАЯ КАТЕГОРИЯ   90</t>
  </si>
  <si>
    <t>Коровин Артем</t>
  </si>
  <si>
    <t>1. Коровин Артем</t>
  </si>
  <si>
    <t>Юниоры 20 - 23 (08.06.1997)/20</t>
  </si>
  <si>
    <t>85,50</t>
  </si>
  <si>
    <t>155,0</t>
  </si>
  <si>
    <t>162,5</t>
  </si>
  <si>
    <t>Федченко Александр</t>
  </si>
  <si>
    <t>2. Федченко Александр</t>
  </si>
  <si>
    <t>Юниоры 20 - 23 (20.05.1996)/21</t>
  </si>
  <si>
    <t>87,50</t>
  </si>
  <si>
    <t>145,0o</t>
  </si>
  <si>
    <t>Шеховцов Василий</t>
  </si>
  <si>
    <t>1. Шеховцов Василий</t>
  </si>
  <si>
    <t>Открытая (28.08.1986)/31</t>
  </si>
  <si>
    <t>89,75</t>
  </si>
  <si>
    <t>145,0</t>
  </si>
  <si>
    <t>Конев Андрей</t>
  </si>
  <si>
    <t>1. Конев Андрей</t>
  </si>
  <si>
    <t>Юноши 18 - 19 (01.06.1998)/19</t>
  </si>
  <si>
    <t>94,90</t>
  </si>
  <si>
    <t>Мешковой Александр</t>
  </si>
  <si>
    <t>1. Мешковой Александр</t>
  </si>
  <si>
    <t>Открытая (28.12.1987)/30</t>
  </si>
  <si>
    <t>95,40</t>
  </si>
  <si>
    <t>165,0</t>
  </si>
  <si>
    <t>Переверзев Андрей</t>
  </si>
  <si>
    <t>2. Переверзев Андрей</t>
  </si>
  <si>
    <t>Открытая (26.06.1987)/30</t>
  </si>
  <si>
    <t>96,45</t>
  </si>
  <si>
    <t>150,0</t>
  </si>
  <si>
    <t>Рублев Александр</t>
  </si>
  <si>
    <t>Открытая (13.09.1989)/28</t>
  </si>
  <si>
    <t>95,50</t>
  </si>
  <si>
    <t>135,0</t>
  </si>
  <si>
    <t>-. Литовченко Александр</t>
  </si>
  <si>
    <t>Открытая (26.06.1986)/31</t>
  </si>
  <si>
    <t>98,60</t>
  </si>
  <si>
    <t>Русинов Виктор</t>
  </si>
  <si>
    <t>1. Русинов Виктор</t>
  </si>
  <si>
    <t>Юноши 18 - 19 (11.01.1999)/19</t>
  </si>
  <si>
    <t>104,00</t>
  </si>
  <si>
    <t>62,5o</t>
  </si>
  <si>
    <t>67,5o</t>
  </si>
  <si>
    <t>57,0516</t>
  </si>
  <si>
    <t xml:space="preserve">Юноши </t>
  </si>
  <si>
    <t xml:space="preserve">Юноши 18 - 19 </t>
  </si>
  <si>
    <t>85,6695</t>
  </si>
  <si>
    <t>76,4153</t>
  </si>
  <si>
    <t xml:space="preserve">Юноши 14 - 15 </t>
  </si>
  <si>
    <t>57,1474</t>
  </si>
  <si>
    <t>67,5</t>
  </si>
  <si>
    <t>38,2941</t>
  </si>
  <si>
    <t>101,1782</t>
  </si>
  <si>
    <t>60,0</t>
  </si>
  <si>
    <t>96,7913</t>
  </si>
  <si>
    <t>88,0892</t>
  </si>
  <si>
    <t>105,0</t>
  </si>
  <si>
    <t>87,9043</t>
  </si>
  <si>
    <t>85,7111</t>
  </si>
  <si>
    <t>82,9109</t>
  </si>
  <si>
    <t>80,8470</t>
  </si>
  <si>
    <t>70,0434</t>
  </si>
  <si>
    <t>57,5861</t>
  </si>
  <si>
    <t>93,4890</t>
  </si>
  <si>
    <t>91,5606</t>
  </si>
  <si>
    <t>85,0135</t>
  </si>
  <si>
    <t>76,4505</t>
  </si>
  <si>
    <t>72,9818</t>
  </si>
  <si>
    <t>66,3480</t>
  </si>
  <si>
    <t xml:space="preserve">36(12+12+12) </t>
  </si>
  <si>
    <t xml:space="preserve">Конев Андрей, Коровин Артем, Шеховцов Василий </t>
  </si>
  <si>
    <t xml:space="preserve">Литвинова Елена </t>
  </si>
  <si>
    <t>Панкратова Светлана</t>
  </si>
  <si>
    <t>1. Панкратова Светлана</t>
  </si>
  <si>
    <t>Открытая (31.08.1983)/34</t>
  </si>
  <si>
    <t>65,50</t>
  </si>
  <si>
    <t>80,0</t>
  </si>
  <si>
    <t>85,0</t>
  </si>
  <si>
    <t>87,5</t>
  </si>
  <si>
    <t>Чекрыгин Евгений</t>
  </si>
  <si>
    <t>1. Чекрыгин Евгений</t>
  </si>
  <si>
    <t>Юниоры 20 - 23 (23.07.1997)/20</t>
  </si>
  <si>
    <t>65,00</t>
  </si>
  <si>
    <t>150,0o</t>
  </si>
  <si>
    <t>167,5o</t>
  </si>
  <si>
    <t>Ярченко Андрей</t>
  </si>
  <si>
    <t>1. Ярченко Андрей</t>
  </si>
  <si>
    <t>Юноши 18 - 19 (15.08.1999)/18</t>
  </si>
  <si>
    <t>70,00</t>
  </si>
  <si>
    <t>180,0o</t>
  </si>
  <si>
    <t>200,0o</t>
  </si>
  <si>
    <t>Открытая (15.08.1999)/18</t>
  </si>
  <si>
    <t>Мухин Михаил</t>
  </si>
  <si>
    <t>1. Мухин Михаил</t>
  </si>
  <si>
    <t>Юноши 18 - 19 (15.05.1998)/19</t>
  </si>
  <si>
    <t>80,50</t>
  </si>
  <si>
    <t xml:space="preserve">Тула/Тульская область </t>
  </si>
  <si>
    <t>187,5o</t>
  </si>
  <si>
    <t>217,5</t>
  </si>
  <si>
    <t>Олейник Иван</t>
  </si>
  <si>
    <t>1. Олейник Иван</t>
  </si>
  <si>
    <t>Открытая (10.12.1993)/24</t>
  </si>
  <si>
    <t>82,50</t>
  </si>
  <si>
    <t>210,0</t>
  </si>
  <si>
    <t>225,0</t>
  </si>
  <si>
    <t>Алябьев Роман</t>
  </si>
  <si>
    <t>2. Алябьев Роман</t>
  </si>
  <si>
    <t>Открытая (22.12.1993)/24</t>
  </si>
  <si>
    <t>79,90</t>
  </si>
  <si>
    <t xml:space="preserve">Строитель/Белгородская область </t>
  </si>
  <si>
    <t>Мандриков Игорь</t>
  </si>
  <si>
    <t>1. Мандриков Игорь</t>
  </si>
  <si>
    <t>Открытая (02.04.1993)/24</t>
  </si>
  <si>
    <t>87,00</t>
  </si>
  <si>
    <t>197,5</t>
  </si>
  <si>
    <t>202,5</t>
  </si>
  <si>
    <t>Тишин Павел</t>
  </si>
  <si>
    <t>2. Тишин Павел</t>
  </si>
  <si>
    <t>Открытая (23.05.1987)/30</t>
  </si>
  <si>
    <t>89,90</t>
  </si>
  <si>
    <t>185,0</t>
  </si>
  <si>
    <t>205,0</t>
  </si>
  <si>
    <t>1. Переверзев Андрей</t>
  </si>
  <si>
    <t>220,0o</t>
  </si>
  <si>
    <t>235,0o</t>
  </si>
  <si>
    <t>250,0</t>
  </si>
  <si>
    <t>Дудник Владимир</t>
  </si>
  <si>
    <t>2. Дудник Владимир</t>
  </si>
  <si>
    <t>Открытая (12.12.1982)/35</t>
  </si>
  <si>
    <t>94,00</t>
  </si>
  <si>
    <t>140,0o</t>
  </si>
  <si>
    <t>165,0o</t>
  </si>
  <si>
    <t>Ивлев Денис</t>
  </si>
  <si>
    <t>1. Ивлев Денис</t>
  </si>
  <si>
    <t>Открытая (13.04.1980)/37</t>
  </si>
  <si>
    <t>101,00</t>
  </si>
  <si>
    <t xml:space="preserve">Губкин/Белгородская область </t>
  </si>
  <si>
    <t>250,0o</t>
  </si>
  <si>
    <t>270,0</t>
  </si>
  <si>
    <t>270,0o</t>
  </si>
  <si>
    <t>ВЕСОВАЯ КАТЕГОРИЯ   125</t>
  </si>
  <si>
    <t>Когут Роман</t>
  </si>
  <si>
    <t>1. Когут Роман</t>
  </si>
  <si>
    <t>Открытая (26.10.1992)/25</t>
  </si>
  <si>
    <t>115,00</t>
  </si>
  <si>
    <t>260,0o</t>
  </si>
  <si>
    <t>Виноходов Сергей</t>
  </si>
  <si>
    <t>2. Виноходов Сергей</t>
  </si>
  <si>
    <t>Открытая (17.09.1982)/35</t>
  </si>
  <si>
    <t>123,40</t>
  </si>
  <si>
    <t>215,0</t>
  </si>
  <si>
    <t>220,0</t>
  </si>
  <si>
    <t>106,7418</t>
  </si>
  <si>
    <t>149,0572</t>
  </si>
  <si>
    <t>187,5</t>
  </si>
  <si>
    <t>122,8695</t>
  </si>
  <si>
    <t>167,5</t>
  </si>
  <si>
    <t>129,6353</t>
  </si>
  <si>
    <t>148,9590</t>
  </si>
  <si>
    <t>140,6200</t>
  </si>
  <si>
    <t>139,3425</t>
  </si>
  <si>
    <t>260,0</t>
  </si>
  <si>
    <t>138,1640</t>
  </si>
  <si>
    <t>133,0350</t>
  </si>
  <si>
    <t>235,0</t>
  </si>
  <si>
    <t>132,4107</t>
  </si>
  <si>
    <t>121,0545</t>
  </si>
  <si>
    <t>120,3360</t>
  </si>
  <si>
    <t>115,6757</t>
  </si>
  <si>
    <t>94,2150</t>
  </si>
  <si>
    <t xml:space="preserve">89(12+12+12+12+12+12+5+12) </t>
  </si>
  <si>
    <t xml:space="preserve">Ивлев Денис, Мухин Михаил, Когут Роман, Ярченко Андрей, Ярченко Андрей, Чекрыгин Евгений, Дудник Владимир, Переверзев Андрей </t>
  </si>
  <si>
    <t xml:space="preserve">48(12+12+12+12) </t>
  </si>
  <si>
    <t xml:space="preserve">Олейник Иван, Литвинова Елена, Панкратова Светлана, Мандриков Игорь </t>
  </si>
  <si>
    <t xml:space="preserve">5(5) </t>
  </si>
  <si>
    <t xml:space="preserve">Алябьев Роман </t>
  </si>
  <si>
    <t xml:space="preserve">Тишин Павел </t>
  </si>
  <si>
    <t xml:space="preserve">Виноходов Сергей </t>
  </si>
  <si>
    <t>Долгополова Юлия</t>
  </si>
  <si>
    <t>1. Долгополова Юлия</t>
  </si>
  <si>
    <t>Открытая (19.01.1988)/30</t>
  </si>
  <si>
    <t>59,00</t>
  </si>
  <si>
    <t>67,50</t>
  </si>
  <si>
    <t>Телепнев Александр</t>
  </si>
  <si>
    <t>1. Телепнев Александр</t>
  </si>
  <si>
    <t>Юниоры 20 - 23 (06.01.1998)/20</t>
  </si>
  <si>
    <t>73,55</t>
  </si>
  <si>
    <t xml:space="preserve">ДЮСШ №4 </t>
  </si>
  <si>
    <t>2. Симкин Александр</t>
  </si>
  <si>
    <t>132,5</t>
  </si>
  <si>
    <t>140,0</t>
  </si>
  <si>
    <t>1. Парамонов Евгений</t>
  </si>
  <si>
    <t>Открытая (23.12.1991)/26</t>
  </si>
  <si>
    <t>86,55</t>
  </si>
  <si>
    <t>Калакуцкий Руслан</t>
  </si>
  <si>
    <t>1. Калакуцкий Руслан</t>
  </si>
  <si>
    <t>Открытая (22.04.1979)/38</t>
  </si>
  <si>
    <t>98,00</t>
  </si>
  <si>
    <t>195,0</t>
  </si>
  <si>
    <t>Карпачев Михаил</t>
  </si>
  <si>
    <t>1. Карпачев Михаил</t>
  </si>
  <si>
    <t>Мастера 55 - 59 (11.11.1959)/58</t>
  </si>
  <si>
    <t>99,80</t>
  </si>
  <si>
    <t>1. Виноходов Сергей</t>
  </si>
  <si>
    <t>207,5</t>
  </si>
  <si>
    <t>52,3890</t>
  </si>
  <si>
    <t>107,7398</t>
  </si>
  <si>
    <t>95,9965</t>
  </si>
  <si>
    <t>117,4110</t>
  </si>
  <si>
    <t>103,3320</t>
  </si>
  <si>
    <t>78,0235</t>
  </si>
  <si>
    <t xml:space="preserve">Мастера 55 - 59 </t>
  </si>
  <si>
    <t>140,4410</t>
  </si>
  <si>
    <t xml:space="preserve">53(12+12+12+12+5) </t>
  </si>
  <si>
    <t xml:space="preserve">Бурков Юрий, Виноходов Сергей, Карпачев Михаил, Калакуцкий Руслан, Симкин Александр </t>
  </si>
  <si>
    <t xml:space="preserve">Парамонов Евгений </t>
  </si>
  <si>
    <t xml:space="preserve">Долгополова Юлия </t>
  </si>
  <si>
    <t xml:space="preserve">Телепнев Александр </t>
  </si>
  <si>
    <t>104,7780</t>
  </si>
  <si>
    <t>Коробейников Д.Ю.</t>
  </si>
  <si>
    <t>Кузьменко Е.В.</t>
  </si>
  <si>
    <t>Коробейников М.Ю.</t>
  </si>
  <si>
    <t>Лыков Н.А.</t>
  </si>
  <si>
    <t>Крузина А.А.</t>
  </si>
  <si>
    <t>Коробейникова О.В.</t>
  </si>
  <si>
    <t>Чемпионат Центрального Федерального Округа, Белгород.
Любители становая тяга в софт экипировке
Белгород/Белгородская область 17 марта 2018 г.</t>
  </si>
  <si>
    <t>Чемпионат Центрального Федерального Округа, Белгород.
Любители жим лежа в софт экипировке
Белгород/Белгородская область 17 марта 2018 г.</t>
  </si>
  <si>
    <t>Чемпионат Центрального Федерального Округа, Белгород.
Любители становая тяга без экипировки
Белгород/Белгородская область 17 марта 2018 г.</t>
  </si>
  <si>
    <t>Чемпионат Центрального Федерального Округа, Белгород.
Любители жим лежа без экипировки
Белгород/Белгородская область 17 марта 2018 г.</t>
  </si>
  <si>
    <t>Чемпионат Центрального Федерального Округа, Белгород.
ПРО жим лежа в софт экипировке
Белгород/Белгородская область 17 марта 2018 г.</t>
  </si>
  <si>
    <t>Чемпионат Центрального Федерального Округа, Белгород.
ПРО становая тяга без экипировки
Белгород/Белгородская область 17 марта 2018 г.</t>
  </si>
  <si>
    <t>Чемпионат Центрального Федерального Округа, Белгород.
ПРО жим лежа без экипировки
Белгород/Белгородская область 17 марта 2018 г.</t>
  </si>
  <si>
    <t>1. Плеханов Андрей</t>
  </si>
  <si>
    <t>Открытая (25.09.1980)/37</t>
  </si>
  <si>
    <t>80.96</t>
  </si>
  <si>
    <t>120</t>
  </si>
  <si>
    <t>135</t>
  </si>
  <si>
    <t>85,4415</t>
  </si>
  <si>
    <t>1. Качала Сергей</t>
  </si>
  <si>
    <t>Открытая (17.08.1985)/32</t>
  </si>
  <si>
    <t>92,65</t>
  </si>
  <si>
    <t>145</t>
  </si>
  <si>
    <t>150</t>
  </si>
  <si>
    <t>160</t>
  </si>
  <si>
    <t>92,4640</t>
  </si>
  <si>
    <t>ВЕСОВАЯ КАТЕГОРИЯ   11,0</t>
  </si>
  <si>
    <t>1. Лазарев Виталий</t>
  </si>
  <si>
    <t>Открытая (25.08.1988)/29</t>
  </si>
  <si>
    <t>108</t>
  </si>
  <si>
    <t>155</t>
  </si>
  <si>
    <t>83,5605</t>
  </si>
  <si>
    <t xml:space="preserve"> Качала Сергей</t>
  </si>
  <si>
    <t xml:space="preserve"> Плеханов Андрей</t>
  </si>
  <si>
    <t>Лазарев Виталий</t>
  </si>
  <si>
    <t>Чемпионат Центрального Федерального Округа, Белгород.
Любители Военный жим
Белгород/Белгородская область 17 марта 2018 г.</t>
  </si>
  <si>
    <t>47</t>
  </si>
  <si>
    <t>Чемпионат Центрального Федерального Округа, Белгород.
Любители Русский жим
Белгород/Белгородская область 17 марта 2018 г.</t>
  </si>
  <si>
    <t>22,534</t>
  </si>
  <si>
    <t>ВЕСОВАЯ КАТЕГОРИЯ   75 (вес штанги 35 кг)</t>
  </si>
  <si>
    <t>ВЕСОВАЯ КАТЕГОРИЯ   60 (вес штанги 55 кг)</t>
  </si>
  <si>
    <t>36</t>
  </si>
  <si>
    <t>51,333</t>
  </si>
  <si>
    <t>ВЕСОВАЯ КАТЕГОРИЯ   75 (вес штанги 55 кг)</t>
  </si>
  <si>
    <t>1. Шутеев Евгений</t>
  </si>
  <si>
    <t>Юноши 13-15 (30.10.2202) 15</t>
  </si>
  <si>
    <t>70</t>
  </si>
  <si>
    <t>20</t>
  </si>
  <si>
    <t>15,714</t>
  </si>
  <si>
    <t>1. Махмутов Ахмеджан</t>
  </si>
  <si>
    <t>Юниоры 20 - 23 (09.04.1197) 20</t>
  </si>
  <si>
    <t>Юниоры 20 - 23 (19.10.1997) 20</t>
  </si>
  <si>
    <t>71,15</t>
  </si>
  <si>
    <t>34</t>
  </si>
  <si>
    <t>26,282</t>
  </si>
  <si>
    <t>Открытая (10.04.1991) 26</t>
  </si>
  <si>
    <t>Открытая (17.04.1980) 37</t>
  </si>
  <si>
    <t>73</t>
  </si>
  <si>
    <t>44</t>
  </si>
  <si>
    <t>33,150</t>
  </si>
  <si>
    <t>ВЕСОВАЯ КАТЕГОРИЯ  100  (вес штанги 55 кг)</t>
  </si>
  <si>
    <t>1. Литовченко Александр</t>
  </si>
  <si>
    <t>Открытая (26.06.1986) 31</t>
  </si>
  <si>
    <t>98,6</t>
  </si>
  <si>
    <t>65</t>
  </si>
  <si>
    <t>36,257</t>
  </si>
  <si>
    <t>75</t>
  </si>
  <si>
    <t>К.А.</t>
  </si>
  <si>
    <t>Шутеев Евгений</t>
  </si>
  <si>
    <t>Юноши</t>
  </si>
  <si>
    <t>Махмутов Ахмеджан</t>
  </si>
  <si>
    <t>Литовченко Александр</t>
  </si>
  <si>
    <t>Юниоры</t>
  </si>
  <si>
    <t>60</t>
  </si>
  <si>
    <t>Чемпионат Центрального Федерального Округа, Белгород.
ПРО Русский жим
Белгород/Белгородская область 17 марта 2018 г.</t>
  </si>
  <si>
    <t>ВЕСОВАЯ КАТЕГОРИЯ   90 (вес штанги 35 кг)</t>
  </si>
  <si>
    <t>Степура Евгений</t>
  </si>
  <si>
    <t>Открытая (22,07.1983) 35</t>
  </si>
  <si>
    <t>86,65</t>
  </si>
  <si>
    <t>Лично</t>
  </si>
  <si>
    <t>63</t>
  </si>
  <si>
    <t>39,988</t>
  </si>
  <si>
    <t>Мужчины</t>
  </si>
  <si>
    <t>1. Степура Евгений</t>
  </si>
  <si>
    <t>90</t>
  </si>
  <si>
    <t>50</t>
  </si>
  <si>
    <t>ВЕСОВАЯ КАТЕГОРИЯ   60 ((собственный вес).</t>
  </si>
  <si>
    <t>1. Махфузов Афраим</t>
  </si>
  <si>
    <t>Открытая (19.10.1997) 20</t>
  </si>
  <si>
    <t>31</t>
  </si>
  <si>
    <t>ВЕСОВАЯ КАТЕГОРИЯ   75 (вес штанги 35 кг) пол веса.</t>
  </si>
  <si>
    <t>Чемпионат Центрального Федерального Округа, Белгород.
Любители Народный жим
Белгород/Белгородская область 17 марта 2018 г.</t>
  </si>
  <si>
    <t xml:space="preserve">ВЕСОВАЯ КАТЕГОРИЯ   90 (вес штанги 85 кг.) </t>
  </si>
  <si>
    <t>1. Безруков Сергей</t>
  </si>
  <si>
    <t>Открытая (16.12.1997) 20</t>
  </si>
  <si>
    <t>24</t>
  </si>
  <si>
    <t>Безруков Сергей</t>
  </si>
  <si>
    <t>Чемпионат Центрального Федерального Округа, Белгород.
ПРО Народный жим
Белгород/Белгородская область 17 марта 2018 г.</t>
  </si>
  <si>
    <t>84,25</t>
  </si>
  <si>
    <t>Коэф. НАП</t>
  </si>
  <si>
    <t>Коэф.НАП</t>
  </si>
  <si>
    <t>ВЕСОВАЯ КАТЕГОРИЯ  82,5</t>
  </si>
  <si>
    <t>1. Дубенцов Вячеслав</t>
  </si>
  <si>
    <t>1. Афанасьев Роман</t>
  </si>
  <si>
    <t>Парамонов Евгений</t>
  </si>
  <si>
    <t>Курск</t>
  </si>
  <si>
    <t>12(12)</t>
  </si>
  <si>
    <t>1. Рублев Александр</t>
  </si>
  <si>
    <t xml:space="preserve">Чубарых Петр,  Шульгин Виталий, Образцов Андрей </t>
  </si>
  <si>
    <t xml:space="preserve">Молчанов Роман,  Махфузов Афраим, Переверзев Андрей, Федченко Александр, </t>
  </si>
  <si>
    <t xml:space="preserve"> Мешковой Александр </t>
  </si>
  <si>
    <t xml:space="preserve"> Симкин Александр </t>
  </si>
  <si>
    <t xml:space="preserve">48(12+12+3+5) </t>
  </si>
  <si>
    <t xml:space="preserve">Старый Оскол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</si>
</sst>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0" fillId="0" borderId="2" xfId="0" applyBorder="1"/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7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left"/>
    </xf>
    <xf numFmtId="49" fontId="0" fillId="0" borderId="6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  <xf numFmtId="49" fontId="5" fillId="0" borderId="23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G15" sqref="G15"/>
    </sheetView>
  </sheetViews>
  <sheetFormatPr defaultRowHeight="12.75"/>
  <cols>
    <col min="1" max="1" width="31.85546875" style="5" bestFit="1" customWidth="1"/>
    <col min="2" max="2" width="22.85546875" style="5" bestFit="1" customWidth="1"/>
    <col min="3" max="3" width="18.285156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385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2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102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339</v>
      </c>
      <c r="B6" s="6" t="s">
        <v>340</v>
      </c>
      <c r="C6" s="6" t="s">
        <v>341</v>
      </c>
      <c r="D6" s="6" t="str">
        <f>"0,8731"</f>
        <v>0,8731</v>
      </c>
      <c r="E6" s="6" t="s">
        <v>16</v>
      </c>
      <c r="F6" s="6" t="s">
        <v>269</v>
      </c>
      <c r="G6" s="8" t="s">
        <v>53</v>
      </c>
      <c r="H6" s="8" t="s">
        <v>59</v>
      </c>
      <c r="I6" s="8" t="s">
        <v>31</v>
      </c>
      <c r="J6" s="7"/>
      <c r="K6" s="6" t="str">
        <f>"120,0"</f>
        <v>120,0</v>
      </c>
      <c r="L6" s="8" t="str">
        <f>"104,7780"</f>
        <v>104,7780</v>
      </c>
      <c r="M6" s="6" t="s">
        <v>21</v>
      </c>
    </row>
    <row r="8" spans="1:13" ht="15">
      <c r="E8" s="10" t="s">
        <v>39</v>
      </c>
      <c r="F8" s="27" t="s">
        <v>379</v>
      </c>
    </row>
    <row r="9" spans="1:13" ht="15">
      <c r="E9" s="10" t="s">
        <v>40</v>
      </c>
      <c r="F9" s="27" t="s">
        <v>384</v>
      </c>
    </row>
    <row r="10" spans="1:13" ht="15">
      <c r="E10" s="10" t="s">
        <v>41</v>
      </c>
      <c r="F10" s="27" t="s">
        <v>381</v>
      </c>
    </row>
    <row r="11" spans="1:13" ht="15">
      <c r="E11" s="10" t="s">
        <v>42</v>
      </c>
      <c r="F11" s="27" t="s">
        <v>382</v>
      </c>
    </row>
    <row r="12" spans="1:13" ht="15">
      <c r="E12" s="10" t="s">
        <v>42</v>
      </c>
      <c r="F12" s="27" t="s">
        <v>383</v>
      </c>
    </row>
    <row r="13" spans="1:13" ht="15">
      <c r="E13" s="10" t="s">
        <v>43</v>
      </c>
      <c r="F13" s="27" t="s">
        <v>380</v>
      </c>
    </row>
    <row r="14" spans="1:13" ht="15">
      <c r="E14" s="10"/>
    </row>
    <row r="16" spans="1:13" ht="18">
      <c r="A16" s="11" t="s">
        <v>44</v>
      </c>
      <c r="B16" s="11"/>
    </row>
    <row r="17" spans="1:5" ht="15">
      <c r="A17" s="12" t="s">
        <v>81</v>
      </c>
      <c r="B17" s="12"/>
    </row>
    <row r="18" spans="1:5" ht="14.25">
      <c r="A18" s="14"/>
      <c r="B18" s="15" t="s">
        <v>56</v>
      </c>
    </row>
    <row r="19" spans="1:5" ht="15">
      <c r="A19" s="16" t="s">
        <v>47</v>
      </c>
      <c r="B19" s="16" t="s">
        <v>48</v>
      </c>
      <c r="C19" s="16" t="s">
        <v>49</v>
      </c>
      <c r="D19" s="16" t="s">
        <v>50</v>
      </c>
      <c r="E19" s="16" t="s">
        <v>51</v>
      </c>
    </row>
    <row r="20" spans="1:5">
      <c r="A20" s="13" t="s">
        <v>338</v>
      </c>
      <c r="B20" s="5" t="s">
        <v>56</v>
      </c>
      <c r="C20" s="5" t="s">
        <v>213</v>
      </c>
      <c r="D20" s="5" t="s">
        <v>31</v>
      </c>
      <c r="E20" s="17" t="s">
        <v>378</v>
      </c>
    </row>
    <row r="25" spans="1:5" ht="18">
      <c r="A25" s="11" t="s">
        <v>61</v>
      </c>
      <c r="B25" s="11"/>
    </row>
    <row r="26" spans="1:5" ht="15">
      <c r="A26" s="16" t="s">
        <v>62</v>
      </c>
      <c r="B26" s="16" t="s">
        <v>63</v>
      </c>
      <c r="C26" s="16" t="s">
        <v>64</v>
      </c>
    </row>
    <row r="27" spans="1:5">
      <c r="A27" s="5" t="s">
        <v>16</v>
      </c>
      <c r="B27" s="5" t="s">
        <v>65</v>
      </c>
      <c r="C27" s="5" t="s">
        <v>376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J18" sqref="J18"/>
    </sheetView>
  </sheetViews>
  <sheetFormatPr defaultRowHeight="12.75"/>
  <cols>
    <col min="1" max="1" width="21.42578125" customWidth="1"/>
    <col min="2" max="2" width="27" customWidth="1"/>
    <col min="5" max="5" width="22.28515625" customWidth="1"/>
    <col min="6" max="6" width="34.140625" customWidth="1"/>
  </cols>
  <sheetData>
    <row r="1" spans="1:13" ht="86.25" customHeight="1">
      <c r="A1" s="54" t="s">
        <v>453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3.5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ht="15.75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65" t="s">
        <v>422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7"/>
    </row>
    <row r="6" spans="1:13">
      <c r="A6" s="29" t="s">
        <v>423</v>
      </c>
      <c r="B6" s="29" t="s">
        <v>424</v>
      </c>
      <c r="C6" s="29" t="s">
        <v>425</v>
      </c>
      <c r="D6" s="6" t="str">
        <f>"0,6349"</f>
        <v>0,6349</v>
      </c>
      <c r="E6" s="6" t="s">
        <v>27</v>
      </c>
      <c r="F6" s="6" t="s">
        <v>28</v>
      </c>
      <c r="G6" s="28" t="s">
        <v>426</v>
      </c>
      <c r="H6" s="28"/>
      <c r="I6" s="28"/>
      <c r="J6" s="7"/>
      <c r="K6" s="29" t="s">
        <v>426</v>
      </c>
      <c r="L6" s="36" t="s">
        <v>427</v>
      </c>
      <c r="M6" s="38"/>
    </row>
    <row r="7" spans="1:13" ht="13.5" thickBot="1"/>
    <row r="8" spans="1:13" ht="15">
      <c r="A8" s="53" t="s">
        <v>454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>
      <c r="A9" s="29" t="s">
        <v>462</v>
      </c>
      <c r="B9" s="29" t="s">
        <v>456</v>
      </c>
      <c r="C9" s="29" t="s">
        <v>457</v>
      </c>
      <c r="D9" s="6" t="str">
        <f>"0,6349"</f>
        <v>0,6349</v>
      </c>
      <c r="E9" s="29" t="s">
        <v>458</v>
      </c>
      <c r="F9" s="6" t="s">
        <v>28</v>
      </c>
      <c r="G9" s="28" t="s">
        <v>459</v>
      </c>
      <c r="H9" s="8"/>
      <c r="I9" s="8"/>
      <c r="J9" s="7"/>
      <c r="K9" s="29" t="s">
        <v>459</v>
      </c>
      <c r="L9" s="36" t="s">
        <v>460</v>
      </c>
      <c r="M9" s="38"/>
    </row>
    <row r="11" spans="1:13" ht="15">
      <c r="E11" s="10" t="s">
        <v>39</v>
      </c>
      <c r="F11" s="27" t="s">
        <v>379</v>
      </c>
    </row>
    <row r="12" spans="1:13" ht="15">
      <c r="E12" s="10" t="s">
        <v>40</v>
      </c>
      <c r="F12" s="27" t="s">
        <v>384</v>
      </c>
    </row>
    <row r="13" spans="1:13" ht="15">
      <c r="E13" s="10" t="s">
        <v>41</v>
      </c>
      <c r="F13" s="27" t="s">
        <v>381</v>
      </c>
    </row>
    <row r="14" spans="1:13" ht="15">
      <c r="E14" s="10" t="s">
        <v>42</v>
      </c>
      <c r="F14" s="27" t="s">
        <v>382</v>
      </c>
    </row>
    <row r="15" spans="1:13" ht="15">
      <c r="E15" s="10" t="s">
        <v>42</v>
      </c>
      <c r="F15" s="27" t="s">
        <v>383</v>
      </c>
    </row>
    <row r="16" spans="1:13" ht="15">
      <c r="E16" s="10" t="s">
        <v>43</v>
      </c>
      <c r="F16" s="27" t="s">
        <v>380</v>
      </c>
    </row>
    <row r="18" spans="1:5" ht="18">
      <c r="A18" s="11" t="s">
        <v>44</v>
      </c>
      <c r="B18" s="11"/>
      <c r="C18" s="5"/>
      <c r="D18" s="5"/>
      <c r="E18" s="5"/>
    </row>
    <row r="19" spans="1:5" ht="15">
      <c r="A19" s="12" t="s">
        <v>461</v>
      </c>
      <c r="B19" s="12"/>
      <c r="C19" s="5"/>
      <c r="D19" s="5"/>
      <c r="E19" s="5"/>
    </row>
    <row r="20" spans="1:5" ht="14.25">
      <c r="A20" s="14"/>
      <c r="B20" s="15" t="s">
        <v>56</v>
      </c>
      <c r="C20" s="5"/>
      <c r="D20" s="5"/>
      <c r="E20" s="5"/>
    </row>
    <row r="21" spans="1:5" ht="15">
      <c r="A21" s="16" t="s">
        <v>47</v>
      </c>
      <c r="B21" s="16" t="s">
        <v>48</v>
      </c>
      <c r="C21" s="16" t="s">
        <v>49</v>
      </c>
      <c r="D21" s="16" t="s">
        <v>50</v>
      </c>
      <c r="E21" s="16" t="s">
        <v>446</v>
      </c>
    </row>
    <row r="22" spans="1:5">
      <c r="A22" s="27" t="s">
        <v>447</v>
      </c>
      <c r="B22" s="27" t="s">
        <v>448</v>
      </c>
      <c r="C22" s="27" t="s">
        <v>425</v>
      </c>
      <c r="D22" s="27" t="s">
        <v>426</v>
      </c>
      <c r="E22" s="17" t="s">
        <v>427</v>
      </c>
    </row>
    <row r="23" spans="1:5">
      <c r="A23" s="27" t="s">
        <v>455</v>
      </c>
      <c r="B23" s="5" t="s">
        <v>56</v>
      </c>
      <c r="C23" s="27" t="s">
        <v>463</v>
      </c>
      <c r="D23" s="27" t="s">
        <v>459</v>
      </c>
      <c r="E23" s="17" t="s">
        <v>460</v>
      </c>
    </row>
  </sheetData>
  <mergeCells count="13">
    <mergeCell ref="M3:M4"/>
    <mergeCell ref="A8:L8"/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sqref="A1:M2"/>
    </sheetView>
  </sheetViews>
  <sheetFormatPr defaultRowHeight="12.75"/>
  <cols>
    <col min="1" max="1" width="22.7109375" customWidth="1"/>
    <col min="2" max="2" width="27.7109375" customWidth="1"/>
    <col min="5" max="5" width="23.7109375" customWidth="1"/>
    <col min="6" max="6" width="34.42578125" customWidth="1"/>
  </cols>
  <sheetData>
    <row r="1" spans="1:13" ht="82.5" customHeight="1">
      <c r="A1" s="54" t="s">
        <v>470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3.5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ht="15.75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469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 ht="13.5" thickBot="1">
      <c r="A6" s="6" t="s">
        <v>91</v>
      </c>
      <c r="B6" s="29" t="s">
        <v>434</v>
      </c>
      <c r="C6" s="6" t="s">
        <v>93</v>
      </c>
      <c r="D6" s="6" t="str">
        <f>"0,7362"</f>
        <v>0,7362</v>
      </c>
      <c r="E6" s="6" t="s">
        <v>78</v>
      </c>
      <c r="F6" s="6" t="s">
        <v>94</v>
      </c>
      <c r="G6" s="28" t="s">
        <v>464</v>
      </c>
      <c r="H6" s="8"/>
      <c r="I6" s="8"/>
      <c r="J6" s="7"/>
      <c r="K6" s="29" t="s">
        <v>464</v>
      </c>
      <c r="L6" s="36" t="s">
        <v>417</v>
      </c>
      <c r="M6" s="38"/>
    </row>
    <row r="7" spans="1:13" ht="15">
      <c r="A7" s="53" t="s">
        <v>465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>
      <c r="A8" s="35" t="s">
        <v>466</v>
      </c>
      <c r="B8" s="35" t="s">
        <v>430</v>
      </c>
      <c r="C8" s="21" t="s">
        <v>110</v>
      </c>
      <c r="D8" s="6" t="str">
        <f>"0,6349"</f>
        <v>0,6349</v>
      </c>
      <c r="E8" s="21" t="s">
        <v>27</v>
      </c>
      <c r="F8" s="21" t="s">
        <v>111</v>
      </c>
      <c r="G8" s="34" t="s">
        <v>468</v>
      </c>
      <c r="H8" s="22"/>
      <c r="I8" s="22"/>
      <c r="J8" s="22"/>
      <c r="K8" s="35" t="s">
        <v>468</v>
      </c>
      <c r="L8" s="37" t="s">
        <v>421</v>
      </c>
      <c r="M8" s="6" t="s">
        <v>21</v>
      </c>
    </row>
    <row r="9" spans="1:13">
      <c r="A9" s="35" t="s">
        <v>466</v>
      </c>
      <c r="B9" s="35" t="s">
        <v>467</v>
      </c>
      <c r="C9" s="21" t="s">
        <v>110</v>
      </c>
      <c r="D9" s="6" t="str">
        <f>"0,6349"</f>
        <v>0,6349</v>
      </c>
      <c r="E9" s="21" t="s">
        <v>27</v>
      </c>
      <c r="F9" s="21" t="s">
        <v>111</v>
      </c>
      <c r="G9" s="34" t="s">
        <v>468</v>
      </c>
      <c r="H9" s="22"/>
      <c r="I9" s="22"/>
      <c r="J9" s="22"/>
      <c r="K9" s="35" t="s">
        <v>468</v>
      </c>
      <c r="L9" s="37" t="s">
        <v>421</v>
      </c>
      <c r="M9" s="6" t="s">
        <v>21</v>
      </c>
    </row>
    <row r="11" spans="1:13" ht="15">
      <c r="E11" s="10" t="s">
        <v>39</v>
      </c>
      <c r="F11" s="27" t="s">
        <v>379</v>
      </c>
    </row>
    <row r="12" spans="1:13" ht="15">
      <c r="E12" s="10" t="s">
        <v>40</v>
      </c>
      <c r="F12" s="27" t="s">
        <v>384</v>
      </c>
    </row>
    <row r="13" spans="1:13" ht="15">
      <c r="E13" s="10" t="s">
        <v>41</v>
      </c>
      <c r="F13" s="27" t="s">
        <v>381</v>
      </c>
    </row>
    <row r="14" spans="1:13" ht="15">
      <c r="E14" s="10" t="s">
        <v>42</v>
      </c>
      <c r="F14" s="27" t="s">
        <v>382</v>
      </c>
    </row>
    <row r="15" spans="1:13" ht="15">
      <c r="E15" s="10" t="s">
        <v>42</v>
      </c>
      <c r="F15" s="27" t="s">
        <v>383</v>
      </c>
    </row>
    <row r="16" spans="1:13" ht="15">
      <c r="E16" s="10" t="s">
        <v>43</v>
      </c>
      <c r="F16" s="27" t="s">
        <v>380</v>
      </c>
    </row>
    <row r="19" spans="1:5" ht="18">
      <c r="A19" s="11" t="s">
        <v>44</v>
      </c>
      <c r="B19" s="11"/>
      <c r="C19" s="5"/>
      <c r="D19" s="5"/>
      <c r="E19" s="5"/>
    </row>
    <row r="20" spans="1:5" ht="15">
      <c r="A20" s="12" t="s">
        <v>81</v>
      </c>
      <c r="B20" s="12"/>
      <c r="C20" s="5"/>
      <c r="D20" s="5"/>
      <c r="E20" s="5"/>
    </row>
    <row r="21" spans="1:5" ht="14.25">
      <c r="A21" s="14"/>
      <c r="B21" s="15" t="s">
        <v>56</v>
      </c>
      <c r="C21" s="5"/>
      <c r="D21" s="5"/>
      <c r="E21" s="5"/>
    </row>
    <row r="22" spans="1:5" ht="15">
      <c r="A22" s="32" t="s">
        <v>47</v>
      </c>
      <c r="B22" s="16" t="s">
        <v>48</v>
      </c>
      <c r="C22" s="16" t="s">
        <v>49</v>
      </c>
      <c r="D22" s="16" t="s">
        <v>50</v>
      </c>
      <c r="E22" s="16" t="s">
        <v>479</v>
      </c>
    </row>
    <row r="23" spans="1:5">
      <c r="A23" s="27" t="s">
        <v>90</v>
      </c>
      <c r="B23" s="5" t="s">
        <v>56</v>
      </c>
      <c r="C23" s="27" t="s">
        <v>445</v>
      </c>
      <c r="D23" s="27" t="s">
        <v>464</v>
      </c>
      <c r="E23" s="17" t="s">
        <v>417</v>
      </c>
    </row>
    <row r="24" spans="1:5">
      <c r="A24" s="27"/>
      <c r="B24" s="5"/>
      <c r="C24" s="27"/>
      <c r="D24" s="27"/>
      <c r="E24" s="17"/>
    </row>
    <row r="25" spans="1:5">
      <c r="A25" s="27"/>
      <c r="B25" s="5"/>
      <c r="C25" s="31"/>
      <c r="D25" s="31"/>
      <c r="E25" s="17"/>
    </row>
    <row r="26" spans="1:5" ht="15">
      <c r="A26" s="12" t="s">
        <v>45</v>
      </c>
      <c r="B26" s="12"/>
      <c r="C26" s="5"/>
      <c r="D26" s="5"/>
      <c r="E26" s="5"/>
    </row>
    <row r="27" spans="1:5" ht="14.25">
      <c r="A27" s="14"/>
      <c r="B27" s="15" t="s">
        <v>56</v>
      </c>
      <c r="C27" s="5"/>
      <c r="D27" s="5"/>
      <c r="E27" s="5"/>
    </row>
    <row r="28" spans="1:5" ht="15">
      <c r="A28" s="32" t="s">
        <v>47</v>
      </c>
      <c r="B28" s="16" t="s">
        <v>48</v>
      </c>
      <c r="C28" s="16" t="s">
        <v>49</v>
      </c>
      <c r="D28" s="16" t="s">
        <v>50</v>
      </c>
      <c r="E28" s="16" t="s">
        <v>479</v>
      </c>
    </row>
    <row r="29" spans="1:5">
      <c r="A29" s="27" t="s">
        <v>447</v>
      </c>
      <c r="B29" s="27" t="s">
        <v>451</v>
      </c>
      <c r="C29" s="27" t="s">
        <v>452</v>
      </c>
      <c r="D29" s="27" t="s">
        <v>468</v>
      </c>
      <c r="E29" s="17" t="s">
        <v>421</v>
      </c>
    </row>
    <row r="30" spans="1:5">
      <c r="A30" s="27" t="s">
        <v>107</v>
      </c>
      <c r="B30" s="5" t="s">
        <v>56</v>
      </c>
      <c r="C30" s="27" t="s">
        <v>452</v>
      </c>
      <c r="D30" s="27" t="s">
        <v>468</v>
      </c>
      <c r="E30" s="17" t="s">
        <v>421</v>
      </c>
    </row>
  </sheetData>
  <mergeCells count="13">
    <mergeCell ref="A7:L7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E19" sqref="E19"/>
    </sheetView>
  </sheetViews>
  <sheetFormatPr defaultRowHeight="12.75"/>
  <cols>
    <col min="1" max="1" width="21.42578125" customWidth="1"/>
    <col min="2" max="2" width="23.28515625" customWidth="1"/>
    <col min="5" max="5" width="22.7109375" customWidth="1"/>
    <col min="6" max="6" width="33.7109375" customWidth="1"/>
    <col min="11" max="11" width="11.7109375" customWidth="1"/>
  </cols>
  <sheetData>
    <row r="1" spans="1:13" ht="84" customHeight="1">
      <c r="A1" s="54" t="s">
        <v>476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3.5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ht="15.75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471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29" t="s">
        <v>472</v>
      </c>
      <c r="B6" s="29" t="s">
        <v>473</v>
      </c>
      <c r="C6" s="29" t="s">
        <v>477</v>
      </c>
      <c r="D6" s="6" t="str">
        <f>"0,6349"</f>
        <v>0,6349</v>
      </c>
      <c r="E6" s="29" t="s">
        <v>458</v>
      </c>
      <c r="F6" s="6" t="s">
        <v>28</v>
      </c>
      <c r="G6" s="28" t="s">
        <v>474</v>
      </c>
      <c r="H6" s="8"/>
      <c r="I6" s="8"/>
      <c r="J6" s="7"/>
      <c r="K6" s="29" t="s">
        <v>474</v>
      </c>
      <c r="L6" s="36" t="s">
        <v>417</v>
      </c>
      <c r="M6" s="38"/>
    </row>
    <row r="8" spans="1:13" ht="15">
      <c r="E8" s="10" t="s">
        <v>39</v>
      </c>
      <c r="F8" s="27" t="s">
        <v>379</v>
      </c>
    </row>
    <row r="9" spans="1:13" ht="15">
      <c r="E9" s="10" t="s">
        <v>40</v>
      </c>
      <c r="F9" s="27" t="s">
        <v>384</v>
      </c>
    </row>
    <row r="10" spans="1:13" ht="15">
      <c r="E10" s="10" t="s">
        <v>41</v>
      </c>
      <c r="F10" s="27" t="s">
        <v>381</v>
      </c>
    </row>
    <row r="11" spans="1:13" ht="15">
      <c r="E11" s="10" t="s">
        <v>42</v>
      </c>
      <c r="F11" s="27" t="s">
        <v>382</v>
      </c>
    </row>
    <row r="12" spans="1:13" ht="15">
      <c r="E12" s="10" t="s">
        <v>42</v>
      </c>
      <c r="F12" s="27" t="s">
        <v>383</v>
      </c>
    </row>
    <row r="13" spans="1:13" ht="15">
      <c r="E13" s="10" t="s">
        <v>43</v>
      </c>
      <c r="F13" s="27" t="s">
        <v>380</v>
      </c>
    </row>
    <row r="15" spans="1:13" ht="18">
      <c r="A15" s="11" t="s">
        <v>44</v>
      </c>
      <c r="B15" s="11"/>
      <c r="C15" s="5"/>
      <c r="D15" s="5"/>
      <c r="E15" s="5"/>
    </row>
    <row r="16" spans="1:13" ht="15">
      <c r="A16" s="12" t="s">
        <v>461</v>
      </c>
      <c r="B16" s="12"/>
      <c r="C16" s="5"/>
      <c r="D16" s="5"/>
      <c r="E16" s="5"/>
    </row>
    <row r="17" spans="1:5" ht="14.25">
      <c r="A17" s="14"/>
      <c r="B17" s="15" t="s">
        <v>56</v>
      </c>
      <c r="C17" s="5"/>
      <c r="D17" s="5"/>
      <c r="E17" s="5"/>
    </row>
    <row r="18" spans="1:5" ht="15">
      <c r="A18" s="32" t="s">
        <v>47</v>
      </c>
      <c r="B18" s="16" t="s">
        <v>48</v>
      </c>
      <c r="C18" s="16" t="s">
        <v>49</v>
      </c>
      <c r="D18" s="16" t="s">
        <v>50</v>
      </c>
      <c r="E18" s="16" t="s">
        <v>478</v>
      </c>
    </row>
    <row r="19" spans="1:5">
      <c r="A19" s="27" t="s">
        <v>475</v>
      </c>
      <c r="B19" s="5" t="s">
        <v>56</v>
      </c>
      <c r="C19" s="27" t="s">
        <v>463</v>
      </c>
      <c r="D19" s="27" t="s">
        <v>474</v>
      </c>
      <c r="E19" s="17" t="s">
        <v>460</v>
      </c>
    </row>
  </sheetData>
  <mergeCells count="12"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A6" sqref="A6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84.5703125" style="5" bestFit="1" customWidth="1"/>
    <col min="4" max="4" width="9.28515625" style="5" bestFit="1" customWidth="1"/>
    <col min="5" max="5" width="22.7109375" style="5" bestFit="1" customWidth="1"/>
    <col min="6" max="6" width="30.8554687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102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339</v>
      </c>
      <c r="B6" s="6" t="s">
        <v>340</v>
      </c>
      <c r="C6" s="6" t="s">
        <v>341</v>
      </c>
      <c r="D6" s="6" t="str">
        <f>"0,8731"</f>
        <v>0,8731</v>
      </c>
      <c r="E6" s="6" t="s">
        <v>16</v>
      </c>
      <c r="F6" s="6" t="s">
        <v>269</v>
      </c>
      <c r="G6" s="7" t="s">
        <v>213</v>
      </c>
      <c r="H6" s="8" t="s">
        <v>213</v>
      </c>
      <c r="I6" s="7" t="s">
        <v>95</v>
      </c>
      <c r="J6" s="7"/>
      <c r="K6" s="6" t="str">
        <f>"60,0"</f>
        <v>60,0</v>
      </c>
      <c r="L6" s="8" t="str">
        <f>"52,3890"</f>
        <v>52,3890</v>
      </c>
      <c r="M6" s="6" t="s">
        <v>21</v>
      </c>
    </row>
    <row r="8" spans="1:13" ht="15">
      <c r="A8" s="63" t="s">
        <v>112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3">
      <c r="A9" s="6" t="s">
        <v>114</v>
      </c>
      <c r="B9" s="6" t="s">
        <v>115</v>
      </c>
      <c r="C9" s="6" t="s">
        <v>342</v>
      </c>
      <c r="D9" s="6" t="str">
        <f>"0,7258"</f>
        <v>0,7258</v>
      </c>
      <c r="E9" s="6" t="s">
        <v>117</v>
      </c>
      <c r="F9" s="6" t="s">
        <v>118</v>
      </c>
      <c r="G9" s="8" t="s">
        <v>53</v>
      </c>
      <c r="H9" s="8" t="s">
        <v>133</v>
      </c>
      <c r="I9" s="7" t="s">
        <v>54</v>
      </c>
      <c r="J9" s="7"/>
      <c r="K9" s="6" t="str">
        <f>"107,5"</f>
        <v>107,5</v>
      </c>
      <c r="L9" s="8" t="str">
        <f>"78,0235"</f>
        <v>78,0235</v>
      </c>
      <c r="M9" s="6" t="s">
        <v>21</v>
      </c>
    </row>
    <row r="11" spans="1:13" ht="15">
      <c r="A11" s="63" t="s">
        <v>89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3">
      <c r="A12" s="18" t="s">
        <v>344</v>
      </c>
      <c r="B12" s="18" t="s">
        <v>345</v>
      </c>
      <c r="C12" s="18" t="s">
        <v>346</v>
      </c>
      <c r="D12" s="18" t="str">
        <f>"0,6748"</f>
        <v>0,6748</v>
      </c>
      <c r="E12" s="18" t="s">
        <v>347</v>
      </c>
      <c r="F12" s="18" t="s">
        <v>28</v>
      </c>
      <c r="G12" s="20" t="s">
        <v>189</v>
      </c>
      <c r="H12" s="20" t="s">
        <v>164</v>
      </c>
      <c r="I12" s="19" t="s">
        <v>165</v>
      </c>
      <c r="J12" s="19"/>
      <c r="K12" s="18" t="str">
        <f>"155,0"</f>
        <v>155,0</v>
      </c>
      <c r="L12" s="20" t="str">
        <f>"107,7398"</f>
        <v>107,7398</v>
      </c>
      <c r="M12" s="18" t="s">
        <v>21</v>
      </c>
    </row>
    <row r="13" spans="1:13">
      <c r="A13" s="21" t="s">
        <v>348</v>
      </c>
      <c r="B13" s="21" t="s">
        <v>136</v>
      </c>
      <c r="C13" s="21" t="s">
        <v>93</v>
      </c>
      <c r="D13" s="21" t="str">
        <f>"0,6789"</f>
        <v>0,6789</v>
      </c>
      <c r="E13" s="21" t="s">
        <v>117</v>
      </c>
      <c r="F13" s="21" t="s">
        <v>118</v>
      </c>
      <c r="G13" s="23" t="s">
        <v>138</v>
      </c>
      <c r="H13" s="23" t="s">
        <v>349</v>
      </c>
      <c r="I13" s="23" t="s">
        <v>350</v>
      </c>
      <c r="J13" s="22"/>
      <c r="K13" s="21" t="str">
        <f>"140,0"</f>
        <v>140,0</v>
      </c>
      <c r="L13" s="23" t="str">
        <f>"95,9965"</f>
        <v>95,9965</v>
      </c>
      <c r="M13" s="21" t="s">
        <v>21</v>
      </c>
    </row>
    <row r="15" spans="1:13" ht="15">
      <c r="A15" s="63" t="s">
        <v>159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3">
      <c r="A16" s="6" t="s">
        <v>351</v>
      </c>
      <c r="B16" s="6" t="s">
        <v>352</v>
      </c>
      <c r="C16" s="6" t="s">
        <v>353</v>
      </c>
      <c r="D16" s="6" t="str">
        <f>"0,5997"</f>
        <v>0,5997</v>
      </c>
      <c r="E16" s="6" t="s">
        <v>125</v>
      </c>
      <c r="F16" s="6" t="s">
        <v>28</v>
      </c>
      <c r="G16" s="8" t="s">
        <v>79</v>
      </c>
      <c r="H16" s="7" t="s">
        <v>311</v>
      </c>
      <c r="I16" s="8" t="s">
        <v>311</v>
      </c>
      <c r="J16" s="7"/>
      <c r="K16" s="6" t="str">
        <f>"220,0"</f>
        <v>220,0</v>
      </c>
      <c r="L16" s="8" t="str">
        <f>"131,9450"</f>
        <v>131,9450</v>
      </c>
      <c r="M16" s="6" t="s">
        <v>21</v>
      </c>
    </row>
    <row r="18" spans="1:13" ht="15">
      <c r="A18" s="63" t="s">
        <v>22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3">
      <c r="A19" s="18" t="s">
        <v>355</v>
      </c>
      <c r="B19" s="18" t="s">
        <v>356</v>
      </c>
      <c r="C19" s="18" t="s">
        <v>357</v>
      </c>
      <c r="D19" s="18" t="str">
        <f>"0,5591"</f>
        <v>0,5591</v>
      </c>
      <c r="E19" s="18" t="s">
        <v>117</v>
      </c>
      <c r="F19" s="18" t="s">
        <v>118</v>
      </c>
      <c r="G19" s="20" t="s">
        <v>358</v>
      </c>
      <c r="H19" s="20" t="s">
        <v>281</v>
      </c>
      <c r="I19" s="20" t="s">
        <v>263</v>
      </c>
      <c r="J19" s="19"/>
      <c r="K19" s="18" t="str">
        <f>"210,0"</f>
        <v>210,0</v>
      </c>
      <c r="L19" s="20" t="str">
        <f>"117,4110"</f>
        <v>117,4110</v>
      </c>
      <c r="M19" s="18" t="s">
        <v>21</v>
      </c>
    </row>
    <row r="20" spans="1:13">
      <c r="A20" s="21" t="s">
        <v>360</v>
      </c>
      <c r="B20" s="21" t="s">
        <v>361</v>
      </c>
      <c r="C20" s="21" t="s">
        <v>362</v>
      </c>
      <c r="D20" s="21" t="str">
        <f>"0,5545"</f>
        <v>0,5545</v>
      </c>
      <c r="E20" s="21" t="s">
        <v>117</v>
      </c>
      <c r="F20" s="21" t="s">
        <v>118</v>
      </c>
      <c r="G20" s="22" t="s">
        <v>184</v>
      </c>
      <c r="H20" s="22" t="s">
        <v>184</v>
      </c>
      <c r="I20" s="23" t="s">
        <v>184</v>
      </c>
      <c r="J20" s="22"/>
      <c r="K20" s="21" t="str">
        <f>"165,0"</f>
        <v>165,0</v>
      </c>
      <c r="L20" s="23" t="str">
        <f>"140,4410"</f>
        <v>140,4410</v>
      </c>
      <c r="M20" s="21" t="s">
        <v>21</v>
      </c>
    </row>
    <row r="22" spans="1:13" ht="15">
      <c r="A22" s="63" t="s">
        <v>300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3">
      <c r="A23" s="6" t="s">
        <v>363</v>
      </c>
      <c r="B23" s="6" t="s">
        <v>308</v>
      </c>
      <c r="C23" s="6" t="s">
        <v>309</v>
      </c>
      <c r="D23" s="6" t="str">
        <f>"0,5232"</f>
        <v>0,5232</v>
      </c>
      <c r="E23" s="6" t="s">
        <v>117</v>
      </c>
      <c r="F23" s="6" t="s">
        <v>118</v>
      </c>
      <c r="G23" s="8" t="s">
        <v>38</v>
      </c>
      <c r="H23" s="8" t="s">
        <v>274</v>
      </c>
      <c r="I23" s="7" t="s">
        <v>364</v>
      </c>
      <c r="J23" s="7"/>
      <c r="K23" s="6" t="str">
        <f>"197,5"</f>
        <v>197,5</v>
      </c>
      <c r="L23" s="8" t="str">
        <f>"103,3320"</f>
        <v>103,3320</v>
      </c>
      <c r="M23" s="6" t="s">
        <v>21</v>
      </c>
    </row>
    <row r="25" spans="1:13" ht="15">
      <c r="E25" s="10" t="s">
        <v>39</v>
      </c>
      <c r="F25" s="27" t="s">
        <v>379</v>
      </c>
    </row>
    <row r="26" spans="1:13" ht="15">
      <c r="E26" s="10" t="s">
        <v>40</v>
      </c>
      <c r="F26" s="27" t="s">
        <v>384</v>
      </c>
    </row>
    <row r="27" spans="1:13" ht="15">
      <c r="E27" s="10" t="s">
        <v>41</v>
      </c>
      <c r="F27" s="27" t="s">
        <v>381</v>
      </c>
    </row>
    <row r="28" spans="1:13" ht="15">
      <c r="E28" s="10" t="s">
        <v>42</v>
      </c>
      <c r="F28" s="27" t="s">
        <v>382</v>
      </c>
    </row>
    <row r="29" spans="1:13" ht="15">
      <c r="E29" s="10" t="s">
        <v>42</v>
      </c>
      <c r="F29" s="27" t="s">
        <v>383</v>
      </c>
    </row>
    <row r="30" spans="1:13" ht="15">
      <c r="E30" s="10" t="s">
        <v>43</v>
      </c>
      <c r="F30" s="27" t="s">
        <v>380</v>
      </c>
    </row>
    <row r="31" spans="1:13" ht="15">
      <c r="E31" s="10"/>
    </row>
    <row r="33" spans="1:5" ht="18">
      <c r="A33" s="11" t="s">
        <v>44</v>
      </c>
      <c r="B33" s="11"/>
    </row>
    <row r="34" spans="1:5" ht="15">
      <c r="A34" s="12" t="s">
        <v>81</v>
      </c>
      <c r="B34" s="12"/>
    </row>
    <row r="35" spans="1:5" ht="14.25">
      <c r="A35" s="14"/>
      <c r="B35" s="15" t="s">
        <v>56</v>
      </c>
    </row>
    <row r="36" spans="1:5" ht="15">
      <c r="A36" s="16" t="s">
        <v>47</v>
      </c>
      <c r="B36" s="16" t="s">
        <v>48</v>
      </c>
      <c r="C36" s="16" t="s">
        <v>49</v>
      </c>
      <c r="D36" s="16" t="s">
        <v>50</v>
      </c>
      <c r="E36" s="16" t="s">
        <v>51</v>
      </c>
    </row>
    <row r="37" spans="1:5">
      <c r="A37" s="13" t="s">
        <v>338</v>
      </c>
      <c r="B37" s="5" t="s">
        <v>56</v>
      </c>
      <c r="C37" s="5" t="s">
        <v>213</v>
      </c>
      <c r="D37" s="5" t="s">
        <v>213</v>
      </c>
      <c r="E37" s="17" t="s">
        <v>365</v>
      </c>
    </row>
    <row r="40" spans="1:5" ht="15">
      <c r="A40" s="12" t="s">
        <v>45</v>
      </c>
      <c r="B40" s="12"/>
    </row>
    <row r="41" spans="1:5" ht="14.25">
      <c r="A41" s="14"/>
      <c r="B41" s="15" t="s">
        <v>46</v>
      </c>
    </row>
    <row r="42" spans="1:5" ht="15">
      <c r="A42" s="16" t="s">
        <v>47</v>
      </c>
      <c r="B42" s="16" t="s">
        <v>48</v>
      </c>
      <c r="C42" s="16" t="s">
        <v>49</v>
      </c>
      <c r="D42" s="16" t="s">
        <v>50</v>
      </c>
      <c r="E42" s="16" t="s">
        <v>51</v>
      </c>
    </row>
    <row r="43" spans="1:5">
      <c r="A43" s="13" t="s">
        <v>343</v>
      </c>
      <c r="B43" s="5" t="s">
        <v>52</v>
      </c>
      <c r="C43" s="5" t="s">
        <v>96</v>
      </c>
      <c r="D43" s="5" t="s">
        <v>164</v>
      </c>
      <c r="E43" s="17" t="s">
        <v>366</v>
      </c>
    </row>
    <row r="44" spans="1:5">
      <c r="A44" s="13" t="s">
        <v>134</v>
      </c>
      <c r="B44" s="5" t="s">
        <v>52</v>
      </c>
      <c r="C44" s="5" t="s">
        <v>96</v>
      </c>
      <c r="D44" s="5" t="s">
        <v>350</v>
      </c>
      <c r="E44" s="17" t="s">
        <v>367</v>
      </c>
    </row>
    <row r="46" spans="1:5" ht="14.25">
      <c r="A46" s="14"/>
      <c r="B46" s="15" t="s">
        <v>56</v>
      </c>
    </row>
    <row r="47" spans="1:5" ht="15">
      <c r="A47" s="16" t="s">
        <v>47</v>
      </c>
      <c r="B47" s="16" t="s">
        <v>48</v>
      </c>
      <c r="C47" s="16" t="s">
        <v>49</v>
      </c>
      <c r="D47" s="16" t="s">
        <v>50</v>
      </c>
      <c r="E47" s="16" t="s">
        <v>51</v>
      </c>
    </row>
    <row r="48" spans="1:5">
      <c r="A48" s="13" t="s">
        <v>359</v>
      </c>
      <c r="B48" s="5" t="s">
        <v>56</v>
      </c>
      <c r="C48" s="5" t="s">
        <v>53</v>
      </c>
      <c r="D48" s="5" t="s">
        <v>184</v>
      </c>
      <c r="E48" s="17" t="s">
        <v>372</v>
      </c>
    </row>
    <row r="49" spans="1:5">
      <c r="A49" s="13" t="s">
        <v>354</v>
      </c>
      <c r="B49" s="5" t="s">
        <v>56</v>
      </c>
      <c r="C49" s="5" t="s">
        <v>53</v>
      </c>
      <c r="D49" s="5" t="s">
        <v>263</v>
      </c>
      <c r="E49" s="17" t="s">
        <v>368</v>
      </c>
    </row>
    <row r="50" spans="1:5">
      <c r="A50" s="13" t="s">
        <v>306</v>
      </c>
      <c r="B50" s="5" t="s">
        <v>56</v>
      </c>
      <c r="C50" s="5" t="s">
        <v>138</v>
      </c>
      <c r="D50" s="5" t="s">
        <v>274</v>
      </c>
      <c r="E50" s="17" t="s">
        <v>369</v>
      </c>
    </row>
    <row r="51" spans="1:5">
      <c r="A51" s="13" t="s">
        <v>113</v>
      </c>
      <c r="B51" s="5" t="s">
        <v>56</v>
      </c>
      <c r="C51" s="5" t="s">
        <v>210</v>
      </c>
      <c r="D51" s="5" t="s">
        <v>133</v>
      </c>
      <c r="E51" s="17" t="s">
        <v>370</v>
      </c>
    </row>
    <row r="53" spans="1:5" ht="14.25">
      <c r="A53" s="14"/>
      <c r="B53" s="15" t="s">
        <v>82</v>
      </c>
    </row>
    <row r="54" spans="1:5" ht="15">
      <c r="A54" s="16" t="s">
        <v>47</v>
      </c>
      <c r="B54" s="16" t="s">
        <v>48</v>
      </c>
      <c r="C54" s="16" t="s">
        <v>49</v>
      </c>
      <c r="D54" s="16" t="s">
        <v>50</v>
      </c>
      <c r="E54" s="16" t="s">
        <v>51</v>
      </c>
    </row>
    <row r="55" spans="1:5">
      <c r="A55" s="13" t="s">
        <v>359</v>
      </c>
      <c r="B55" s="5" t="s">
        <v>371</v>
      </c>
      <c r="C55" s="5" t="s">
        <v>53</v>
      </c>
      <c r="D55" s="5" t="s">
        <v>184</v>
      </c>
      <c r="E55" s="17" t="s">
        <v>372</v>
      </c>
    </row>
    <row r="60" spans="1:5" ht="18">
      <c r="A60" s="11" t="s">
        <v>61</v>
      </c>
      <c r="B60" s="11"/>
    </row>
    <row r="61" spans="1:5" ht="15">
      <c r="A61" s="16" t="s">
        <v>62</v>
      </c>
      <c r="B61" s="16" t="s">
        <v>63</v>
      </c>
      <c r="C61" s="16" t="s">
        <v>64</v>
      </c>
    </row>
    <row r="62" spans="1:5">
      <c r="A62" s="5" t="s">
        <v>117</v>
      </c>
      <c r="B62" s="5" t="s">
        <v>373</v>
      </c>
      <c r="C62" s="5" t="s">
        <v>374</v>
      </c>
    </row>
    <row r="63" spans="1:5">
      <c r="A63" s="5" t="s">
        <v>16</v>
      </c>
      <c r="B63" s="5" t="s">
        <v>65</v>
      </c>
      <c r="C63" s="5" t="s">
        <v>376</v>
      </c>
    </row>
    <row r="64" spans="1:5">
      <c r="A64" s="5" t="s">
        <v>347</v>
      </c>
      <c r="B64" s="5" t="s">
        <v>65</v>
      </c>
      <c r="C64" s="5" t="s">
        <v>377</v>
      </c>
    </row>
  </sheetData>
  <mergeCells count="17">
    <mergeCell ref="A15:L15"/>
    <mergeCell ref="A18:L18"/>
    <mergeCell ref="A22:L22"/>
    <mergeCell ref="K3:K4"/>
    <mergeCell ref="L3:L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5"/>
  <sheetViews>
    <sheetView tabSelected="1" workbookViewId="0">
      <selection activeCell="A6" sqref="A6"/>
    </sheetView>
  </sheetViews>
  <sheetFormatPr defaultRowHeight="12.75"/>
  <cols>
    <col min="1" max="1" width="31.85546875" style="5" bestFit="1" customWidth="1"/>
    <col min="2" max="2" width="28.42578125" style="5" bestFit="1" customWidth="1"/>
    <col min="3" max="3" width="124.7109375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2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53"/>
    </row>
    <row r="6" spans="1:13">
      <c r="A6" s="6" t="s">
        <v>91</v>
      </c>
      <c r="B6" s="6" t="s">
        <v>92</v>
      </c>
      <c r="C6" s="6" t="s">
        <v>93</v>
      </c>
      <c r="D6" s="6" t="str">
        <f>"0,7362"</f>
        <v>0,7362</v>
      </c>
      <c r="E6" s="6" t="s">
        <v>78</v>
      </c>
      <c r="F6" s="6" t="s">
        <v>94</v>
      </c>
      <c r="G6" s="8" t="s">
        <v>138</v>
      </c>
      <c r="H6" s="8" t="s">
        <v>193</v>
      </c>
      <c r="I6" s="8" t="s">
        <v>175</v>
      </c>
      <c r="J6" s="7"/>
      <c r="K6" s="6" t="str">
        <f>"145,0"</f>
        <v>145,0</v>
      </c>
      <c r="L6" s="44" t="str">
        <f>"106,7418"</f>
        <v>106,7418</v>
      </c>
      <c r="M6" s="43" t="s">
        <v>21</v>
      </c>
    </row>
    <row r="8" spans="1:13" ht="15">
      <c r="A8" s="65" t="s">
        <v>112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3"/>
    </row>
    <row r="9" spans="1:13">
      <c r="A9" s="6" t="s">
        <v>240</v>
      </c>
      <c r="B9" s="6" t="s">
        <v>241</v>
      </c>
      <c r="C9" s="6" t="s">
        <v>242</v>
      </c>
      <c r="D9" s="6" t="str">
        <f>"0,7514"</f>
        <v>0,7514</v>
      </c>
      <c r="E9" s="6" t="s">
        <v>27</v>
      </c>
      <c r="F9" s="6" t="s">
        <v>28</v>
      </c>
      <c r="G9" s="8" t="s">
        <v>243</v>
      </c>
      <c r="H9" s="8" t="s">
        <v>244</v>
      </c>
      <c r="I9" s="7" t="s">
        <v>19</v>
      </c>
      <c r="J9" s="7"/>
      <c r="K9" s="6" t="str">
        <f>"167,5"</f>
        <v>167,5</v>
      </c>
      <c r="L9" s="44" t="str">
        <f>"129,6353"</f>
        <v>129,6353</v>
      </c>
      <c r="M9" s="43" t="s">
        <v>21</v>
      </c>
    </row>
    <row r="11" spans="1:13" ht="15">
      <c r="A11" s="65" t="s">
        <v>89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3"/>
    </row>
    <row r="12" spans="1:13">
      <c r="A12" s="18" t="s">
        <v>246</v>
      </c>
      <c r="B12" s="18" t="s">
        <v>247</v>
      </c>
      <c r="C12" s="18" t="s">
        <v>248</v>
      </c>
      <c r="D12" s="18" t="str">
        <f>"0,7031"</f>
        <v>0,7031</v>
      </c>
      <c r="E12" s="18" t="s">
        <v>27</v>
      </c>
      <c r="F12" s="18" t="s">
        <v>28</v>
      </c>
      <c r="G12" s="20" t="s">
        <v>249</v>
      </c>
      <c r="H12" s="19" t="s">
        <v>79</v>
      </c>
      <c r="I12" s="20" t="s">
        <v>250</v>
      </c>
      <c r="J12" s="19"/>
      <c r="K12" s="18" t="str">
        <f>"200,0"</f>
        <v>200,0</v>
      </c>
      <c r="L12" s="45" t="str">
        <f>"149,0572"</f>
        <v>149,0572</v>
      </c>
      <c r="M12" s="43" t="s">
        <v>21</v>
      </c>
    </row>
    <row r="13" spans="1:13">
      <c r="A13" s="21" t="s">
        <v>246</v>
      </c>
      <c r="B13" s="21" t="s">
        <v>251</v>
      </c>
      <c r="C13" s="21" t="s">
        <v>248</v>
      </c>
      <c r="D13" s="21" t="str">
        <f>"0,7031"</f>
        <v>0,7031</v>
      </c>
      <c r="E13" s="21" t="s">
        <v>27</v>
      </c>
      <c r="F13" s="21" t="s">
        <v>28</v>
      </c>
      <c r="G13" s="23" t="s">
        <v>249</v>
      </c>
      <c r="H13" s="22" t="s">
        <v>79</v>
      </c>
      <c r="I13" s="23" t="s">
        <v>250</v>
      </c>
      <c r="J13" s="22"/>
      <c r="K13" s="21" t="str">
        <f>"200,0"</f>
        <v>200,0</v>
      </c>
      <c r="L13" s="42" t="str">
        <f>"140,6200"</f>
        <v>140,6200</v>
      </c>
      <c r="M13" s="43" t="s">
        <v>21</v>
      </c>
    </row>
    <row r="15" spans="1:13" ht="15">
      <c r="A15" s="65" t="s">
        <v>11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3"/>
    </row>
    <row r="16" spans="1:13">
      <c r="A16" s="18" t="s">
        <v>253</v>
      </c>
      <c r="B16" s="18" t="s">
        <v>254</v>
      </c>
      <c r="C16" s="18" t="s">
        <v>255</v>
      </c>
      <c r="D16" s="18" t="str">
        <f>"0,6301"</f>
        <v>0,6301</v>
      </c>
      <c r="E16" s="18" t="s">
        <v>27</v>
      </c>
      <c r="F16" s="18" t="s">
        <v>256</v>
      </c>
      <c r="G16" s="20" t="s">
        <v>257</v>
      </c>
      <c r="H16" s="19" t="s">
        <v>258</v>
      </c>
      <c r="I16" s="19" t="s">
        <v>258</v>
      </c>
      <c r="J16" s="19"/>
      <c r="K16" s="18" t="str">
        <f>"187,5"</f>
        <v>187,5</v>
      </c>
      <c r="L16" s="45" t="str">
        <f>"122,8695"</f>
        <v>122,8695</v>
      </c>
      <c r="M16" s="43" t="s">
        <v>21</v>
      </c>
    </row>
    <row r="17" spans="1:13">
      <c r="A17" s="24" t="s">
        <v>260</v>
      </c>
      <c r="B17" s="24" t="s">
        <v>261</v>
      </c>
      <c r="C17" s="24" t="s">
        <v>262</v>
      </c>
      <c r="D17" s="24" t="str">
        <f>"0,6193"</f>
        <v>0,6193</v>
      </c>
      <c r="E17" s="24" t="s">
        <v>78</v>
      </c>
      <c r="F17" s="24" t="s">
        <v>28</v>
      </c>
      <c r="G17" s="26" t="s">
        <v>263</v>
      </c>
      <c r="H17" s="26" t="s">
        <v>258</v>
      </c>
      <c r="I17" s="26" t="s">
        <v>264</v>
      </c>
      <c r="J17" s="25"/>
      <c r="K17" s="24" t="str">
        <f>"225,0"</f>
        <v>225,0</v>
      </c>
      <c r="L17" s="46" t="str">
        <f>"139,3425"</f>
        <v>139,3425</v>
      </c>
      <c r="M17" s="43" t="s">
        <v>21</v>
      </c>
    </row>
    <row r="18" spans="1:13">
      <c r="A18" s="21" t="s">
        <v>266</v>
      </c>
      <c r="B18" s="21" t="s">
        <v>267</v>
      </c>
      <c r="C18" s="21" t="s">
        <v>268</v>
      </c>
      <c r="D18" s="21" t="str">
        <f>"0,6335"</f>
        <v>0,6335</v>
      </c>
      <c r="E18" s="21" t="s">
        <v>16</v>
      </c>
      <c r="F18" s="21" t="s">
        <v>269</v>
      </c>
      <c r="G18" s="23" t="s">
        <v>38</v>
      </c>
      <c r="H18" s="23" t="s">
        <v>79</v>
      </c>
      <c r="I18" s="23" t="s">
        <v>263</v>
      </c>
      <c r="J18" s="22"/>
      <c r="K18" s="21" t="str">
        <f>"210,0"</f>
        <v>210,0</v>
      </c>
      <c r="L18" s="42" t="str">
        <f>"133,0350"</f>
        <v>133,0350</v>
      </c>
      <c r="M18" s="43" t="s">
        <v>21</v>
      </c>
    </row>
    <row r="20" spans="1:13" ht="15">
      <c r="A20" s="65" t="s">
        <v>159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3"/>
    </row>
    <row r="21" spans="1:13">
      <c r="A21" s="18" t="s">
        <v>271</v>
      </c>
      <c r="B21" s="18" t="s">
        <v>272</v>
      </c>
      <c r="C21" s="18" t="s">
        <v>273</v>
      </c>
      <c r="D21" s="18" t="str">
        <f>"0,5978"</f>
        <v>0,5978</v>
      </c>
      <c r="E21" s="18" t="s">
        <v>78</v>
      </c>
      <c r="F21" s="18" t="s">
        <v>28</v>
      </c>
      <c r="G21" s="20" t="s">
        <v>38</v>
      </c>
      <c r="H21" s="20" t="s">
        <v>274</v>
      </c>
      <c r="I21" s="20" t="s">
        <v>275</v>
      </c>
      <c r="J21" s="19"/>
      <c r="K21" s="18" t="str">
        <f>"202,5"</f>
        <v>202,5</v>
      </c>
      <c r="L21" s="45" t="str">
        <f>"121,0545"</f>
        <v>121,0545</v>
      </c>
      <c r="M21" s="43" t="s">
        <v>21</v>
      </c>
    </row>
    <row r="22" spans="1:13">
      <c r="A22" s="21" t="s">
        <v>277</v>
      </c>
      <c r="B22" s="21" t="s">
        <v>278</v>
      </c>
      <c r="C22" s="21" t="s">
        <v>279</v>
      </c>
      <c r="D22" s="21" t="str">
        <f>"0,5857"</f>
        <v>0,5857</v>
      </c>
      <c r="E22" s="21" t="s">
        <v>37</v>
      </c>
      <c r="F22" s="21" t="s">
        <v>28</v>
      </c>
      <c r="G22" s="23" t="s">
        <v>280</v>
      </c>
      <c r="H22" s="23" t="s">
        <v>274</v>
      </c>
      <c r="I22" s="22" t="s">
        <v>281</v>
      </c>
      <c r="J22" s="22"/>
      <c r="K22" s="21" t="str">
        <f>"197,5"</f>
        <v>197,5</v>
      </c>
      <c r="L22" s="42" t="str">
        <f>"115,6757"</f>
        <v>115,6757</v>
      </c>
      <c r="M22" s="43" t="s">
        <v>21</v>
      </c>
    </row>
    <row r="24" spans="1:13" ht="15">
      <c r="A24" s="65" t="s">
        <v>22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3"/>
    </row>
    <row r="25" spans="1:13">
      <c r="A25" s="18" t="s">
        <v>282</v>
      </c>
      <c r="B25" s="18" t="s">
        <v>187</v>
      </c>
      <c r="C25" s="18" t="s">
        <v>188</v>
      </c>
      <c r="D25" s="18" t="str">
        <f>"0,5634"</f>
        <v>0,5634</v>
      </c>
      <c r="E25" s="18" t="s">
        <v>27</v>
      </c>
      <c r="F25" s="18" t="s">
        <v>28</v>
      </c>
      <c r="G25" s="20" t="s">
        <v>283</v>
      </c>
      <c r="H25" s="20" t="s">
        <v>284</v>
      </c>
      <c r="I25" s="19" t="s">
        <v>285</v>
      </c>
      <c r="J25" s="19"/>
      <c r="K25" s="18" t="str">
        <f>"235,0"</f>
        <v>235,0</v>
      </c>
      <c r="L25" s="45" t="str">
        <f>"132,4107"</f>
        <v>132,4107</v>
      </c>
      <c r="M25" s="43" t="s">
        <v>21</v>
      </c>
    </row>
    <row r="26" spans="1:13">
      <c r="A26" s="21" t="s">
        <v>287</v>
      </c>
      <c r="B26" s="21" t="s">
        <v>288</v>
      </c>
      <c r="C26" s="21" t="s">
        <v>289</v>
      </c>
      <c r="D26" s="21" t="str">
        <f>"0,5710"</f>
        <v>0,5710</v>
      </c>
      <c r="E26" s="21" t="s">
        <v>27</v>
      </c>
      <c r="F26" s="21" t="s">
        <v>28</v>
      </c>
      <c r="G26" s="23" t="s">
        <v>290</v>
      </c>
      <c r="H26" s="23" t="s">
        <v>175</v>
      </c>
      <c r="I26" s="23" t="s">
        <v>291</v>
      </c>
      <c r="J26" s="22"/>
      <c r="K26" s="21" t="str">
        <f>"165,0"</f>
        <v>165,0</v>
      </c>
      <c r="L26" s="42" t="str">
        <f>"94,2150"</f>
        <v>94,2150</v>
      </c>
      <c r="M26" s="43" t="s">
        <v>21</v>
      </c>
    </row>
    <row r="28" spans="1:13" ht="15">
      <c r="A28" s="65" t="s">
        <v>32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3"/>
    </row>
    <row r="29" spans="1:13">
      <c r="A29" s="6" t="s">
        <v>293</v>
      </c>
      <c r="B29" s="6" t="s">
        <v>294</v>
      </c>
      <c r="C29" s="6" t="s">
        <v>295</v>
      </c>
      <c r="D29" s="6" t="str">
        <f>"0,5517"</f>
        <v>0,5517</v>
      </c>
      <c r="E29" s="6" t="s">
        <v>27</v>
      </c>
      <c r="F29" s="6" t="s">
        <v>296</v>
      </c>
      <c r="G29" s="8" t="s">
        <v>297</v>
      </c>
      <c r="H29" s="7" t="s">
        <v>298</v>
      </c>
      <c r="I29" s="8" t="s">
        <v>299</v>
      </c>
      <c r="J29" s="7"/>
      <c r="K29" s="6" t="str">
        <f>"270,0"</f>
        <v>270,0</v>
      </c>
      <c r="L29" s="44" t="str">
        <f>"148,9590"</f>
        <v>148,9590</v>
      </c>
      <c r="M29" s="43" t="s">
        <v>21</v>
      </c>
    </row>
    <row r="31" spans="1:13" ht="15">
      <c r="A31" s="65" t="s">
        <v>300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3"/>
    </row>
    <row r="32" spans="1:13">
      <c r="A32" s="18" t="s">
        <v>302</v>
      </c>
      <c r="B32" s="18" t="s">
        <v>303</v>
      </c>
      <c r="C32" s="18" t="s">
        <v>304</v>
      </c>
      <c r="D32" s="18" t="str">
        <f>"0,5314"</f>
        <v>0,5314</v>
      </c>
      <c r="E32" s="18" t="s">
        <v>27</v>
      </c>
      <c r="F32" s="18" t="s">
        <v>94</v>
      </c>
      <c r="G32" s="20" t="s">
        <v>297</v>
      </c>
      <c r="H32" s="20" t="s">
        <v>305</v>
      </c>
      <c r="I32" s="19"/>
      <c r="J32" s="19"/>
      <c r="K32" s="18" t="str">
        <f>"260,0"</f>
        <v>260,0</v>
      </c>
      <c r="L32" s="45" t="str">
        <f>"138,1640"</f>
        <v>138,1640</v>
      </c>
      <c r="M32" s="43" t="s">
        <v>21</v>
      </c>
    </row>
    <row r="33" spans="1:13">
      <c r="A33" s="21" t="s">
        <v>307</v>
      </c>
      <c r="B33" s="21" t="s">
        <v>308</v>
      </c>
      <c r="C33" s="21" t="s">
        <v>309</v>
      </c>
      <c r="D33" s="21" t="str">
        <f>"0,5232"</f>
        <v>0,5232</v>
      </c>
      <c r="E33" s="21" t="s">
        <v>117</v>
      </c>
      <c r="F33" s="21" t="s">
        <v>118</v>
      </c>
      <c r="G33" s="23" t="s">
        <v>310</v>
      </c>
      <c r="H33" s="23" t="s">
        <v>311</v>
      </c>
      <c r="I33" s="23" t="s">
        <v>80</v>
      </c>
      <c r="J33" s="22"/>
      <c r="K33" s="21" t="str">
        <f>"230,0"</f>
        <v>230,0</v>
      </c>
      <c r="L33" s="42" t="str">
        <f>"120,3360"</f>
        <v>120,3360</v>
      </c>
      <c r="M33" s="43" t="s">
        <v>21</v>
      </c>
    </row>
    <row r="35" spans="1:13" ht="15">
      <c r="E35" s="10" t="s">
        <v>39</v>
      </c>
      <c r="F35" s="27" t="s">
        <v>379</v>
      </c>
    </row>
    <row r="36" spans="1:13" ht="15">
      <c r="E36" s="10" t="s">
        <v>40</v>
      </c>
      <c r="F36" s="27" t="s">
        <v>384</v>
      </c>
    </row>
    <row r="37" spans="1:13" ht="15">
      <c r="E37" s="10" t="s">
        <v>41</v>
      </c>
      <c r="F37" s="27" t="s">
        <v>381</v>
      </c>
    </row>
    <row r="38" spans="1:13" ht="15">
      <c r="E38" s="10" t="s">
        <v>42</v>
      </c>
      <c r="F38" s="27" t="s">
        <v>382</v>
      </c>
    </row>
    <row r="39" spans="1:13" ht="15">
      <c r="E39" s="10" t="s">
        <v>42</v>
      </c>
      <c r="F39" s="27" t="s">
        <v>383</v>
      </c>
    </row>
    <row r="40" spans="1:13" ht="15">
      <c r="E40" s="10" t="s">
        <v>43</v>
      </c>
      <c r="F40" s="27" t="s">
        <v>380</v>
      </c>
    </row>
    <row r="44" spans="1:13" ht="15">
      <c r="E44" s="10"/>
    </row>
    <row r="46" spans="1:13" ht="18">
      <c r="A46" s="11" t="s">
        <v>44</v>
      </c>
      <c r="B46" s="11"/>
    </row>
    <row r="47" spans="1:13" ht="15">
      <c r="A47" s="12" t="s">
        <v>81</v>
      </c>
      <c r="B47" s="12"/>
    </row>
    <row r="48" spans="1:13" ht="14.25">
      <c r="A48" s="14"/>
      <c r="B48" s="15" t="s">
        <v>56</v>
      </c>
    </row>
    <row r="49" spans="1:5" ht="15">
      <c r="A49" s="16" t="s">
        <v>47</v>
      </c>
      <c r="B49" s="16" t="s">
        <v>48</v>
      </c>
      <c r="C49" s="16" t="s">
        <v>49</v>
      </c>
      <c r="D49" s="16" t="s">
        <v>50</v>
      </c>
      <c r="E49" s="16" t="s">
        <v>51</v>
      </c>
    </row>
    <row r="50" spans="1:5">
      <c r="A50" s="13" t="s">
        <v>90</v>
      </c>
      <c r="B50" s="5" t="s">
        <v>56</v>
      </c>
      <c r="C50" s="5" t="s">
        <v>96</v>
      </c>
      <c r="D50" s="5" t="s">
        <v>175</v>
      </c>
      <c r="E50" s="17" t="s">
        <v>312</v>
      </c>
    </row>
    <row r="51" spans="1:5">
      <c r="A51" s="13"/>
      <c r="E51" s="17"/>
    </row>
    <row r="53" spans="1:5" ht="15">
      <c r="A53" s="12" t="s">
        <v>45</v>
      </c>
      <c r="B53" s="12"/>
    </row>
    <row r="54" spans="1:5" ht="14.25">
      <c r="A54" s="14"/>
      <c r="B54" s="15" t="s">
        <v>204</v>
      </c>
    </row>
    <row r="55" spans="1:5" ht="15">
      <c r="A55" s="16" t="s">
        <v>47</v>
      </c>
      <c r="B55" s="16" t="s">
        <v>48</v>
      </c>
      <c r="C55" s="16" t="s">
        <v>49</v>
      </c>
      <c r="D55" s="16" t="s">
        <v>50</v>
      </c>
      <c r="E55" s="16" t="s">
        <v>51</v>
      </c>
    </row>
    <row r="56" spans="1:5">
      <c r="A56" s="13" t="s">
        <v>245</v>
      </c>
      <c r="B56" s="5" t="s">
        <v>205</v>
      </c>
      <c r="C56" s="5" t="s">
        <v>96</v>
      </c>
      <c r="D56" s="5" t="s">
        <v>79</v>
      </c>
      <c r="E56" s="17" t="s">
        <v>313</v>
      </c>
    </row>
    <row r="57" spans="1:5">
      <c r="A57" s="13" t="s">
        <v>252</v>
      </c>
      <c r="B57" s="5" t="s">
        <v>205</v>
      </c>
      <c r="C57" s="5" t="s">
        <v>57</v>
      </c>
      <c r="D57" s="5" t="s">
        <v>314</v>
      </c>
      <c r="E57" s="17" t="s">
        <v>315</v>
      </c>
    </row>
    <row r="59" spans="1:5" ht="14.25">
      <c r="A59" s="14"/>
      <c r="B59" s="15" t="s">
        <v>46</v>
      </c>
    </row>
    <row r="60" spans="1:5" ht="15">
      <c r="A60" s="16" t="s">
        <v>47</v>
      </c>
      <c r="B60" s="16" t="s">
        <v>48</v>
      </c>
      <c r="C60" s="16" t="s">
        <v>49</v>
      </c>
      <c r="D60" s="16" t="s">
        <v>50</v>
      </c>
      <c r="E60" s="16" t="s">
        <v>51</v>
      </c>
    </row>
    <row r="61" spans="1:5">
      <c r="A61" s="13" t="s">
        <v>239</v>
      </c>
      <c r="B61" s="5" t="s">
        <v>52</v>
      </c>
      <c r="C61" s="5" t="s">
        <v>210</v>
      </c>
      <c r="D61" s="5" t="s">
        <v>316</v>
      </c>
      <c r="E61" s="17" t="s">
        <v>317</v>
      </c>
    </row>
    <row r="63" spans="1:5" ht="14.25">
      <c r="A63" s="14"/>
      <c r="B63" s="15" t="s">
        <v>56</v>
      </c>
    </row>
    <row r="64" spans="1:5" ht="15">
      <c r="A64" s="16" t="s">
        <v>47</v>
      </c>
      <c r="B64" s="16" t="s">
        <v>48</v>
      </c>
      <c r="C64" s="16" t="s">
        <v>49</v>
      </c>
      <c r="D64" s="16" t="s">
        <v>50</v>
      </c>
      <c r="E64" s="16" t="s">
        <v>51</v>
      </c>
    </row>
    <row r="65" spans="1:5">
      <c r="A65" s="13" t="s">
        <v>292</v>
      </c>
      <c r="B65" s="5" t="s">
        <v>56</v>
      </c>
      <c r="C65" s="5" t="s">
        <v>59</v>
      </c>
      <c r="D65" s="5" t="s">
        <v>298</v>
      </c>
      <c r="E65" s="17" t="s">
        <v>318</v>
      </c>
    </row>
    <row r="66" spans="1:5">
      <c r="A66" s="13" t="s">
        <v>245</v>
      </c>
      <c r="B66" s="5" t="s">
        <v>56</v>
      </c>
      <c r="C66" s="5" t="s">
        <v>96</v>
      </c>
      <c r="D66" s="5" t="s">
        <v>79</v>
      </c>
      <c r="E66" s="17" t="s">
        <v>319</v>
      </c>
    </row>
    <row r="67" spans="1:5">
      <c r="A67" s="13" t="s">
        <v>259</v>
      </c>
      <c r="B67" s="5" t="s">
        <v>56</v>
      </c>
      <c r="C67" s="5" t="s">
        <v>57</v>
      </c>
      <c r="D67" s="5" t="s">
        <v>264</v>
      </c>
      <c r="E67" s="17" t="s">
        <v>320</v>
      </c>
    </row>
    <row r="68" spans="1:5">
      <c r="A68" s="13" t="s">
        <v>301</v>
      </c>
      <c r="B68" s="5" t="s">
        <v>56</v>
      </c>
      <c r="C68" s="5" t="s">
        <v>138</v>
      </c>
      <c r="D68" s="5" t="s">
        <v>321</v>
      </c>
      <c r="E68" s="17" t="s">
        <v>322</v>
      </c>
    </row>
    <row r="69" spans="1:5">
      <c r="A69" s="13" t="s">
        <v>265</v>
      </c>
      <c r="B69" s="5" t="s">
        <v>56</v>
      </c>
      <c r="C69" s="5" t="s">
        <v>57</v>
      </c>
      <c r="D69" s="5" t="s">
        <v>263</v>
      </c>
      <c r="E69" s="17" t="s">
        <v>323</v>
      </c>
    </row>
    <row r="70" spans="1:5">
      <c r="A70" s="13" t="s">
        <v>185</v>
      </c>
      <c r="B70" s="5" t="s">
        <v>56</v>
      </c>
      <c r="C70" s="5" t="s">
        <v>53</v>
      </c>
      <c r="D70" s="5" t="s">
        <v>324</v>
      </c>
      <c r="E70" s="17" t="s">
        <v>325</v>
      </c>
    </row>
    <row r="71" spans="1:5">
      <c r="A71" s="13" t="s">
        <v>270</v>
      </c>
      <c r="B71" s="5" t="s">
        <v>56</v>
      </c>
      <c r="C71" s="5" t="s">
        <v>119</v>
      </c>
      <c r="D71" s="5" t="s">
        <v>275</v>
      </c>
      <c r="E71" s="17" t="s">
        <v>326</v>
      </c>
    </row>
    <row r="72" spans="1:5">
      <c r="A72" s="13" t="s">
        <v>306</v>
      </c>
      <c r="B72" s="5" t="s">
        <v>56</v>
      </c>
      <c r="C72" s="5" t="s">
        <v>138</v>
      </c>
      <c r="D72" s="5" t="s">
        <v>80</v>
      </c>
      <c r="E72" s="17" t="s">
        <v>327</v>
      </c>
    </row>
    <row r="73" spans="1:5">
      <c r="A73" s="13" t="s">
        <v>276</v>
      </c>
      <c r="B73" s="5" t="s">
        <v>56</v>
      </c>
      <c r="C73" s="5" t="s">
        <v>119</v>
      </c>
      <c r="D73" s="5" t="s">
        <v>274</v>
      </c>
      <c r="E73" s="17" t="s">
        <v>328</v>
      </c>
    </row>
    <row r="74" spans="1:5">
      <c r="A74" s="13" t="s">
        <v>286</v>
      </c>
      <c r="B74" s="5" t="s">
        <v>56</v>
      </c>
      <c r="C74" s="5" t="s">
        <v>53</v>
      </c>
      <c r="D74" s="5" t="s">
        <v>184</v>
      </c>
      <c r="E74" s="17" t="s">
        <v>329</v>
      </c>
    </row>
    <row r="79" spans="1:5" ht="18">
      <c r="A79" s="11" t="s">
        <v>61</v>
      </c>
      <c r="B79" s="11"/>
    </row>
    <row r="80" spans="1:5" ht="15">
      <c r="A80" s="16" t="s">
        <v>62</v>
      </c>
      <c r="B80" s="16" t="s">
        <v>63</v>
      </c>
      <c r="C80" s="16" t="s">
        <v>64</v>
      </c>
    </row>
    <row r="81" spans="1:3">
      <c r="A81" s="5" t="s">
        <v>27</v>
      </c>
      <c r="B81" s="5" t="s">
        <v>330</v>
      </c>
      <c r="C81" s="5" t="s">
        <v>331</v>
      </c>
    </row>
    <row r="82" spans="1:3">
      <c r="A82" s="5" t="s">
        <v>78</v>
      </c>
      <c r="B82" s="5" t="s">
        <v>332</v>
      </c>
      <c r="C82" s="5" t="s">
        <v>333</v>
      </c>
    </row>
    <row r="83" spans="1:3">
      <c r="A83" s="5" t="s">
        <v>16</v>
      </c>
      <c r="B83" s="5" t="s">
        <v>334</v>
      </c>
      <c r="C83" s="5" t="s">
        <v>335</v>
      </c>
    </row>
    <row r="84" spans="1:3">
      <c r="A84" s="5" t="s">
        <v>37</v>
      </c>
      <c r="B84" s="5" t="s">
        <v>334</v>
      </c>
      <c r="C84" s="5" t="s">
        <v>336</v>
      </c>
    </row>
    <row r="85" spans="1:3">
      <c r="A85" s="5" t="s">
        <v>117</v>
      </c>
      <c r="B85" s="5" t="s">
        <v>334</v>
      </c>
      <c r="C85" s="5" t="s">
        <v>337</v>
      </c>
    </row>
  </sheetData>
  <mergeCells count="19">
    <mergeCell ref="A31:M3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A5:M5"/>
    <mergeCell ref="A28:M28"/>
    <mergeCell ref="A24:M24"/>
    <mergeCell ref="A20:M20"/>
    <mergeCell ref="A15:M15"/>
    <mergeCell ref="A11:M11"/>
    <mergeCell ref="A8:M8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4"/>
  <sheetViews>
    <sheetView topLeftCell="A3" workbookViewId="0">
      <selection activeCell="A14" sqref="A14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124.28515625" style="5" bestFit="1" customWidth="1"/>
    <col min="4" max="4" width="9.28515625" style="5" bestFit="1" customWidth="1"/>
    <col min="5" max="5" width="22.7109375" style="5" bestFit="1" customWidth="1"/>
    <col min="6" max="6" width="34.42578125" style="5" bestFit="1" customWidth="1"/>
    <col min="7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89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6" t="s">
        <v>91</v>
      </c>
      <c r="B6" s="6" t="s">
        <v>92</v>
      </c>
      <c r="C6" s="6" t="s">
        <v>93</v>
      </c>
      <c r="D6" s="6" t="str">
        <f>"0,7362"</f>
        <v>0,7362</v>
      </c>
      <c r="E6" s="6" t="s">
        <v>78</v>
      </c>
      <c r="F6" s="6" t="s">
        <v>94</v>
      </c>
      <c r="G6" s="7" t="s">
        <v>95</v>
      </c>
      <c r="H6" s="8" t="s">
        <v>96</v>
      </c>
      <c r="I6" s="8" t="s">
        <v>97</v>
      </c>
      <c r="J6" s="7"/>
      <c r="K6" s="6" t="str">
        <f>"77,5"</f>
        <v>77,5</v>
      </c>
      <c r="L6" s="44" t="str">
        <f>"57,0516"</f>
        <v>57,0516</v>
      </c>
      <c r="M6" s="43" t="s">
        <v>21</v>
      </c>
    </row>
    <row r="7" spans="1:13">
      <c r="G7" s="47"/>
      <c r="H7" s="47"/>
      <c r="I7" s="47"/>
      <c r="J7" s="47"/>
      <c r="M7" s="5" t="s">
        <v>21</v>
      </c>
    </row>
    <row r="8" spans="1:13" ht="15">
      <c r="A8" s="65" t="s">
        <v>102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3"/>
    </row>
    <row r="9" spans="1:13">
      <c r="A9" s="18" t="s">
        <v>104</v>
      </c>
      <c r="B9" s="18" t="s">
        <v>105</v>
      </c>
      <c r="C9" s="18" t="s">
        <v>106</v>
      </c>
      <c r="D9" s="18" t="str">
        <f>"0,8156"</f>
        <v>0,8156</v>
      </c>
      <c r="E9" s="18" t="s">
        <v>27</v>
      </c>
      <c r="F9" s="18" t="s">
        <v>28</v>
      </c>
      <c r="G9" s="20" t="s">
        <v>29</v>
      </c>
      <c r="H9" s="20" t="s">
        <v>73</v>
      </c>
      <c r="I9" s="20" t="s">
        <v>30</v>
      </c>
      <c r="J9" s="19"/>
      <c r="K9" s="18" t="str">
        <f>"117,5"</f>
        <v>117,5</v>
      </c>
      <c r="L9" s="45" t="str">
        <f>"96,7913"</f>
        <v>96,7913</v>
      </c>
      <c r="M9" s="43" t="s">
        <v>21</v>
      </c>
    </row>
    <row r="10" spans="1:13">
      <c r="A10" s="21" t="s">
        <v>108</v>
      </c>
      <c r="B10" s="21" t="s">
        <v>109</v>
      </c>
      <c r="C10" s="21" t="s">
        <v>110</v>
      </c>
      <c r="D10" s="21" t="str">
        <f>"0,8128"</f>
        <v>0,8128</v>
      </c>
      <c r="E10" s="21" t="s">
        <v>27</v>
      </c>
      <c r="F10" s="21" t="s">
        <v>111</v>
      </c>
      <c r="G10" s="23" t="s">
        <v>72</v>
      </c>
      <c r="H10" s="22" t="s">
        <v>59</v>
      </c>
      <c r="I10" s="22" t="s">
        <v>84</v>
      </c>
      <c r="J10" s="22"/>
      <c r="K10" s="21" t="str">
        <f>"105,0"</f>
        <v>105,0</v>
      </c>
      <c r="L10" s="42" t="str">
        <f>"87,9043"</f>
        <v>87,9043</v>
      </c>
      <c r="M10" s="43" t="s">
        <v>21</v>
      </c>
    </row>
    <row r="12" spans="1:13" ht="15">
      <c r="A12" s="65" t="s">
        <v>89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3"/>
    </row>
    <row r="13" spans="1:13">
      <c r="A13" s="24" t="s">
        <v>135</v>
      </c>
      <c r="B13" s="24" t="s">
        <v>136</v>
      </c>
      <c r="C13" s="24" t="s">
        <v>93</v>
      </c>
      <c r="D13" s="24" t="str">
        <f>"0,6789"</f>
        <v>0,6789</v>
      </c>
      <c r="E13" s="24" t="s">
        <v>117</v>
      </c>
      <c r="F13" s="24" t="s">
        <v>118</v>
      </c>
      <c r="G13" s="26" t="s">
        <v>84</v>
      </c>
      <c r="H13" s="26" t="s">
        <v>137</v>
      </c>
      <c r="I13" s="26" t="s">
        <v>138</v>
      </c>
      <c r="J13" s="25"/>
      <c r="K13" s="24" t="str">
        <f>"125,0"</f>
        <v>125,0</v>
      </c>
      <c r="L13" s="46" t="str">
        <f>"85,7111"</f>
        <v>85,7111</v>
      </c>
      <c r="M13" s="43" t="s">
        <v>21</v>
      </c>
    </row>
    <row r="14" spans="1:13">
      <c r="A14" s="24" t="s">
        <v>140</v>
      </c>
      <c r="B14" s="24" t="s">
        <v>141</v>
      </c>
      <c r="C14" s="24" t="s">
        <v>142</v>
      </c>
      <c r="D14" s="24" t="str">
        <f>"0,6708"</f>
        <v>0,6708</v>
      </c>
      <c r="E14" s="24" t="s">
        <v>132</v>
      </c>
      <c r="F14" s="24" t="s">
        <v>17</v>
      </c>
      <c r="G14" s="26" t="s">
        <v>133</v>
      </c>
      <c r="H14" s="26" t="s">
        <v>31</v>
      </c>
      <c r="I14" s="25"/>
      <c r="J14" s="25"/>
      <c r="K14" s="24" t="str">
        <f>"120,0"</f>
        <v>120,0</v>
      </c>
      <c r="L14" s="46" t="str">
        <f>"82,9109"</f>
        <v>82,9109</v>
      </c>
      <c r="M14" s="43" t="s">
        <v>21</v>
      </c>
    </row>
    <row r="15" spans="1:13">
      <c r="A15" s="21" t="s">
        <v>148</v>
      </c>
      <c r="B15" s="21" t="s">
        <v>149</v>
      </c>
      <c r="C15" s="21" t="s">
        <v>93</v>
      </c>
      <c r="D15" s="21" t="str">
        <f>"0,6789"</f>
        <v>0,6789</v>
      </c>
      <c r="E15" s="21" t="s">
        <v>132</v>
      </c>
      <c r="F15" s="21" t="s">
        <v>17</v>
      </c>
      <c r="G15" s="22" t="s">
        <v>53</v>
      </c>
      <c r="H15" s="23" t="s">
        <v>133</v>
      </c>
      <c r="I15" s="22" t="s">
        <v>31</v>
      </c>
      <c r="J15" s="22"/>
      <c r="K15" s="21" t="str">
        <f>"107,5"</f>
        <v>107,5</v>
      </c>
      <c r="L15" s="42" t="str">
        <f>"72,9818"</f>
        <v>72,9818</v>
      </c>
      <c r="M15" s="43" t="s">
        <v>21</v>
      </c>
    </row>
    <row r="17" spans="1:13" ht="15">
      <c r="A17" s="63" t="s">
        <v>11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3">
      <c r="A18" s="6" t="s">
        <v>151</v>
      </c>
      <c r="B18" s="6" t="s">
        <v>152</v>
      </c>
      <c r="C18" s="6" t="s">
        <v>153</v>
      </c>
      <c r="D18" s="6" t="str">
        <f>"0,6219"</f>
        <v>0,6219</v>
      </c>
      <c r="E18" s="6" t="s">
        <v>132</v>
      </c>
      <c r="F18" s="6" t="s">
        <v>17</v>
      </c>
      <c r="G18" s="8" t="s">
        <v>154</v>
      </c>
      <c r="H18" s="7" t="s">
        <v>155</v>
      </c>
      <c r="I18" s="7"/>
      <c r="J18" s="7"/>
      <c r="K18" s="6" t="str">
        <f>"130,0"</f>
        <v>130,0</v>
      </c>
      <c r="L18" s="44" t="str">
        <f>"80,8470"</f>
        <v>80,8470</v>
      </c>
      <c r="M18" s="43" t="s">
        <v>21</v>
      </c>
    </row>
    <row r="19" spans="1:13">
      <c r="H19" s="47"/>
      <c r="I19" s="47"/>
      <c r="J19" s="47"/>
      <c r="M19" s="5" t="s">
        <v>21</v>
      </c>
    </row>
    <row r="20" spans="1:13" ht="15">
      <c r="A20" s="63" t="s">
        <v>159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3">
      <c r="A21" s="6" t="s">
        <v>161</v>
      </c>
      <c r="B21" s="6" t="s">
        <v>162</v>
      </c>
      <c r="C21" s="6" t="s">
        <v>163</v>
      </c>
      <c r="D21" s="6" t="str">
        <f>"0,6045"</f>
        <v>0,6045</v>
      </c>
      <c r="E21" s="6" t="s">
        <v>37</v>
      </c>
      <c r="F21" s="6" t="s">
        <v>28</v>
      </c>
      <c r="G21" s="8" t="s">
        <v>164</v>
      </c>
      <c r="H21" s="8" t="s">
        <v>165</v>
      </c>
      <c r="I21" s="7" t="s">
        <v>19</v>
      </c>
      <c r="J21" s="7"/>
      <c r="K21" s="6" t="str">
        <f>"162,5"</f>
        <v>162,5</v>
      </c>
      <c r="L21" s="8" t="str">
        <f>"101,1782"</f>
        <v>101,1782</v>
      </c>
    </row>
    <row r="22" spans="1:13">
      <c r="A22" s="6" t="s">
        <v>167</v>
      </c>
      <c r="B22" s="6" t="s">
        <v>168</v>
      </c>
      <c r="C22" s="6" t="s">
        <v>169</v>
      </c>
      <c r="D22" s="6" t="str">
        <f>"0,5956"</f>
        <v>0,5956</v>
      </c>
      <c r="E22" s="6" t="s">
        <v>27</v>
      </c>
      <c r="F22" s="6" t="s">
        <v>28</v>
      </c>
      <c r="G22" s="8" t="s">
        <v>170</v>
      </c>
      <c r="H22" s="7" t="s">
        <v>164</v>
      </c>
      <c r="I22" s="7" t="s">
        <v>164</v>
      </c>
      <c r="J22" s="7"/>
      <c r="K22" s="6" t="str">
        <f>"145,0"</f>
        <v>145,0</v>
      </c>
      <c r="L22" s="8" t="str">
        <f>"88,0892"</f>
        <v>88,0892</v>
      </c>
    </row>
    <row r="23" spans="1:13">
      <c r="A23" s="6" t="s">
        <v>172</v>
      </c>
      <c r="B23" s="6" t="s">
        <v>173</v>
      </c>
      <c r="C23" s="6" t="s">
        <v>174</v>
      </c>
      <c r="D23" s="6" t="str">
        <f>"0,5863"</f>
        <v>0,5863</v>
      </c>
      <c r="E23" s="6" t="s">
        <v>37</v>
      </c>
      <c r="F23" s="6" t="s">
        <v>28</v>
      </c>
      <c r="G23" s="8" t="s">
        <v>175</v>
      </c>
      <c r="H23" s="7"/>
      <c r="I23" s="7"/>
      <c r="J23" s="7"/>
      <c r="K23" s="6" t="str">
        <f>"145,0"</f>
        <v>145,0</v>
      </c>
      <c r="L23" s="8" t="str">
        <f>"85,0135"</f>
        <v>85,0135</v>
      </c>
    </row>
    <row r="24" spans="1:13">
      <c r="I24" s="47"/>
      <c r="J24" s="47"/>
    </row>
    <row r="25" spans="1:13" ht="15">
      <c r="A25" s="63" t="s">
        <v>22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3">
      <c r="A26" s="18" t="s">
        <v>177</v>
      </c>
      <c r="B26" s="18" t="s">
        <v>178</v>
      </c>
      <c r="C26" s="18" t="s">
        <v>179</v>
      </c>
      <c r="D26" s="18" t="str">
        <f>"0,5681"</f>
        <v>0,5681</v>
      </c>
      <c r="E26" s="18" t="s">
        <v>37</v>
      </c>
      <c r="F26" s="18" t="s">
        <v>28</v>
      </c>
      <c r="G26" s="20" t="s">
        <v>175</v>
      </c>
      <c r="H26" s="19" t="s">
        <v>164</v>
      </c>
      <c r="I26" s="19" t="s">
        <v>164</v>
      </c>
      <c r="J26" s="19"/>
      <c r="K26" s="18" t="str">
        <f>"145,0"</f>
        <v>145,0</v>
      </c>
      <c r="L26" s="20" t="str">
        <f>"85,6695"</f>
        <v>85,6695</v>
      </c>
    </row>
    <row r="27" spans="1:13">
      <c r="A27" s="24" t="s">
        <v>181</v>
      </c>
      <c r="B27" s="24" t="s">
        <v>182</v>
      </c>
      <c r="C27" s="24" t="s">
        <v>183</v>
      </c>
      <c r="D27" s="24" t="str">
        <f>"0,5666"</f>
        <v>0,5666</v>
      </c>
      <c r="E27" s="24" t="s">
        <v>125</v>
      </c>
      <c r="F27" s="24" t="s">
        <v>28</v>
      </c>
      <c r="G27" s="26" t="s">
        <v>165</v>
      </c>
      <c r="H27" s="26" t="s">
        <v>184</v>
      </c>
      <c r="I27" s="25"/>
      <c r="J27" s="25"/>
      <c r="K27" s="24" t="str">
        <f>"165,0"</f>
        <v>165,0</v>
      </c>
      <c r="L27" s="26" t="str">
        <f>"93,4890"</f>
        <v>93,4890</v>
      </c>
    </row>
    <row r="28" spans="1:13">
      <c r="A28" s="24" t="s">
        <v>186</v>
      </c>
      <c r="B28" s="24" t="s">
        <v>187</v>
      </c>
      <c r="C28" s="24" t="s">
        <v>188</v>
      </c>
      <c r="D28" s="24" t="str">
        <f>"0,5634"</f>
        <v>0,5634</v>
      </c>
      <c r="E28" s="24" t="s">
        <v>27</v>
      </c>
      <c r="F28" s="24" t="s">
        <v>28</v>
      </c>
      <c r="G28" s="26" t="s">
        <v>189</v>
      </c>
      <c r="H28" s="25" t="s">
        <v>165</v>
      </c>
      <c r="I28" s="26" t="s">
        <v>165</v>
      </c>
      <c r="J28" s="25"/>
      <c r="K28" s="24" t="str">
        <f>"162,5"</f>
        <v>162,5</v>
      </c>
      <c r="L28" s="26" t="str">
        <f>"91,5606"</f>
        <v>91,5606</v>
      </c>
    </row>
    <row r="29" spans="1:13">
      <c r="A29" s="21" t="s">
        <v>194</v>
      </c>
      <c r="B29" s="21" t="s">
        <v>195</v>
      </c>
      <c r="C29" s="21" t="s">
        <v>196</v>
      </c>
      <c r="D29" s="21" t="str">
        <f>"0,5575"</f>
        <v>0,5575</v>
      </c>
      <c r="E29" s="21" t="s">
        <v>27</v>
      </c>
      <c r="F29" s="21" t="s">
        <v>28</v>
      </c>
      <c r="G29" s="22" t="s">
        <v>165</v>
      </c>
      <c r="H29" s="22" t="s">
        <v>165</v>
      </c>
      <c r="I29" s="22" t="s">
        <v>165</v>
      </c>
      <c r="J29" s="22"/>
      <c r="K29" s="21" t="str">
        <f>"0,0"</f>
        <v>0,0</v>
      </c>
      <c r="L29" s="23" t="str">
        <f>"0,0000"</f>
        <v>0,0000</v>
      </c>
    </row>
    <row r="30" spans="1:13">
      <c r="M30" s="5" t="s">
        <v>21</v>
      </c>
    </row>
    <row r="31" spans="1:13">
      <c r="M31" s="5" t="s">
        <v>21</v>
      </c>
    </row>
    <row r="32" spans="1:13" ht="15">
      <c r="E32" s="10" t="s">
        <v>39</v>
      </c>
      <c r="F32" s="27" t="s">
        <v>379</v>
      </c>
      <c r="M32" s="5" t="s">
        <v>21</v>
      </c>
    </row>
    <row r="33" spans="1:18" ht="15">
      <c r="E33" s="10" t="s">
        <v>40</v>
      </c>
      <c r="F33" s="27" t="s">
        <v>384</v>
      </c>
      <c r="M33" s="5" t="s">
        <v>21</v>
      </c>
    </row>
    <row r="34" spans="1:18" ht="15">
      <c r="E34" s="10" t="s">
        <v>41</v>
      </c>
      <c r="F34" s="27" t="s">
        <v>381</v>
      </c>
    </row>
    <row r="35" spans="1:18" ht="15">
      <c r="E35" s="10" t="s">
        <v>42</v>
      </c>
      <c r="F35" s="27" t="s">
        <v>382</v>
      </c>
    </row>
    <row r="36" spans="1:18" ht="15">
      <c r="E36" s="10" t="s">
        <v>42</v>
      </c>
      <c r="F36" s="27" t="s">
        <v>383</v>
      </c>
      <c r="M36" s="5" t="s">
        <v>21</v>
      </c>
    </row>
    <row r="37" spans="1:18" ht="15">
      <c r="E37" s="10" t="s">
        <v>43</v>
      </c>
      <c r="F37" s="27" t="s">
        <v>380</v>
      </c>
      <c r="M37" s="5" t="s">
        <v>21</v>
      </c>
      <c r="R37" s="46"/>
    </row>
    <row r="38" spans="1:18">
      <c r="M38" s="5" t="s">
        <v>21</v>
      </c>
    </row>
    <row r="39" spans="1:18" ht="18">
      <c r="A39" s="11" t="s">
        <v>44</v>
      </c>
      <c r="B39" s="11"/>
      <c r="M39" s="5" t="s">
        <v>21</v>
      </c>
    </row>
    <row r="40" spans="1:18" ht="15">
      <c r="A40" s="12" t="s">
        <v>81</v>
      </c>
      <c r="B40" s="12"/>
      <c r="M40" s="5" t="s">
        <v>21</v>
      </c>
    </row>
    <row r="41" spans="1:18" ht="14.25">
      <c r="A41" s="14"/>
      <c r="B41" s="15" t="s">
        <v>56</v>
      </c>
    </row>
    <row r="42" spans="1:18" ht="15">
      <c r="A42" s="16" t="s">
        <v>47</v>
      </c>
      <c r="B42" s="16" t="s">
        <v>48</v>
      </c>
      <c r="C42" s="16" t="s">
        <v>49</v>
      </c>
      <c r="D42" s="16" t="s">
        <v>50</v>
      </c>
      <c r="E42" s="16" t="s">
        <v>51</v>
      </c>
      <c r="F42" s="9"/>
      <c r="G42" s="9"/>
      <c r="H42" s="9"/>
      <c r="I42" s="9"/>
      <c r="J42" s="9"/>
      <c r="K42" s="9"/>
      <c r="L42" s="9"/>
    </row>
    <row r="43" spans="1:18">
      <c r="A43" s="13" t="s">
        <v>90</v>
      </c>
      <c r="B43" s="5" t="s">
        <v>56</v>
      </c>
      <c r="C43" s="5" t="s">
        <v>96</v>
      </c>
      <c r="D43" s="5" t="s">
        <v>97</v>
      </c>
      <c r="E43" s="17" t="s">
        <v>203</v>
      </c>
      <c r="I43" s="47"/>
      <c r="J43" s="47"/>
      <c r="M43" s="5" t="s">
        <v>21</v>
      </c>
    </row>
    <row r="46" spans="1:18" ht="15">
      <c r="A46" s="12" t="s">
        <v>45</v>
      </c>
      <c r="B46" s="12"/>
    </row>
    <row r="47" spans="1:18" ht="14.25">
      <c r="A47" s="14"/>
      <c r="B47" s="15" t="s">
        <v>204</v>
      </c>
    </row>
    <row r="48" spans="1:18" ht="15">
      <c r="A48" s="16" t="s">
        <v>47</v>
      </c>
      <c r="B48" s="16" t="s">
        <v>48</v>
      </c>
      <c r="C48" s="16" t="s">
        <v>49</v>
      </c>
      <c r="D48" s="16" t="s">
        <v>50</v>
      </c>
      <c r="E48" s="16" t="s">
        <v>51</v>
      </c>
    </row>
    <row r="49" spans="1:5">
      <c r="A49" s="13" t="s">
        <v>176</v>
      </c>
      <c r="B49" s="5" t="s">
        <v>205</v>
      </c>
      <c r="C49" s="5" t="s">
        <v>53</v>
      </c>
      <c r="D49" s="5" t="s">
        <v>175</v>
      </c>
      <c r="E49" s="17" t="s">
        <v>206</v>
      </c>
    </row>
    <row r="50" spans="1:5">
      <c r="A50" s="13"/>
      <c r="E50" s="17"/>
    </row>
    <row r="51" spans="1:5">
      <c r="A51" s="13"/>
      <c r="E51" s="17"/>
    </row>
    <row r="52" spans="1:5">
      <c r="A52" s="13"/>
      <c r="E52" s="17"/>
    </row>
    <row r="53" spans="1:5">
      <c r="A53" s="13"/>
      <c r="E53" s="17"/>
    </row>
    <row r="55" spans="1:5" ht="14.25">
      <c r="A55" s="14"/>
      <c r="B55" s="15" t="s">
        <v>46</v>
      </c>
    </row>
    <row r="56" spans="1:5" ht="15">
      <c r="A56" s="16" t="s">
        <v>47</v>
      </c>
      <c r="B56" s="16" t="s">
        <v>48</v>
      </c>
      <c r="C56" s="16" t="s">
        <v>49</v>
      </c>
      <c r="D56" s="16" t="s">
        <v>50</v>
      </c>
      <c r="E56" s="16" t="s">
        <v>51</v>
      </c>
    </row>
    <row r="57" spans="1:5">
      <c r="A57" s="13" t="s">
        <v>160</v>
      </c>
      <c r="B57" s="5" t="s">
        <v>52</v>
      </c>
      <c r="C57" s="5" t="s">
        <v>119</v>
      </c>
      <c r="D57" s="5" t="s">
        <v>165</v>
      </c>
      <c r="E57" s="17" t="s">
        <v>212</v>
      </c>
    </row>
    <row r="58" spans="1:5">
      <c r="A58" s="13" t="s">
        <v>103</v>
      </c>
      <c r="B58" s="5" t="s">
        <v>52</v>
      </c>
      <c r="C58" s="5" t="s">
        <v>213</v>
      </c>
      <c r="D58" s="5" t="s">
        <v>54</v>
      </c>
      <c r="E58" s="17" t="s">
        <v>214</v>
      </c>
    </row>
    <row r="59" spans="1:5">
      <c r="A59" s="13" t="s">
        <v>166</v>
      </c>
      <c r="B59" s="5" t="s">
        <v>52</v>
      </c>
      <c r="C59" s="5" t="s">
        <v>119</v>
      </c>
      <c r="D59" s="5" t="s">
        <v>175</v>
      </c>
      <c r="E59" s="17" t="s">
        <v>215</v>
      </c>
    </row>
    <row r="60" spans="1:5">
      <c r="A60" s="13" t="s">
        <v>107</v>
      </c>
      <c r="B60" s="5" t="s">
        <v>52</v>
      </c>
      <c r="C60" s="5" t="s">
        <v>213</v>
      </c>
      <c r="D60" s="5" t="s">
        <v>216</v>
      </c>
      <c r="E60" s="17" t="s">
        <v>217</v>
      </c>
    </row>
    <row r="61" spans="1:5">
      <c r="A61" s="13" t="s">
        <v>134</v>
      </c>
      <c r="B61" s="5" t="s">
        <v>52</v>
      </c>
      <c r="C61" s="5" t="s">
        <v>96</v>
      </c>
      <c r="D61" s="5" t="s">
        <v>138</v>
      </c>
      <c r="E61" s="17" t="s">
        <v>218</v>
      </c>
    </row>
    <row r="62" spans="1:5">
      <c r="A62" s="13" t="s">
        <v>139</v>
      </c>
      <c r="B62" s="5" t="s">
        <v>52</v>
      </c>
      <c r="C62" s="5" t="s">
        <v>96</v>
      </c>
      <c r="D62" s="5" t="s">
        <v>31</v>
      </c>
      <c r="E62" s="17" t="s">
        <v>219</v>
      </c>
    </row>
    <row r="63" spans="1:5">
      <c r="A63" s="13" t="s">
        <v>150</v>
      </c>
      <c r="B63" s="5" t="s">
        <v>52</v>
      </c>
      <c r="C63" s="5" t="s">
        <v>57</v>
      </c>
      <c r="D63" s="5" t="s">
        <v>154</v>
      </c>
      <c r="E63" s="17" t="s">
        <v>220</v>
      </c>
    </row>
    <row r="64" spans="1:5">
      <c r="A64" s="13"/>
      <c r="E64" s="17"/>
    </row>
    <row r="65" spans="1:5">
      <c r="A65" s="13"/>
      <c r="E65" s="17"/>
    </row>
    <row r="67" spans="1:5" ht="14.25">
      <c r="A67" s="14"/>
      <c r="B67" s="15" t="s">
        <v>56</v>
      </c>
    </row>
    <row r="68" spans="1:5" ht="15">
      <c r="A68" s="16" t="s">
        <v>47</v>
      </c>
      <c r="B68" s="16" t="s">
        <v>48</v>
      </c>
      <c r="C68" s="16" t="s">
        <v>49</v>
      </c>
      <c r="D68" s="16" t="s">
        <v>50</v>
      </c>
      <c r="E68" s="16" t="s">
        <v>51</v>
      </c>
    </row>
    <row r="69" spans="1:5">
      <c r="A69" s="13" t="s">
        <v>180</v>
      </c>
      <c r="B69" s="5" t="s">
        <v>56</v>
      </c>
      <c r="C69" s="5" t="s">
        <v>53</v>
      </c>
      <c r="D69" s="5" t="s">
        <v>184</v>
      </c>
      <c r="E69" s="17" t="s">
        <v>223</v>
      </c>
    </row>
    <row r="70" spans="1:5">
      <c r="A70" s="13" t="s">
        <v>185</v>
      </c>
      <c r="B70" s="5" t="s">
        <v>56</v>
      </c>
      <c r="C70" s="5" t="s">
        <v>53</v>
      </c>
      <c r="D70" s="5" t="s">
        <v>165</v>
      </c>
      <c r="E70" s="17" t="s">
        <v>224</v>
      </c>
    </row>
    <row r="71" spans="1:5">
      <c r="A71" s="13" t="s">
        <v>171</v>
      </c>
      <c r="B71" s="5" t="s">
        <v>56</v>
      </c>
      <c r="C71" s="5" t="s">
        <v>119</v>
      </c>
      <c r="D71" s="5" t="s">
        <v>175</v>
      </c>
      <c r="E71" s="17" t="s">
        <v>225</v>
      </c>
    </row>
    <row r="72" spans="1:5">
      <c r="A72" s="13" t="s">
        <v>147</v>
      </c>
      <c r="B72" s="5" t="s">
        <v>56</v>
      </c>
      <c r="C72" s="5" t="s">
        <v>96</v>
      </c>
      <c r="D72" s="5" t="s">
        <v>133</v>
      </c>
      <c r="E72" s="17" t="s">
        <v>227</v>
      </c>
    </row>
    <row r="74" spans="1:5" ht="18">
      <c r="A74" s="11" t="s">
        <v>61</v>
      </c>
      <c r="B74" s="11"/>
      <c r="E74" s="17"/>
    </row>
    <row r="75" spans="1:5" ht="15">
      <c r="A75" s="16" t="s">
        <v>62</v>
      </c>
      <c r="B75" s="16" t="s">
        <v>63</v>
      </c>
      <c r="C75" s="16" t="s">
        <v>64</v>
      </c>
    </row>
    <row r="76" spans="1:5">
      <c r="A76" s="5" t="s">
        <v>132</v>
      </c>
      <c r="B76" s="27" t="s">
        <v>229</v>
      </c>
      <c r="C76" s="27" t="s">
        <v>487</v>
      </c>
    </row>
    <row r="77" spans="1:5" ht="15">
      <c r="A77" s="5" t="s">
        <v>27</v>
      </c>
      <c r="B77" s="27" t="s">
        <v>491</v>
      </c>
      <c r="C77" s="27" t="s">
        <v>488</v>
      </c>
      <c r="D77" s="1"/>
      <c r="E77" s="1"/>
    </row>
    <row r="78" spans="1:5">
      <c r="A78" s="5" t="s">
        <v>37</v>
      </c>
      <c r="B78" s="5" t="s">
        <v>229</v>
      </c>
      <c r="C78" s="5" t="s">
        <v>230</v>
      </c>
      <c r="E78" s="17"/>
    </row>
    <row r="79" spans="1:5">
      <c r="A79" s="5" t="s">
        <v>125</v>
      </c>
      <c r="B79" s="27" t="s">
        <v>65</v>
      </c>
      <c r="C79" s="27" t="s">
        <v>489</v>
      </c>
    </row>
    <row r="80" spans="1:5">
      <c r="A80" s="5" t="s">
        <v>117</v>
      </c>
      <c r="B80" s="27" t="s">
        <v>65</v>
      </c>
      <c r="C80" s="27" t="s">
        <v>490</v>
      </c>
    </row>
    <row r="104" spans="1:3">
      <c r="A104" s="5" t="s">
        <v>78</v>
      </c>
      <c r="B104" s="5" t="s">
        <v>65</v>
      </c>
      <c r="C104" s="5" t="s">
        <v>231</v>
      </c>
    </row>
  </sheetData>
  <mergeCells count="17">
    <mergeCell ref="A17:L17"/>
    <mergeCell ref="A20:L20"/>
    <mergeCell ref="A25:L25"/>
    <mergeCell ref="K3:K4"/>
    <mergeCell ref="L3:L4"/>
    <mergeCell ref="F3:F4"/>
    <mergeCell ref="G3:J3"/>
    <mergeCell ref="A8:M8"/>
    <mergeCell ref="A12:M12"/>
    <mergeCell ref="M3:M4"/>
    <mergeCell ref="A5:L5"/>
    <mergeCell ref="A1:M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37" sqref="K37"/>
    </sheetView>
  </sheetViews>
  <sheetFormatPr defaultRowHeight="12.75"/>
  <cols>
    <col min="1" max="1" width="26" style="5" bestFit="1" customWidth="1"/>
    <col min="2" max="2" width="25.85546875" style="5" customWidth="1"/>
    <col min="3" max="3" width="23.28515625" style="5" customWidth="1"/>
    <col min="4" max="4" width="12.5703125" style="5" customWidth="1"/>
    <col min="5" max="5" width="22.7109375" style="5" bestFit="1" customWidth="1"/>
    <col min="6" max="6" width="29.5703125" style="5" customWidth="1"/>
    <col min="7" max="7" width="6" style="4" customWidth="1"/>
    <col min="8" max="8" width="5.140625" style="4" customWidth="1"/>
    <col min="9" max="9" width="7" style="4" customWidth="1"/>
    <col min="10" max="10" width="4.85546875" style="4" bestFit="1" customWidth="1"/>
    <col min="11" max="11" width="7.85546875" style="5" bestFit="1" customWidth="1"/>
    <col min="12" max="12" width="8.7109375" style="4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/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63" t="s">
        <v>112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>
      <c r="A6" s="29" t="s">
        <v>114</v>
      </c>
      <c r="B6" s="6" t="s">
        <v>115</v>
      </c>
      <c r="C6" s="6" t="s">
        <v>342</v>
      </c>
      <c r="D6" s="6" t="str">
        <f>"0,7258"</f>
        <v>0,7258</v>
      </c>
      <c r="E6" s="6" t="s">
        <v>117</v>
      </c>
      <c r="F6" s="6" t="s">
        <v>118</v>
      </c>
      <c r="G6" s="8" t="s">
        <v>53</v>
      </c>
      <c r="H6" s="8" t="s">
        <v>133</v>
      </c>
      <c r="I6" s="7" t="s">
        <v>54</v>
      </c>
      <c r="J6" s="7"/>
      <c r="K6" s="6" t="str">
        <f>"107,5"</f>
        <v>107,5</v>
      </c>
      <c r="L6" s="8" t="str">
        <f>"78,0235"</f>
        <v>78,0235</v>
      </c>
    </row>
    <row r="7" spans="1:13" ht="13.5" thickBot="1"/>
    <row r="8" spans="1:13" ht="15">
      <c r="A8" s="64" t="s">
        <v>159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>
      <c r="A9" s="6" t="s">
        <v>351</v>
      </c>
      <c r="B9" s="6" t="s">
        <v>352</v>
      </c>
      <c r="C9" s="6" t="s">
        <v>353</v>
      </c>
      <c r="D9" s="6" t="str">
        <f>"0,5997"</f>
        <v>0,5997</v>
      </c>
      <c r="E9" s="6" t="s">
        <v>125</v>
      </c>
      <c r="F9" s="6" t="s">
        <v>28</v>
      </c>
      <c r="G9" s="8" t="s">
        <v>79</v>
      </c>
      <c r="H9" s="7" t="s">
        <v>311</v>
      </c>
      <c r="I9" s="8" t="s">
        <v>311</v>
      </c>
      <c r="J9" s="7"/>
      <c r="K9" s="6" t="str">
        <f>"220,0"</f>
        <v>220,0</v>
      </c>
      <c r="L9" s="8" t="str">
        <f>"131,9450"</f>
        <v>131,9450</v>
      </c>
      <c r="M9" s="6" t="s">
        <v>21</v>
      </c>
    </row>
    <row r="12" spans="1:13" ht="15">
      <c r="E12" s="10" t="s">
        <v>39</v>
      </c>
      <c r="F12" s="27" t="s">
        <v>379</v>
      </c>
    </row>
    <row r="13" spans="1:13" ht="15">
      <c r="E13" s="10" t="s">
        <v>40</v>
      </c>
      <c r="F13" s="27" t="s">
        <v>384</v>
      </c>
    </row>
    <row r="14" spans="1:13" ht="15">
      <c r="E14" s="10" t="s">
        <v>41</v>
      </c>
      <c r="F14" s="27" t="s">
        <v>381</v>
      </c>
    </row>
    <row r="15" spans="1:13" ht="15">
      <c r="E15" s="10" t="s">
        <v>42</v>
      </c>
      <c r="F15" s="27" t="s">
        <v>382</v>
      </c>
    </row>
    <row r="16" spans="1:13" ht="15">
      <c r="E16" s="10" t="s">
        <v>42</v>
      </c>
      <c r="F16" s="27" t="s">
        <v>383</v>
      </c>
    </row>
    <row r="17" spans="1:12" ht="15">
      <c r="E17" s="10" t="s">
        <v>43</v>
      </c>
      <c r="F17" s="27" t="s">
        <v>380</v>
      </c>
    </row>
    <row r="18" spans="1:12" ht="15">
      <c r="E18" s="10"/>
    </row>
    <row r="20" spans="1:12" ht="18">
      <c r="A20" s="11" t="s">
        <v>44</v>
      </c>
      <c r="B20" s="11"/>
    </row>
    <row r="22" spans="1:12" ht="15">
      <c r="A22" s="12" t="s">
        <v>45</v>
      </c>
      <c r="B22" s="12"/>
      <c r="F22" s="9"/>
      <c r="G22" s="9"/>
      <c r="H22" s="9"/>
      <c r="I22" s="9"/>
      <c r="J22" s="9"/>
      <c r="K22" s="9"/>
      <c r="L22" s="9"/>
    </row>
    <row r="23" spans="1:12" ht="14.25">
      <c r="A23" s="14"/>
      <c r="B23" s="15" t="s">
        <v>56</v>
      </c>
      <c r="H23" s="47"/>
      <c r="J23" s="47"/>
    </row>
    <row r="24" spans="1:12" ht="15">
      <c r="A24" s="16" t="s">
        <v>47</v>
      </c>
      <c r="B24" s="16" t="s">
        <v>48</v>
      </c>
      <c r="C24" s="16" t="s">
        <v>49</v>
      </c>
      <c r="D24" s="16" t="s">
        <v>50</v>
      </c>
      <c r="E24" s="16" t="s">
        <v>51</v>
      </c>
    </row>
    <row r="25" spans="1:12">
      <c r="A25" s="6" t="s">
        <v>483</v>
      </c>
      <c r="B25" s="6" t="s">
        <v>56</v>
      </c>
      <c r="C25" s="29" t="s">
        <v>463</v>
      </c>
      <c r="D25" s="6" t="str">
        <f>"220,0"</f>
        <v>220,0</v>
      </c>
      <c r="E25" s="8" t="str">
        <f>"131,9450"</f>
        <v>131,9450</v>
      </c>
    </row>
    <row r="26" spans="1:12">
      <c r="A26" s="6" t="s">
        <v>113</v>
      </c>
      <c r="B26" s="6" t="s">
        <v>56</v>
      </c>
      <c r="C26" s="29" t="s">
        <v>210</v>
      </c>
      <c r="D26" s="6" t="str">
        <f>"107,5"</f>
        <v>107,5</v>
      </c>
      <c r="E26" s="8" t="str">
        <f>"78,0235"</f>
        <v>78,0235</v>
      </c>
    </row>
    <row r="28" spans="1:12" ht="18">
      <c r="A28" s="11" t="s">
        <v>61</v>
      </c>
      <c r="B28" s="11"/>
    </row>
    <row r="29" spans="1:12" ht="15">
      <c r="A29" s="16" t="s">
        <v>62</v>
      </c>
      <c r="B29" s="16" t="s">
        <v>63</v>
      </c>
      <c r="C29" s="16" t="s">
        <v>64</v>
      </c>
    </row>
    <row r="30" spans="1:12">
      <c r="A30" s="5" t="s">
        <v>125</v>
      </c>
      <c r="B30" s="5" t="s">
        <v>65</v>
      </c>
      <c r="C30" s="5" t="s">
        <v>375</v>
      </c>
    </row>
    <row r="31" spans="1:12">
      <c r="A31" s="27" t="s">
        <v>484</v>
      </c>
      <c r="B31" s="27" t="s">
        <v>485</v>
      </c>
      <c r="C31" s="5" t="s">
        <v>113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M8"/>
    <mergeCell ref="K3:K4"/>
    <mergeCell ref="L3:L4"/>
    <mergeCell ref="M3:M4"/>
    <mergeCell ref="A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F34" sqref="F34"/>
    </sheetView>
  </sheetViews>
  <sheetFormatPr defaultRowHeight="12.75"/>
  <cols>
    <col min="1" max="1" width="31.85546875" style="5" bestFit="1" customWidth="1"/>
    <col min="2" max="2" width="28.5703125" style="5" bestFit="1" customWidth="1"/>
    <col min="3" max="3" width="20.5703125" style="5" customWidth="1"/>
    <col min="4" max="4" width="9.28515625" style="5" bestFit="1" customWidth="1"/>
    <col min="5" max="5" width="22.7109375" style="5" bestFit="1" customWidth="1"/>
    <col min="6" max="6" width="30.28515625" style="5" bestFit="1" customWidth="1"/>
    <col min="7" max="7" width="5.5703125" style="4" bestFit="1" customWidth="1"/>
    <col min="8" max="9" width="6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390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2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64" t="s">
        <v>112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53"/>
    </row>
    <row r="6" spans="1:13">
      <c r="A6" s="6" t="s">
        <v>233</v>
      </c>
      <c r="B6" s="6" t="s">
        <v>234</v>
      </c>
      <c r="C6" s="6" t="s">
        <v>235</v>
      </c>
      <c r="D6" s="6" t="str">
        <f>"0,7995"</f>
        <v>0,7995</v>
      </c>
      <c r="E6" s="6" t="s">
        <v>78</v>
      </c>
      <c r="F6" s="6" t="s">
        <v>94</v>
      </c>
      <c r="G6" s="8" t="s">
        <v>236</v>
      </c>
      <c r="H6" s="8" t="s">
        <v>237</v>
      </c>
      <c r="I6" s="8" t="s">
        <v>238</v>
      </c>
      <c r="J6" s="7"/>
      <c r="K6" s="6" t="str">
        <f>"87,5"</f>
        <v>87,5</v>
      </c>
      <c r="L6" s="44" t="str">
        <f>"69,9562"</f>
        <v>69,9562</v>
      </c>
      <c r="M6" s="43" t="s">
        <v>21</v>
      </c>
    </row>
    <row r="8" spans="1:13" ht="15">
      <c r="A8" s="65" t="s">
        <v>11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3"/>
    </row>
    <row r="9" spans="1:13">
      <c r="A9" s="6" t="s">
        <v>68</v>
      </c>
      <c r="B9" s="6" t="s">
        <v>69</v>
      </c>
      <c r="C9" s="6" t="s">
        <v>70</v>
      </c>
      <c r="D9" s="6" t="str">
        <f>"0,6920"</f>
        <v>0,6920</v>
      </c>
      <c r="E9" s="6" t="s">
        <v>27</v>
      </c>
      <c r="F9" s="6" t="s">
        <v>28</v>
      </c>
      <c r="G9" s="8" t="s">
        <v>71</v>
      </c>
      <c r="H9" s="8" t="s">
        <v>72</v>
      </c>
      <c r="I9" s="8" t="s">
        <v>73</v>
      </c>
      <c r="J9" s="7"/>
      <c r="K9" s="6" t="str">
        <f>"115,0"</f>
        <v>115,0</v>
      </c>
      <c r="L9" s="44" t="str">
        <f>"86,9014"</f>
        <v>86,9014</v>
      </c>
      <c r="M9" s="43" t="s">
        <v>21</v>
      </c>
    </row>
    <row r="11" spans="1:13" ht="15">
      <c r="A11" s="63" t="s">
        <v>22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>
      <c r="A12" s="6" t="s">
        <v>75</v>
      </c>
      <c r="B12" s="6" t="s">
        <v>76</v>
      </c>
      <c r="C12" s="6" t="s">
        <v>77</v>
      </c>
      <c r="D12" s="6" t="str">
        <f>"0,5657"</f>
        <v>0,5657</v>
      </c>
      <c r="E12" s="6" t="s">
        <v>78</v>
      </c>
      <c r="F12" s="6" t="s">
        <v>28</v>
      </c>
      <c r="G12" s="7" t="s">
        <v>79</v>
      </c>
      <c r="H12" s="8" t="s">
        <v>79</v>
      </c>
      <c r="I12" s="8" t="s">
        <v>80</v>
      </c>
      <c r="J12" s="7"/>
      <c r="K12" s="6" t="str">
        <f>"230,0"</f>
        <v>230,0</v>
      </c>
      <c r="L12" s="8" t="str">
        <f>"130,1110"</f>
        <v>130,1110</v>
      </c>
    </row>
    <row r="15" spans="1:13" ht="15">
      <c r="E15" s="10" t="s">
        <v>39</v>
      </c>
      <c r="F15" s="27" t="s">
        <v>379</v>
      </c>
    </row>
    <row r="16" spans="1:13" ht="15">
      <c r="E16" s="10" t="s">
        <v>40</v>
      </c>
      <c r="F16" s="27" t="s">
        <v>384</v>
      </c>
    </row>
    <row r="17" spans="1:6" ht="15">
      <c r="E17" s="10" t="s">
        <v>41</v>
      </c>
      <c r="F17" s="27" t="s">
        <v>381</v>
      </c>
    </row>
    <row r="18" spans="1:6" ht="15">
      <c r="E18" s="10" t="s">
        <v>42</v>
      </c>
      <c r="F18" s="27" t="s">
        <v>382</v>
      </c>
    </row>
    <row r="19" spans="1:6" ht="15">
      <c r="E19" s="10" t="s">
        <v>42</v>
      </c>
      <c r="F19" s="27" t="s">
        <v>383</v>
      </c>
    </row>
    <row r="20" spans="1:6" ht="15">
      <c r="E20" s="10" t="s">
        <v>43</v>
      </c>
      <c r="F20" s="27" t="s">
        <v>380</v>
      </c>
    </row>
    <row r="26" spans="1:6" ht="18">
      <c r="A26" s="11" t="s">
        <v>44</v>
      </c>
      <c r="B26" s="11"/>
    </row>
    <row r="27" spans="1:6" ht="15">
      <c r="A27" s="12" t="s">
        <v>81</v>
      </c>
      <c r="B27" s="12"/>
    </row>
    <row r="28" spans="1:6" ht="14.25">
      <c r="A28" s="14"/>
      <c r="B28" s="15" t="s">
        <v>56</v>
      </c>
    </row>
    <row r="29" spans="1:6" ht="15">
      <c r="A29" s="16" t="s">
        <v>47</v>
      </c>
      <c r="B29" s="16" t="s">
        <v>48</v>
      </c>
      <c r="C29" s="16" t="s">
        <v>49</v>
      </c>
      <c r="D29" s="16" t="s">
        <v>50</v>
      </c>
      <c r="E29" s="16" t="s">
        <v>51</v>
      </c>
    </row>
    <row r="30" spans="1:6">
      <c r="A30" s="27" t="s">
        <v>232</v>
      </c>
      <c r="B30" s="5" t="s">
        <v>56</v>
      </c>
      <c r="C30" s="27" t="s">
        <v>210</v>
      </c>
      <c r="D30" s="27" t="s">
        <v>238</v>
      </c>
      <c r="E30" s="48" t="str">
        <f>"69,9562"</f>
        <v>69,9562</v>
      </c>
    </row>
    <row r="32" spans="1:6" ht="14.25">
      <c r="A32" s="14"/>
      <c r="B32" s="15" t="s">
        <v>82</v>
      </c>
    </row>
    <row r="33" spans="1:5" ht="15">
      <c r="A33" s="16" t="s">
        <v>47</v>
      </c>
      <c r="B33" s="16" t="s">
        <v>48</v>
      </c>
      <c r="C33" s="16" t="s">
        <v>49</v>
      </c>
      <c r="D33" s="16" t="s">
        <v>50</v>
      </c>
      <c r="E33" s="16" t="s">
        <v>51</v>
      </c>
    </row>
    <row r="34" spans="1:5">
      <c r="A34" s="13" t="s">
        <v>67</v>
      </c>
      <c r="B34" s="5" t="s">
        <v>83</v>
      </c>
      <c r="C34" s="5" t="s">
        <v>57</v>
      </c>
      <c r="D34" s="5" t="s">
        <v>84</v>
      </c>
      <c r="E34" s="17" t="s">
        <v>85</v>
      </c>
    </row>
    <row r="37" spans="1:5" ht="15">
      <c r="A37" s="12" t="s">
        <v>45</v>
      </c>
    </row>
    <row r="38" spans="1:5" ht="14.25">
      <c r="A38" s="14"/>
      <c r="B38" s="15" t="s">
        <v>56</v>
      </c>
    </row>
    <row r="39" spans="1:5" ht="15">
      <c r="A39" s="16" t="s">
        <v>47</v>
      </c>
      <c r="B39" s="16" t="s">
        <v>48</v>
      </c>
      <c r="C39" s="16" t="s">
        <v>49</v>
      </c>
      <c r="D39" s="16" t="s">
        <v>50</v>
      </c>
      <c r="E39" s="16" t="s">
        <v>51</v>
      </c>
    </row>
    <row r="40" spans="1:5">
      <c r="A40" s="13" t="s">
        <v>74</v>
      </c>
      <c r="B40" s="5" t="s">
        <v>56</v>
      </c>
      <c r="C40" s="5" t="s">
        <v>53</v>
      </c>
      <c r="D40" s="5" t="s">
        <v>80</v>
      </c>
      <c r="E40" s="17" t="s">
        <v>86</v>
      </c>
    </row>
    <row r="47" spans="1:5" ht="18">
      <c r="A47" s="11" t="s">
        <v>61</v>
      </c>
      <c r="B47" s="11"/>
    </row>
    <row r="48" spans="1:5" ht="15">
      <c r="A48" s="16" t="s">
        <v>62</v>
      </c>
      <c r="B48" s="16" t="s">
        <v>63</v>
      </c>
      <c r="C48" s="16" t="s">
        <v>64</v>
      </c>
    </row>
    <row r="49" spans="1:3">
      <c r="A49" s="5" t="s">
        <v>78</v>
      </c>
      <c r="B49" s="5" t="s">
        <v>65</v>
      </c>
      <c r="C49" s="5" t="s">
        <v>87</v>
      </c>
    </row>
    <row r="50" spans="1:3">
      <c r="A50" s="5" t="s">
        <v>27</v>
      </c>
      <c r="B50" s="5" t="s">
        <v>65</v>
      </c>
      <c r="C50" s="5" t="s">
        <v>88</v>
      </c>
    </row>
    <row r="51" spans="1:3">
      <c r="A51" s="27" t="s">
        <v>492</v>
      </c>
      <c r="B51" s="27" t="s">
        <v>485</v>
      </c>
      <c r="C51" s="27" t="s">
        <v>232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11:M11"/>
    <mergeCell ref="K3:K4"/>
    <mergeCell ref="L3:L4"/>
    <mergeCell ref="M3:M4"/>
    <mergeCell ref="A8:M8"/>
    <mergeCell ref="A5:M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62"/>
  <sheetViews>
    <sheetView topLeftCell="A48" workbookViewId="0">
      <selection activeCell="A67" sqref="A67"/>
    </sheetView>
  </sheetViews>
  <sheetFormatPr defaultRowHeight="12.75"/>
  <cols>
    <col min="1" max="1" width="31.85546875" style="5" bestFit="1" customWidth="1"/>
    <col min="2" max="2" width="28.42578125" style="5" bestFit="1" customWidth="1"/>
    <col min="3" max="3" width="19.140625" style="5" bestFit="1" customWidth="1"/>
    <col min="4" max="4" width="9.28515625" style="5" bestFit="1" customWidth="1"/>
    <col min="5" max="5" width="22.7109375" style="5" bestFit="1" customWidth="1"/>
    <col min="6" max="6" width="33.5703125" style="5" bestFit="1" customWidth="1"/>
    <col min="7" max="7" width="7" style="4" customWidth="1"/>
    <col min="8" max="8" width="7.85546875" style="4" customWidth="1"/>
    <col min="9" max="9" width="6.7109375" style="4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8.85546875" style="5" bestFit="1" customWidth="1"/>
    <col min="14" max="16384" width="9.140625" style="4"/>
  </cols>
  <sheetData>
    <row r="1" spans="1:13" s="3" customFormat="1" ht="29.1" customHeight="1">
      <c r="A1" s="54" t="s">
        <v>391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3" customFormat="1" ht="62.1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s="1" customFormat="1" ht="21" customHeight="1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89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>
      <c r="A6" s="6" t="s">
        <v>98</v>
      </c>
      <c r="B6" s="6" t="s">
        <v>99</v>
      </c>
      <c r="C6" s="6" t="s">
        <v>100</v>
      </c>
      <c r="D6" s="6" t="str">
        <f>"0,7662"</f>
        <v>0,7662</v>
      </c>
      <c r="E6" s="6" t="s">
        <v>27</v>
      </c>
      <c r="F6" s="6" t="s">
        <v>28</v>
      </c>
      <c r="G6" s="7" t="s">
        <v>101</v>
      </c>
      <c r="H6" s="7" t="s">
        <v>101</v>
      </c>
      <c r="I6" s="7"/>
      <c r="J6" s="7"/>
      <c r="K6" s="6" t="str">
        <f>"0,0"</f>
        <v>0,0</v>
      </c>
      <c r="L6" s="8" t="str">
        <f>"0,0000"</f>
        <v>0,0000</v>
      </c>
      <c r="M6" s="43" t="s">
        <v>21</v>
      </c>
    </row>
    <row r="7" spans="1:13">
      <c r="A7" s="39"/>
      <c r="B7" s="39"/>
      <c r="C7" s="39"/>
      <c r="D7" s="39"/>
      <c r="E7" s="39"/>
      <c r="F7" s="39"/>
      <c r="G7" s="40"/>
      <c r="H7" s="40"/>
      <c r="I7" s="40"/>
      <c r="J7" s="40"/>
      <c r="K7" s="39"/>
      <c r="L7" s="40"/>
      <c r="M7" s="43" t="s">
        <v>21</v>
      </c>
    </row>
    <row r="9" spans="1:13" ht="15">
      <c r="A9" s="65" t="s">
        <v>112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3"/>
    </row>
    <row r="10" spans="1:13">
      <c r="A10" s="6" t="s">
        <v>114</v>
      </c>
      <c r="B10" s="6" t="s">
        <v>115</v>
      </c>
      <c r="C10" s="6" t="s">
        <v>116</v>
      </c>
      <c r="D10" s="6" t="str">
        <f>"0,7372"</f>
        <v>0,7372</v>
      </c>
      <c r="E10" s="6" t="s">
        <v>117</v>
      </c>
      <c r="F10" s="6" t="s">
        <v>118</v>
      </c>
      <c r="G10" s="7" t="s">
        <v>119</v>
      </c>
      <c r="H10" s="8" t="s">
        <v>119</v>
      </c>
      <c r="I10" s="7" t="s">
        <v>120</v>
      </c>
      <c r="J10" s="7"/>
      <c r="K10" s="6" t="str">
        <f>"90,0"</f>
        <v>90,0</v>
      </c>
      <c r="L10" s="44" t="str">
        <f>"66,3480"</f>
        <v>66,3480</v>
      </c>
      <c r="M10" s="43" t="s">
        <v>21</v>
      </c>
    </row>
    <row r="12" spans="1:13" ht="15">
      <c r="A12" s="66" t="s">
        <v>89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>
      <c r="A13" s="6" t="s">
        <v>122</v>
      </c>
      <c r="B13" s="6" t="s">
        <v>123</v>
      </c>
      <c r="C13" s="6" t="s">
        <v>124</v>
      </c>
      <c r="D13" s="6" t="str">
        <f>"0,6680"</f>
        <v>0,6680</v>
      </c>
      <c r="E13" s="6" t="s">
        <v>125</v>
      </c>
      <c r="F13" s="6" t="s">
        <v>28</v>
      </c>
      <c r="G13" s="8" t="s">
        <v>126</v>
      </c>
      <c r="H13" s="8" t="s">
        <v>127</v>
      </c>
      <c r="I13" s="7" t="s">
        <v>96</v>
      </c>
      <c r="J13" s="7"/>
      <c r="K13" s="6" t="str">
        <f>"72,5"</f>
        <v>72,5</v>
      </c>
      <c r="L13" s="8" t="str">
        <f>"57,1474"</f>
        <v>57,1474</v>
      </c>
      <c r="M13" s="43" t="s">
        <v>21</v>
      </c>
    </row>
    <row r="14" spans="1:13">
      <c r="A14" s="6" t="s">
        <v>129</v>
      </c>
      <c r="B14" s="6" t="s">
        <v>130</v>
      </c>
      <c r="C14" s="6" t="s">
        <v>131</v>
      </c>
      <c r="D14" s="6" t="str">
        <f>"0,6835"</f>
        <v>0,6835</v>
      </c>
      <c r="E14" s="6" t="s">
        <v>132</v>
      </c>
      <c r="F14" s="6" t="s">
        <v>17</v>
      </c>
      <c r="G14" s="8" t="s">
        <v>133</v>
      </c>
      <c r="H14" s="7" t="s">
        <v>31</v>
      </c>
      <c r="I14" s="7" t="s">
        <v>31</v>
      </c>
      <c r="J14" s="7"/>
      <c r="K14" s="6" t="str">
        <f>"107,5"</f>
        <v>107,5</v>
      </c>
      <c r="L14" s="8" t="str">
        <f>"76,4153"</f>
        <v>76,4153</v>
      </c>
      <c r="M14" s="43" t="s">
        <v>21</v>
      </c>
    </row>
    <row r="15" spans="1:13">
      <c r="A15" s="29" t="s">
        <v>482</v>
      </c>
      <c r="B15" s="6" t="s">
        <v>144</v>
      </c>
      <c r="C15" s="6" t="s">
        <v>145</v>
      </c>
      <c r="D15" s="6" t="str">
        <f>"0,6867"</f>
        <v>0,6867</v>
      </c>
      <c r="E15" s="6" t="s">
        <v>27</v>
      </c>
      <c r="F15" s="6" t="s">
        <v>94</v>
      </c>
      <c r="G15" s="8" t="s">
        <v>146</v>
      </c>
      <c r="H15" s="7" t="s">
        <v>31</v>
      </c>
      <c r="I15" s="7" t="s">
        <v>31</v>
      </c>
      <c r="J15" s="7"/>
      <c r="K15" s="6" t="str">
        <f>"100,0"</f>
        <v>100,0</v>
      </c>
      <c r="L15" s="8" t="str">
        <f>"70,0434"</f>
        <v>70,0434</v>
      </c>
    </row>
    <row r="17" spans="1:13" ht="15">
      <c r="A17" s="66" t="s">
        <v>480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>
      <c r="A18" s="6" t="s">
        <v>13</v>
      </c>
      <c r="B18" s="6" t="s">
        <v>14</v>
      </c>
      <c r="C18" s="6" t="s">
        <v>15</v>
      </c>
      <c r="D18" s="6" t="str">
        <f>"0,6349"</f>
        <v>0,6349</v>
      </c>
      <c r="E18" s="6" t="s">
        <v>16</v>
      </c>
      <c r="F18" s="6" t="s">
        <v>17</v>
      </c>
      <c r="G18" s="8" t="s">
        <v>18</v>
      </c>
      <c r="H18" s="8" t="s">
        <v>19</v>
      </c>
      <c r="I18" s="8" t="s">
        <v>20</v>
      </c>
      <c r="J18" s="7"/>
      <c r="K18" s="6" t="str">
        <f>"180,0"</f>
        <v>180,0</v>
      </c>
      <c r="L18" s="8" t="str">
        <f>"114,2910"</f>
        <v>114,2910</v>
      </c>
      <c r="M18" s="43" t="s">
        <v>21</v>
      </c>
    </row>
    <row r="19" spans="1:13" ht="15">
      <c r="A19" s="29" t="s">
        <v>481</v>
      </c>
      <c r="B19" s="6" t="s">
        <v>157</v>
      </c>
      <c r="C19" s="6" t="s">
        <v>158</v>
      </c>
      <c r="D19" s="6" t="str">
        <f>"0,6273"</f>
        <v>0,6273</v>
      </c>
      <c r="E19" s="6" t="s">
        <v>132</v>
      </c>
      <c r="F19" s="6" t="s">
        <v>17</v>
      </c>
      <c r="G19" s="8" t="s">
        <v>119</v>
      </c>
      <c r="H19" s="7" t="s">
        <v>84</v>
      </c>
      <c r="I19" s="7" t="s">
        <v>84</v>
      </c>
      <c r="J19" s="7"/>
      <c r="K19" s="6" t="str">
        <f>"90,0"</f>
        <v>90,0</v>
      </c>
      <c r="L19" s="8" t="str">
        <f>"57,5861"</f>
        <v>57,5861</v>
      </c>
      <c r="M19" s="9"/>
    </row>
    <row r="20" spans="1:13" ht="15">
      <c r="M20" s="9"/>
    </row>
    <row r="21" spans="1:13" ht="15">
      <c r="A21" s="63" t="s">
        <v>22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>
      <c r="A22" s="6" t="s">
        <v>24</v>
      </c>
      <c r="B22" s="6" t="s">
        <v>25</v>
      </c>
      <c r="C22" s="6" t="s">
        <v>26</v>
      </c>
      <c r="D22" s="6" t="str">
        <f>"0,5610"</f>
        <v>0,5610</v>
      </c>
      <c r="E22" s="6" t="s">
        <v>27</v>
      </c>
      <c r="F22" s="6" t="s">
        <v>28</v>
      </c>
      <c r="G22" s="8" t="s">
        <v>29</v>
      </c>
      <c r="H22" s="28" t="s">
        <v>54</v>
      </c>
      <c r="I22" s="7" t="s">
        <v>31</v>
      </c>
      <c r="J22" s="7"/>
      <c r="K22" s="6" t="str">
        <f>"117,5"</f>
        <v>117,5</v>
      </c>
      <c r="L22" s="8" t="str">
        <f>"67,8950"</f>
        <v>67,8950</v>
      </c>
    </row>
    <row r="23" spans="1:13" ht="15">
      <c r="A23" s="29" t="s">
        <v>486</v>
      </c>
      <c r="B23" s="6" t="s">
        <v>191</v>
      </c>
      <c r="C23" s="6" t="s">
        <v>192</v>
      </c>
      <c r="D23" s="6" t="str">
        <f>"0,5663"</f>
        <v>0,5663</v>
      </c>
      <c r="E23" s="6" t="s">
        <v>27</v>
      </c>
      <c r="F23" s="6" t="s">
        <v>28</v>
      </c>
      <c r="G23" s="8" t="s">
        <v>154</v>
      </c>
      <c r="H23" s="8" t="s">
        <v>193</v>
      </c>
      <c r="I23" s="7" t="s">
        <v>189</v>
      </c>
      <c r="J23" s="7"/>
      <c r="K23" s="6" t="str">
        <f>"135,0"</f>
        <v>135,0</v>
      </c>
      <c r="L23" s="8" t="str">
        <f>"76,4505"</f>
        <v>76,4505</v>
      </c>
      <c r="M23" s="9"/>
    </row>
    <row r="25" spans="1:13" ht="15">
      <c r="A25" s="65" t="s">
        <v>32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3"/>
    </row>
    <row r="26" spans="1:13">
      <c r="A26" s="6" t="s">
        <v>34</v>
      </c>
      <c r="B26" s="6" t="s">
        <v>35</v>
      </c>
      <c r="C26" s="6" t="s">
        <v>36</v>
      </c>
      <c r="D26" s="6" t="str">
        <f>"0,5382"</f>
        <v>0,5382</v>
      </c>
      <c r="E26" s="6" t="s">
        <v>37</v>
      </c>
      <c r="F26" s="6" t="s">
        <v>28</v>
      </c>
      <c r="G26" s="8" t="s">
        <v>20</v>
      </c>
      <c r="H26" s="7" t="s">
        <v>38</v>
      </c>
      <c r="I26" s="7"/>
      <c r="J26" s="7"/>
      <c r="K26" s="6" t="str">
        <f>"180,0"</f>
        <v>180,0</v>
      </c>
      <c r="L26" s="44" t="str">
        <f>"96,8760"</f>
        <v>96,8760</v>
      </c>
      <c r="M26" s="43" t="s">
        <v>21</v>
      </c>
    </row>
    <row r="27" spans="1:13">
      <c r="A27" s="6" t="s">
        <v>198</v>
      </c>
      <c r="B27" s="6" t="s">
        <v>199</v>
      </c>
      <c r="C27" s="6" t="s">
        <v>200</v>
      </c>
      <c r="D27" s="6" t="str">
        <f>"0,5455"</f>
        <v>0,5455</v>
      </c>
      <c r="E27" s="6" t="s">
        <v>27</v>
      </c>
      <c r="F27" s="6" t="s">
        <v>28</v>
      </c>
      <c r="G27" s="8" t="s">
        <v>201</v>
      </c>
      <c r="H27" s="8" t="s">
        <v>202</v>
      </c>
      <c r="I27" s="7" t="s">
        <v>127</v>
      </c>
      <c r="J27" s="7"/>
      <c r="K27" s="6" t="str">
        <f>"67,5"</f>
        <v>67,5</v>
      </c>
      <c r="L27" s="8" t="str">
        <f>"38,2941"</f>
        <v>38,2941</v>
      </c>
    </row>
    <row r="29" spans="1:13" ht="15">
      <c r="E29" s="10" t="s">
        <v>39</v>
      </c>
      <c r="F29" s="27" t="s">
        <v>379</v>
      </c>
    </row>
    <row r="30" spans="1:13" ht="15">
      <c r="E30" s="10" t="s">
        <v>40</v>
      </c>
      <c r="F30" s="27" t="s">
        <v>384</v>
      </c>
    </row>
    <row r="31" spans="1:13" ht="15">
      <c r="E31" s="10" t="s">
        <v>41</v>
      </c>
      <c r="F31" s="27" t="s">
        <v>381</v>
      </c>
    </row>
    <row r="32" spans="1:13" ht="15">
      <c r="E32" s="10" t="s">
        <v>42</v>
      </c>
      <c r="F32" s="27" t="s">
        <v>382</v>
      </c>
    </row>
    <row r="33" spans="1:6" ht="15">
      <c r="E33" s="10" t="s">
        <v>42</v>
      </c>
      <c r="F33" s="27" t="s">
        <v>383</v>
      </c>
    </row>
    <row r="34" spans="1:6" ht="15">
      <c r="E34" s="10" t="s">
        <v>43</v>
      </c>
      <c r="F34" s="27" t="s">
        <v>380</v>
      </c>
    </row>
    <row r="39" spans="1:6" ht="18">
      <c r="A39" s="11" t="s">
        <v>44</v>
      </c>
      <c r="B39" s="11"/>
    </row>
    <row r="40" spans="1:6" ht="15">
      <c r="A40" s="12" t="s">
        <v>45</v>
      </c>
      <c r="B40" s="12"/>
    </row>
    <row r="41" spans="1:6" ht="14.25">
      <c r="A41" s="14"/>
      <c r="B41" s="15" t="s">
        <v>204</v>
      </c>
    </row>
    <row r="42" spans="1:6" ht="15">
      <c r="A42" s="16" t="s">
        <v>47</v>
      </c>
      <c r="B42" s="16" t="s">
        <v>48</v>
      </c>
      <c r="C42" s="16" t="s">
        <v>49</v>
      </c>
      <c r="D42" s="16" t="s">
        <v>50</v>
      </c>
      <c r="E42" s="16" t="s">
        <v>51</v>
      </c>
    </row>
    <row r="43" spans="1:6">
      <c r="A43" s="13" t="s">
        <v>128</v>
      </c>
      <c r="B43" s="5" t="s">
        <v>205</v>
      </c>
      <c r="C43" s="5" t="s">
        <v>96</v>
      </c>
      <c r="D43" s="5" t="s">
        <v>133</v>
      </c>
      <c r="E43" s="17" t="s">
        <v>207</v>
      </c>
    </row>
    <row r="44" spans="1:6">
      <c r="A44" s="41" t="s">
        <v>121</v>
      </c>
      <c r="B44" s="5" t="s">
        <v>208</v>
      </c>
      <c r="C44" s="5" t="s">
        <v>96</v>
      </c>
      <c r="D44" s="5" t="s">
        <v>127</v>
      </c>
      <c r="E44" s="17" t="s">
        <v>209</v>
      </c>
    </row>
    <row r="45" spans="1:6">
      <c r="A45" s="13" t="s">
        <v>197</v>
      </c>
      <c r="B45" s="5" t="s">
        <v>205</v>
      </c>
      <c r="C45" s="5" t="s">
        <v>59</v>
      </c>
      <c r="D45" s="5" t="s">
        <v>210</v>
      </c>
      <c r="E45" s="17" t="s">
        <v>211</v>
      </c>
    </row>
    <row r="47" spans="1:6" ht="14.25">
      <c r="A47" s="14"/>
      <c r="B47" s="15" t="s">
        <v>46</v>
      </c>
    </row>
    <row r="48" spans="1:6" ht="15">
      <c r="A48" s="16" t="s">
        <v>47</v>
      </c>
      <c r="B48" s="16" t="s">
        <v>48</v>
      </c>
      <c r="C48" s="16" t="s">
        <v>49</v>
      </c>
      <c r="D48" s="16" t="s">
        <v>50</v>
      </c>
      <c r="E48" s="16" t="s">
        <v>51</v>
      </c>
    </row>
    <row r="49" spans="1:5">
      <c r="A49" s="13" t="s">
        <v>143</v>
      </c>
      <c r="B49" s="5" t="s">
        <v>52</v>
      </c>
      <c r="C49" s="5" t="s">
        <v>96</v>
      </c>
      <c r="D49" s="5" t="s">
        <v>53</v>
      </c>
      <c r="E49" s="17" t="s">
        <v>221</v>
      </c>
    </row>
    <row r="50" spans="1:5">
      <c r="A50" s="13" t="s">
        <v>23</v>
      </c>
      <c r="B50" s="5" t="s">
        <v>52</v>
      </c>
      <c r="C50" s="5" t="s">
        <v>53</v>
      </c>
      <c r="D50" s="5" t="s">
        <v>54</v>
      </c>
      <c r="E50" s="17" t="s">
        <v>55</v>
      </c>
    </row>
    <row r="51" spans="1:5">
      <c r="A51" s="13" t="s">
        <v>156</v>
      </c>
      <c r="B51" s="5" t="s">
        <v>52</v>
      </c>
      <c r="C51" s="5" t="s">
        <v>57</v>
      </c>
      <c r="D51" s="5" t="s">
        <v>119</v>
      </c>
      <c r="E51" s="17" t="s">
        <v>222</v>
      </c>
    </row>
    <row r="53" spans="1:5" ht="14.25">
      <c r="A53" s="14"/>
      <c r="B53" s="15" t="s">
        <v>56</v>
      </c>
    </row>
    <row r="54" spans="1:5" ht="15">
      <c r="A54" s="16" t="s">
        <v>47</v>
      </c>
      <c r="B54" s="16" t="s">
        <v>48</v>
      </c>
      <c r="C54" s="16" t="s">
        <v>49</v>
      </c>
      <c r="D54" s="16" t="s">
        <v>50</v>
      </c>
      <c r="E54" s="16" t="s">
        <v>51</v>
      </c>
    </row>
    <row r="55" spans="1:5">
      <c r="A55" s="13" t="s">
        <v>12</v>
      </c>
      <c r="B55" s="5" t="s">
        <v>56</v>
      </c>
      <c r="C55" s="5" t="s">
        <v>57</v>
      </c>
      <c r="D55" s="5" t="s">
        <v>20</v>
      </c>
      <c r="E55" s="17" t="s">
        <v>58</v>
      </c>
    </row>
    <row r="56" spans="1:5">
      <c r="A56" s="13" t="s">
        <v>33</v>
      </c>
      <c r="B56" s="5" t="s">
        <v>56</v>
      </c>
      <c r="C56" s="5" t="s">
        <v>59</v>
      </c>
      <c r="D56" s="5" t="s">
        <v>20</v>
      </c>
      <c r="E56" s="17" t="s">
        <v>60</v>
      </c>
    </row>
    <row r="57" spans="1:5">
      <c r="A57" s="13" t="s">
        <v>190</v>
      </c>
      <c r="B57" s="5" t="s">
        <v>56</v>
      </c>
      <c r="C57" s="5" t="s">
        <v>53</v>
      </c>
      <c r="D57" s="5" t="s">
        <v>193</v>
      </c>
      <c r="E57" s="17" t="s">
        <v>226</v>
      </c>
    </row>
    <row r="58" spans="1:5">
      <c r="A58" s="13" t="s">
        <v>113</v>
      </c>
      <c r="B58" s="5" t="s">
        <v>56</v>
      </c>
      <c r="C58" s="5" t="s">
        <v>210</v>
      </c>
      <c r="D58" s="5" t="s">
        <v>119</v>
      </c>
      <c r="E58" s="17" t="s">
        <v>228</v>
      </c>
    </row>
    <row r="61" spans="1:5" ht="18">
      <c r="A61" s="11"/>
      <c r="B61" s="11"/>
    </row>
    <row r="62" spans="1:5" ht="15">
      <c r="A62" s="1"/>
      <c r="B62" s="1"/>
      <c r="C62" s="1"/>
    </row>
  </sheetData>
  <mergeCells count="17"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A25:M25"/>
    <mergeCell ref="L3:L4"/>
    <mergeCell ref="A9:M9"/>
    <mergeCell ref="A12:M12"/>
    <mergeCell ref="A17:M17"/>
    <mergeCell ref="A21:M21"/>
    <mergeCell ref="A5:M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sqref="A1:M2"/>
    </sheetView>
  </sheetViews>
  <sheetFormatPr defaultRowHeight="12.75"/>
  <cols>
    <col min="1" max="1" width="27.28515625" customWidth="1"/>
    <col min="2" max="2" width="23" customWidth="1"/>
    <col min="3" max="3" width="15.28515625" customWidth="1"/>
    <col min="4" max="4" width="16.28515625" customWidth="1"/>
    <col min="5" max="5" width="22.7109375" customWidth="1"/>
    <col min="6" max="6" width="30.140625" customWidth="1"/>
    <col min="9" max="9" width="14.85546875" customWidth="1"/>
  </cols>
  <sheetData>
    <row r="1" spans="1:13" ht="78.75" customHeight="1">
      <c r="A1" s="54" t="s">
        <v>414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3.5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ht="15.75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53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 ht="13.5" thickBot="1">
      <c r="A6" s="29" t="s">
        <v>392</v>
      </c>
      <c r="B6" s="29" t="s">
        <v>393</v>
      </c>
      <c r="C6" s="29" t="s">
        <v>394</v>
      </c>
      <c r="D6" s="6" t="str">
        <f>"0,6349"</f>
        <v>0,6349</v>
      </c>
      <c r="E6" s="6" t="s">
        <v>27</v>
      </c>
      <c r="F6" s="6" t="s">
        <v>28</v>
      </c>
      <c r="G6" s="7" t="s">
        <v>395</v>
      </c>
      <c r="H6" s="28" t="s">
        <v>395</v>
      </c>
      <c r="I6" s="28" t="s">
        <v>396</v>
      </c>
      <c r="J6" s="7"/>
      <c r="K6" s="29" t="s">
        <v>396</v>
      </c>
      <c r="L6" s="28" t="s">
        <v>397</v>
      </c>
    </row>
    <row r="7" spans="1:13" ht="15">
      <c r="A7" s="53" t="s">
        <v>22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3.5" thickBot="1">
      <c r="A8" s="29" t="s">
        <v>398</v>
      </c>
      <c r="B8" s="29" t="s">
        <v>399</v>
      </c>
      <c r="C8" s="29" t="s">
        <v>400</v>
      </c>
      <c r="D8" s="6" t="str">
        <f>"0,6349"</f>
        <v>0,6349</v>
      </c>
      <c r="E8" s="6" t="s">
        <v>27</v>
      </c>
      <c r="F8" s="6" t="s">
        <v>28</v>
      </c>
      <c r="G8" s="8" t="s">
        <v>401</v>
      </c>
      <c r="H8" s="28" t="s">
        <v>402</v>
      </c>
      <c r="I8" s="28" t="s">
        <v>403</v>
      </c>
      <c r="J8" s="7"/>
      <c r="K8" s="29" t="s">
        <v>403</v>
      </c>
      <c r="L8" s="28" t="s">
        <v>404</v>
      </c>
    </row>
    <row r="9" spans="1:13" ht="15">
      <c r="A9" s="53" t="s">
        <v>405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3">
      <c r="A10" s="29" t="s">
        <v>406</v>
      </c>
      <c r="B10" s="29" t="s">
        <v>407</v>
      </c>
      <c r="C10" s="29" t="s">
        <v>408</v>
      </c>
      <c r="D10" s="6" t="str">
        <f>"0,6349"</f>
        <v>0,6349</v>
      </c>
      <c r="E10" s="6" t="s">
        <v>27</v>
      </c>
      <c r="F10" s="6" t="s">
        <v>28</v>
      </c>
      <c r="G10" s="28" t="s">
        <v>396</v>
      </c>
      <c r="H10" s="28" t="s">
        <v>401</v>
      </c>
      <c r="I10" s="28" t="s">
        <v>409</v>
      </c>
      <c r="J10" s="7"/>
      <c r="K10" s="29" t="s">
        <v>409</v>
      </c>
      <c r="L10" s="28" t="s">
        <v>410</v>
      </c>
    </row>
    <row r="12" spans="1:13" ht="15">
      <c r="E12" s="10" t="s">
        <v>39</v>
      </c>
      <c r="F12" s="27" t="s">
        <v>379</v>
      </c>
    </row>
    <row r="13" spans="1:13" ht="15">
      <c r="E13" s="10" t="s">
        <v>40</v>
      </c>
      <c r="F13" s="27" t="s">
        <v>384</v>
      </c>
    </row>
    <row r="14" spans="1:13" ht="15">
      <c r="E14" s="10" t="s">
        <v>41</v>
      </c>
      <c r="F14" s="27" t="s">
        <v>381</v>
      </c>
    </row>
    <row r="15" spans="1:13" ht="15">
      <c r="E15" s="10" t="s">
        <v>42</v>
      </c>
      <c r="F15" s="27" t="s">
        <v>382</v>
      </c>
    </row>
    <row r="16" spans="1:13" ht="15">
      <c r="E16" s="10" t="s">
        <v>42</v>
      </c>
      <c r="F16" s="27" t="s">
        <v>383</v>
      </c>
    </row>
    <row r="17" spans="1:6" ht="15">
      <c r="E17" s="10" t="s">
        <v>43</v>
      </c>
      <c r="F17" s="27" t="s">
        <v>380</v>
      </c>
    </row>
    <row r="19" spans="1:6" ht="18">
      <c r="A19" s="11" t="s">
        <v>44</v>
      </c>
      <c r="B19" s="11"/>
      <c r="C19" s="5"/>
      <c r="D19" s="5"/>
      <c r="E19" s="5"/>
    </row>
    <row r="20" spans="1:6" ht="15">
      <c r="A20" s="12" t="s">
        <v>45</v>
      </c>
      <c r="B20" s="12"/>
      <c r="C20" s="5"/>
      <c r="D20" s="5"/>
      <c r="E20" s="5"/>
    </row>
    <row r="21" spans="1:6" ht="14.25">
      <c r="A21" s="14"/>
      <c r="B21" s="15" t="s">
        <v>56</v>
      </c>
      <c r="C21" s="5"/>
      <c r="D21" s="5"/>
      <c r="E21" s="5"/>
    </row>
    <row r="22" spans="1:6" ht="15">
      <c r="A22" s="16" t="s">
        <v>47</v>
      </c>
      <c r="B22" s="16" t="s">
        <v>48</v>
      </c>
      <c r="C22" s="16" t="s">
        <v>49</v>
      </c>
      <c r="D22" s="16" t="s">
        <v>50</v>
      </c>
      <c r="E22" s="16" t="s">
        <v>51</v>
      </c>
    </row>
    <row r="23" spans="1:6">
      <c r="A23" s="27" t="s">
        <v>411</v>
      </c>
      <c r="B23" s="5" t="s">
        <v>56</v>
      </c>
      <c r="C23" s="5" t="s">
        <v>57</v>
      </c>
      <c r="D23" s="27" t="s">
        <v>403</v>
      </c>
      <c r="E23" s="17" t="s">
        <v>404</v>
      </c>
    </row>
    <row r="24" spans="1:6">
      <c r="A24" s="27" t="s">
        <v>412</v>
      </c>
      <c r="B24" s="5" t="s">
        <v>56</v>
      </c>
      <c r="C24" s="27" t="s">
        <v>53</v>
      </c>
      <c r="D24" s="27" t="s">
        <v>396</v>
      </c>
      <c r="E24" s="17" t="s">
        <v>397</v>
      </c>
    </row>
    <row r="25" spans="1:6">
      <c r="A25" s="27" t="s">
        <v>413</v>
      </c>
      <c r="B25" s="5" t="s">
        <v>56</v>
      </c>
      <c r="C25" s="31">
        <v>110</v>
      </c>
      <c r="D25" s="31">
        <v>155</v>
      </c>
      <c r="E25" s="17" t="s">
        <v>410</v>
      </c>
    </row>
    <row r="26" spans="1:6">
      <c r="A26" s="33"/>
      <c r="B26" s="33"/>
      <c r="C26" s="33"/>
      <c r="D26" s="33"/>
      <c r="E26" s="33"/>
    </row>
    <row r="27" spans="1:6" ht="18">
      <c r="A27" s="11"/>
      <c r="B27" s="11"/>
      <c r="C27" s="5"/>
      <c r="D27" s="5"/>
    </row>
    <row r="28" spans="1:6" ht="15">
      <c r="A28" s="1"/>
      <c r="B28" s="1"/>
      <c r="C28" s="1"/>
      <c r="D28" s="5"/>
    </row>
    <row r="29" spans="1:6">
      <c r="A29" s="5"/>
      <c r="B29" s="5"/>
      <c r="C29" s="5"/>
      <c r="D29" s="5"/>
      <c r="E29" s="5"/>
    </row>
    <row r="30" spans="1:6">
      <c r="A30" s="5"/>
      <c r="B30" s="5"/>
      <c r="C30" s="5"/>
      <c r="D30" s="5"/>
      <c r="E30" s="5"/>
    </row>
    <row r="31" spans="1:6">
      <c r="A31" s="5"/>
      <c r="B31" s="5"/>
      <c r="C31" s="5"/>
      <c r="D31" s="5"/>
      <c r="E31" s="5"/>
    </row>
    <row r="32" spans="1:6">
      <c r="A32" s="5"/>
      <c r="B32" s="5"/>
      <c r="C32" s="5"/>
      <c r="D32" s="5"/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</sheetData>
  <mergeCells count="14">
    <mergeCell ref="A5:L5"/>
    <mergeCell ref="A7:L7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F28" sqref="F28"/>
    </sheetView>
  </sheetViews>
  <sheetFormatPr defaultRowHeight="12.75"/>
  <cols>
    <col min="1" max="1" width="27.42578125" customWidth="1"/>
    <col min="2" max="2" width="29.7109375" customWidth="1"/>
    <col min="4" max="4" width="10.140625" customWidth="1"/>
    <col min="5" max="5" width="22.7109375" customWidth="1"/>
    <col min="6" max="6" width="34.85546875" customWidth="1"/>
  </cols>
  <sheetData>
    <row r="1" spans="1:13" ht="84.75" customHeight="1">
      <c r="A1" s="54" t="s">
        <v>416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3.5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5">
      <c r="A3" s="60" t="s">
        <v>0</v>
      </c>
      <c r="B3" s="62" t="s">
        <v>7</v>
      </c>
      <c r="C3" s="62" t="s">
        <v>9</v>
      </c>
      <c r="D3" s="49" t="s">
        <v>10</v>
      </c>
      <c r="E3" s="49" t="s">
        <v>5</v>
      </c>
      <c r="F3" s="49" t="s">
        <v>8</v>
      </c>
      <c r="G3" s="49" t="s">
        <v>1</v>
      </c>
      <c r="H3" s="49"/>
      <c r="I3" s="49"/>
      <c r="J3" s="49"/>
      <c r="K3" s="49" t="s">
        <v>66</v>
      </c>
      <c r="L3" s="49" t="s">
        <v>4</v>
      </c>
      <c r="M3" s="51" t="s">
        <v>3</v>
      </c>
    </row>
    <row r="4" spans="1:13" ht="15.75" thickBot="1">
      <c r="A4" s="61"/>
      <c r="B4" s="50"/>
      <c r="C4" s="50"/>
      <c r="D4" s="50"/>
      <c r="E4" s="50"/>
      <c r="F4" s="50"/>
      <c r="G4" s="2">
        <v>1</v>
      </c>
      <c r="H4" s="2">
        <v>2</v>
      </c>
      <c r="I4" s="2">
        <v>3</v>
      </c>
      <c r="J4" s="2" t="s">
        <v>6</v>
      </c>
      <c r="K4" s="50"/>
      <c r="L4" s="50"/>
      <c r="M4" s="52"/>
    </row>
    <row r="5" spans="1:13" ht="15">
      <c r="A5" s="64" t="s">
        <v>418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3.5" thickBot="1">
      <c r="A6" s="6" t="s">
        <v>91</v>
      </c>
      <c r="B6" s="29" t="s">
        <v>434</v>
      </c>
      <c r="C6" s="6" t="s">
        <v>93</v>
      </c>
      <c r="D6" s="6" t="str">
        <f>"0,7362"</f>
        <v>0,7362</v>
      </c>
      <c r="E6" s="6" t="s">
        <v>78</v>
      </c>
      <c r="F6" s="6" t="s">
        <v>94</v>
      </c>
      <c r="G6" s="28" t="s">
        <v>415</v>
      </c>
      <c r="H6" s="8"/>
      <c r="I6" s="8"/>
      <c r="J6" s="7"/>
      <c r="K6" s="29" t="s">
        <v>415</v>
      </c>
      <c r="L6" s="36" t="s">
        <v>417</v>
      </c>
      <c r="M6" s="38"/>
    </row>
    <row r="7" spans="1:13" ht="15">
      <c r="A7" s="53" t="s">
        <v>419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>
      <c r="A8" s="35" t="s">
        <v>466</v>
      </c>
      <c r="B8" s="35" t="s">
        <v>430</v>
      </c>
      <c r="C8" s="21" t="s">
        <v>110</v>
      </c>
      <c r="D8" s="6" t="str">
        <f>"0,6349"</f>
        <v>0,6349</v>
      </c>
      <c r="E8" s="21" t="s">
        <v>27</v>
      </c>
      <c r="F8" s="21" t="s">
        <v>111</v>
      </c>
      <c r="G8" s="34" t="s">
        <v>420</v>
      </c>
      <c r="H8" s="22"/>
      <c r="I8" s="22"/>
      <c r="J8" s="22"/>
      <c r="K8" s="35" t="s">
        <v>420</v>
      </c>
      <c r="L8" s="37" t="s">
        <v>421</v>
      </c>
      <c r="M8" s="6" t="s">
        <v>21</v>
      </c>
    </row>
    <row r="9" spans="1:13">
      <c r="A9" s="35" t="s">
        <v>466</v>
      </c>
      <c r="B9" s="35" t="s">
        <v>467</v>
      </c>
      <c r="C9" s="21" t="s">
        <v>110</v>
      </c>
      <c r="D9" s="6" t="str">
        <f>"0,6349"</f>
        <v>0,6349</v>
      </c>
      <c r="E9" s="21" t="s">
        <v>27</v>
      </c>
      <c r="F9" s="21" t="s">
        <v>111</v>
      </c>
      <c r="G9" s="34" t="s">
        <v>420</v>
      </c>
      <c r="H9" s="22"/>
      <c r="I9" s="22"/>
      <c r="J9" s="22"/>
      <c r="K9" s="35" t="s">
        <v>420</v>
      </c>
      <c r="L9" s="37" t="s">
        <v>421</v>
      </c>
      <c r="M9" s="6" t="s">
        <v>21</v>
      </c>
    </row>
    <row r="10" spans="1:13" ht="15">
      <c r="A10" s="65" t="s">
        <v>422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7"/>
    </row>
    <row r="11" spans="1:13">
      <c r="A11" s="29" t="s">
        <v>428</v>
      </c>
      <c r="B11" s="35" t="s">
        <v>429</v>
      </c>
      <c r="C11" s="29" t="s">
        <v>431</v>
      </c>
      <c r="D11" s="6" t="str">
        <f>"0,6349"</f>
        <v>0,6349</v>
      </c>
      <c r="E11" s="6" t="s">
        <v>27</v>
      </c>
      <c r="F11" s="6" t="s">
        <v>28</v>
      </c>
      <c r="G11" s="28" t="s">
        <v>432</v>
      </c>
      <c r="H11" s="28"/>
      <c r="I11" s="28"/>
      <c r="J11" s="7"/>
      <c r="K11" s="29" t="s">
        <v>432</v>
      </c>
      <c r="L11" s="36" t="s">
        <v>433</v>
      </c>
      <c r="M11" s="38"/>
    </row>
    <row r="12" spans="1:13">
      <c r="A12" s="29" t="s">
        <v>148</v>
      </c>
      <c r="B12" s="29" t="s">
        <v>435</v>
      </c>
      <c r="C12" s="29" t="s">
        <v>436</v>
      </c>
      <c r="D12" s="6" t="str">
        <f>"0,6349"</f>
        <v>0,6349</v>
      </c>
      <c r="E12" s="6" t="s">
        <v>27</v>
      </c>
      <c r="F12" s="6" t="s">
        <v>28</v>
      </c>
      <c r="G12" s="28" t="s">
        <v>437</v>
      </c>
      <c r="H12" s="28"/>
      <c r="I12" s="28"/>
      <c r="J12" s="7"/>
      <c r="K12" s="29" t="s">
        <v>437</v>
      </c>
      <c r="L12" s="36" t="s">
        <v>438</v>
      </c>
    </row>
    <row r="13" spans="1:13" ht="15">
      <c r="A13" s="65" t="s">
        <v>439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7"/>
    </row>
    <row r="14" spans="1:13">
      <c r="A14" s="29" t="s">
        <v>440</v>
      </c>
      <c r="B14" s="29" t="s">
        <v>441</v>
      </c>
      <c r="C14" s="29" t="s">
        <v>442</v>
      </c>
      <c r="D14" s="6" t="str">
        <f>"0,6349"</f>
        <v>0,6349</v>
      </c>
      <c r="E14" s="6" t="s">
        <v>27</v>
      </c>
      <c r="F14" s="6" t="s">
        <v>28</v>
      </c>
      <c r="G14" s="28" t="s">
        <v>443</v>
      </c>
      <c r="H14" s="28"/>
      <c r="I14" s="28"/>
      <c r="J14" s="7"/>
      <c r="K14" s="29" t="s">
        <v>443</v>
      </c>
      <c r="L14" s="36" t="s">
        <v>444</v>
      </c>
    </row>
    <row r="17" spans="1:6" ht="15">
      <c r="E17" s="10" t="s">
        <v>39</v>
      </c>
      <c r="F17" s="27" t="s">
        <v>379</v>
      </c>
    </row>
    <row r="18" spans="1:6" ht="15">
      <c r="E18" s="10" t="s">
        <v>40</v>
      </c>
      <c r="F18" s="27" t="s">
        <v>384</v>
      </c>
    </row>
    <row r="19" spans="1:6" ht="15">
      <c r="E19" s="10" t="s">
        <v>41</v>
      </c>
      <c r="F19" s="27" t="s">
        <v>381</v>
      </c>
    </row>
    <row r="20" spans="1:6" ht="15">
      <c r="E20" s="10" t="s">
        <v>42</v>
      </c>
      <c r="F20" s="27" t="s">
        <v>382</v>
      </c>
    </row>
    <row r="21" spans="1:6" ht="15">
      <c r="E21" s="10" t="s">
        <v>42</v>
      </c>
      <c r="F21" s="27" t="s">
        <v>383</v>
      </c>
    </row>
    <row r="22" spans="1:6" ht="15">
      <c r="E22" s="10" t="s">
        <v>43</v>
      </c>
      <c r="F22" s="27" t="s">
        <v>380</v>
      </c>
    </row>
    <row r="23" spans="1:6" ht="18">
      <c r="A23" s="11" t="s">
        <v>44</v>
      </c>
      <c r="B23" s="11"/>
      <c r="C23" s="5"/>
      <c r="D23" s="5"/>
      <c r="E23" s="5"/>
    </row>
    <row r="24" spans="1:6" ht="15">
      <c r="A24" s="12" t="s">
        <v>81</v>
      </c>
      <c r="B24" s="12"/>
      <c r="C24" s="5"/>
      <c r="D24" s="5"/>
      <c r="E24" s="5"/>
    </row>
    <row r="25" spans="1:6" ht="14.25">
      <c r="A25" s="14"/>
      <c r="B25" s="15" t="s">
        <v>56</v>
      </c>
      <c r="C25" s="5"/>
      <c r="D25" s="5"/>
      <c r="E25" s="5"/>
    </row>
    <row r="26" spans="1:6" ht="15">
      <c r="A26" s="16" t="s">
        <v>47</v>
      </c>
      <c r="B26" s="16" t="s">
        <v>48</v>
      </c>
      <c r="C26" s="16" t="s">
        <v>49</v>
      </c>
      <c r="D26" s="16" t="s">
        <v>50</v>
      </c>
      <c r="E26" s="16" t="s">
        <v>446</v>
      </c>
    </row>
    <row r="27" spans="1:6">
      <c r="A27" s="27" t="s">
        <v>90</v>
      </c>
      <c r="B27" s="5" t="s">
        <v>56</v>
      </c>
      <c r="C27" s="27" t="s">
        <v>445</v>
      </c>
      <c r="D27" s="27" t="s">
        <v>415</v>
      </c>
      <c r="E27" s="17" t="s">
        <v>417</v>
      </c>
    </row>
    <row r="28" spans="1:6">
      <c r="A28" s="27"/>
      <c r="B28" s="5"/>
      <c r="C28" s="27"/>
      <c r="D28" s="27"/>
      <c r="E28" s="17"/>
    </row>
    <row r="29" spans="1:6">
      <c r="A29" s="27"/>
      <c r="B29" s="5"/>
      <c r="C29" s="31"/>
      <c r="D29" s="31"/>
      <c r="E29" s="17"/>
    </row>
    <row r="30" spans="1:6" ht="15">
      <c r="A30" s="12" t="s">
        <v>45</v>
      </c>
      <c r="B30" s="12"/>
      <c r="C30" s="5"/>
      <c r="D30" s="5"/>
      <c r="E30" s="5"/>
    </row>
    <row r="31" spans="1:6" ht="14.25">
      <c r="A31" s="14"/>
      <c r="B31" s="15" t="s">
        <v>56</v>
      </c>
      <c r="C31" s="5"/>
      <c r="D31" s="5"/>
      <c r="E31" s="5"/>
    </row>
    <row r="32" spans="1:6" ht="15">
      <c r="A32" s="16" t="s">
        <v>47</v>
      </c>
      <c r="B32" s="16" t="s">
        <v>48</v>
      </c>
      <c r="C32" s="16" t="s">
        <v>49</v>
      </c>
      <c r="D32" s="16" t="s">
        <v>50</v>
      </c>
      <c r="E32" s="16" t="s">
        <v>51</v>
      </c>
    </row>
    <row r="33" spans="1:5">
      <c r="A33" s="27" t="s">
        <v>107</v>
      </c>
      <c r="B33" s="27" t="s">
        <v>451</v>
      </c>
      <c r="C33" s="27" t="s">
        <v>452</v>
      </c>
      <c r="D33" s="27" t="s">
        <v>420</v>
      </c>
      <c r="E33" s="17" t="s">
        <v>421</v>
      </c>
    </row>
    <row r="34" spans="1:5">
      <c r="A34" s="27" t="s">
        <v>107</v>
      </c>
      <c r="B34" s="5" t="s">
        <v>56</v>
      </c>
      <c r="C34" s="27" t="s">
        <v>452</v>
      </c>
      <c r="D34" s="27" t="s">
        <v>420</v>
      </c>
      <c r="E34" s="17" t="s">
        <v>421</v>
      </c>
    </row>
    <row r="35" spans="1:5">
      <c r="A35" s="27" t="s">
        <v>449</v>
      </c>
      <c r="B35" s="27" t="s">
        <v>451</v>
      </c>
      <c r="C35" s="31">
        <v>71.150000000000006</v>
      </c>
      <c r="D35" s="31">
        <v>34</v>
      </c>
      <c r="E35" s="17" t="s">
        <v>433</v>
      </c>
    </row>
    <row r="36" spans="1:5">
      <c r="A36" s="27" t="s">
        <v>147</v>
      </c>
      <c r="B36" s="5" t="s">
        <v>56</v>
      </c>
      <c r="C36" s="30">
        <v>73</v>
      </c>
      <c r="D36" s="30">
        <v>44</v>
      </c>
      <c r="E36" s="30">
        <v>33.15</v>
      </c>
    </row>
    <row r="37" spans="1:5">
      <c r="A37" s="27" t="s">
        <v>450</v>
      </c>
      <c r="B37" s="5" t="s">
        <v>56</v>
      </c>
      <c r="C37" s="30">
        <v>98.6</v>
      </c>
      <c r="D37" s="30">
        <v>65</v>
      </c>
      <c r="E37" s="30">
        <v>36.256999999999998</v>
      </c>
    </row>
  </sheetData>
  <mergeCells count="15">
    <mergeCell ref="A13:M13"/>
    <mergeCell ref="K3:K4"/>
    <mergeCell ref="L3:L4"/>
    <mergeCell ref="M3:M4"/>
    <mergeCell ref="A5:M5"/>
    <mergeCell ref="A10:M10"/>
    <mergeCell ref="A7:L7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Люб. тяга софт экип.</vt:lpstr>
      <vt:lpstr>Люб. жим софт экип.</vt:lpstr>
      <vt:lpstr>Люб. тяга б.э.</vt:lpstr>
      <vt:lpstr>Люб. жим б.э.</vt:lpstr>
      <vt:lpstr>ПРО жим софт экип.</vt:lpstr>
      <vt:lpstr>ПРО тяга б.э.</vt:lpstr>
      <vt:lpstr>ПРО жим б.э.</vt:lpstr>
      <vt:lpstr>Военный жим Любители</vt:lpstr>
      <vt:lpstr>Русский жим. Любители</vt:lpstr>
      <vt:lpstr>Русский жим. ПРО</vt:lpstr>
      <vt:lpstr>Народный жим. Любители</vt:lpstr>
      <vt:lpstr>Народный жим ПРО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Андрей</cp:lastModifiedBy>
  <cp:lastPrinted>2015-07-16T19:10:53Z</cp:lastPrinted>
  <dcterms:created xsi:type="dcterms:W3CDTF">2002-06-16T13:36:44Z</dcterms:created>
  <dcterms:modified xsi:type="dcterms:W3CDTF">2018-03-19T12:35:19Z</dcterms:modified>
</cp:coreProperties>
</file>