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«Excalibur»" sheetId="1" state="visible" r:id="rId2"/>
    <sheet name="«Rus brick»" sheetId="2" state="visible" r:id="rId3"/>
    <sheet name="«Rus Axle»" sheetId="3" state="visible" r:id="rId4"/>
    <sheet name="«Russian Roullette»" sheetId="4" state="visible" r:id="rId5"/>
    <sheet name="WPC SC" sheetId="5" state="visible" r:id="rId6"/>
    <sheet name="AWPC SC" sheetId="6" state="visible" r:id="rId7"/>
    <sheet name="AWPC s.ply DL" sheetId="7" state="visible" r:id="rId8"/>
    <sheet name="AWPC raw DL" sheetId="8" state="visible" r:id="rId9"/>
    <sheet name="WPC s.ply DL" sheetId="9" state="visible" r:id="rId10"/>
    <sheet name="WPC raw DL" sheetId="10" state="visible" r:id="rId11"/>
    <sheet name="AWPC MP soft eq. BP" sheetId="11" state="visible" r:id="rId12"/>
    <sheet name="AWPC s.ply BP" sheetId="12" state="visible" r:id="rId13"/>
    <sheet name="AWPC raw BP" sheetId="13" state="visible" r:id="rId14"/>
    <sheet name="AWPC s.ply PL" sheetId="14" state="visible" r:id="rId15"/>
    <sheet name="AWPC Classic RAW PL" sheetId="15" state="visible" r:id="rId16"/>
    <sheet name="AWPC raw PL" sheetId="16" state="visible" r:id="rId17"/>
    <sheet name="WPC soft eq. BP" sheetId="17" state="visible" r:id="rId18"/>
    <sheet name="WPC m.ply BP" sheetId="18" state="visible" r:id="rId19"/>
    <sheet name="WPC s.ply BP" sheetId="19" state="visible" r:id="rId20"/>
    <sheet name="WPC raw BP" sheetId="20" state="visible" r:id="rId21"/>
    <sheet name="WPC s.ply PL" sheetId="21" state="visible" r:id="rId22"/>
    <sheet name="WPC Classic RAW PL" sheetId="22" state="visible" r:id="rId23"/>
    <sheet name="WPC raw PL" sheetId="23" state="visible" r:id="rId24"/>
  </sheets>
  <definedNames>
    <definedName function="false" hidden="false" localSheetId="3" name="_FilterDatabase" vbProcedure="false">'«Russian Roullette»'!$A$1:$J$3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<sst xmlns="http://schemas.openxmlformats.org/spreadsheetml/2006/main" count="3972" uniqueCount="1161">
  <si>
    <t xml:space="preserve">World Cup
«Excalibur»
Dolgoprudnyj/Moscow 5 december 2020 y.</t>
  </si>
  <si>
    <t xml:space="preserve">Name</t>
  </si>
  <si>
    <t xml:space="preserve">Age Categoty
Bith date/Age</t>
  </si>
  <si>
    <t xml:space="preserve">Body
weight</t>
  </si>
  <si>
    <t xml:space="preserve">Gloss</t>
  </si>
  <si>
    <t xml:space="preserve">Team</t>
  </si>
  <si>
    <t xml:space="preserve">Town/Country</t>
  </si>
  <si>
    <t xml:space="preserve">Armlift</t>
  </si>
  <si>
    <t xml:space="preserve">Result</t>
  </si>
  <si>
    <t xml:space="preserve">Body Weight Category  80</t>
  </si>
  <si>
    <t xml:space="preserve">1. Krikunov Yuriy</t>
  </si>
  <si>
    <t xml:space="preserve">Master 40+ (25.05.1957)/63</t>
  </si>
  <si>
    <t xml:space="preserve">76,20</t>
  </si>
  <si>
    <t xml:space="preserve">lichno</t>
  </si>
  <si>
    <t xml:space="preserve">RUS/Vladivostok</t>
  </si>
  <si>
    <t xml:space="preserve">40,0</t>
  </si>
  <si>
    <t xml:space="preserve">50,0</t>
  </si>
  <si>
    <t xml:space="preserve">60,0</t>
  </si>
  <si>
    <t xml:space="preserve">70,0</t>
  </si>
  <si>
    <t xml:space="preserve">="70,0"</t>
  </si>
  <si>
    <t xml:space="preserve">="67,6943"</t>
  </si>
  <si>
    <t xml:space="preserve">Body Weight Category  125</t>
  </si>
  <si>
    <t xml:space="preserve">1. Lykyanov Sergey</t>
  </si>
  <si>
    <t xml:space="preserve">Master 40+ (25.10.1955)/65</t>
  </si>
  <si>
    <t xml:space="preserve">124,00</t>
  </si>
  <si>
    <t xml:space="preserve">RUS/Moskva</t>
  </si>
  <si>
    <t xml:space="preserve">80,0</t>
  </si>
  <si>
    <t xml:space="preserve">Meet director:</t>
  </si>
  <si>
    <t xml:space="preserve">Head secretary:</t>
  </si>
  <si>
    <t xml:space="preserve">Head Referee:</t>
  </si>
  <si>
    <t xml:space="preserve">Side Referyy Left:</t>
  </si>
  <si>
    <t xml:space="preserve">Side Referyy Right:</t>
  </si>
  <si>
    <t xml:space="preserve">Fligth secretary:</t>
  </si>
  <si>
    <t xml:space="preserve">List absolute winners</t>
  </si>
  <si>
    <t xml:space="preserve">Man</t>
  </si>
  <si>
    <t xml:space="preserve">Master</t>
  </si>
  <si>
    <t xml:space="preserve">Age class</t>
  </si>
  <si>
    <t xml:space="preserve">WC</t>
  </si>
  <si>
    <t xml:space="preserve">Best</t>
  </si>
  <si>
    <t xml:space="preserve">Krikunov Yuriy</t>
  </si>
  <si>
    <t xml:space="preserve">Master 40+</t>
  </si>
  <si>
    <t xml:space="preserve">80</t>
  </si>
  <si>
    <t xml:space="preserve">67,6943</t>
  </si>
  <si>
    <t xml:space="preserve">Lykyanov Sergey</t>
  </si>
  <si>
    <t xml:space="preserve">125</t>
  </si>
  <si>
    <t xml:space="preserve">56,6278</t>
  </si>
  <si>
    <t xml:space="preserve">World Cup
«Russian brick»
Dolgoprudnyj/Moscow 5 december 2020 y.</t>
  </si>
  <si>
    <t xml:space="preserve">Body Weight Category  70</t>
  </si>
  <si>
    <t xml:space="preserve">1. Sergeeva Victoriya</t>
  </si>
  <si>
    <t xml:space="preserve">Open (08.12.1982)/37</t>
  </si>
  <si>
    <t xml:space="preserve">66,40</t>
  </si>
  <si>
    <t xml:space="preserve">RUS/Nadym</t>
  </si>
  <si>
    <t xml:space="preserve">24,0</t>
  </si>
  <si>
    <t xml:space="preserve">29,0</t>
  </si>
  <si>
    <t xml:space="preserve">31,5</t>
  </si>
  <si>
    <t xml:space="preserve">34,0</t>
  </si>
  <si>
    <t xml:space="preserve">="31,5"</t>
  </si>
  <si>
    <t xml:space="preserve">="28,7060"</t>
  </si>
  <si>
    <t xml:space="preserve">Women</t>
  </si>
  <si>
    <t xml:space="preserve">Open</t>
  </si>
  <si>
    <t xml:space="preserve">Sergeeva Victoriya</t>
  </si>
  <si>
    <t xml:space="preserve">70</t>
  </si>
  <si>
    <t xml:space="preserve">28,7060</t>
  </si>
  <si>
    <t xml:space="preserve">World Cup
«Russian Axle»
Dolgoprudnyj/Moscow 5 december 2020 y.</t>
  </si>
  <si>
    <t xml:space="preserve">1. Petruk Aleksandr</t>
  </si>
  <si>
    <t xml:space="preserve">Master 40+ (18.09.1978)/42</t>
  </si>
  <si>
    <t xml:space="preserve">69,60</t>
  </si>
  <si>
    <t xml:space="preserve">100,0</t>
  </si>
  <si>
    <t xml:space="preserve">110,0</t>
  </si>
  <si>
    <t xml:space="preserve">120,0</t>
  </si>
  <si>
    <t xml:space="preserve">="110,0"</t>
  </si>
  <si>
    <t xml:space="preserve">="81,8667"</t>
  </si>
  <si>
    <t xml:space="preserve">90,0</t>
  </si>
  <si>
    <t xml:space="preserve">130,0</t>
  </si>
  <si>
    <t xml:space="preserve">Body Weight Category  90</t>
  </si>
  <si>
    <t xml:space="preserve">1. Odegov Nikita</t>
  </si>
  <si>
    <t xml:space="preserve">Open (18.07.1990)/30</t>
  </si>
  <si>
    <t xml:space="preserve">88,50</t>
  </si>
  <si>
    <t xml:space="preserve">RUS/Khimki</t>
  </si>
  <si>
    <t xml:space="preserve">140,0</t>
  </si>
  <si>
    <t xml:space="preserve">150,0</t>
  </si>
  <si>
    <t xml:space="preserve">160,0</t>
  </si>
  <si>
    <t xml:space="preserve">Body Weight Category  100</t>
  </si>
  <si>
    <t xml:space="preserve">1. Esayan Evgeniy</t>
  </si>
  <si>
    <t xml:space="preserve">Open (28.01.1993)/27</t>
  </si>
  <si>
    <t xml:space="preserve">94,90</t>
  </si>
  <si>
    <t xml:space="preserve">1. Bykov Ivan</t>
  </si>
  <si>
    <t xml:space="preserve">Open (02.07.1984)/36</t>
  </si>
  <si>
    <t xml:space="preserve">114,20</t>
  </si>
  <si>
    <t xml:space="preserve">RUS/Tyumen</t>
  </si>
  <si>
    <t xml:space="preserve">170,0</t>
  </si>
  <si>
    <t xml:space="preserve">180,0</t>
  </si>
  <si>
    <t xml:space="preserve">Bykov Ivan</t>
  </si>
  <si>
    <t xml:space="preserve">94,7070</t>
  </si>
  <si>
    <t xml:space="preserve">Odegov Nikita</t>
  </si>
  <si>
    <t xml:space="preserve">90</t>
  </si>
  <si>
    <t xml:space="preserve">92,6550</t>
  </si>
  <si>
    <t xml:space="preserve">Esayan Evgeniy</t>
  </si>
  <si>
    <t xml:space="preserve">100</t>
  </si>
  <si>
    <t xml:space="preserve">89,2800</t>
  </si>
  <si>
    <t xml:space="preserve">116,0474</t>
  </si>
  <si>
    <t xml:space="preserve">Petruk Aleksandr</t>
  </si>
  <si>
    <t xml:space="preserve">81,8667</t>
  </si>
  <si>
    <t xml:space="preserve">World Cup
«Russian Roullette»
Dolgoprudnyj/Moscow 5 december 2020 y.</t>
  </si>
  <si>
    <t xml:space="preserve">20,5</t>
  </si>
  <si>
    <t xml:space="preserve">23,0</t>
  </si>
  <si>
    <t xml:space="preserve">28,0</t>
  </si>
  <si>
    <t xml:space="preserve">30,5</t>
  </si>
  <si>
    <t xml:space="preserve">="30,5"</t>
  </si>
  <si>
    <t xml:space="preserve">="27,7947"</t>
  </si>
  <si>
    <t xml:space="preserve">40,5</t>
  </si>
  <si>
    <t xml:space="preserve">53,0</t>
  </si>
  <si>
    <t xml:space="preserve">58,0</t>
  </si>
  <si>
    <t xml:space="preserve">63,0</t>
  </si>
  <si>
    <t xml:space="preserve">1. Vitkevich Nikolay</t>
  </si>
  <si>
    <t xml:space="preserve">Open (27.09.1965)/55</t>
  </si>
  <si>
    <t xml:space="preserve">115,30</t>
  </si>
  <si>
    <t xml:space="preserve">RUS/Bryansk</t>
  </si>
  <si>
    <t xml:space="preserve">48,0</t>
  </si>
  <si>
    <t xml:space="preserve">Master 40+ (27.09.1965)/55</t>
  </si>
  <si>
    <t xml:space="preserve">27,7947</t>
  </si>
  <si>
    <t xml:space="preserve">Vitkevich Nikolay</t>
  </si>
  <si>
    <t xml:space="preserve">35,0186</t>
  </si>
  <si>
    <t xml:space="preserve">56,0896</t>
  </si>
  <si>
    <t xml:space="preserve">42,8977</t>
  </si>
  <si>
    <t xml:space="preserve">World Cup WPC/AWPC/WAA
WPC Strict Curl
Dolgoprudnyj/Moscow 5 - 6 december 2020 y.</t>
  </si>
  <si>
    <t xml:space="preserve">Age Class
Bith date/Age</t>
  </si>
  <si>
    <t xml:space="preserve">Biceps curl</t>
  </si>
  <si>
    <t xml:space="preserve">Pts</t>
  </si>
  <si>
    <t xml:space="preserve">Coach</t>
  </si>
  <si>
    <t xml:space="preserve">Rec</t>
  </si>
  <si>
    <t xml:space="preserve">Body Weight Category  67.5</t>
  </si>
  <si>
    <t xml:space="preserve">20,0</t>
  </si>
  <si>
    <t xml:space="preserve">22,5</t>
  </si>
  <si>
    <t xml:space="preserve">25,0</t>
  </si>
  <si>
    <t xml:space="preserve">1. Mischenko Artem</t>
  </si>
  <si>
    <t xml:space="preserve">Open (26.06.1984)/36</t>
  </si>
  <si>
    <t xml:space="preserve">88,70</t>
  </si>
  <si>
    <t xml:space="preserve">75,0</t>
  </si>
  <si>
    <t xml:space="preserve">2. Pankov Boris</t>
  </si>
  <si>
    <t xml:space="preserve">Open (26.04.1993)/27</t>
  </si>
  <si>
    <t xml:space="preserve">89,00</t>
  </si>
  <si>
    <t xml:space="preserve">RUS/Tula</t>
  </si>
  <si>
    <t xml:space="preserve">67,5</t>
  </si>
  <si>
    <t xml:space="preserve">Body Weight Category  110</t>
  </si>
  <si>
    <t xml:space="preserve">1. Berlizov Maksim</t>
  </si>
  <si>
    <t xml:space="preserve">Open (26.03.1991)/29</t>
  </si>
  <si>
    <t xml:space="preserve">101,90</t>
  </si>
  <si>
    <t xml:space="preserve">RUS/Mirnyy</t>
  </si>
  <si>
    <t xml:space="preserve">65,0</t>
  </si>
  <si>
    <t xml:space="preserve">95,0</t>
  </si>
  <si>
    <t xml:space="preserve">67.5</t>
  </si>
  <si>
    <t xml:space="preserve">22,7825</t>
  </si>
  <si>
    <t xml:space="preserve">Mischenko Artem</t>
  </si>
  <si>
    <t xml:space="preserve">46,2638</t>
  </si>
  <si>
    <t xml:space="preserve">Pankov Boris</t>
  </si>
  <si>
    <t xml:space="preserve">41,5598</t>
  </si>
  <si>
    <t xml:space="preserve">Berlizov Maksim</t>
  </si>
  <si>
    <t xml:space="preserve">110</t>
  </si>
  <si>
    <t xml:space="preserve">37,4985</t>
  </si>
  <si>
    <t xml:space="preserve">World Cup WPC/AWPC/WAA
AWPC Strict Curl
Dolgoprudnyj/Moscow 5 - 6 december 2020 y.</t>
  </si>
  <si>
    <t xml:space="preserve">1. Moskvicheva Ludmila</t>
  </si>
  <si>
    <t xml:space="preserve">Open (09.01.1991)/29</t>
  </si>
  <si>
    <t xml:space="preserve">63,90</t>
  </si>
  <si>
    <t xml:space="preserve">Vidnye</t>
  </si>
  <si>
    <t xml:space="preserve">RUS/Vidnoye</t>
  </si>
  <si>
    <t xml:space="preserve">30,0</t>
  </si>
  <si>
    <t xml:space="preserve">35,0</t>
  </si>
  <si>
    <t xml:space="preserve">-. Ilchenko Vasiliy</t>
  </si>
  <si>
    <t xml:space="preserve">Masters 55-59 (13.05.1963)/57</t>
  </si>
  <si>
    <t xml:space="preserve">67,40</t>
  </si>
  <si>
    <t xml:space="preserve">RUS/Novokuznetsk</t>
  </si>
  <si>
    <t xml:space="preserve">52,5</t>
  </si>
  <si>
    <t xml:space="preserve">Body Weight Category  75</t>
  </si>
  <si>
    <t xml:space="preserve">1. Karpov Ivan</t>
  </si>
  <si>
    <t xml:space="preserve">Open (09.12.1987)/32</t>
  </si>
  <si>
    <t xml:space="preserve">73,50</t>
  </si>
  <si>
    <t xml:space="preserve">55,0</t>
  </si>
  <si>
    <t xml:space="preserve">57,5</t>
  </si>
  <si>
    <t xml:space="preserve">2. Khokhlov Stanislav</t>
  </si>
  <si>
    <t xml:space="preserve">Open (24.02.1983)/37</t>
  </si>
  <si>
    <t xml:space="preserve">74,20</t>
  </si>
  <si>
    <t xml:space="preserve">RUS/Smolensk</t>
  </si>
  <si>
    <t xml:space="preserve">-. Shigapov Maksim</t>
  </si>
  <si>
    <t xml:space="preserve">Open (11.10.1988)/32</t>
  </si>
  <si>
    <t xml:space="preserve">68,60</t>
  </si>
  <si>
    <t xml:space="preserve">RUS/Vanino</t>
  </si>
  <si>
    <t xml:space="preserve">Body Weight Category  82.5</t>
  </si>
  <si>
    <t xml:space="preserve">1. Ilchenko Maksim</t>
  </si>
  <si>
    <t xml:space="preserve">Open (13.12.1989)/30</t>
  </si>
  <si>
    <t xml:space="preserve">80,10</t>
  </si>
  <si>
    <t xml:space="preserve">62,5</t>
  </si>
  <si>
    <t xml:space="preserve">1. Petrichenko Maksim</t>
  </si>
  <si>
    <t xml:space="preserve">Open (31.05.1987)/33</t>
  </si>
  <si>
    <t xml:space="preserve">84,70</t>
  </si>
  <si>
    <t xml:space="preserve">RUS/Ryazan</t>
  </si>
  <si>
    <t xml:space="preserve">2. Mushinskiy Sergey</t>
  </si>
  <si>
    <t xml:space="preserve">Open (14.03.1991)/29</t>
  </si>
  <si>
    <t xml:space="preserve">85,20</t>
  </si>
  <si>
    <t xml:space="preserve">RUS/Ramenskoye</t>
  </si>
  <si>
    <t xml:space="preserve">3. Bodrenkov Victor</t>
  </si>
  <si>
    <t xml:space="preserve">Open (10.06.1990)/30</t>
  </si>
  <si>
    <t xml:space="preserve">86,20</t>
  </si>
  <si>
    <t xml:space="preserve">1. Lebedev Aleksandr</t>
  </si>
  <si>
    <t xml:space="preserve">Masters 45-49 (20.12.1972)/47</t>
  </si>
  <si>
    <t xml:space="preserve">86,30</t>
  </si>
  <si>
    <t xml:space="preserve">45,0</t>
  </si>
  <si>
    <t xml:space="preserve">1. Vasilev Vladislav</t>
  </si>
  <si>
    <t xml:space="preserve">Open (30.06.1990)/30</t>
  </si>
  <si>
    <t xml:space="preserve">97,10</t>
  </si>
  <si>
    <t xml:space="preserve">RUS/Magadan</t>
  </si>
  <si>
    <t xml:space="preserve">72,5</t>
  </si>
  <si>
    <t xml:space="preserve">1. Konev Artem</t>
  </si>
  <si>
    <t xml:space="preserve">Open (04.03.1994)/26</t>
  </si>
  <si>
    <t xml:space="preserve">103,50</t>
  </si>
  <si>
    <t xml:space="preserve">1. Frank Vyacheslav</t>
  </si>
  <si>
    <t xml:space="preserve">Masters 55-59 (03.03.1962)/58</t>
  </si>
  <si>
    <t xml:space="preserve">104,40</t>
  </si>
  <si>
    <t xml:space="preserve">RUS/Pavlovo</t>
  </si>
  <si>
    <t xml:space="preserve">1. Chernov Eduard</t>
  </si>
  <si>
    <t xml:space="preserve">Open (19.06.1982)/38</t>
  </si>
  <si>
    <t xml:space="preserve">112,00</t>
  </si>
  <si>
    <t xml:space="preserve">Moskvicheva Ludmila</t>
  </si>
  <si>
    <t xml:space="preserve">28,1760</t>
  </si>
  <si>
    <t xml:space="preserve">Ilchenko Maksim</t>
  </si>
  <si>
    <t xml:space="preserve">82.5</t>
  </si>
  <si>
    <t xml:space="preserve">46,0110</t>
  </si>
  <si>
    <t xml:space="preserve">Vasilev Vladislav</t>
  </si>
  <si>
    <t xml:space="preserve">41,2195</t>
  </si>
  <si>
    <t xml:space="preserve">Petrichenko Maksim</t>
  </si>
  <si>
    <t xml:space="preserve">41,2100</t>
  </si>
  <si>
    <t xml:space="preserve">Karpov Ivan</t>
  </si>
  <si>
    <t xml:space="preserve">75</t>
  </si>
  <si>
    <t xml:space="preserve">40,1925</t>
  </si>
  <si>
    <t xml:space="preserve">Konev Artem</t>
  </si>
  <si>
    <t xml:space="preserve">37,2807</t>
  </si>
  <si>
    <t xml:space="preserve">Chernov Eduard</t>
  </si>
  <si>
    <t xml:space="preserve">36,3838</t>
  </si>
  <si>
    <t xml:space="preserve">Mushinskiy Sergey</t>
  </si>
  <si>
    <t xml:space="preserve">34,7435</t>
  </si>
  <si>
    <t xml:space="preserve">Khokhlov Stanislav</t>
  </si>
  <si>
    <t xml:space="preserve">34,7000</t>
  </si>
  <si>
    <t xml:space="preserve">Bodrenkov Victor</t>
  </si>
  <si>
    <t xml:space="preserve">34,4988</t>
  </si>
  <si>
    <t xml:space="preserve">Masters</t>
  </si>
  <si>
    <t xml:space="preserve">Lebedev Aleksandr</t>
  </si>
  <si>
    <t xml:space="preserve">Masters 45-49</t>
  </si>
  <si>
    <t xml:space="preserve">37,3038</t>
  </si>
  <si>
    <t xml:space="preserve">Frank Vyacheslav</t>
  </si>
  <si>
    <t xml:space="preserve">Masters 55-59</t>
  </si>
  <si>
    <t xml:space="preserve">36,9097</t>
  </si>
  <si>
    <t xml:space="preserve">World Cup WPC/AWPC/WAA
AWPC single ply deadlift
Dolgoprudnyj/Moscow 5 - 6 december 2020 y.</t>
  </si>
  <si>
    <t xml:space="preserve">Deadlift</t>
  </si>
  <si>
    <t xml:space="preserve">1. Gusev Sergey</t>
  </si>
  <si>
    <t xml:space="preserve">Masters 40-44 (19.09.1976)/44</t>
  </si>
  <si>
    <t xml:space="preserve">72,10</t>
  </si>
  <si>
    <t xml:space="preserve">RUS/Sankt-Peterburg</t>
  </si>
  <si>
    <t xml:space="preserve">185,0</t>
  </si>
  <si>
    <t xml:space="preserve">Gusev Sergey</t>
  </si>
  <si>
    <t xml:space="preserve">Masters 40-44</t>
  </si>
  <si>
    <t xml:space="preserve">136,8919</t>
  </si>
  <si>
    <t xml:space="preserve">World Cup WPC/AWPC/WAA
AWPC raw deadlift
Dolgoprudnyj/Moscow 5 - 6 december 2020 y.</t>
  </si>
  <si>
    <t xml:space="preserve">Body Weight Category  56</t>
  </si>
  <si>
    <t xml:space="preserve">1. Lysichenkova Diana</t>
  </si>
  <si>
    <t xml:space="preserve">Juniors 20-23 (03.01.2000)/20</t>
  </si>
  <si>
    <t xml:space="preserve">55,00</t>
  </si>
  <si>
    <t xml:space="preserve">Zubr</t>
  </si>
  <si>
    <t xml:space="preserve">RUS/Reutov</t>
  </si>
  <si>
    <t xml:space="preserve">102,5</t>
  </si>
  <si>
    <t xml:space="preserve">105,0</t>
  </si>
  <si>
    <t xml:space="preserve">1. Kochetova Elena</t>
  </si>
  <si>
    <t xml:space="preserve">Open (03.06.1987)/33</t>
  </si>
  <si>
    <t xml:space="preserve">54,60</t>
  </si>
  <si>
    <t xml:space="preserve">107,5</t>
  </si>
  <si>
    <t xml:space="preserve">Dosaliyev Vladislav</t>
  </si>
  <si>
    <t xml:space="preserve">2. Anisimova Kristina</t>
  </si>
  <si>
    <t xml:space="preserve">Open (19.02.1992)/28</t>
  </si>
  <si>
    <t xml:space="preserve">54,90</t>
  </si>
  <si>
    <t xml:space="preserve">85,0</t>
  </si>
  <si>
    <t xml:space="preserve">3. Zvezdilina Kseniya</t>
  </si>
  <si>
    <t xml:space="preserve">Open (06.02.1991)/29</t>
  </si>
  <si>
    <t xml:space="preserve">Body Weight Category  60</t>
  </si>
  <si>
    <t xml:space="preserve">1. Yakovleva Elena</t>
  </si>
  <si>
    <t xml:space="preserve">Open (04.12.1983)/37</t>
  </si>
  <si>
    <t xml:space="preserve">58,20</t>
  </si>
  <si>
    <t xml:space="preserve">RUS/Volzhskiy</t>
  </si>
  <si>
    <t xml:space="preserve">Body Weight Category  52</t>
  </si>
  <si>
    <t xml:space="preserve">1. Vyshinskiy Nikita</t>
  </si>
  <si>
    <t xml:space="preserve">Teen 13-15 (30.11.2007)/13</t>
  </si>
  <si>
    <t xml:space="preserve">49,40</t>
  </si>
  <si>
    <t xml:space="preserve">77,5</t>
  </si>
  <si>
    <t xml:space="preserve">1. Sleptsov Sergey</t>
  </si>
  <si>
    <t xml:space="preserve">Open (15.02.1993)/27</t>
  </si>
  <si>
    <t xml:space="preserve">58,80</t>
  </si>
  <si>
    <t xml:space="preserve">RUS/Srednekolymsk</t>
  </si>
  <si>
    <t xml:space="preserve">200,0</t>
  </si>
  <si>
    <t xml:space="preserve">207,5</t>
  </si>
  <si>
    <t xml:space="preserve">1. Scherbakov Dmirtiy</t>
  </si>
  <si>
    <t xml:space="preserve">Open (27.04.1984)/36</t>
  </si>
  <si>
    <t xml:space="preserve">62,10</t>
  </si>
  <si>
    <t xml:space="preserve">RUS/Dmitrov</t>
  </si>
  <si>
    <t xml:space="preserve">195,0</t>
  </si>
  <si>
    <t xml:space="preserve">205,0</t>
  </si>
  <si>
    <t xml:space="preserve">1. Romanov Aleksey</t>
  </si>
  <si>
    <t xml:space="preserve">Open (05.02.1986)/34</t>
  </si>
  <si>
    <t xml:space="preserve">74,30</t>
  </si>
  <si>
    <t xml:space="preserve">250,0</t>
  </si>
  <si>
    <t xml:space="preserve">260,5</t>
  </si>
  <si>
    <t xml:space="preserve">265,0</t>
  </si>
  <si>
    <t xml:space="preserve">155,0</t>
  </si>
  <si>
    <t xml:space="preserve">-. Gladkov Anatoliy</t>
  </si>
  <si>
    <t xml:space="preserve">Open (12.09.1981)/39</t>
  </si>
  <si>
    <t xml:space="preserve">75,00</t>
  </si>
  <si>
    <t xml:space="preserve">RUS/Yakutsk</t>
  </si>
  <si>
    <t xml:space="preserve">220,0</t>
  </si>
  <si>
    <t xml:space="preserve">1. Bolshakov Sergey</t>
  </si>
  <si>
    <t xml:space="preserve">Masters 55-59 (25.05.1964)/56</t>
  </si>
  <si>
    <t xml:space="preserve">72,50</t>
  </si>
  <si>
    <t xml:space="preserve">RUS/Neftekamsk</t>
  </si>
  <si>
    <t xml:space="preserve">1. Elkhin Egor</t>
  </si>
  <si>
    <t xml:space="preserve">Teen 16-17 (15.03.2003)/17</t>
  </si>
  <si>
    <t xml:space="preserve">81,20</t>
  </si>
  <si>
    <t xml:space="preserve">122,5</t>
  </si>
  <si>
    <t xml:space="preserve">137,5</t>
  </si>
  <si>
    <t xml:space="preserve">1. Sokolov Artem</t>
  </si>
  <si>
    <t xml:space="preserve">Juniors 20-23 (12.05.2000)/20</t>
  </si>
  <si>
    <t xml:space="preserve">80,70</t>
  </si>
  <si>
    <t xml:space="preserve">RUS/Ruza</t>
  </si>
  <si>
    <t xml:space="preserve">165,0</t>
  </si>
  <si>
    <t xml:space="preserve">1. Davtyan David</t>
  </si>
  <si>
    <t xml:space="preserve">Open (12.09.1986)/34</t>
  </si>
  <si>
    <t xml:space="preserve">80,30</t>
  </si>
  <si>
    <t xml:space="preserve">135,0</t>
  </si>
  <si>
    <t xml:space="preserve">162,5</t>
  </si>
  <si>
    <t xml:space="preserve">1. Skokin Victor</t>
  </si>
  <si>
    <t xml:space="preserve">Masters 60-64 (20.06.1957)/63</t>
  </si>
  <si>
    <t xml:space="preserve">75,50</t>
  </si>
  <si>
    <t xml:space="preserve">RUS/Voskresensk</t>
  </si>
  <si>
    <t xml:space="preserve">210,0</t>
  </si>
  <si>
    <t xml:space="preserve">215,0</t>
  </si>
  <si>
    <t xml:space="preserve">1. Lisenko Vyacheslav</t>
  </si>
  <si>
    <t xml:space="preserve">Open (16.10.1990)/30</t>
  </si>
  <si>
    <t xml:space="preserve">88,10</t>
  </si>
  <si>
    <t xml:space="preserve">Smirnov Power</t>
  </si>
  <si>
    <t xml:space="preserve">222,5</t>
  </si>
  <si>
    <t xml:space="preserve">227,5</t>
  </si>
  <si>
    <t xml:space="preserve">2. Khlopkov Aleksandr</t>
  </si>
  <si>
    <t xml:space="preserve">Open (08.06.1992)/28</t>
  </si>
  <si>
    <t xml:space="preserve">88,30</t>
  </si>
  <si>
    <t xml:space="preserve">RUS/Lipetsk</t>
  </si>
  <si>
    <t xml:space="preserve">190,0</t>
  </si>
  <si>
    <t xml:space="preserve">1. Gorbunov Sergey</t>
  </si>
  <si>
    <t xml:space="preserve">Open (13.11.1991)/29</t>
  </si>
  <si>
    <t xml:space="preserve">96,90</t>
  </si>
  <si>
    <t xml:space="preserve">RUS/Drezna</t>
  </si>
  <si>
    <t xml:space="preserve">245,0</t>
  </si>
  <si>
    <t xml:space="preserve">260,0</t>
  </si>
  <si>
    <t xml:space="preserve">1. Snezhikin Vladimir</t>
  </si>
  <si>
    <t xml:space="preserve">Masters 40-44 (23.05.1979)/41</t>
  </si>
  <si>
    <t xml:space="preserve">96,20</t>
  </si>
  <si>
    <t xml:space="preserve">Lisitskiy Vladimir</t>
  </si>
  <si>
    <t xml:space="preserve">Masters 65-69 (25.10.1955)/65</t>
  </si>
  <si>
    <t xml:space="preserve">Juniors</t>
  </si>
  <si>
    <t xml:space="preserve">Lysichenkova Diana</t>
  </si>
  <si>
    <t xml:space="preserve">Juniors 20-23</t>
  </si>
  <si>
    <t xml:space="preserve">56</t>
  </si>
  <si>
    <t xml:space="preserve">111,2055</t>
  </si>
  <si>
    <t xml:space="preserve">Yakovleva Elena</t>
  </si>
  <si>
    <t xml:space="preserve">60</t>
  </si>
  <si>
    <t xml:space="preserve">121,4400</t>
  </si>
  <si>
    <t xml:space="preserve">Kochetova Elena</t>
  </si>
  <si>
    <t xml:space="preserve">117,1830</t>
  </si>
  <si>
    <t xml:space="preserve">Anisimova Kristina</t>
  </si>
  <si>
    <t xml:space="preserve">111,3630</t>
  </si>
  <si>
    <t xml:space="preserve">Zvezdilina Kseniya</t>
  </si>
  <si>
    <t xml:space="preserve">95,3190</t>
  </si>
  <si>
    <t xml:space="preserve">Teen</t>
  </si>
  <si>
    <t xml:space="preserve">Elkhin Egor</t>
  </si>
  <si>
    <t xml:space="preserve">Teen 16-17</t>
  </si>
  <si>
    <t xml:space="preserve">84,6690</t>
  </si>
  <si>
    <t xml:space="preserve">Vyshinskiy Nikita</t>
  </si>
  <si>
    <t xml:space="preserve">Teen 13-15</t>
  </si>
  <si>
    <t xml:space="preserve">52</t>
  </si>
  <si>
    <t xml:space="preserve">79,3523</t>
  </si>
  <si>
    <t xml:space="preserve">Sokolov Artem</t>
  </si>
  <si>
    <t xml:space="preserve">111,1800</t>
  </si>
  <si>
    <t xml:space="preserve">Romanov Aleksey</t>
  </si>
  <si>
    <t xml:space="preserve">180,2710</t>
  </si>
  <si>
    <t xml:space="preserve">Sleptsov Sergey</t>
  </si>
  <si>
    <t xml:space="preserve">169,9000</t>
  </si>
  <si>
    <t xml:space="preserve">Scherbakov Dmirtiy</t>
  </si>
  <si>
    <t xml:space="preserve">157,1798</t>
  </si>
  <si>
    <t xml:space="preserve">Gorbunov Sergey</t>
  </si>
  <si>
    <t xml:space="preserve">153,2440</t>
  </si>
  <si>
    <t xml:space="preserve">Lisenko Vyacheslav</t>
  </si>
  <si>
    <t xml:space="preserve">137,7831</t>
  </si>
  <si>
    <t xml:space="preserve">Khlopkov Aleksandr</t>
  </si>
  <si>
    <t xml:space="preserve">129,8745</t>
  </si>
  <si>
    <t xml:space="preserve">107,5700</t>
  </si>
  <si>
    <t xml:space="preserve">Davtyan David</t>
  </si>
  <si>
    <t xml:space="preserve">106,6244</t>
  </si>
  <si>
    <t xml:space="preserve">Skokin Victor</t>
  </si>
  <si>
    <t xml:space="preserve">Masters 60-64</t>
  </si>
  <si>
    <t xml:space="preserve">209,3236</t>
  </si>
  <si>
    <t xml:space="preserve">Masters 65-69</t>
  </si>
  <si>
    <t xml:space="preserve">161,7936</t>
  </si>
  <si>
    <t xml:space="preserve">Snezhikin Vladimir</t>
  </si>
  <si>
    <t xml:space="preserve">116,4762</t>
  </si>
  <si>
    <t xml:space="preserve">Bolshakov Sergey</t>
  </si>
  <si>
    <t xml:space="preserve">114,4227</t>
  </si>
  <si>
    <t xml:space="preserve">World Cup WPC/AWPC/WAA
WPC single ply deadlift
Dolgoprudnyj/Moscow 5 - 6 december 2020 y.</t>
  </si>
  <si>
    <t xml:space="preserve">1. Mohamed Samir</t>
  </si>
  <si>
    <t xml:space="preserve">Open (28.09.1977)/43</t>
  </si>
  <si>
    <t xml:space="preserve">EGY/Egipet</t>
  </si>
  <si>
    <t xml:space="preserve">Masters 40-44 (28.09.1977)/43</t>
  </si>
  <si>
    <t xml:space="preserve">Mohamed Samir</t>
  </si>
  <si>
    <t xml:space="preserve">136,2350</t>
  </si>
  <si>
    <t xml:space="preserve">140,4583</t>
  </si>
  <si>
    <t xml:space="preserve">World Cup WPC/AWPC/WAA
WPC raw deadlift
Dolgoprudnyj/Moscow 5 - 6 december 2020 y.</t>
  </si>
  <si>
    <t xml:space="preserve">1. Sviridova Svetlana</t>
  </si>
  <si>
    <t xml:space="preserve">Masters 50-54 (22.07.1969)/51</t>
  </si>
  <si>
    <t xml:space="preserve">52,60</t>
  </si>
  <si>
    <t xml:space="preserve">1. Karpina Yuliya</t>
  </si>
  <si>
    <t xml:space="preserve">Open (05.09.1986)/34</t>
  </si>
  <si>
    <t xml:space="preserve">57,50</t>
  </si>
  <si>
    <t xml:space="preserve">1. Maksimova Ekaterina</t>
  </si>
  <si>
    <t xml:space="preserve">Open (12.09.1984)/36</t>
  </si>
  <si>
    <t xml:space="preserve">Body Weight Category  90+</t>
  </si>
  <si>
    <t xml:space="preserve">1. Kolganova Elena</t>
  </si>
  <si>
    <t xml:space="preserve">Masters 40-44 (29.01.1978)/42</t>
  </si>
  <si>
    <t xml:space="preserve">93,90</t>
  </si>
  <si>
    <t xml:space="preserve">1. Piklyaev Ivan</t>
  </si>
  <si>
    <t xml:space="preserve">Teen 13-15 (12.08.2007)/13</t>
  </si>
  <si>
    <t xml:space="preserve">49,60</t>
  </si>
  <si>
    <t xml:space="preserve">1. Chigarev Ruslan</t>
  </si>
  <si>
    <t xml:space="preserve">Teen 16-17 (10.08.2003)/17</t>
  </si>
  <si>
    <t xml:space="preserve">69,00</t>
  </si>
  <si>
    <t xml:space="preserve">175,0</t>
  </si>
  <si>
    <t xml:space="preserve">1. Mohamed Rabie</t>
  </si>
  <si>
    <t xml:space="preserve">Open (10.05.1995)/25</t>
  </si>
  <si>
    <t xml:space="preserve">282,5</t>
  </si>
  <si>
    <t xml:space="preserve">1. Zhdanov Evgeniy</t>
  </si>
  <si>
    <t xml:space="preserve">Open (11.10.1991)/29</t>
  </si>
  <si>
    <t xml:space="preserve">94,70</t>
  </si>
  <si>
    <t xml:space="preserve">RUS/Shchelkovo</t>
  </si>
  <si>
    <t xml:space="preserve">225,0</t>
  </si>
  <si>
    <t xml:space="preserve">240,0</t>
  </si>
  <si>
    <t xml:space="preserve">1. Nefedov Sergey</t>
  </si>
  <si>
    <t xml:space="preserve">Open (14.06.1980)/40</t>
  </si>
  <si>
    <t xml:space="preserve">102,40</t>
  </si>
  <si>
    <t xml:space="preserve">RUS/Balashikha</t>
  </si>
  <si>
    <t xml:space="preserve">230,0</t>
  </si>
  <si>
    <t xml:space="preserve">Masters 40-44 (14.06.1980)/40</t>
  </si>
  <si>
    <t xml:space="preserve">Maksimova Ekaterina</t>
  </si>
  <si>
    <t xml:space="preserve">139,6162</t>
  </si>
  <si>
    <t xml:space="preserve">Karpina Yuliya</t>
  </si>
  <si>
    <t xml:space="preserve">71,5400</t>
  </si>
  <si>
    <t xml:space="preserve">Kolganova Elena</t>
  </si>
  <si>
    <t xml:space="preserve">90+</t>
  </si>
  <si>
    <t xml:space="preserve">89,8355</t>
  </si>
  <si>
    <t xml:space="preserve">Sviridova Svetlana</t>
  </si>
  <si>
    <t xml:space="preserve">Masters 50-54</t>
  </si>
  <si>
    <t xml:space="preserve">81,8241</t>
  </si>
  <si>
    <t xml:space="preserve">Chigarev Ruslan</t>
  </si>
  <si>
    <t xml:space="preserve">135,9472</t>
  </si>
  <si>
    <t xml:space="preserve">Piklyaev Ivan</t>
  </si>
  <si>
    <t xml:space="preserve">66,2448</t>
  </si>
  <si>
    <t xml:space="preserve">Mohamed Rabie</t>
  </si>
  <si>
    <t xml:space="preserve">174,5002</t>
  </si>
  <si>
    <t xml:space="preserve">Zhdanov Evgeniy</t>
  </si>
  <si>
    <t xml:space="preserve">148,9625</t>
  </si>
  <si>
    <t xml:space="preserve">Nefedov Sergey</t>
  </si>
  <si>
    <t xml:space="preserve">132,4455</t>
  </si>
  <si>
    <t xml:space="preserve">127,6893</t>
  </si>
  <si>
    <t xml:space="preserve">World Cup WPC/AWPC/WAA
AWPC st. soft eq. benchpress
Dolgoprudnyj/Moscow 5 - 6 december 2020 y.</t>
  </si>
  <si>
    <t xml:space="preserve">Benchpress</t>
  </si>
  <si>
    <t xml:space="preserve">1. Kurdyukova Ekaterina</t>
  </si>
  <si>
    <t xml:space="preserve">Open (07.10.1981)/39</t>
  </si>
  <si>
    <t xml:space="preserve">Megalift</t>
  </si>
  <si>
    <t xml:space="preserve">127,5</t>
  </si>
  <si>
    <t xml:space="preserve">Tulyakov Nikita</t>
  </si>
  <si>
    <t xml:space="preserve">1. Bardakov Matvey</t>
  </si>
  <si>
    <t xml:space="preserve">Teen 16-17 (24.10.2003)/17</t>
  </si>
  <si>
    <t xml:space="preserve">81,60</t>
  </si>
  <si>
    <t xml:space="preserve">RUS/Lyubertsy</t>
  </si>
  <si>
    <t xml:space="preserve">172,5</t>
  </si>
  <si>
    <t xml:space="preserve">182,5</t>
  </si>
  <si>
    <t xml:space="preserve">1. Sergeev Dmitriy</t>
  </si>
  <si>
    <t xml:space="preserve">Open (12.02.1987)/33</t>
  </si>
  <si>
    <t xml:space="preserve">82,50</t>
  </si>
  <si>
    <t xml:space="preserve">1. Kharkov Vladislav</t>
  </si>
  <si>
    <t xml:space="preserve">Masters 45-49 (15.03.1975)/45</t>
  </si>
  <si>
    <t xml:space="preserve">80,50</t>
  </si>
  <si>
    <t xml:space="preserve">RUS/Balakhna</t>
  </si>
  <si>
    <t xml:space="preserve">232,5</t>
  </si>
  <si>
    <t xml:space="preserve">1. Sokolov Evgeniy</t>
  </si>
  <si>
    <t xml:space="preserve">Open (11.02.1988)/32</t>
  </si>
  <si>
    <t xml:space="preserve">247,5</t>
  </si>
  <si>
    <t xml:space="preserve">1. Golenkov Oleg</t>
  </si>
  <si>
    <t xml:space="preserve">Open (29.08.1983)/37</t>
  </si>
  <si>
    <t xml:space="preserve">98,80</t>
  </si>
  <si>
    <t xml:space="preserve">235,0</t>
  </si>
  <si>
    <t xml:space="preserve">252,5</t>
  </si>
  <si>
    <t xml:space="preserve">2. Vasilev Vladislav</t>
  </si>
  <si>
    <t xml:space="preserve">1. Verzilov Sergey</t>
  </si>
  <si>
    <t xml:space="preserve">Open (15.10.1986)/34</t>
  </si>
  <si>
    <t xml:space="preserve">105,60</t>
  </si>
  <si>
    <t xml:space="preserve">2. Prudnikov Sergey</t>
  </si>
  <si>
    <t xml:space="preserve">Open (31.03.1981)/39</t>
  </si>
  <si>
    <t xml:space="preserve">110,00</t>
  </si>
  <si>
    <t xml:space="preserve">300,0</t>
  </si>
  <si>
    <t xml:space="preserve">3. Gamaev Aleksandr</t>
  </si>
  <si>
    <t xml:space="preserve">Open (06.02.1983)/37</t>
  </si>
  <si>
    <t xml:space="preserve">104,60</t>
  </si>
  <si>
    <t xml:space="preserve">212,5</t>
  </si>
  <si>
    <t xml:space="preserve">4. Fritsler Andrey</t>
  </si>
  <si>
    <t xml:space="preserve">Open (11.04.1984)/36</t>
  </si>
  <si>
    <t xml:space="preserve">108,90</t>
  </si>
  <si>
    <t xml:space="preserve">RUS/Kaliningrad</t>
  </si>
  <si>
    <t xml:space="preserve">1. Ilin Andrey</t>
  </si>
  <si>
    <t xml:space="preserve">Open (28.06.1976)/44</t>
  </si>
  <si>
    <t xml:space="preserve">118,00</t>
  </si>
  <si>
    <t xml:space="preserve">Masters 40-44 (28.06.1976)/44</t>
  </si>
  <si>
    <t xml:space="preserve">Kurdyukova Ekaterina</t>
  </si>
  <si>
    <t xml:space="preserve">96,1987</t>
  </si>
  <si>
    <t xml:space="preserve">Bardakov Matvey</t>
  </si>
  <si>
    <t xml:space="preserve">111,9956</t>
  </si>
  <si>
    <t xml:space="preserve">Verzilov Sergey</t>
  </si>
  <si>
    <t xml:space="preserve">160,8979</t>
  </si>
  <si>
    <t xml:space="preserve">Sokolov Evgeniy</t>
  </si>
  <si>
    <t xml:space="preserve">160,0820</t>
  </si>
  <si>
    <t xml:space="preserve">Prudnikov Sergey</t>
  </si>
  <si>
    <t xml:space="preserve">158,9063</t>
  </si>
  <si>
    <t xml:space="preserve">Golenkov Oleg</t>
  </si>
  <si>
    <t xml:space="preserve">147,5357</t>
  </si>
  <si>
    <t xml:space="preserve">144,2683</t>
  </si>
  <si>
    <t xml:space="preserve">Ilin Andrey</t>
  </si>
  <si>
    <t xml:space="preserve">143,7800</t>
  </si>
  <si>
    <t xml:space="preserve">Gamaev Aleksandr</t>
  </si>
  <si>
    <t xml:space="preserve">127,1365</t>
  </si>
  <si>
    <t xml:space="preserve">Fritsler Andrey</t>
  </si>
  <si>
    <t xml:space="preserve">124,0910</t>
  </si>
  <si>
    <t xml:space="preserve">Sergeev Dmitriy</t>
  </si>
  <si>
    <t xml:space="preserve">111,1935</t>
  </si>
  <si>
    <t xml:space="preserve">Kharkov Vladislav</t>
  </si>
  <si>
    <t xml:space="preserve">172,7694</t>
  </si>
  <si>
    <t xml:space="preserve">149,9625</t>
  </si>
  <si>
    <t xml:space="preserve">World Cup WPC/AWPC/WAA
AWPC single-ply benchpress
Dolgoprudnyj/Moscow 5 - 6 december 2020 y.</t>
  </si>
  <si>
    <t xml:space="preserve">1. Lukyanova Marina</t>
  </si>
  <si>
    <t xml:space="preserve">Open (09.02.1972)/48</t>
  </si>
  <si>
    <t xml:space="preserve">65,00</t>
  </si>
  <si>
    <t xml:space="preserve">1. Shaysitdikov Nazar</t>
  </si>
  <si>
    <t xml:space="preserve">Teen 13-15 (17.06.2005)/15</t>
  </si>
  <si>
    <t xml:space="preserve">59,00</t>
  </si>
  <si>
    <t xml:space="preserve">92,5</t>
  </si>
  <si>
    <t xml:space="preserve">Lukyanova Marina</t>
  </si>
  <si>
    <t xml:space="preserve">111,1980</t>
  </si>
  <si>
    <t xml:space="preserve">Shaysitdikov Nazar</t>
  </si>
  <si>
    <t xml:space="preserve">76,1985</t>
  </si>
  <si>
    <t xml:space="preserve">World Cup WPC/AWPC/WAA
AWPC raw benchpress
Dolgoprudnyj/Moscow 5 - 6 december 2020 y.</t>
  </si>
  <si>
    <t xml:space="preserve">Body Weight Category  48</t>
  </si>
  <si>
    <t xml:space="preserve">1. Mochalova Nadezhda</t>
  </si>
  <si>
    <t xml:space="preserve">Teen 13-15 (22.02.2007)/13</t>
  </si>
  <si>
    <t xml:space="preserve">47,20</t>
  </si>
  <si>
    <t xml:space="preserve">1. Korelina Ekaterina</t>
  </si>
  <si>
    <t xml:space="preserve">Juniors 20-23 (03.12.1998)/22</t>
  </si>
  <si>
    <t xml:space="preserve">1. Urzhakhanova Luiza</t>
  </si>
  <si>
    <t xml:space="preserve">Teen 16-17 (26.08.2003)/17</t>
  </si>
  <si>
    <t xml:space="preserve">50,40</t>
  </si>
  <si>
    <t xml:space="preserve">47,5</t>
  </si>
  <si>
    <t xml:space="preserve">-. Alekseeva Oksana</t>
  </si>
  <si>
    <t xml:space="preserve">Open (07.10.1991)/29</t>
  </si>
  <si>
    <t xml:space="preserve">50,80</t>
  </si>
  <si>
    <t xml:space="preserve">RUS/Solnechnogorsk</t>
  </si>
  <si>
    <t xml:space="preserve">2. Feklisova Yuliya</t>
  </si>
  <si>
    <t xml:space="preserve">Open (20.05.1982)/38</t>
  </si>
  <si>
    <t xml:space="preserve">53,20</t>
  </si>
  <si>
    <t xml:space="preserve">1. Kalegina Ekaterina</t>
  </si>
  <si>
    <t xml:space="preserve">Teen 16-17 (29.09.2004)/16</t>
  </si>
  <si>
    <t xml:space="preserve">60,00</t>
  </si>
  <si>
    <t xml:space="preserve">1. Batalova Tatyana</t>
  </si>
  <si>
    <t xml:space="preserve">Juniors 20-23 (20.05.1997)/23</t>
  </si>
  <si>
    <t xml:space="preserve">63,70</t>
  </si>
  <si>
    <t xml:space="preserve">1. Yakovleva Irina</t>
  </si>
  <si>
    <t xml:space="preserve">Masters 50-54 (08.01.1970)/50</t>
  </si>
  <si>
    <t xml:space="preserve">79,00</t>
  </si>
  <si>
    <t xml:space="preserve">1. Smetankina Vera</t>
  </si>
  <si>
    <t xml:space="preserve">Masters 40-44 (30.06.1978)/42</t>
  </si>
  <si>
    <t xml:space="preserve">86,50</t>
  </si>
  <si>
    <t xml:space="preserve">1. Selyanin Dmitriy</t>
  </si>
  <si>
    <t xml:space="preserve">Teen 13-15 (10.11.2005)/15</t>
  </si>
  <si>
    <t xml:space="preserve">55,60</t>
  </si>
  <si>
    <t xml:space="preserve">93,0</t>
  </si>
  <si>
    <t xml:space="preserve">97,5</t>
  </si>
  <si>
    <t xml:space="preserve">Sufiyanov A.R.</t>
  </si>
  <si>
    <t xml:space="preserve">1. Fokin Nikolay</t>
  </si>
  <si>
    <t xml:space="preserve">Juniors 20-23 (26.06.1998)/22</t>
  </si>
  <si>
    <t xml:space="preserve">59,60</t>
  </si>
  <si>
    <t xml:space="preserve">1. Rogachev Artur</t>
  </si>
  <si>
    <t xml:space="preserve">Open (22.08.1993)/27</t>
  </si>
  <si>
    <t xml:space="preserve">59,80</t>
  </si>
  <si>
    <t xml:space="preserve">RUS/Krasnoznamensk</t>
  </si>
  <si>
    <t xml:space="preserve">2. Sleptsov Sergey</t>
  </si>
  <si>
    <t xml:space="preserve">1. Balyabin Ilya</t>
  </si>
  <si>
    <t xml:space="preserve">Teen 13-15 (08.02.2005)/15</t>
  </si>
  <si>
    <t xml:space="preserve">71,70</t>
  </si>
  <si>
    <t xml:space="preserve">1. Aslakhov Ural</t>
  </si>
  <si>
    <t xml:space="preserve">Teen 16-17 (07.01.2004)/16</t>
  </si>
  <si>
    <t xml:space="preserve">112,5</t>
  </si>
  <si>
    <t xml:space="preserve">117,5</t>
  </si>
  <si>
    <t xml:space="preserve">1. Bogdanov Maksim</t>
  </si>
  <si>
    <t xml:space="preserve">Open (12.12.1992)/27</t>
  </si>
  <si>
    <t xml:space="preserve">72,30</t>
  </si>
  <si>
    <t xml:space="preserve">2. Gritsan Aleksey</t>
  </si>
  <si>
    <t xml:space="preserve">Open (02.04.1992)/28</t>
  </si>
  <si>
    <t xml:space="preserve">RUS/Zelenograd</t>
  </si>
  <si>
    <t xml:space="preserve">Slyusari Maksim</t>
  </si>
  <si>
    <t xml:space="preserve">3. Nekrasov Sergey</t>
  </si>
  <si>
    <t xml:space="preserve">Open (30.12.1965)/54</t>
  </si>
  <si>
    <t xml:space="preserve">73,20</t>
  </si>
  <si>
    <t xml:space="preserve">4. Balugin Nikolay</t>
  </si>
  <si>
    <t xml:space="preserve">Open (24.07.1987)/33</t>
  </si>
  <si>
    <t xml:space="preserve">73,90</t>
  </si>
  <si>
    <t xml:space="preserve">Izmaylovo 13</t>
  </si>
  <si>
    <t xml:space="preserve">125,0</t>
  </si>
  <si>
    <t xml:space="preserve">5. Avdyunin Aleksey</t>
  </si>
  <si>
    <t xml:space="preserve">Open (23.04.1987)/33</t>
  </si>
  <si>
    <t xml:space="preserve">73,40</t>
  </si>
  <si>
    <t xml:space="preserve">6. Chernikov Oleg</t>
  </si>
  <si>
    <t xml:space="preserve">Open (11.04.1992)/28</t>
  </si>
  <si>
    <t xml:space="preserve">7. Khokhlov Stanislav</t>
  </si>
  <si>
    <t xml:space="preserve">8. Sokolov Igor</t>
  </si>
  <si>
    <t xml:space="preserve">Open (01.11.1988)/32</t>
  </si>
  <si>
    <t xml:space="preserve">72,70</t>
  </si>
  <si>
    <t xml:space="preserve">115,0</t>
  </si>
  <si>
    <t xml:space="preserve">1. Belov Mikhail</t>
  </si>
  <si>
    <t xml:space="preserve">Open (09.12.1991)/28</t>
  </si>
  <si>
    <t xml:space="preserve">145,0</t>
  </si>
  <si>
    <t xml:space="preserve">147,5</t>
  </si>
  <si>
    <t xml:space="preserve">2. Platonov Maksim</t>
  </si>
  <si>
    <t xml:space="preserve">Open (07.04.1995)/25</t>
  </si>
  <si>
    <t xml:space="preserve">79,50</t>
  </si>
  <si>
    <t xml:space="preserve">RUS/Krasnogorsk</t>
  </si>
  <si>
    <t xml:space="preserve">3. Izmaylov Renat</t>
  </si>
  <si>
    <t xml:space="preserve">Open (01.12.1993)/27</t>
  </si>
  <si>
    <t xml:space="preserve">4. Gorda Artur</t>
  </si>
  <si>
    <t xml:space="preserve">Open (18.11.1985)/35</t>
  </si>
  <si>
    <t xml:space="preserve">80,60</t>
  </si>
  <si>
    <t xml:space="preserve">Masters 60-64 (25.05.1957)/63</t>
  </si>
  <si>
    <t xml:space="preserve">1. Anzharini Yazan</t>
  </si>
  <si>
    <t xml:space="preserve">Teen 16-17 (06.09.2004)/16</t>
  </si>
  <si>
    <t xml:space="preserve">89,60</t>
  </si>
  <si>
    <t xml:space="preserve">Open (05.08.1986)/34</t>
  </si>
  <si>
    <t xml:space="preserve">89,70</t>
  </si>
  <si>
    <t xml:space="preserve">2. Galichevskiy Ivan</t>
  </si>
  <si>
    <t xml:space="preserve">Open (21.11.1989)/31</t>
  </si>
  <si>
    <t xml:space="preserve">85,40</t>
  </si>
  <si>
    <t xml:space="preserve">157,5</t>
  </si>
  <si>
    <t xml:space="preserve">3. Chub Igor</t>
  </si>
  <si>
    <t xml:space="preserve">Open (19.06.1996)/24</t>
  </si>
  <si>
    <t xml:space="preserve">88,20</t>
  </si>
  <si>
    <t xml:space="preserve">RUS/Chekhov</t>
  </si>
  <si>
    <t xml:space="preserve">152,5</t>
  </si>
  <si>
    <t xml:space="preserve">4. Melnikov Ivan</t>
  </si>
  <si>
    <t xml:space="preserve">Open (28.01.1996)/24</t>
  </si>
  <si>
    <t xml:space="preserve">89,40</t>
  </si>
  <si>
    <t xml:space="preserve">157,0</t>
  </si>
  <si>
    <t xml:space="preserve">5. Radzhabov Bakhtier</t>
  </si>
  <si>
    <t xml:space="preserve">Open (23.08.1996)/24</t>
  </si>
  <si>
    <t xml:space="preserve">89,50</t>
  </si>
  <si>
    <t xml:space="preserve">132,5</t>
  </si>
  <si>
    <t xml:space="preserve">6. Sotskov Anton</t>
  </si>
  <si>
    <t xml:space="preserve">Open (01.12.1987)/33</t>
  </si>
  <si>
    <t xml:space="preserve">87,90</t>
  </si>
  <si>
    <t xml:space="preserve">-. Seferov Rafat</t>
  </si>
  <si>
    <t xml:space="preserve">Open (10.01.1995)/25</t>
  </si>
  <si>
    <t xml:space="preserve">89,10</t>
  </si>
  <si>
    <t xml:space="preserve">1. Kanakov Kirill</t>
  </si>
  <si>
    <t xml:space="preserve">Open (15.02.1996)/24</t>
  </si>
  <si>
    <t xml:space="preserve">95,30</t>
  </si>
  <si>
    <t xml:space="preserve">3. Moiseev Yuriy</t>
  </si>
  <si>
    <t xml:space="preserve">Open (16.04.1985)/35</t>
  </si>
  <si>
    <t xml:space="preserve">98,10</t>
  </si>
  <si>
    <t xml:space="preserve">4. Migulev Alexey</t>
  </si>
  <si>
    <t xml:space="preserve">Open (20.10.1987)/33</t>
  </si>
  <si>
    <t xml:space="preserve">98,50</t>
  </si>
  <si>
    <t xml:space="preserve">5. Dyachenko Dmitriy</t>
  </si>
  <si>
    <t xml:space="preserve">Open (03.09.1989)/31</t>
  </si>
  <si>
    <t xml:space="preserve">97,70</t>
  </si>
  <si>
    <t xml:space="preserve">1. Makarkin Andrey</t>
  </si>
  <si>
    <t xml:space="preserve">Masters 40-44 (20.02.1980)/40</t>
  </si>
  <si>
    <t xml:space="preserve">99,30</t>
  </si>
  <si>
    <t xml:space="preserve">RUS/Moskovskiy</t>
  </si>
  <si>
    <t xml:space="preserve">2. Skoblikov Aleksandr</t>
  </si>
  <si>
    <t xml:space="preserve">Masters 40-44 (09.05.1977)/43</t>
  </si>
  <si>
    <t xml:space="preserve">98,40</t>
  </si>
  <si>
    <t xml:space="preserve">RUS/Odintsovo</t>
  </si>
  <si>
    <t xml:space="preserve">1. Volkov Vyacheslav</t>
  </si>
  <si>
    <t xml:space="preserve">Masters 45-49 (13.11.1971)/49</t>
  </si>
  <si>
    <t xml:space="preserve">97,50</t>
  </si>
  <si>
    <t xml:space="preserve">2. Medvedev Vladimir</t>
  </si>
  <si>
    <t xml:space="preserve">Masters 45-49 (15.02.1975)/45</t>
  </si>
  <si>
    <t xml:space="preserve">95,20</t>
  </si>
  <si>
    <t xml:space="preserve">RUS/Nakhabino</t>
  </si>
  <si>
    <t xml:space="preserve">1. Mulikhov Aleksandr</t>
  </si>
  <si>
    <t xml:space="preserve">Open (12.08.1988)/32</t>
  </si>
  <si>
    <t xml:space="preserve">108,70</t>
  </si>
  <si>
    <t xml:space="preserve">RUS/Dzerzhinsk</t>
  </si>
  <si>
    <t xml:space="preserve">2. Namazov Ruslan</t>
  </si>
  <si>
    <t xml:space="preserve">Open (07.01.1994)/26</t>
  </si>
  <si>
    <t xml:space="preserve">108,20</t>
  </si>
  <si>
    <t xml:space="preserve">177,5</t>
  </si>
  <si>
    <t xml:space="preserve">1. Alimov Aleksey</t>
  </si>
  <si>
    <t xml:space="preserve">Masters 40-44 (05.02.1978)/42</t>
  </si>
  <si>
    <t xml:space="preserve">104,10</t>
  </si>
  <si>
    <t xml:space="preserve">1. Komissarov Ivan</t>
  </si>
  <si>
    <t xml:space="preserve">Open (11.01.1991)/29</t>
  </si>
  <si>
    <t xml:space="preserve">112,90</t>
  </si>
  <si>
    <t xml:space="preserve">RUS/Podolsk</t>
  </si>
  <si>
    <t xml:space="preserve">1. Bichkov Igor</t>
  </si>
  <si>
    <t xml:space="preserve">Masters 50-54 (18.06.1970)/50</t>
  </si>
  <si>
    <t xml:space="preserve">Body Weight Category  140+</t>
  </si>
  <si>
    <t xml:space="preserve">1. Bezrukov Dmitriy</t>
  </si>
  <si>
    <t xml:space="preserve">Open (02.10.1981)/39</t>
  </si>
  <si>
    <t xml:space="preserve">153,40</t>
  </si>
  <si>
    <t xml:space="preserve">Mochalova Nadezhda</t>
  </si>
  <si>
    <t xml:space="preserve">48</t>
  </si>
  <si>
    <t xml:space="preserve">83,5940</t>
  </si>
  <si>
    <t xml:space="preserve">Urzhakhanova Luiza</t>
  </si>
  <si>
    <t xml:space="preserve">59,5980</t>
  </si>
  <si>
    <t xml:space="preserve">Kalegina Ekaterina</t>
  </si>
  <si>
    <t xml:space="preserve">51,8490</t>
  </si>
  <si>
    <t xml:space="preserve">Batalova Tatyana</t>
  </si>
  <si>
    <t xml:space="preserve">65,9085</t>
  </si>
  <si>
    <t xml:space="preserve">Korelina Ekaterina</t>
  </si>
  <si>
    <t xml:space="preserve">59,7100</t>
  </si>
  <si>
    <t xml:space="preserve">58,7000</t>
  </si>
  <si>
    <t xml:space="preserve">58,5915</t>
  </si>
  <si>
    <t xml:space="preserve">Feklisova Yuliya</t>
  </si>
  <si>
    <t xml:space="preserve">54,3850</t>
  </si>
  <si>
    <t xml:space="preserve">Yakovleva Irina</t>
  </si>
  <si>
    <t xml:space="preserve">93,6098</t>
  </si>
  <si>
    <t xml:space="preserve">Smetankina Vera</t>
  </si>
  <si>
    <t xml:space="preserve">38,9895</t>
  </si>
  <si>
    <t xml:space="preserve">Selyanin Dmitriy</t>
  </si>
  <si>
    <t xml:space="preserve">87,6769</t>
  </si>
  <si>
    <t xml:space="preserve">Aslakhov Ural</t>
  </si>
  <si>
    <t xml:space="preserve">80,9046</t>
  </si>
  <si>
    <t xml:space="preserve">Anzharini Yazan</t>
  </si>
  <si>
    <t xml:space="preserve">39,8677</t>
  </si>
  <si>
    <t xml:space="preserve">Balyabin Ilya</t>
  </si>
  <si>
    <t xml:space="preserve">35,6250</t>
  </si>
  <si>
    <t xml:space="preserve">Fokin Nikolay</t>
  </si>
  <si>
    <t xml:space="preserve">75,4470</t>
  </si>
  <si>
    <t xml:space="preserve">Bogdanov Maksim</t>
  </si>
  <si>
    <t xml:space="preserve">120,3430</t>
  </si>
  <si>
    <t xml:space="preserve">Bezrukov Dmitriy</t>
  </si>
  <si>
    <t xml:space="preserve">140+</t>
  </si>
  <si>
    <t xml:space="preserve">106,7179</t>
  </si>
  <si>
    <t xml:space="preserve">104,2100</t>
  </si>
  <si>
    <t xml:space="preserve">Komissarov Ivan</t>
  </si>
  <si>
    <t xml:space="preserve">101,9536</t>
  </si>
  <si>
    <t xml:space="preserve">Rogachev Artur</t>
  </si>
  <si>
    <t xml:space="preserve">100,2660</t>
  </si>
  <si>
    <t xml:space="preserve">Galichevskiy Ivan</t>
  </si>
  <si>
    <t xml:space="preserve">99,3510</t>
  </si>
  <si>
    <t xml:space="preserve">Kanakov Kirill</t>
  </si>
  <si>
    <t xml:space="preserve">98,0100</t>
  </si>
  <si>
    <t xml:space="preserve">Mulikhov Aleksandr</t>
  </si>
  <si>
    <t xml:space="preserve">97,3590</t>
  </si>
  <si>
    <t xml:space="preserve">97,1603</t>
  </si>
  <si>
    <t xml:space="preserve">Gritsan Aleksey</t>
  </si>
  <si>
    <t xml:space="preserve">97,1600</t>
  </si>
  <si>
    <t xml:space="preserve">Nekrasov Sergey</t>
  </si>
  <si>
    <t xml:space="preserve">96,4081</t>
  </si>
  <si>
    <t xml:space="preserve">Namazov Ruslan</t>
  </si>
  <si>
    <t xml:space="preserve">96,0840</t>
  </si>
  <si>
    <t xml:space="preserve">Chub Igor</t>
  </si>
  <si>
    <t xml:space="preserve">94,3746</t>
  </si>
  <si>
    <t xml:space="preserve">Moiseev Yuriy</t>
  </si>
  <si>
    <t xml:space="preserve">93,7840</t>
  </si>
  <si>
    <t xml:space="preserve">Melnikov Ivan</t>
  </si>
  <si>
    <t xml:space="preserve">93,6579</t>
  </si>
  <si>
    <t xml:space="preserve">Belov Mikhail</t>
  </si>
  <si>
    <t xml:space="preserve">93,4670</t>
  </si>
  <si>
    <t xml:space="preserve">Platonov Maksim</t>
  </si>
  <si>
    <t xml:space="preserve">92,4840</t>
  </si>
  <si>
    <t xml:space="preserve">Izmaylov Renat</t>
  </si>
  <si>
    <t xml:space="preserve">90,8950</t>
  </si>
  <si>
    <t xml:space="preserve">Balugin Nikolay</t>
  </si>
  <si>
    <t xml:space="preserve">90,4995</t>
  </si>
  <si>
    <t xml:space="preserve">Avdyunin Aleksey</t>
  </si>
  <si>
    <t xml:space="preserve">89,2181</t>
  </si>
  <si>
    <t xml:space="preserve">Gorda Artur</t>
  </si>
  <si>
    <t xml:space="preserve">88,3575</t>
  </si>
  <si>
    <t xml:space="preserve">Migulev Alexey</t>
  </si>
  <si>
    <t xml:space="preserve">87,7575</t>
  </si>
  <si>
    <t xml:space="preserve">87,0738</t>
  </si>
  <si>
    <t xml:space="preserve">Dyachenko Dmitriy</t>
  </si>
  <si>
    <t xml:space="preserve">82,2010</t>
  </si>
  <si>
    <t xml:space="preserve">Volkov Vyacheslav</t>
  </si>
  <si>
    <t xml:space="preserve">127,5623</t>
  </si>
  <si>
    <t xml:space="preserve">Makarkin Andrey</t>
  </si>
  <si>
    <t xml:space="preserve">110,7795</t>
  </si>
  <si>
    <t xml:space="preserve">Bichkov Igor</t>
  </si>
  <si>
    <t xml:space="preserve">108,5927</t>
  </si>
  <si>
    <t xml:space="preserve">106,7041</t>
  </si>
  <si>
    <t xml:space="preserve">Alimov Aleksey</t>
  </si>
  <si>
    <t xml:space="preserve">102,1734</t>
  </si>
  <si>
    <t xml:space="preserve">97,0762</t>
  </si>
  <si>
    <t xml:space="preserve">Skoblikov Aleksandr</t>
  </si>
  <si>
    <t xml:space="preserve">93,5419</t>
  </si>
  <si>
    <t xml:space="preserve">Medvedev Vladimir</t>
  </si>
  <si>
    <t xml:space="preserve">87,7781</t>
  </si>
  <si>
    <t xml:space="preserve">87,0355</t>
  </si>
  <si>
    <t xml:space="preserve">83,6166</t>
  </si>
  <si>
    <t xml:space="preserve">World Cup WPC/AWPC/WAA
AWPC single ply powerlifting
Dolgoprudnyj/Moscow 5 - 6 december 2020 y.</t>
  </si>
  <si>
    <t xml:space="preserve">Squat</t>
  </si>
  <si>
    <t xml:space="preserve">Total</t>
  </si>
  <si>
    <t xml:space="preserve">1. Kulibaev Arman</t>
  </si>
  <si>
    <t xml:space="preserve">Open (18.01.1983)/37</t>
  </si>
  <si>
    <t xml:space="preserve">RUS/Novorossiysk</t>
  </si>
  <si>
    <t xml:space="preserve">237,5</t>
  </si>
  <si>
    <t xml:space="preserve">Totall</t>
  </si>
  <si>
    <t xml:space="preserve">Kulibaev Arman</t>
  </si>
  <si>
    <t xml:space="preserve">665,0</t>
  </si>
  <si>
    <t xml:space="preserve">461,5100</t>
  </si>
  <si>
    <t xml:space="preserve">World Cup WPC/AWPC/WAA
AWPC Classic RAW powerliftig
Dolgoprudnyj/Moscow 5 - 6 december 2020 y.</t>
  </si>
  <si>
    <t xml:space="preserve">1. Grigoreva Nataliya</t>
  </si>
  <si>
    <t xml:space="preserve">Open (01.02.1983)/37</t>
  </si>
  <si>
    <t xml:space="preserve">59,10</t>
  </si>
  <si>
    <t xml:space="preserve">1. Korobeynikova Elena</t>
  </si>
  <si>
    <t xml:space="preserve">Juniors 20-23 (10.12.1996)/23</t>
  </si>
  <si>
    <t xml:space="preserve">60,30</t>
  </si>
  <si>
    <t xml:space="preserve">1. Kotova Nataliya</t>
  </si>
  <si>
    <t xml:space="preserve">Open (17.09.1993)/27</t>
  </si>
  <si>
    <t xml:space="preserve">70,40</t>
  </si>
  <si>
    <t xml:space="preserve">-. Stepanenkova Evgeniya</t>
  </si>
  <si>
    <t xml:space="preserve">Open (01.07.1980)/40</t>
  </si>
  <si>
    <t xml:space="preserve">71,80</t>
  </si>
  <si>
    <t xml:space="preserve">1. Shuvalova Tatyana</t>
  </si>
  <si>
    <t xml:space="preserve">Masters 45-49 (05.01.1975)/45</t>
  </si>
  <si>
    <t xml:space="preserve">73,10</t>
  </si>
  <si>
    <t xml:space="preserve">142,5</t>
  </si>
  <si>
    <t xml:space="preserve">1. Smetankin Aleksey</t>
  </si>
  <si>
    <t xml:space="preserve">Teen 13-15 (26.09.2008)/12</t>
  </si>
  <si>
    <t xml:space="preserve">1. Gorodnichev Artem</t>
  </si>
  <si>
    <t xml:space="preserve">Teen 16-17 (04.01.2004)/16</t>
  </si>
  <si>
    <t xml:space="preserve">1. Grodzitskiy Anton</t>
  </si>
  <si>
    <t xml:space="preserve">Open (02.09.1990)/30</t>
  </si>
  <si>
    <t xml:space="preserve">85,30</t>
  </si>
  <si>
    <t xml:space="preserve">1. Voyno Aleksandr</t>
  </si>
  <si>
    <t xml:space="preserve">Masters 40-44 (23.11.1980)/40</t>
  </si>
  <si>
    <t xml:space="preserve">83,30</t>
  </si>
  <si>
    <t xml:space="preserve">1. Privezentsev Artem</t>
  </si>
  <si>
    <t xml:space="preserve">Open (14.11.1992)/28</t>
  </si>
  <si>
    <t xml:space="preserve">98,30</t>
  </si>
  <si>
    <t xml:space="preserve">Korobeynikova Elena</t>
  </si>
  <si>
    <t xml:space="preserve">270,0</t>
  </si>
  <si>
    <t xml:space="preserve">265,5990</t>
  </si>
  <si>
    <t xml:space="preserve">347,5</t>
  </si>
  <si>
    <t xml:space="preserve">322,0109</t>
  </si>
  <si>
    <t xml:space="preserve">385,0</t>
  </si>
  <si>
    <t xml:space="preserve">290,4825</t>
  </si>
  <si>
    <t xml:space="preserve">Grigoreva Nataliya</t>
  </si>
  <si>
    <t xml:space="preserve">280,0</t>
  </si>
  <si>
    <t xml:space="preserve">279,9160</t>
  </si>
  <si>
    <t xml:space="preserve">Kotova Nataliya</t>
  </si>
  <si>
    <t xml:space="preserve">218,2500</t>
  </si>
  <si>
    <t xml:space="preserve">Shuvalova Tatyana</t>
  </si>
  <si>
    <t xml:space="preserve">215,3972</t>
  </si>
  <si>
    <t xml:space="preserve">Gorodnichev Artem</t>
  </si>
  <si>
    <t xml:space="preserve">325,0</t>
  </si>
  <si>
    <t xml:space="preserve">222,6738</t>
  </si>
  <si>
    <t xml:space="preserve">Smetankin Aleksey</t>
  </si>
  <si>
    <t xml:space="preserve">167,4019</t>
  </si>
  <si>
    <t xml:space="preserve">Grodzitskiy Anton</t>
  </si>
  <si>
    <t xml:space="preserve">485,0</t>
  </si>
  <si>
    <t xml:space="preserve">306,1563</t>
  </si>
  <si>
    <t xml:space="preserve">Privezentsev Artem</t>
  </si>
  <si>
    <t xml:space="preserve">500,0</t>
  </si>
  <si>
    <t xml:space="preserve">292,8000</t>
  </si>
  <si>
    <t xml:space="preserve">Voyno Aleksandr</t>
  </si>
  <si>
    <t xml:space="preserve">450,0</t>
  </si>
  <si>
    <t xml:space="preserve">288,2925</t>
  </si>
  <si>
    <t xml:space="preserve">World Cup WPC/AWPC/WAA
AWPC raw powerlifting
Dolgoprudnyj/Moscow 5 - 6 december 2020 y.</t>
  </si>
  <si>
    <t xml:space="preserve">1. Palkina Anastasiya</t>
  </si>
  <si>
    <t xml:space="preserve">Open (03.06.1992)/28</t>
  </si>
  <si>
    <t xml:space="preserve">65,40</t>
  </si>
  <si>
    <t xml:space="preserve">2. Chuprakova Ekaterina</t>
  </si>
  <si>
    <t xml:space="preserve">Open (11.05.1982)/38</t>
  </si>
  <si>
    <t xml:space="preserve">66,30</t>
  </si>
  <si>
    <t xml:space="preserve">3. Gusachenko Violetta</t>
  </si>
  <si>
    <t xml:space="preserve">Open (11.10.1996)/24</t>
  </si>
  <si>
    <t xml:space="preserve">66,50</t>
  </si>
  <si>
    <t xml:space="preserve">1. Fedorova Vera</t>
  </si>
  <si>
    <t xml:space="preserve">Open (20.08.1988)/32</t>
  </si>
  <si>
    <t xml:space="preserve">76,10</t>
  </si>
  <si>
    <t xml:space="preserve">1. Kulikov Dmitriy</t>
  </si>
  <si>
    <t xml:space="preserve">Open (18.04.1988)/32</t>
  </si>
  <si>
    <t xml:space="preserve">66,70</t>
  </si>
  <si>
    <t xml:space="preserve">1. Tomchak Andrey</t>
  </si>
  <si>
    <t xml:space="preserve">Teen 16-17 (01.03.2003)/17</t>
  </si>
  <si>
    <t xml:space="preserve">69,10</t>
  </si>
  <si>
    <t xml:space="preserve">1. Gladkov Anatoliy</t>
  </si>
  <si>
    <t xml:space="preserve">1. Drozdov Nikita</t>
  </si>
  <si>
    <t xml:space="preserve">Open (18.01.1987)/33</t>
  </si>
  <si>
    <t xml:space="preserve">82,20</t>
  </si>
  <si>
    <t xml:space="preserve">1. Sobolev Aleksey</t>
  </si>
  <si>
    <t xml:space="preserve">Masters 40-44 (10.09.1979)/41</t>
  </si>
  <si>
    <t xml:space="preserve">1. Stegantsev Andrey</t>
  </si>
  <si>
    <t xml:space="preserve">Masters 55-59 (27.06.1963)/57</t>
  </si>
  <si>
    <t xml:space="preserve">78,70</t>
  </si>
  <si>
    <t xml:space="preserve">Smirnov Dmitriy</t>
  </si>
  <si>
    <t xml:space="preserve">1. Gerchoglo Pavel</t>
  </si>
  <si>
    <t xml:space="preserve">Open (10.08.1989)/31</t>
  </si>
  <si>
    <t xml:space="preserve">2. Zmunchile Mikhail</t>
  </si>
  <si>
    <t xml:space="preserve">Open (25.05.1983)/37</t>
  </si>
  <si>
    <t xml:space="preserve">88,80</t>
  </si>
  <si>
    <t xml:space="preserve">192,5</t>
  </si>
  <si>
    <t xml:space="preserve">242,5</t>
  </si>
  <si>
    <t xml:space="preserve">3. Tabanakov Oleg</t>
  </si>
  <si>
    <t xml:space="preserve">Open (29.04.1989)/31</t>
  </si>
  <si>
    <t xml:space="preserve">4. Pavlenko Roman</t>
  </si>
  <si>
    <t xml:space="preserve">Open (27.06.1990)/30</t>
  </si>
  <si>
    <t xml:space="preserve">1. Galiullin Evgeniy</t>
  </si>
  <si>
    <t xml:space="preserve">Masters 40-44 (16.12.1978)/41</t>
  </si>
  <si>
    <t xml:space="preserve">90,00</t>
  </si>
  <si>
    <t xml:space="preserve">1. Kaminskiy Evgeniy</t>
  </si>
  <si>
    <t xml:space="preserve">Open (07.06.1991)/29</t>
  </si>
  <si>
    <t xml:space="preserve">99,20</t>
  </si>
  <si>
    <t xml:space="preserve">2. Morozov Igor</t>
  </si>
  <si>
    <t xml:space="preserve">Open (17.04.1986)/34</t>
  </si>
  <si>
    <t xml:space="preserve">94,60</t>
  </si>
  <si>
    <t xml:space="preserve">1. Shulga Denis</t>
  </si>
  <si>
    <t xml:space="preserve">Masters 40-44 (23.01.1978)/42</t>
  </si>
  <si>
    <t xml:space="preserve">96,60</t>
  </si>
  <si>
    <t xml:space="preserve">2. Ivanov Vladimir</t>
  </si>
  <si>
    <t xml:space="preserve">Open (19.01.1988)/32</t>
  </si>
  <si>
    <t xml:space="preserve">107,60</t>
  </si>
  <si>
    <t xml:space="preserve">RUS/Pushchino</t>
  </si>
  <si>
    <t xml:space="preserve">1. Makarov Andrey</t>
  </si>
  <si>
    <t xml:space="preserve">Masters 40-44 (18.09.1979)/41</t>
  </si>
  <si>
    <t xml:space="preserve">Yakusheva Svetlana</t>
  </si>
  <si>
    <t xml:space="preserve">Body Weight Category  140</t>
  </si>
  <si>
    <t xml:space="preserve">1. Korochkov Vasiliy</t>
  </si>
  <si>
    <t xml:space="preserve">Masters 45-49 (07.08.1975)/45</t>
  </si>
  <si>
    <t xml:space="preserve">137,80</t>
  </si>
  <si>
    <t xml:space="preserve">RUS/Perm</t>
  </si>
  <si>
    <t xml:space="preserve">262,7240</t>
  </si>
  <si>
    <t xml:space="preserve">255,0</t>
  </si>
  <si>
    <t xml:space="preserve">271,6515</t>
  </si>
  <si>
    <t xml:space="preserve">Palkina Anastasiya</t>
  </si>
  <si>
    <t xml:space="preserve">287,5</t>
  </si>
  <si>
    <t xml:space="preserve">265,1325</t>
  </si>
  <si>
    <t xml:space="preserve">Chuprakova Ekaterina</t>
  </si>
  <si>
    <t xml:space="preserve">285,0</t>
  </si>
  <si>
    <t xml:space="preserve">260,0197</t>
  </si>
  <si>
    <t xml:space="preserve">Fedorova Vera</t>
  </si>
  <si>
    <t xml:space="preserve">233,9383</t>
  </si>
  <si>
    <t xml:space="preserve">Gusachenko Violetta</t>
  </si>
  <si>
    <t xml:space="preserve">213,8970</t>
  </si>
  <si>
    <t xml:space="preserve">Tomchak Andrey</t>
  </si>
  <si>
    <t xml:space="preserve">335,0</t>
  </si>
  <si>
    <t xml:space="preserve">245,8733</t>
  </si>
  <si>
    <t xml:space="preserve">Kaminskiy Evgeniy</t>
  </si>
  <si>
    <t xml:space="preserve">702,5</t>
  </si>
  <si>
    <t xml:space="preserve">409,7682</t>
  </si>
  <si>
    <t xml:space="preserve">455,0</t>
  </si>
  <si>
    <t xml:space="preserve">386,5225</t>
  </si>
  <si>
    <t xml:space="preserve">Gerchoglo Pavel</t>
  </si>
  <si>
    <t xml:space="preserve">620,0</t>
  </si>
  <si>
    <t xml:space="preserve">381,7340</t>
  </si>
  <si>
    <t xml:space="preserve">Zmunchile Mikhail</t>
  </si>
  <si>
    <t xml:space="preserve">570,0</t>
  </si>
  <si>
    <t xml:space="preserve">351,3765</t>
  </si>
  <si>
    <t xml:space="preserve">602,5</t>
  </si>
  <si>
    <t xml:space="preserve">340,0510</t>
  </si>
  <si>
    <t xml:space="preserve">Tabanakov Oleg</t>
  </si>
  <si>
    <t xml:space="preserve">510,0</t>
  </si>
  <si>
    <t xml:space="preserve">321,9375</t>
  </si>
  <si>
    <t xml:space="preserve">Drozdov Nikita</t>
  </si>
  <si>
    <t xml:space="preserve">492,5</t>
  </si>
  <si>
    <t xml:space="preserve">318,2289</t>
  </si>
  <si>
    <t xml:space="preserve">Kulikov Dmitriy</t>
  </si>
  <si>
    <t xml:space="preserve">420,0</t>
  </si>
  <si>
    <t xml:space="preserve">317,5620</t>
  </si>
  <si>
    <t xml:space="preserve">Gladkov Anatoliy</t>
  </si>
  <si>
    <t xml:space="preserve">460,0</t>
  </si>
  <si>
    <t xml:space="preserve">316,7330</t>
  </si>
  <si>
    <t xml:space="preserve">Morozov Igor</t>
  </si>
  <si>
    <t xml:space="preserve">298,0750</t>
  </si>
  <si>
    <t xml:space="preserve">Pavlenko Roman</t>
  </si>
  <si>
    <t xml:space="preserve">283,8600</t>
  </si>
  <si>
    <t xml:space="preserve">Ivanov Vladimir</t>
  </si>
  <si>
    <t xml:space="preserve">435,0</t>
  </si>
  <si>
    <t xml:space="preserve">246,2535</t>
  </si>
  <si>
    <t xml:space="preserve">Korochkov Vasiliy</t>
  </si>
  <si>
    <t xml:space="preserve">140</t>
  </si>
  <si>
    <t xml:space="preserve">695,0</t>
  </si>
  <si>
    <t xml:space="preserve">390,8676</t>
  </si>
  <si>
    <t xml:space="preserve">Makarov Andrey</t>
  </si>
  <si>
    <t xml:space="preserve">555,0</t>
  </si>
  <si>
    <t xml:space="preserve">320,2983</t>
  </si>
  <si>
    <t xml:space="preserve">Shulga Denis</t>
  </si>
  <si>
    <t xml:space="preserve">527,5</t>
  </si>
  <si>
    <t xml:space="preserve">317,5571</t>
  </si>
  <si>
    <t xml:space="preserve">Sobolev Aleksey</t>
  </si>
  <si>
    <t xml:space="preserve">462,5</t>
  </si>
  <si>
    <t xml:space="preserve">305,7333</t>
  </si>
  <si>
    <t xml:space="preserve">Stegantsev Andrey</t>
  </si>
  <si>
    <t xml:space="preserve">345,0</t>
  </si>
  <si>
    <t xml:space="preserve">290,9984</t>
  </si>
  <si>
    <t xml:space="preserve">Galiullin Evgeniy</t>
  </si>
  <si>
    <t xml:space="preserve">447,5</t>
  </si>
  <si>
    <t xml:space="preserve">276,5409</t>
  </si>
  <si>
    <t xml:space="preserve">World Cup WPC/AWPC/WAA
WPC st. soft eq. benchpress
Dolgoprudnyj/Moscow 5 - 6 december 2020 y.</t>
  </si>
  <si>
    <t xml:space="preserve">1. Tukaev Anton</t>
  </si>
  <si>
    <t xml:space="preserve">Open (03.07.1990)/30</t>
  </si>
  <si>
    <t xml:space="preserve">81,90</t>
  </si>
  <si>
    <t xml:space="preserve">1. Sklyarov Yuriy</t>
  </si>
  <si>
    <t xml:space="preserve">Masters 40-44 (17.07.1978)/42</t>
  </si>
  <si>
    <t xml:space="preserve">RUS/Novyy Urengoy</t>
  </si>
  <si>
    <t xml:space="preserve">2. Ermolaev Vyacheslav</t>
  </si>
  <si>
    <t xml:space="preserve">Masters 40-44 (21.09.1980)/40</t>
  </si>
  <si>
    <t xml:space="preserve">88,90</t>
  </si>
  <si>
    <t xml:space="preserve">1. Nikiforov Victor</t>
  </si>
  <si>
    <t xml:space="preserve">Open (24.08.1983)/37</t>
  </si>
  <si>
    <t xml:space="preserve">97,40</t>
  </si>
  <si>
    <t xml:space="preserve">272,5</t>
  </si>
  <si>
    <t xml:space="preserve">Nikiforov Victor</t>
  </si>
  <si>
    <t xml:space="preserve">160,2300</t>
  </si>
  <si>
    <t xml:space="preserve">Tukaev Anton</t>
  </si>
  <si>
    <t xml:space="preserve">134,3874</t>
  </si>
  <si>
    <t xml:space="preserve">105,0090</t>
  </si>
  <si>
    <t xml:space="preserve">Sklyarov Yuriy</t>
  </si>
  <si>
    <t xml:space="preserve">143,5400</t>
  </si>
  <si>
    <t xml:space="preserve">Ermolaev Vyacheslav</t>
  </si>
  <si>
    <t xml:space="preserve">135,5310</t>
  </si>
  <si>
    <t xml:space="preserve">World Cup WPC/AWPC/WAA
WPC multi ply benchpress
Dolgoprudnyj/Moscow 5 - 6 december 2020 y.</t>
  </si>
  <si>
    <t xml:space="preserve">1. Petrov Aleksandr</t>
  </si>
  <si>
    <t xml:space="preserve">Masters 60-64 (17.07.1960)/60</t>
  </si>
  <si>
    <t xml:space="preserve">95,00</t>
  </si>
  <si>
    <t xml:space="preserve">RUS/Domodedovo</t>
  </si>
  <si>
    <t xml:space="preserve">Petrov Aleksandr</t>
  </si>
  <si>
    <t xml:space="preserve">191,3198</t>
  </si>
  <si>
    <t xml:space="preserve">World Cup WPC/AWPC/WAA
WPC single ply benchpress
Dolgoprudnyj/Moscow 5 - 6 december 2020 y.</t>
  </si>
  <si>
    <t xml:space="preserve">86,6950</t>
  </si>
  <si>
    <t xml:space="preserve">89,3825</t>
  </si>
  <si>
    <t xml:space="preserve">World Cup WPC/AWPC/WAA
WPC raw benchpress
Dolgoprudnyj/Moscow 5 - 6 december 2020 y.</t>
  </si>
  <si>
    <t xml:space="preserve">1. Bukhantseva Irina</t>
  </si>
  <si>
    <t xml:space="preserve">Masters 45-49 (24.11.1971)/49</t>
  </si>
  <si>
    <t xml:space="preserve">1. Lyalyakicheva Tatyana</t>
  </si>
  <si>
    <t xml:space="preserve">Open (21.03.1978)/42</t>
  </si>
  <si>
    <t xml:space="preserve">67,50</t>
  </si>
  <si>
    <t xml:space="preserve">RUS/Serpukhov</t>
  </si>
  <si>
    <t xml:space="preserve">87,5</t>
  </si>
  <si>
    <t xml:space="preserve">2. Kotenko Alena</t>
  </si>
  <si>
    <t xml:space="preserve">Open (07.04.1989)/31</t>
  </si>
  <si>
    <t xml:space="preserve">67,00</t>
  </si>
  <si>
    <t xml:space="preserve">1. Zhiltsova Kira</t>
  </si>
  <si>
    <t xml:space="preserve">Masters 75-79 (24.04.1944)/76</t>
  </si>
  <si>
    <t xml:space="preserve">65,90</t>
  </si>
  <si>
    <t xml:space="preserve">1. Raspopov Yuriy</t>
  </si>
  <si>
    <t xml:space="preserve">Open (16.12.1992)/27</t>
  </si>
  <si>
    <t xml:space="preserve">RUS/Donskoy</t>
  </si>
  <si>
    <t xml:space="preserve">197,5</t>
  </si>
  <si>
    <t xml:space="preserve">187,5</t>
  </si>
  <si>
    <t xml:space="preserve">167,5</t>
  </si>
  <si>
    <t xml:space="preserve">1. Vetrov Vladimir</t>
  </si>
  <si>
    <t xml:space="preserve">Masters 55-59 (02.09.1964)/56</t>
  </si>
  <si>
    <t xml:space="preserve">Petrov A.I.</t>
  </si>
  <si>
    <t xml:space="preserve">1. Baydyuk Sergey</t>
  </si>
  <si>
    <t xml:space="preserve">Open (07.04.1993)/27</t>
  </si>
  <si>
    <t xml:space="preserve">1. Zhiltsov Igor</t>
  </si>
  <si>
    <t xml:space="preserve">Masters 50-54 (14.08.1970)/50</t>
  </si>
  <si>
    <t xml:space="preserve">133,20</t>
  </si>
  <si>
    <t xml:space="preserve">Lyalyakicheva Tatyana</t>
  </si>
  <si>
    <t xml:space="preserve">87,7451</t>
  </si>
  <si>
    <t xml:space="preserve">Kotenko Alena</t>
  </si>
  <si>
    <t xml:space="preserve">70,1298</t>
  </si>
  <si>
    <t xml:space="preserve">Zhiltsova Kira</t>
  </si>
  <si>
    <t xml:space="preserve">Masters 75-79</t>
  </si>
  <si>
    <t xml:space="preserve">68,7854</t>
  </si>
  <si>
    <t xml:space="preserve">Bukhantseva Irina</t>
  </si>
  <si>
    <t xml:space="preserve">61,1966</t>
  </si>
  <si>
    <t xml:space="preserve">Raspopov Yuriy</t>
  </si>
  <si>
    <t xml:space="preserve">127,1655</t>
  </si>
  <si>
    <t xml:space="preserve">115,6594</t>
  </si>
  <si>
    <t xml:space="preserve">Baydyuk Sergey</t>
  </si>
  <si>
    <t xml:space="preserve">100,5380</t>
  </si>
  <si>
    <t xml:space="preserve">98,5120</t>
  </si>
  <si>
    <t xml:space="preserve">147,4757</t>
  </si>
  <si>
    <t xml:space="preserve">104,5346</t>
  </si>
  <si>
    <t xml:space="preserve">Vetrov Vladimir</t>
  </si>
  <si>
    <t xml:space="preserve">101,3914</t>
  </si>
  <si>
    <t xml:space="preserve">Zhiltsov Igor</t>
  </si>
  <si>
    <t xml:space="preserve">97,1258</t>
  </si>
  <si>
    <t xml:space="preserve">World Cup WPC/AWPC/WAA
WPC single ply powerlifting
Dolgoprudnyj/Moscow 5 - 6 december 2020 y.</t>
  </si>
  <si>
    <t xml:space="preserve">752,5</t>
  </si>
  <si>
    <t xml:space="preserve">464,8192</t>
  </si>
  <si>
    <t xml:space="preserve">319,2234</t>
  </si>
  <si>
    <t xml:space="preserve">World Cup WPC/AWPC/WAA
WPC Classic RAW powerliftig
Dolgoprudnyj/Moscow 5 - 6 december 2020 y.</t>
  </si>
  <si>
    <t xml:space="preserve">1. Scherbina Victor</t>
  </si>
  <si>
    <t xml:space="preserve">Open (01.11.1986)/34</t>
  </si>
  <si>
    <t xml:space="preserve">275,0</t>
  </si>
  <si>
    <t xml:space="preserve">290,0</t>
  </si>
  <si>
    <t xml:space="preserve">2. Vasin Mikhail</t>
  </si>
  <si>
    <t xml:space="preserve">Open (16.10.1994)/26</t>
  </si>
  <si>
    <t xml:space="preserve">RUS/Shatura</t>
  </si>
  <si>
    <t xml:space="preserve">1. Cheremisin Denis</t>
  </si>
  <si>
    <t xml:space="preserve">Open (15.08.1991)/29</t>
  </si>
  <si>
    <t xml:space="preserve">-. Semlev Vladimir</t>
  </si>
  <si>
    <t xml:space="preserve">Open (12.10.1981)/39</t>
  </si>
  <si>
    <t xml:space="preserve">108,40</t>
  </si>
  <si>
    <t xml:space="preserve">Cheremisin Denis</t>
  </si>
  <si>
    <t xml:space="preserve">710,0</t>
  </si>
  <si>
    <t xml:space="preserve">414,1430</t>
  </si>
  <si>
    <t xml:space="preserve">640,0</t>
  </si>
  <si>
    <t xml:space="preserve">395,3280</t>
  </si>
  <si>
    <t xml:space="preserve">Vasin Mikhail</t>
  </si>
  <si>
    <t xml:space="preserve">632,5</t>
  </si>
  <si>
    <t xml:space="preserve">390,1576</t>
  </si>
  <si>
    <t xml:space="preserve">Scherbina Victor</t>
  </si>
  <si>
    <t xml:space="preserve">178,1038</t>
  </si>
  <si>
    <t xml:space="preserve">World Cup WPC/AWPC/WAA
WPC raw powerlifting
Dolgoprudnyj/Moscow 5 - 6 december 2020 y.</t>
  </si>
  <si>
    <t xml:space="preserve">1. Bondarchuk Elena</t>
  </si>
  <si>
    <t xml:space="preserve">Masters 40-44 (18.06.1980)/40</t>
  </si>
  <si>
    <t xml:space="preserve">1. Doga Victoriya</t>
  </si>
  <si>
    <t xml:space="preserve">Open (04.09.1982)/38</t>
  </si>
  <si>
    <t xml:space="preserve">74,90</t>
  </si>
  <si>
    <t xml:space="preserve">202,5</t>
  </si>
  <si>
    <t xml:space="preserve">Taranukhin G.Yu.</t>
  </si>
  <si>
    <t xml:space="preserve">1. Uryupin Vladislav</t>
  </si>
  <si>
    <t xml:space="preserve">Open (30.04.1996)/24</t>
  </si>
  <si>
    <t xml:space="preserve">89,30</t>
  </si>
  <si>
    <t xml:space="preserve">1. Yakushev Oleg</t>
  </si>
  <si>
    <t xml:space="preserve">Open (28.07.1989)/31</t>
  </si>
  <si>
    <t xml:space="preserve">106,00</t>
  </si>
  <si>
    <t xml:space="preserve">Broshkin Sergey</t>
  </si>
  <si>
    <t xml:space="preserve">1. Zaytsev Aleksandr</t>
  </si>
  <si>
    <t xml:space="preserve">Masters 40-44 (06.04.1980)/40</t>
  </si>
  <si>
    <t xml:space="preserve">117,10</t>
  </si>
  <si>
    <t xml:space="preserve">RUS/Stavropol</t>
  </si>
  <si>
    <t xml:space="preserve">320,0</t>
  </si>
  <si>
    <t xml:space="preserve">Doga Victoriya</t>
  </si>
  <si>
    <t xml:space="preserve">482,5</t>
  </si>
  <si>
    <t xml:space="preserve">403,7801</t>
  </si>
  <si>
    <t xml:space="preserve">Bondarchuk Elena</t>
  </si>
  <si>
    <t xml:space="preserve">402,5</t>
  </si>
  <si>
    <t xml:space="preserve">397,5090</t>
  </si>
  <si>
    <t xml:space="preserve">308,6370</t>
  </si>
  <si>
    <t xml:space="preserve">Yakushev Oleg</t>
  </si>
  <si>
    <t xml:space="preserve">645,0</t>
  </si>
  <si>
    <t xml:space="preserve">366,9082</t>
  </si>
  <si>
    <t xml:space="preserve">Uryupin Vladislav</t>
  </si>
  <si>
    <t xml:space="preserve">525,0</t>
  </si>
  <si>
    <t xml:space="preserve">322,6387</t>
  </si>
  <si>
    <t xml:space="preserve">Zaytsev Aleksandr</t>
  </si>
  <si>
    <t xml:space="preserve">820,0</t>
  </si>
  <si>
    <t xml:space="preserve">454,2390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</si>
</sst>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7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Arial Cyr"/>
      <family val="0"/>
      <charset val="204"/>
    </font>
    <font>
      <sz val="24"/>
      <name val="Arial Cyr"/>
      <family val="2"/>
      <charset val="204"/>
    </font>
    <font>
      <b val="true"/>
      <sz val="11"/>
      <name val="Arial Cyr"/>
      <family val="0"/>
      <charset val="204"/>
    </font>
    <font>
      <sz val="11"/>
      <name val="Arial Cyr"/>
      <family val="0"/>
      <charset val="204"/>
    </font>
    <font>
      <i val="true"/>
      <sz val="12"/>
      <name val="Arial Cyr"/>
      <family val="0"/>
      <charset val="204"/>
    </font>
    <font>
      <strike val="true"/>
      <sz val="10"/>
      <name val="Arial Cyr"/>
      <family val="0"/>
      <charset val="204"/>
    </font>
    <font>
      <sz val="12"/>
      <name val="Arial Cyr"/>
      <family val="0"/>
      <charset val="204"/>
    </font>
    <font>
      <b val="true"/>
      <sz val="14"/>
      <name val="Arial Cyr"/>
      <family val="0"/>
      <charset val="204"/>
    </font>
    <font>
      <sz val="14"/>
      <name val="Arial Cyr"/>
      <family val="0"/>
      <charset val="204"/>
    </font>
    <font>
      <b val="true"/>
      <i val="true"/>
      <sz val="12"/>
      <name val="Arial Cyr"/>
      <family val="0"/>
      <charset val="204"/>
    </font>
    <font>
      <b val="true"/>
      <i val="true"/>
      <sz val="11"/>
      <name val="Arial Cyr"/>
      <family val="0"/>
      <charset val="204"/>
    </font>
    <font>
      <i val="true"/>
      <sz val="11"/>
      <name val="Arial Cyr"/>
      <family val="0"/>
      <charset val="204"/>
    </font>
    <font>
      <b val="true"/>
      <sz val="24"/>
      <name val="Arial Cyr"/>
      <family val="0"/>
      <charset val="204"/>
    </font>
  </fonts>
  <fills count="2">
    <fill>
      <patternFill patternType="none"/>
    </fill>
    <fill>
      <patternFill patternType="gray125"/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4" fillId="0" borderId="0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5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5" fontId="4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5" fillId="0" borderId="0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5" fontId="0" fillId="0" borderId="0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5" fontId="0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1" width="28.56"/>
    <col collapsed="false" customWidth="true" hidden="false" outlineLevel="0" max="2" min="2" style="2" width="24"/>
    <col collapsed="false" customWidth="true" hidden="false" outlineLevel="0" max="3" min="3" style="2" width="7.56"/>
    <col collapsed="false" customWidth="true" hidden="false" outlineLevel="0" max="4" min="4" style="2" width="6.56"/>
    <col collapsed="false" customWidth="true" hidden="false" outlineLevel="0" max="5" min="5" style="3" width="17"/>
    <col collapsed="false" customWidth="true" hidden="false" outlineLevel="0" max="6" min="6" style="3" width="14.78"/>
    <col collapsed="false" customWidth="true" hidden="false" outlineLevel="0" max="10" min="7" style="2" width="4.56"/>
    <col collapsed="false" customWidth="true" hidden="false" outlineLevel="0" max="11" min="11" style="4" width="7"/>
    <col collapsed="false" customWidth="true" hidden="false" outlineLevel="0" max="12" min="12" style="4" width="10"/>
    <col collapsed="false" customWidth="false" hidden="false" outlineLevel="0" max="1024" min="13" style="4" width="9.11"/>
  </cols>
  <sheetData>
    <row r="1" customFormat="false" ht="28.95" hidden="false" customHeight="tru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Format="false" ht="61.9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s="11" customFormat="true" ht="12.75" hidden="false" customHeight="true" outlineLevel="0" collapsed="false">
      <c r="A3" s="6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10"/>
      <c r="I3" s="10"/>
      <c r="J3" s="10"/>
      <c r="K3" s="11" t="s">
        <v>8</v>
      </c>
    </row>
    <row r="4" s="11" customFormat="true" ht="23.25" hidden="false" customHeight="true" outlineLevel="0" collapsed="false">
      <c r="A4" s="6"/>
      <c r="B4" s="7"/>
      <c r="C4" s="7"/>
      <c r="D4" s="7"/>
      <c r="E4" s="7"/>
      <c r="F4" s="9"/>
      <c r="G4" s="12" t="n">
        <v>1</v>
      </c>
      <c r="H4" s="12" t="n">
        <v>2</v>
      </c>
      <c r="I4" s="12" t="n">
        <v>3</v>
      </c>
      <c r="J4" s="12" t="n">
        <v>4</v>
      </c>
    </row>
    <row r="5" s="2" customFormat="true" ht="15.6" hidden="false" customHeight="false" outlineLevel="0" collapsed="false">
      <c r="A5" s="13" t="s">
        <v>9</v>
      </c>
      <c r="B5" s="13"/>
      <c r="C5" s="13"/>
      <c r="D5" s="13"/>
      <c r="E5" s="13"/>
      <c r="F5" s="13"/>
      <c r="G5" s="13"/>
      <c r="H5" s="13"/>
      <c r="I5" s="13"/>
      <c r="J5" s="13"/>
    </row>
    <row r="6" s="2" customFormat="true" ht="13.2" hidden="false" customHeight="false" outlineLevel="0" collapsed="false">
      <c r="A6" s="14" t="s">
        <v>10</v>
      </c>
      <c r="B6" s="15" t="s">
        <v>11</v>
      </c>
      <c r="C6" s="15" t="s">
        <v>12</v>
      </c>
      <c r="D6" s="15" t="str">
        <f aca="false">"0,6805"</f>
        <v>0,6805</v>
      </c>
      <c r="E6" s="16" t="s">
        <v>13</v>
      </c>
      <c r="F6" s="16" t="s">
        <v>14</v>
      </c>
      <c r="G6" s="15" t="s">
        <v>15</v>
      </c>
      <c r="H6" s="15" t="s">
        <v>16</v>
      </c>
      <c r="I6" s="15" t="s">
        <v>17</v>
      </c>
      <c r="J6" s="15" t="s">
        <v>18</v>
      </c>
      <c r="K6" s="15" t="s">
        <v>19</v>
      </c>
      <c r="L6" s="15" t="s">
        <v>20</v>
      </c>
      <c r="M6" s="15"/>
    </row>
    <row r="7" s="2" customFormat="true" ht="13.2" hidden="false" customHeight="false" outlineLevel="0" collapsed="false">
      <c r="A7" s="1"/>
      <c r="E7" s="3"/>
      <c r="F7" s="3"/>
    </row>
    <row r="8" customFormat="false" ht="15.6" hidden="false" customHeight="false" outlineLevel="0" collapsed="false">
      <c r="A8" s="17" t="s">
        <v>21</v>
      </c>
      <c r="B8" s="17"/>
      <c r="C8" s="17"/>
      <c r="D8" s="17"/>
      <c r="E8" s="17"/>
      <c r="F8" s="17"/>
      <c r="G8" s="17"/>
      <c r="H8" s="17"/>
      <c r="I8" s="17"/>
      <c r="J8" s="17"/>
    </row>
    <row r="9" customFormat="false" ht="13.2" hidden="false" customHeight="false" outlineLevel="0" collapsed="false">
      <c r="A9" s="14" t="s">
        <v>22</v>
      </c>
      <c r="B9" s="15" t="s">
        <v>23</v>
      </c>
      <c r="C9" s="15" t="s">
        <v>24</v>
      </c>
      <c r="D9" s="15" t="str">
        <f aca="false">"0,5466"</f>
        <v>0,5466</v>
      </c>
      <c r="E9" s="16" t="s">
        <v>13</v>
      </c>
      <c r="F9" s="16" t="s">
        <v>25</v>
      </c>
      <c r="G9" s="15" t="s">
        <v>18</v>
      </c>
      <c r="H9" s="18" t="s">
        <v>26</v>
      </c>
      <c r="I9" s="18"/>
      <c r="J9" s="18"/>
      <c r="K9" s="19" t="str">
        <f aca="false">"70,0"</f>
        <v>70,0</v>
      </c>
      <c r="L9" s="19" t="str">
        <f aca="false">"56,6278"</f>
        <v>56,6278</v>
      </c>
      <c r="M9" s="19"/>
    </row>
    <row r="11" customFormat="false" ht="15" hidden="false" customHeight="false" outlineLevel="0" collapsed="false">
      <c r="E11" s="20" t="s">
        <v>27</v>
      </c>
    </row>
    <row r="12" customFormat="false" ht="15" hidden="false" customHeight="false" outlineLevel="0" collapsed="false">
      <c r="E12" s="20" t="s">
        <v>28</v>
      </c>
    </row>
    <row r="13" customFormat="false" ht="15" hidden="false" customHeight="false" outlineLevel="0" collapsed="false">
      <c r="E13" s="20" t="s">
        <v>29</v>
      </c>
    </row>
    <row r="14" customFormat="false" ht="13.2" hidden="false" customHeight="false" outlineLevel="0" collapsed="false">
      <c r="E14" s="3" t="s">
        <v>30</v>
      </c>
    </row>
    <row r="15" customFormat="false" ht="13.2" hidden="false" customHeight="false" outlineLevel="0" collapsed="false">
      <c r="E15" s="3" t="s">
        <v>31</v>
      </c>
    </row>
    <row r="16" customFormat="false" ht="13.2" hidden="false" customHeight="false" outlineLevel="0" collapsed="false">
      <c r="E16" s="3" t="s">
        <v>32</v>
      </c>
    </row>
    <row r="19" customFormat="false" ht="17.4" hidden="false" customHeight="false" outlineLevel="0" collapsed="false">
      <c r="A19" s="21" t="s">
        <v>33</v>
      </c>
      <c r="B19" s="22"/>
    </row>
    <row r="20" customFormat="false" ht="15.6" hidden="false" customHeight="false" outlineLevel="0" collapsed="false">
      <c r="A20" s="23" t="s">
        <v>34</v>
      </c>
      <c r="B20" s="17"/>
    </row>
    <row r="21" customFormat="false" ht="14.4" hidden="false" customHeight="false" outlineLevel="0" collapsed="false">
      <c r="A21" s="24"/>
      <c r="B21" s="25" t="s">
        <v>35</v>
      </c>
    </row>
    <row r="22" customFormat="false" ht="13.8" hidden="false" customHeight="false" outlineLevel="0" collapsed="false">
      <c r="A22" s="26" t="s">
        <v>1</v>
      </c>
      <c r="B22" s="26" t="s">
        <v>36</v>
      </c>
      <c r="C22" s="26" t="s">
        <v>37</v>
      </c>
      <c r="D22" s="26" t="s">
        <v>38</v>
      </c>
      <c r="E22" s="26" t="s">
        <v>4</v>
      </c>
    </row>
    <row r="23" customFormat="false" ht="13.2" hidden="false" customHeight="false" outlineLevel="0" collapsed="false">
      <c r="A23" s="27" t="s">
        <v>39</v>
      </c>
      <c r="B23" s="2" t="s">
        <v>40</v>
      </c>
      <c r="C23" s="2" t="s">
        <v>41</v>
      </c>
      <c r="D23" s="2" t="s">
        <v>18</v>
      </c>
      <c r="E23" s="1" t="s">
        <v>42</v>
      </c>
    </row>
    <row r="24" customFormat="false" ht="13.2" hidden="false" customHeight="false" outlineLevel="0" collapsed="false">
      <c r="A24" s="27" t="s">
        <v>43</v>
      </c>
      <c r="B24" s="2" t="s">
        <v>40</v>
      </c>
      <c r="C24" s="2" t="s">
        <v>44</v>
      </c>
      <c r="D24" s="2" t="s">
        <v>18</v>
      </c>
      <c r="E24" s="1" t="s">
        <v>45</v>
      </c>
    </row>
  </sheetData>
  <mergeCells count="10">
    <mergeCell ref="A1:J2"/>
    <mergeCell ref="A3:A4"/>
    <mergeCell ref="B3:B4"/>
    <mergeCell ref="C3:C4"/>
    <mergeCell ref="D3:D4"/>
    <mergeCell ref="E3:E4"/>
    <mergeCell ref="F3:F4"/>
    <mergeCell ref="G3:J3"/>
    <mergeCell ref="A5:J5"/>
    <mergeCell ref="A8:J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7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6.56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4.78"/>
    <col collapsed="false" customWidth="true" hidden="false" outlineLevel="0" max="9" min="7" style="37" width="5.55"/>
    <col collapsed="false" customWidth="true" hidden="false" outlineLevel="0" max="10" min="10" style="37" width="4.78"/>
    <col collapsed="false" customWidth="true" hidden="false" outlineLevel="0" max="11" min="11" style="1" width="5.78"/>
    <col collapsed="false" customWidth="true" hidden="false" outlineLevel="0" max="12" min="12" style="38" width="8.56"/>
    <col collapsed="false" customWidth="true" hidden="false" outlineLevel="0" max="13" min="13" style="36" width="7.11"/>
    <col collapsed="false" customWidth="false" hidden="false" outlineLevel="0" max="1024" min="14" style="39" width="9.11"/>
  </cols>
  <sheetData>
    <row r="1" s="41" customFormat="true" ht="28.95" hidden="false" customHeight="true" outlineLevel="0" collapsed="false">
      <c r="A1" s="40" t="s">
        <v>418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252</v>
      </c>
      <c r="H3" s="45"/>
      <c r="I3" s="45"/>
      <c r="J3" s="45"/>
      <c r="K3" s="44" t="s">
        <v>8</v>
      </c>
      <c r="L3" s="44" t="s">
        <v>128</v>
      </c>
      <c r="M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4"/>
      <c r="L4" s="44"/>
      <c r="M4" s="46"/>
    </row>
    <row r="5" s="37" customFormat="true" ht="15.6" hidden="false" customHeight="false" outlineLevel="0" collapsed="false">
      <c r="A5" s="13" t="s">
        <v>262</v>
      </c>
      <c r="B5" s="13"/>
      <c r="C5" s="13"/>
      <c r="D5" s="13"/>
      <c r="E5" s="13"/>
      <c r="F5" s="13"/>
      <c r="G5" s="13"/>
      <c r="H5" s="13"/>
      <c r="I5" s="13"/>
      <c r="J5" s="13"/>
      <c r="K5" s="1"/>
      <c r="L5" s="38"/>
      <c r="M5" s="36"/>
    </row>
    <row r="6" s="37" customFormat="true" ht="13.2" hidden="false" customHeight="false" outlineLevel="0" collapsed="false">
      <c r="A6" s="16" t="s">
        <v>419</v>
      </c>
      <c r="B6" s="15" t="s">
        <v>420</v>
      </c>
      <c r="C6" s="15" t="s">
        <v>421</v>
      </c>
      <c r="D6" s="15" t="str">
        <f aca="false">"1,0975"</f>
        <v>1,0975</v>
      </c>
      <c r="E6" s="16" t="s">
        <v>13</v>
      </c>
      <c r="F6" s="16" t="s">
        <v>25</v>
      </c>
      <c r="G6" s="15" t="s">
        <v>177</v>
      </c>
      <c r="H6" s="15" t="s">
        <v>17</v>
      </c>
      <c r="I6" s="15" t="s">
        <v>149</v>
      </c>
      <c r="J6" s="18"/>
      <c r="K6" s="14" t="str">
        <f aca="false">"65,0"</f>
        <v>65,0</v>
      </c>
      <c r="L6" s="48" t="str">
        <f aca="false">"81,8241"</f>
        <v>81,8241</v>
      </c>
      <c r="M6" s="16"/>
    </row>
    <row r="7" s="37" customFormat="true" ht="13.2" hidden="false" customHeight="false" outlineLevel="0" collapsed="false">
      <c r="A7" s="36"/>
      <c r="E7" s="36"/>
      <c r="F7" s="36"/>
      <c r="K7" s="1"/>
      <c r="L7" s="38"/>
      <c r="M7" s="36"/>
    </row>
    <row r="8" customFormat="false" ht="15.6" hidden="false" customHeight="false" outlineLevel="0" collapsed="false">
      <c r="A8" s="17" t="s">
        <v>281</v>
      </c>
      <c r="B8" s="17"/>
      <c r="C8" s="17"/>
      <c r="D8" s="17"/>
      <c r="E8" s="17"/>
      <c r="F8" s="17"/>
      <c r="G8" s="17"/>
      <c r="H8" s="17"/>
      <c r="I8" s="17"/>
      <c r="J8" s="17"/>
    </row>
    <row r="9" customFormat="false" ht="13.2" hidden="false" customHeight="false" outlineLevel="0" collapsed="false">
      <c r="A9" s="16" t="s">
        <v>422</v>
      </c>
      <c r="B9" s="15" t="s">
        <v>423</v>
      </c>
      <c r="C9" s="15" t="s">
        <v>424</v>
      </c>
      <c r="D9" s="15" t="str">
        <f aca="false">"1,0220"</f>
        <v>1,0220</v>
      </c>
      <c r="E9" s="16" t="s">
        <v>13</v>
      </c>
      <c r="F9" s="16" t="s">
        <v>25</v>
      </c>
      <c r="G9" s="15" t="s">
        <v>177</v>
      </c>
      <c r="H9" s="15" t="s">
        <v>191</v>
      </c>
      <c r="I9" s="15" t="s">
        <v>18</v>
      </c>
      <c r="J9" s="18"/>
      <c r="K9" s="14" t="str">
        <f aca="false">"70,0"</f>
        <v>70,0</v>
      </c>
      <c r="L9" s="48" t="str">
        <f aca="false">"71,5400"</f>
        <v>71,5400</v>
      </c>
      <c r="M9" s="16"/>
    </row>
    <row r="11" customFormat="false" ht="15.6" hidden="false" customHeight="false" outlineLevel="0" collapsed="false">
      <c r="A11" s="17" t="s">
        <v>131</v>
      </c>
      <c r="B11" s="17"/>
      <c r="C11" s="17"/>
      <c r="D11" s="17"/>
      <c r="E11" s="17"/>
      <c r="F11" s="17"/>
      <c r="G11" s="17"/>
      <c r="H11" s="17"/>
      <c r="I11" s="17"/>
      <c r="J11" s="17"/>
    </row>
    <row r="12" customFormat="false" ht="13.2" hidden="false" customHeight="false" outlineLevel="0" collapsed="false">
      <c r="A12" s="16" t="s">
        <v>425</v>
      </c>
      <c r="B12" s="15" t="s">
        <v>426</v>
      </c>
      <c r="C12" s="15" t="s">
        <v>170</v>
      </c>
      <c r="D12" s="15" t="str">
        <f aca="false">"0,9007"</f>
        <v>0,9007</v>
      </c>
      <c r="E12" s="16" t="s">
        <v>13</v>
      </c>
      <c r="F12" s="16" t="s">
        <v>25</v>
      </c>
      <c r="G12" s="15" t="s">
        <v>79</v>
      </c>
      <c r="H12" s="15" t="s">
        <v>80</v>
      </c>
      <c r="I12" s="15" t="s">
        <v>309</v>
      </c>
      <c r="J12" s="18"/>
      <c r="K12" s="14" t="str">
        <f aca="false">"155,0"</f>
        <v>155,0</v>
      </c>
      <c r="L12" s="48" t="str">
        <f aca="false">"139,6162"</f>
        <v>139,6162</v>
      </c>
      <c r="M12" s="16"/>
    </row>
    <row r="14" customFormat="false" ht="15.6" hidden="false" customHeight="false" outlineLevel="0" collapsed="false">
      <c r="A14" s="17" t="s">
        <v>427</v>
      </c>
      <c r="B14" s="17"/>
      <c r="C14" s="17"/>
      <c r="D14" s="17"/>
      <c r="E14" s="17"/>
      <c r="F14" s="17"/>
      <c r="G14" s="17"/>
      <c r="H14" s="17"/>
      <c r="I14" s="17"/>
      <c r="J14" s="17"/>
    </row>
    <row r="15" customFormat="false" ht="13.2" hidden="false" customHeight="false" outlineLevel="0" collapsed="false">
      <c r="A15" s="16" t="s">
        <v>428</v>
      </c>
      <c r="B15" s="15" t="s">
        <v>429</v>
      </c>
      <c r="C15" s="15" t="s">
        <v>430</v>
      </c>
      <c r="D15" s="15" t="str">
        <f aca="false">"0,7340"</f>
        <v>0,7340</v>
      </c>
      <c r="E15" s="16" t="s">
        <v>13</v>
      </c>
      <c r="F15" s="16" t="s">
        <v>25</v>
      </c>
      <c r="G15" s="15" t="s">
        <v>67</v>
      </c>
      <c r="H15" s="15" t="s">
        <v>68</v>
      </c>
      <c r="I15" s="15" t="s">
        <v>69</v>
      </c>
      <c r="J15" s="18"/>
      <c r="K15" s="14" t="str">
        <f aca="false">"120,0"</f>
        <v>120,0</v>
      </c>
      <c r="L15" s="48" t="str">
        <f aca="false">"89,8355"</f>
        <v>89,8355</v>
      </c>
      <c r="M15" s="16"/>
    </row>
    <row r="17" customFormat="false" ht="15.6" hidden="false" customHeight="false" outlineLevel="0" collapsed="false">
      <c r="A17" s="17" t="s">
        <v>286</v>
      </c>
      <c r="B17" s="17"/>
      <c r="C17" s="17"/>
      <c r="D17" s="17"/>
      <c r="E17" s="17"/>
      <c r="F17" s="17"/>
      <c r="G17" s="17"/>
      <c r="H17" s="17"/>
      <c r="I17" s="17"/>
      <c r="J17" s="17"/>
    </row>
    <row r="18" customFormat="false" ht="13.2" hidden="false" customHeight="false" outlineLevel="0" collapsed="false">
      <c r="A18" s="16" t="s">
        <v>431</v>
      </c>
      <c r="B18" s="15" t="s">
        <v>432</v>
      </c>
      <c r="C18" s="15" t="s">
        <v>433</v>
      </c>
      <c r="D18" s="15" t="str">
        <f aca="false">"1,0192"</f>
        <v>1,0192</v>
      </c>
      <c r="E18" s="16" t="s">
        <v>13</v>
      </c>
      <c r="F18" s="16" t="s">
        <v>25</v>
      </c>
      <c r="G18" s="15" t="s">
        <v>177</v>
      </c>
      <c r="H18" s="15" t="s">
        <v>17</v>
      </c>
      <c r="I18" s="15" t="s">
        <v>149</v>
      </c>
      <c r="J18" s="18"/>
      <c r="K18" s="14" t="str">
        <f aca="false">"65,0"</f>
        <v>65,0</v>
      </c>
      <c r="L18" s="48" t="str">
        <f aca="false">"66,2448"</f>
        <v>66,2448</v>
      </c>
      <c r="M18" s="16"/>
    </row>
    <row r="20" customFormat="false" ht="15.6" hidden="false" customHeight="false" outlineLevel="0" collapsed="false">
      <c r="A20" s="17" t="s">
        <v>173</v>
      </c>
      <c r="B20" s="17"/>
      <c r="C20" s="17"/>
      <c r="D20" s="17"/>
      <c r="E20" s="17"/>
      <c r="F20" s="17"/>
      <c r="G20" s="17"/>
      <c r="H20" s="17"/>
      <c r="I20" s="17"/>
      <c r="J20" s="17"/>
    </row>
    <row r="21" customFormat="false" ht="13.2" hidden="false" customHeight="false" outlineLevel="0" collapsed="false">
      <c r="A21" s="16" t="s">
        <v>434</v>
      </c>
      <c r="B21" s="15" t="s">
        <v>435</v>
      </c>
      <c r="C21" s="15" t="s">
        <v>436</v>
      </c>
      <c r="D21" s="15" t="str">
        <f aca="false">"0,7348"</f>
        <v>0,7348</v>
      </c>
      <c r="E21" s="16" t="s">
        <v>13</v>
      </c>
      <c r="F21" s="16" t="s">
        <v>25</v>
      </c>
      <c r="G21" s="15" t="s">
        <v>81</v>
      </c>
      <c r="H21" s="15" t="s">
        <v>437</v>
      </c>
      <c r="I21" s="15" t="s">
        <v>257</v>
      </c>
      <c r="J21" s="18"/>
      <c r="K21" s="14" t="str">
        <f aca="false">"185,0"</f>
        <v>185,0</v>
      </c>
      <c r="L21" s="48" t="str">
        <f aca="false">"135,9472"</f>
        <v>135,9472</v>
      </c>
      <c r="M21" s="16"/>
    </row>
    <row r="23" customFormat="false" ht="15.6" hidden="false" customHeight="false" outlineLevel="0" collapsed="false">
      <c r="A23" s="17" t="s">
        <v>74</v>
      </c>
      <c r="B23" s="17"/>
      <c r="C23" s="17"/>
      <c r="D23" s="17"/>
      <c r="E23" s="17"/>
      <c r="F23" s="17"/>
      <c r="G23" s="17"/>
      <c r="H23" s="17"/>
      <c r="I23" s="17"/>
      <c r="J23" s="17"/>
    </row>
    <row r="24" customFormat="false" ht="13.2" hidden="false" customHeight="false" outlineLevel="0" collapsed="false">
      <c r="A24" s="30" t="s">
        <v>438</v>
      </c>
      <c r="B24" s="29" t="s">
        <v>439</v>
      </c>
      <c r="C24" s="29" t="s">
        <v>77</v>
      </c>
      <c r="D24" s="29" t="str">
        <f aca="false">"0,6177"</f>
        <v>0,6177</v>
      </c>
      <c r="E24" s="30" t="s">
        <v>13</v>
      </c>
      <c r="F24" s="30" t="s">
        <v>413</v>
      </c>
      <c r="G24" s="29" t="s">
        <v>306</v>
      </c>
      <c r="H24" s="49" t="s">
        <v>440</v>
      </c>
      <c r="I24" s="29" t="s">
        <v>440</v>
      </c>
      <c r="J24" s="49"/>
      <c r="K24" s="28" t="str">
        <f aca="false">"282,5"</f>
        <v>282,5</v>
      </c>
      <c r="L24" s="50" t="str">
        <f aca="false">"174,5002"</f>
        <v>174,5002</v>
      </c>
      <c r="M24" s="30"/>
    </row>
    <row r="25" customFormat="false" ht="13.2" hidden="false" customHeight="false" outlineLevel="0" collapsed="false">
      <c r="A25" s="34" t="s">
        <v>411</v>
      </c>
      <c r="B25" s="33" t="s">
        <v>414</v>
      </c>
      <c r="C25" s="33" t="s">
        <v>342</v>
      </c>
      <c r="D25" s="33" t="str">
        <f aca="false">"0,6192"</f>
        <v>0,6192</v>
      </c>
      <c r="E25" s="34" t="s">
        <v>13</v>
      </c>
      <c r="F25" s="34" t="s">
        <v>413</v>
      </c>
      <c r="G25" s="33" t="s">
        <v>295</v>
      </c>
      <c r="H25" s="51"/>
      <c r="I25" s="51"/>
      <c r="J25" s="51"/>
      <c r="K25" s="32" t="str">
        <f aca="false">"200,0"</f>
        <v>200,0</v>
      </c>
      <c r="L25" s="52" t="str">
        <f aca="false">"127,6893"</f>
        <v>127,6893</v>
      </c>
      <c r="M25" s="34"/>
    </row>
    <row r="27" customFormat="false" ht="15.6" hidden="false" customHeight="false" outlineLevel="0" collapsed="false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</row>
    <row r="28" customFormat="false" ht="13.2" hidden="false" customHeight="false" outlineLevel="0" collapsed="false">
      <c r="A28" s="16" t="s">
        <v>441</v>
      </c>
      <c r="B28" s="15" t="s">
        <v>442</v>
      </c>
      <c r="C28" s="15" t="s">
        <v>443</v>
      </c>
      <c r="D28" s="15" t="str">
        <f aca="false">"0,5958"</f>
        <v>0,5958</v>
      </c>
      <c r="E28" s="16" t="s">
        <v>13</v>
      </c>
      <c r="F28" s="16" t="s">
        <v>444</v>
      </c>
      <c r="G28" s="15" t="s">
        <v>445</v>
      </c>
      <c r="H28" s="15" t="s">
        <v>446</v>
      </c>
      <c r="I28" s="15" t="s">
        <v>306</v>
      </c>
      <c r="J28" s="18"/>
      <c r="K28" s="14" t="str">
        <f aca="false">"250,0"</f>
        <v>250,0</v>
      </c>
      <c r="L28" s="48" t="str">
        <f aca="false">"148,9625"</f>
        <v>148,9625</v>
      </c>
      <c r="M28" s="16"/>
    </row>
    <row r="30" customFormat="false" ht="15.6" hidden="false" customHeight="false" outlineLevel="0" collapsed="false">
      <c r="A30" s="17" t="s">
        <v>144</v>
      </c>
      <c r="B30" s="17"/>
      <c r="C30" s="17"/>
      <c r="D30" s="17"/>
      <c r="E30" s="17"/>
      <c r="F30" s="17"/>
      <c r="G30" s="17"/>
      <c r="H30" s="17"/>
      <c r="I30" s="17"/>
      <c r="J30" s="17"/>
    </row>
    <row r="31" customFormat="false" ht="13.2" hidden="false" customHeight="false" outlineLevel="0" collapsed="false">
      <c r="A31" s="30" t="s">
        <v>447</v>
      </c>
      <c r="B31" s="29" t="s">
        <v>448</v>
      </c>
      <c r="C31" s="29" t="s">
        <v>449</v>
      </c>
      <c r="D31" s="29" t="str">
        <f aca="false">"0,5759"</f>
        <v>0,5759</v>
      </c>
      <c r="E31" s="30" t="s">
        <v>13</v>
      </c>
      <c r="F31" s="30" t="s">
        <v>450</v>
      </c>
      <c r="G31" s="29" t="s">
        <v>91</v>
      </c>
      <c r="H31" s="29" t="s">
        <v>338</v>
      </c>
      <c r="I31" s="29" t="s">
        <v>451</v>
      </c>
      <c r="J31" s="49"/>
      <c r="K31" s="28" t="str">
        <f aca="false">"230,0"</f>
        <v>230,0</v>
      </c>
      <c r="L31" s="50" t="str">
        <f aca="false">"132,4455"</f>
        <v>132,4455</v>
      </c>
      <c r="M31" s="30"/>
    </row>
    <row r="32" customFormat="false" ht="13.2" hidden="false" customHeight="false" outlineLevel="0" collapsed="false">
      <c r="A32" s="34" t="s">
        <v>447</v>
      </c>
      <c r="B32" s="33" t="s">
        <v>452</v>
      </c>
      <c r="C32" s="33" t="s">
        <v>449</v>
      </c>
      <c r="D32" s="33" t="str">
        <f aca="false">"0,5759"</f>
        <v>0,5759</v>
      </c>
      <c r="E32" s="34" t="s">
        <v>13</v>
      </c>
      <c r="F32" s="34" t="s">
        <v>450</v>
      </c>
      <c r="G32" s="33" t="s">
        <v>91</v>
      </c>
      <c r="H32" s="33" t="s">
        <v>338</v>
      </c>
      <c r="I32" s="33" t="s">
        <v>451</v>
      </c>
      <c r="J32" s="51"/>
      <c r="K32" s="32" t="str">
        <f aca="false">"230,0"</f>
        <v>230,0</v>
      </c>
      <c r="L32" s="52" t="str">
        <f aca="false">"132,4455"</f>
        <v>132,4455</v>
      </c>
      <c r="M32" s="34"/>
    </row>
    <row r="34" customFormat="false" ht="15" hidden="false" customHeight="false" outlineLevel="0" collapsed="false">
      <c r="E34" s="20" t="s">
        <v>27</v>
      </c>
    </row>
    <row r="35" customFormat="false" ht="15" hidden="false" customHeight="false" outlineLevel="0" collapsed="false">
      <c r="E35" s="20" t="s">
        <v>28</v>
      </c>
    </row>
    <row r="36" customFormat="false" ht="15" hidden="false" customHeight="false" outlineLevel="0" collapsed="false">
      <c r="E36" s="20" t="s">
        <v>29</v>
      </c>
    </row>
    <row r="37" customFormat="false" ht="13.2" hidden="false" customHeight="false" outlineLevel="0" collapsed="false">
      <c r="E37" s="36" t="s">
        <v>30</v>
      </c>
    </row>
    <row r="38" customFormat="false" ht="13.2" hidden="false" customHeight="false" outlineLevel="0" collapsed="false">
      <c r="E38" s="36" t="s">
        <v>31</v>
      </c>
    </row>
    <row r="39" customFormat="false" ht="13.2" hidden="false" customHeight="false" outlineLevel="0" collapsed="false">
      <c r="E39" s="36" t="s">
        <v>32</v>
      </c>
    </row>
    <row r="42" customFormat="false" ht="17.4" hidden="false" customHeight="false" outlineLevel="0" collapsed="false">
      <c r="A42" s="53" t="s">
        <v>33</v>
      </c>
      <c r="B42" s="22"/>
    </row>
    <row r="43" customFormat="false" ht="15.6" hidden="false" customHeight="false" outlineLevel="0" collapsed="false">
      <c r="A43" s="54" t="s">
        <v>58</v>
      </c>
      <c r="B43" s="17"/>
    </row>
    <row r="44" customFormat="false" ht="14.4" hidden="false" customHeight="false" outlineLevel="0" collapsed="false">
      <c r="A44" s="55"/>
      <c r="B44" s="25" t="s">
        <v>59</v>
      </c>
    </row>
    <row r="45" customFormat="false" ht="13.8" hidden="false" customHeight="false" outlineLevel="0" collapsed="false">
      <c r="A45" s="26" t="s">
        <v>1</v>
      </c>
      <c r="B45" s="26" t="s">
        <v>36</v>
      </c>
      <c r="C45" s="26" t="s">
        <v>37</v>
      </c>
      <c r="D45" s="26" t="s">
        <v>38</v>
      </c>
      <c r="E45" s="26" t="s">
        <v>4</v>
      </c>
    </row>
    <row r="46" customFormat="false" ht="13.2" hidden="false" customHeight="false" outlineLevel="0" collapsed="false">
      <c r="A46" s="56" t="s">
        <v>453</v>
      </c>
      <c r="B46" s="37" t="s">
        <v>59</v>
      </c>
      <c r="C46" s="37" t="s">
        <v>151</v>
      </c>
      <c r="D46" s="37" t="s">
        <v>309</v>
      </c>
      <c r="E46" s="1" t="s">
        <v>454</v>
      </c>
    </row>
    <row r="47" customFormat="false" ht="13.2" hidden="false" customHeight="false" outlineLevel="0" collapsed="false">
      <c r="A47" s="56" t="s">
        <v>455</v>
      </c>
      <c r="B47" s="37" t="s">
        <v>59</v>
      </c>
      <c r="C47" s="37" t="s">
        <v>368</v>
      </c>
      <c r="D47" s="37" t="s">
        <v>18</v>
      </c>
      <c r="E47" s="1" t="s">
        <v>456</v>
      </c>
    </row>
    <row r="49" customFormat="false" ht="14.4" hidden="false" customHeight="false" outlineLevel="0" collapsed="false">
      <c r="A49" s="55"/>
      <c r="B49" s="25" t="s">
        <v>244</v>
      </c>
    </row>
    <row r="50" customFormat="false" ht="13.8" hidden="false" customHeight="false" outlineLevel="0" collapsed="false">
      <c r="A50" s="26" t="s">
        <v>1</v>
      </c>
      <c r="B50" s="26" t="s">
        <v>36</v>
      </c>
      <c r="C50" s="26" t="s">
        <v>37</v>
      </c>
      <c r="D50" s="26" t="s">
        <v>38</v>
      </c>
      <c r="E50" s="26" t="s">
        <v>4</v>
      </c>
    </row>
    <row r="51" customFormat="false" ht="13.2" hidden="false" customHeight="false" outlineLevel="0" collapsed="false">
      <c r="A51" s="56" t="s">
        <v>457</v>
      </c>
      <c r="B51" s="37" t="s">
        <v>259</v>
      </c>
      <c r="C51" s="37" t="s">
        <v>458</v>
      </c>
      <c r="D51" s="37" t="s">
        <v>69</v>
      </c>
      <c r="E51" s="1" t="s">
        <v>459</v>
      </c>
    </row>
    <row r="52" customFormat="false" ht="13.2" hidden="false" customHeight="false" outlineLevel="0" collapsed="false">
      <c r="A52" s="56" t="s">
        <v>460</v>
      </c>
      <c r="B52" s="37" t="s">
        <v>461</v>
      </c>
      <c r="C52" s="37" t="s">
        <v>365</v>
      </c>
      <c r="D52" s="37" t="s">
        <v>149</v>
      </c>
      <c r="E52" s="1" t="s">
        <v>462</v>
      </c>
    </row>
    <row r="55" customFormat="false" ht="15.6" hidden="false" customHeight="false" outlineLevel="0" collapsed="false">
      <c r="A55" s="54" t="s">
        <v>34</v>
      </c>
      <c r="B55" s="17"/>
    </row>
    <row r="56" customFormat="false" ht="14.4" hidden="false" customHeight="false" outlineLevel="0" collapsed="false">
      <c r="A56" s="55"/>
      <c r="B56" s="25" t="s">
        <v>376</v>
      </c>
    </row>
    <row r="57" customFormat="false" ht="13.8" hidden="false" customHeight="false" outlineLevel="0" collapsed="false">
      <c r="A57" s="26" t="s">
        <v>1</v>
      </c>
      <c r="B57" s="26" t="s">
        <v>36</v>
      </c>
      <c r="C57" s="26" t="s">
        <v>37</v>
      </c>
      <c r="D57" s="26" t="s">
        <v>38</v>
      </c>
      <c r="E57" s="26" t="s">
        <v>4</v>
      </c>
    </row>
    <row r="58" customFormat="false" ht="13.2" hidden="false" customHeight="false" outlineLevel="0" collapsed="false">
      <c r="A58" s="56" t="s">
        <v>463</v>
      </c>
      <c r="B58" s="37" t="s">
        <v>378</v>
      </c>
      <c r="C58" s="37" t="s">
        <v>232</v>
      </c>
      <c r="D58" s="37" t="s">
        <v>257</v>
      </c>
      <c r="E58" s="1" t="s">
        <v>464</v>
      </c>
    </row>
    <row r="59" customFormat="false" ht="13.2" hidden="false" customHeight="false" outlineLevel="0" collapsed="false">
      <c r="A59" s="56" t="s">
        <v>465</v>
      </c>
      <c r="B59" s="37" t="s">
        <v>381</v>
      </c>
      <c r="C59" s="37" t="s">
        <v>382</v>
      </c>
      <c r="D59" s="37" t="s">
        <v>149</v>
      </c>
      <c r="E59" s="1" t="s">
        <v>466</v>
      </c>
    </row>
    <row r="61" customFormat="false" ht="14.4" hidden="false" customHeight="false" outlineLevel="0" collapsed="false">
      <c r="A61" s="55"/>
      <c r="B61" s="25" t="s">
        <v>59</v>
      </c>
    </row>
    <row r="62" customFormat="false" ht="13.8" hidden="false" customHeight="false" outlineLevel="0" collapsed="false">
      <c r="A62" s="26" t="s">
        <v>1</v>
      </c>
      <c r="B62" s="26" t="s">
        <v>36</v>
      </c>
      <c r="C62" s="26" t="s">
        <v>37</v>
      </c>
      <c r="D62" s="26" t="s">
        <v>38</v>
      </c>
      <c r="E62" s="26" t="s">
        <v>4</v>
      </c>
    </row>
    <row r="63" customFormat="false" ht="13.2" hidden="false" customHeight="false" outlineLevel="0" collapsed="false">
      <c r="A63" s="56" t="s">
        <v>467</v>
      </c>
      <c r="B63" s="37" t="s">
        <v>59</v>
      </c>
      <c r="C63" s="37" t="s">
        <v>95</v>
      </c>
      <c r="D63" s="37" t="s">
        <v>440</v>
      </c>
      <c r="E63" s="1" t="s">
        <v>468</v>
      </c>
    </row>
    <row r="64" customFormat="false" ht="13.2" hidden="false" customHeight="false" outlineLevel="0" collapsed="false">
      <c r="A64" s="56" t="s">
        <v>469</v>
      </c>
      <c r="B64" s="37" t="s">
        <v>59</v>
      </c>
      <c r="C64" s="37" t="s">
        <v>98</v>
      </c>
      <c r="D64" s="37" t="s">
        <v>306</v>
      </c>
      <c r="E64" s="1" t="s">
        <v>470</v>
      </c>
    </row>
    <row r="65" customFormat="false" ht="13.2" hidden="false" customHeight="false" outlineLevel="0" collapsed="false">
      <c r="A65" s="56" t="s">
        <v>471</v>
      </c>
      <c r="B65" s="37" t="s">
        <v>59</v>
      </c>
      <c r="C65" s="37" t="s">
        <v>158</v>
      </c>
      <c r="D65" s="37" t="s">
        <v>451</v>
      </c>
      <c r="E65" s="1" t="s">
        <v>472</v>
      </c>
    </row>
    <row r="67" customFormat="false" ht="14.4" hidden="false" customHeight="false" outlineLevel="0" collapsed="false">
      <c r="A67" s="55"/>
      <c r="B67" s="25" t="s">
        <v>244</v>
      </c>
    </row>
    <row r="68" customFormat="false" ht="13.8" hidden="false" customHeight="false" outlineLevel="0" collapsed="false">
      <c r="A68" s="26" t="s">
        <v>1</v>
      </c>
      <c r="B68" s="26" t="s">
        <v>36</v>
      </c>
      <c r="C68" s="26" t="s">
        <v>37</v>
      </c>
      <c r="D68" s="26" t="s">
        <v>38</v>
      </c>
      <c r="E68" s="26" t="s">
        <v>4</v>
      </c>
    </row>
    <row r="69" customFormat="false" ht="13.2" hidden="false" customHeight="false" outlineLevel="0" collapsed="false">
      <c r="A69" s="56" t="s">
        <v>471</v>
      </c>
      <c r="B69" s="37" t="s">
        <v>259</v>
      </c>
      <c r="C69" s="37" t="s">
        <v>158</v>
      </c>
      <c r="D69" s="37" t="s">
        <v>451</v>
      </c>
      <c r="E69" s="1" t="s">
        <v>472</v>
      </c>
    </row>
    <row r="70" customFormat="false" ht="13.2" hidden="false" customHeight="false" outlineLevel="0" collapsed="false">
      <c r="A70" s="56" t="s">
        <v>415</v>
      </c>
      <c r="B70" s="37" t="s">
        <v>259</v>
      </c>
      <c r="C70" s="37" t="s">
        <v>95</v>
      </c>
      <c r="D70" s="37" t="s">
        <v>295</v>
      </c>
      <c r="E70" s="1" t="s">
        <v>473</v>
      </c>
    </row>
  </sheetData>
  <mergeCells count="20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A8:J8"/>
    <mergeCell ref="A11:J11"/>
    <mergeCell ref="A14:J14"/>
    <mergeCell ref="A17:J17"/>
    <mergeCell ref="A20:J20"/>
    <mergeCell ref="A23:J23"/>
    <mergeCell ref="A27:J27"/>
    <mergeCell ref="A30:J3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6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6.56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4.78"/>
    <col collapsed="false" customWidth="true" hidden="false" outlineLevel="0" max="9" min="7" style="37" width="5.55"/>
    <col collapsed="false" customWidth="true" hidden="false" outlineLevel="0" max="10" min="10" style="37" width="4.78"/>
    <col collapsed="false" customWidth="true" hidden="false" outlineLevel="0" max="11" min="11" style="1" width="5.78"/>
    <col collapsed="false" customWidth="true" hidden="false" outlineLevel="0" max="12" min="12" style="38" width="8.56"/>
    <col collapsed="false" customWidth="true" hidden="false" outlineLevel="0" max="13" min="13" style="36" width="13.1"/>
    <col collapsed="false" customWidth="false" hidden="false" outlineLevel="0" max="1024" min="14" style="39" width="9.11"/>
  </cols>
  <sheetData>
    <row r="1" s="41" customFormat="true" ht="28.95" hidden="false" customHeight="true" outlineLevel="0" collapsed="false">
      <c r="A1" s="40" t="s">
        <v>474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475</v>
      </c>
      <c r="H3" s="45"/>
      <c r="I3" s="45"/>
      <c r="J3" s="45"/>
      <c r="K3" s="44" t="s">
        <v>8</v>
      </c>
      <c r="L3" s="44" t="s">
        <v>128</v>
      </c>
      <c r="M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4"/>
      <c r="L4" s="44"/>
      <c r="M4" s="46"/>
    </row>
    <row r="5" s="37" customFormat="true" ht="15.6" hidden="false" customHeight="false" outlineLevel="0" collapsed="false">
      <c r="A5" s="13" t="s">
        <v>74</v>
      </c>
      <c r="B5" s="13"/>
      <c r="C5" s="13"/>
      <c r="D5" s="13"/>
      <c r="E5" s="13"/>
      <c r="F5" s="13"/>
      <c r="G5" s="13"/>
      <c r="H5" s="13"/>
      <c r="I5" s="13"/>
      <c r="J5" s="13"/>
      <c r="K5" s="1"/>
      <c r="L5" s="38"/>
      <c r="M5" s="36"/>
    </row>
    <row r="6" s="37" customFormat="true" ht="13.2" hidden="false" customHeight="false" outlineLevel="0" collapsed="false">
      <c r="A6" s="16" t="s">
        <v>476</v>
      </c>
      <c r="B6" s="15" t="s">
        <v>477</v>
      </c>
      <c r="C6" s="15" t="s">
        <v>77</v>
      </c>
      <c r="D6" s="15" t="str">
        <f aca="false">"0,7545"</f>
        <v>0,7545</v>
      </c>
      <c r="E6" s="16" t="s">
        <v>478</v>
      </c>
      <c r="F6" s="16" t="s">
        <v>25</v>
      </c>
      <c r="G6" s="18" t="s">
        <v>479</v>
      </c>
      <c r="H6" s="15" t="s">
        <v>479</v>
      </c>
      <c r="I6" s="18"/>
      <c r="J6" s="18"/>
      <c r="K6" s="14" t="str">
        <f aca="false">"127,5"</f>
        <v>127,5</v>
      </c>
      <c r="L6" s="48" t="str">
        <f aca="false">"96,1987"</f>
        <v>96,1987</v>
      </c>
      <c r="M6" s="16" t="s">
        <v>480</v>
      </c>
    </row>
    <row r="7" s="37" customFormat="true" ht="13.2" hidden="false" customHeight="false" outlineLevel="0" collapsed="false">
      <c r="A7" s="36"/>
      <c r="E7" s="36"/>
      <c r="F7" s="36"/>
      <c r="K7" s="1"/>
      <c r="L7" s="38"/>
      <c r="M7" s="36"/>
    </row>
    <row r="8" customFormat="false" ht="15.6" hidden="false" customHeight="false" outlineLevel="0" collapsed="false">
      <c r="A8" s="17" t="s">
        <v>187</v>
      </c>
      <c r="B8" s="17"/>
      <c r="C8" s="17"/>
      <c r="D8" s="17"/>
      <c r="E8" s="17"/>
      <c r="F8" s="17"/>
      <c r="G8" s="17"/>
      <c r="H8" s="17"/>
      <c r="I8" s="17"/>
      <c r="J8" s="17"/>
    </row>
    <row r="9" customFormat="false" ht="13.2" hidden="false" customHeight="false" outlineLevel="0" collapsed="false">
      <c r="A9" s="30" t="s">
        <v>481</v>
      </c>
      <c r="B9" s="29" t="s">
        <v>482</v>
      </c>
      <c r="C9" s="29" t="s">
        <v>483</v>
      </c>
      <c r="D9" s="29" t="str">
        <f aca="false">"0,6492"</f>
        <v>0,6492</v>
      </c>
      <c r="E9" s="30" t="s">
        <v>13</v>
      </c>
      <c r="F9" s="30" t="s">
        <v>484</v>
      </c>
      <c r="G9" s="29" t="s">
        <v>485</v>
      </c>
      <c r="H9" s="49" t="s">
        <v>486</v>
      </c>
      <c r="I9" s="49" t="s">
        <v>486</v>
      </c>
      <c r="J9" s="49"/>
      <c r="K9" s="28" t="str">
        <f aca="false">"172,5"</f>
        <v>172,5</v>
      </c>
      <c r="L9" s="50" t="str">
        <f aca="false">"111,9956"</f>
        <v>111,9956</v>
      </c>
      <c r="M9" s="30"/>
    </row>
    <row r="10" customFormat="false" ht="13.2" hidden="false" customHeight="false" outlineLevel="0" collapsed="false">
      <c r="A10" s="57" t="s">
        <v>487</v>
      </c>
      <c r="B10" s="58" t="s">
        <v>488</v>
      </c>
      <c r="C10" s="58" t="s">
        <v>489</v>
      </c>
      <c r="D10" s="58" t="str">
        <f aca="false">"0,6446"</f>
        <v>0,6446</v>
      </c>
      <c r="E10" s="57" t="s">
        <v>266</v>
      </c>
      <c r="F10" s="57" t="s">
        <v>25</v>
      </c>
      <c r="G10" s="58" t="s">
        <v>90</v>
      </c>
      <c r="H10" s="58" t="s">
        <v>485</v>
      </c>
      <c r="I10" s="59" t="s">
        <v>437</v>
      </c>
      <c r="J10" s="59"/>
      <c r="K10" s="60" t="str">
        <f aca="false">"172,5"</f>
        <v>172,5</v>
      </c>
      <c r="L10" s="61" t="str">
        <f aca="false">"111,1935"</f>
        <v>111,1935</v>
      </c>
      <c r="M10" s="57"/>
    </row>
    <row r="11" customFormat="false" ht="13.2" hidden="false" customHeight="false" outlineLevel="0" collapsed="false">
      <c r="A11" s="34" t="s">
        <v>490</v>
      </c>
      <c r="B11" s="33" t="s">
        <v>491</v>
      </c>
      <c r="C11" s="33" t="s">
        <v>492</v>
      </c>
      <c r="D11" s="33" t="str">
        <f aca="false">"0,6550"</f>
        <v>0,6550</v>
      </c>
      <c r="E11" s="34" t="s">
        <v>13</v>
      </c>
      <c r="F11" s="34" t="s">
        <v>493</v>
      </c>
      <c r="G11" s="33" t="s">
        <v>338</v>
      </c>
      <c r="H11" s="33" t="s">
        <v>494</v>
      </c>
      <c r="I11" s="33" t="s">
        <v>306</v>
      </c>
      <c r="J11" s="51"/>
      <c r="K11" s="32" t="str">
        <f aca="false">"250,0"</f>
        <v>250,0</v>
      </c>
      <c r="L11" s="52" t="str">
        <f aca="false">"172,7694"</f>
        <v>172,7694</v>
      </c>
      <c r="M11" s="34"/>
    </row>
    <row r="13" customFormat="false" ht="15.6" hidden="false" customHeight="false" outlineLevel="0" collapsed="false">
      <c r="A13" s="17" t="s">
        <v>74</v>
      </c>
      <c r="B13" s="17"/>
      <c r="C13" s="17"/>
      <c r="D13" s="17"/>
      <c r="E13" s="17"/>
      <c r="F13" s="17"/>
      <c r="G13" s="17"/>
      <c r="H13" s="17"/>
      <c r="I13" s="17"/>
      <c r="J13" s="17"/>
    </row>
    <row r="14" customFormat="false" ht="13.2" hidden="false" customHeight="false" outlineLevel="0" collapsed="false">
      <c r="A14" s="16" t="s">
        <v>495</v>
      </c>
      <c r="B14" s="15" t="s">
        <v>496</v>
      </c>
      <c r="C14" s="15" t="s">
        <v>141</v>
      </c>
      <c r="D14" s="15" t="str">
        <f aca="false">"0,6157"</f>
        <v>0,6157</v>
      </c>
      <c r="E14" s="16" t="s">
        <v>13</v>
      </c>
      <c r="F14" s="16" t="s">
        <v>493</v>
      </c>
      <c r="G14" s="15" t="s">
        <v>445</v>
      </c>
      <c r="H14" s="15" t="s">
        <v>497</v>
      </c>
      <c r="I14" s="15" t="s">
        <v>356</v>
      </c>
      <c r="J14" s="18"/>
      <c r="K14" s="14" t="str">
        <f aca="false">"260,0"</f>
        <v>260,0</v>
      </c>
      <c r="L14" s="48" t="str">
        <f aca="false">"160,0820"</f>
        <v>160,0820</v>
      </c>
      <c r="M14" s="16"/>
    </row>
    <row r="16" customFormat="false" ht="15.6" hidden="false" customHeight="false" outlineLevel="0" collapsed="false">
      <c r="A16" s="17" t="s">
        <v>82</v>
      </c>
      <c r="B16" s="17"/>
      <c r="C16" s="17"/>
      <c r="D16" s="17"/>
      <c r="E16" s="17"/>
      <c r="F16" s="17"/>
      <c r="G16" s="17"/>
      <c r="H16" s="17"/>
      <c r="I16" s="17"/>
      <c r="J16" s="17"/>
    </row>
    <row r="17" customFormat="false" ht="13.2" hidden="false" customHeight="false" outlineLevel="0" collapsed="false">
      <c r="A17" s="30" t="s">
        <v>498</v>
      </c>
      <c r="B17" s="29" t="s">
        <v>499</v>
      </c>
      <c r="C17" s="29" t="s">
        <v>500</v>
      </c>
      <c r="D17" s="29" t="str">
        <f aca="false">"0,5843"</f>
        <v>0,5843</v>
      </c>
      <c r="E17" s="30" t="s">
        <v>13</v>
      </c>
      <c r="F17" s="30" t="s">
        <v>25</v>
      </c>
      <c r="G17" s="29" t="s">
        <v>501</v>
      </c>
      <c r="H17" s="29" t="s">
        <v>355</v>
      </c>
      <c r="I17" s="29" t="s">
        <v>502</v>
      </c>
      <c r="J17" s="49"/>
      <c r="K17" s="28" t="str">
        <f aca="false">"252,5"</f>
        <v>252,5</v>
      </c>
      <c r="L17" s="50" t="str">
        <f aca="false">"147,5357"</f>
        <v>147,5357</v>
      </c>
      <c r="M17" s="30"/>
    </row>
    <row r="18" customFormat="false" ht="13.2" hidden="false" customHeight="false" outlineLevel="0" collapsed="false">
      <c r="A18" s="34" t="s">
        <v>503</v>
      </c>
      <c r="B18" s="33" t="s">
        <v>208</v>
      </c>
      <c r="C18" s="33" t="s">
        <v>209</v>
      </c>
      <c r="D18" s="33" t="str">
        <f aca="false">"0,5889"</f>
        <v>0,5889</v>
      </c>
      <c r="E18" s="34" t="s">
        <v>13</v>
      </c>
      <c r="F18" s="34" t="s">
        <v>210</v>
      </c>
      <c r="G18" s="33" t="s">
        <v>314</v>
      </c>
      <c r="H18" s="33" t="s">
        <v>451</v>
      </c>
      <c r="I18" s="33" t="s">
        <v>355</v>
      </c>
      <c r="J18" s="51"/>
      <c r="K18" s="32" t="str">
        <f aca="false">"245,0"</f>
        <v>245,0</v>
      </c>
      <c r="L18" s="52" t="str">
        <f aca="false">"144,2683"</f>
        <v>144,2683</v>
      </c>
      <c r="M18" s="34"/>
    </row>
    <row r="20" customFormat="false" ht="15.6" hidden="false" customHeight="false" outlineLevel="0" collapsed="false">
      <c r="A20" s="17" t="s">
        <v>144</v>
      </c>
      <c r="B20" s="17"/>
      <c r="C20" s="17"/>
      <c r="D20" s="17"/>
      <c r="E20" s="17"/>
      <c r="F20" s="17"/>
      <c r="G20" s="17"/>
      <c r="H20" s="17"/>
      <c r="I20" s="17"/>
      <c r="J20" s="17"/>
    </row>
    <row r="21" customFormat="false" ht="13.2" hidden="false" customHeight="false" outlineLevel="0" collapsed="false">
      <c r="A21" s="30" t="s">
        <v>504</v>
      </c>
      <c r="B21" s="29" t="s">
        <v>505</v>
      </c>
      <c r="C21" s="29" t="s">
        <v>506</v>
      </c>
      <c r="D21" s="29" t="str">
        <f aca="false">"0,5695"</f>
        <v>0,5695</v>
      </c>
      <c r="E21" s="30" t="s">
        <v>13</v>
      </c>
      <c r="F21" s="30" t="s">
        <v>25</v>
      </c>
      <c r="G21" s="29" t="s">
        <v>446</v>
      </c>
      <c r="H21" s="29" t="s">
        <v>356</v>
      </c>
      <c r="I21" s="29" t="s">
        <v>440</v>
      </c>
      <c r="J21" s="49"/>
      <c r="K21" s="28" t="str">
        <f aca="false">"282,5"</f>
        <v>282,5</v>
      </c>
      <c r="L21" s="50" t="str">
        <f aca="false">"160,8979"</f>
        <v>160,8979</v>
      </c>
      <c r="M21" s="30"/>
    </row>
    <row r="22" customFormat="false" ht="13.2" hidden="false" customHeight="false" outlineLevel="0" collapsed="false">
      <c r="A22" s="57" t="s">
        <v>507</v>
      </c>
      <c r="B22" s="58" t="s">
        <v>508</v>
      </c>
      <c r="C22" s="58" t="s">
        <v>509</v>
      </c>
      <c r="D22" s="58" t="str">
        <f aca="false">"0,5625"</f>
        <v>0,5625</v>
      </c>
      <c r="E22" s="57" t="s">
        <v>13</v>
      </c>
      <c r="F22" s="57" t="s">
        <v>78</v>
      </c>
      <c r="G22" s="58" t="s">
        <v>440</v>
      </c>
      <c r="H22" s="59" t="s">
        <v>510</v>
      </c>
      <c r="I22" s="59" t="s">
        <v>510</v>
      </c>
      <c r="J22" s="59"/>
      <c r="K22" s="60" t="str">
        <f aca="false">"282,5"</f>
        <v>282,5</v>
      </c>
      <c r="L22" s="61" t="str">
        <f aca="false">"158,9063"</f>
        <v>158,9063</v>
      </c>
      <c r="M22" s="57"/>
    </row>
    <row r="23" customFormat="false" ht="13.2" hidden="false" customHeight="false" outlineLevel="0" collapsed="false">
      <c r="A23" s="57" t="s">
        <v>511</v>
      </c>
      <c r="B23" s="58" t="s">
        <v>512</v>
      </c>
      <c r="C23" s="58" t="s">
        <v>513</v>
      </c>
      <c r="D23" s="58" t="str">
        <f aca="false">"0,5714"</f>
        <v>0,5714</v>
      </c>
      <c r="E23" s="57" t="s">
        <v>13</v>
      </c>
      <c r="F23" s="57" t="s">
        <v>25</v>
      </c>
      <c r="G23" s="58" t="s">
        <v>514</v>
      </c>
      <c r="H23" s="58" t="s">
        <v>314</v>
      </c>
      <c r="I23" s="58" t="s">
        <v>344</v>
      </c>
      <c r="J23" s="59"/>
      <c r="K23" s="60" t="str">
        <f aca="false">"222,5"</f>
        <v>222,5</v>
      </c>
      <c r="L23" s="61" t="str">
        <f aca="false">"127,1365"</f>
        <v>127,1365</v>
      </c>
      <c r="M23" s="57"/>
    </row>
    <row r="24" customFormat="false" ht="13.2" hidden="false" customHeight="false" outlineLevel="0" collapsed="false">
      <c r="A24" s="34" t="s">
        <v>515</v>
      </c>
      <c r="B24" s="33" t="s">
        <v>516</v>
      </c>
      <c r="C24" s="33" t="s">
        <v>517</v>
      </c>
      <c r="D24" s="33" t="str">
        <f aca="false">"0,5641"</f>
        <v>0,5641</v>
      </c>
      <c r="E24" s="34" t="s">
        <v>13</v>
      </c>
      <c r="F24" s="34" t="s">
        <v>518</v>
      </c>
      <c r="G24" s="33" t="s">
        <v>295</v>
      </c>
      <c r="H24" s="33" t="s">
        <v>314</v>
      </c>
      <c r="I24" s="51" t="s">
        <v>451</v>
      </c>
      <c r="J24" s="51"/>
      <c r="K24" s="32" t="str">
        <f aca="false">"220,0"</f>
        <v>220,0</v>
      </c>
      <c r="L24" s="52" t="str">
        <f aca="false">"124,0910"</f>
        <v>124,0910</v>
      </c>
      <c r="M24" s="34"/>
    </row>
    <row r="26" customFormat="false" ht="15.6" hidden="false" customHeight="false" outlineLevel="0" collapsed="false">
      <c r="A26" s="17" t="s">
        <v>21</v>
      </c>
      <c r="B26" s="17"/>
      <c r="C26" s="17"/>
      <c r="D26" s="17"/>
      <c r="E26" s="17"/>
      <c r="F26" s="17"/>
      <c r="G26" s="17"/>
      <c r="H26" s="17"/>
      <c r="I26" s="17"/>
      <c r="J26" s="17"/>
    </row>
    <row r="27" customFormat="false" ht="13.2" hidden="false" customHeight="false" outlineLevel="0" collapsed="false">
      <c r="A27" s="30" t="s">
        <v>519</v>
      </c>
      <c r="B27" s="29" t="s">
        <v>520</v>
      </c>
      <c r="C27" s="29" t="s">
        <v>521</v>
      </c>
      <c r="D27" s="29" t="str">
        <f aca="false">"0,5530"</f>
        <v>0,5530</v>
      </c>
      <c r="E27" s="30" t="s">
        <v>164</v>
      </c>
      <c r="F27" s="30" t="s">
        <v>165</v>
      </c>
      <c r="G27" s="29" t="s">
        <v>451</v>
      </c>
      <c r="H27" s="29" t="s">
        <v>355</v>
      </c>
      <c r="I27" s="29" t="s">
        <v>356</v>
      </c>
      <c r="J27" s="49"/>
      <c r="K27" s="28" t="str">
        <f aca="false">"260,0"</f>
        <v>260,0</v>
      </c>
      <c r="L27" s="50" t="str">
        <f aca="false">"143,7800"</f>
        <v>143,7800</v>
      </c>
      <c r="M27" s="30"/>
    </row>
    <row r="28" customFormat="false" ht="13.2" hidden="false" customHeight="false" outlineLevel="0" collapsed="false">
      <c r="A28" s="34" t="s">
        <v>519</v>
      </c>
      <c r="B28" s="33" t="s">
        <v>522</v>
      </c>
      <c r="C28" s="33" t="s">
        <v>521</v>
      </c>
      <c r="D28" s="33" t="str">
        <f aca="false">"0,5530"</f>
        <v>0,5530</v>
      </c>
      <c r="E28" s="34" t="s">
        <v>164</v>
      </c>
      <c r="F28" s="34" t="s">
        <v>165</v>
      </c>
      <c r="G28" s="33" t="s">
        <v>451</v>
      </c>
      <c r="H28" s="33" t="s">
        <v>355</v>
      </c>
      <c r="I28" s="33" t="s">
        <v>356</v>
      </c>
      <c r="J28" s="51"/>
      <c r="K28" s="32" t="str">
        <f aca="false">"260,0"</f>
        <v>260,0</v>
      </c>
      <c r="L28" s="52" t="str">
        <f aca="false">"149,9625"</f>
        <v>149,9625</v>
      </c>
      <c r="M28" s="34"/>
    </row>
    <row r="30" customFormat="false" ht="15" hidden="false" customHeight="false" outlineLevel="0" collapsed="false">
      <c r="E30" s="20" t="s">
        <v>27</v>
      </c>
    </row>
    <row r="31" customFormat="false" ht="15" hidden="false" customHeight="false" outlineLevel="0" collapsed="false">
      <c r="E31" s="20" t="s">
        <v>28</v>
      </c>
    </row>
    <row r="32" customFormat="false" ht="15" hidden="false" customHeight="false" outlineLevel="0" collapsed="false">
      <c r="E32" s="20" t="s">
        <v>29</v>
      </c>
    </row>
    <row r="33" customFormat="false" ht="13.2" hidden="false" customHeight="false" outlineLevel="0" collapsed="false">
      <c r="E33" s="36" t="s">
        <v>30</v>
      </c>
    </row>
    <row r="34" customFormat="false" ht="13.2" hidden="false" customHeight="false" outlineLevel="0" collapsed="false">
      <c r="E34" s="36" t="s">
        <v>31</v>
      </c>
    </row>
    <row r="35" customFormat="false" ht="13.2" hidden="false" customHeight="false" outlineLevel="0" collapsed="false">
      <c r="E35" s="36" t="s">
        <v>32</v>
      </c>
    </row>
    <row r="38" customFormat="false" ht="17.4" hidden="false" customHeight="false" outlineLevel="0" collapsed="false">
      <c r="A38" s="53" t="s">
        <v>33</v>
      </c>
      <c r="B38" s="22"/>
    </row>
    <row r="39" customFormat="false" ht="15.6" hidden="false" customHeight="false" outlineLevel="0" collapsed="false">
      <c r="A39" s="54" t="s">
        <v>58</v>
      </c>
      <c r="B39" s="17"/>
    </row>
    <row r="40" customFormat="false" ht="14.4" hidden="false" customHeight="false" outlineLevel="0" collapsed="false">
      <c r="A40" s="55"/>
      <c r="B40" s="25" t="s">
        <v>59</v>
      </c>
    </row>
    <row r="41" customFormat="false" ht="13.8" hidden="false" customHeight="false" outlineLevel="0" collapsed="false">
      <c r="A41" s="26" t="s">
        <v>1</v>
      </c>
      <c r="B41" s="26" t="s">
        <v>36</v>
      </c>
      <c r="C41" s="26" t="s">
        <v>37</v>
      </c>
      <c r="D41" s="26" t="s">
        <v>38</v>
      </c>
      <c r="E41" s="26" t="s">
        <v>4</v>
      </c>
    </row>
    <row r="42" customFormat="false" ht="13.2" hidden="false" customHeight="false" outlineLevel="0" collapsed="false">
      <c r="A42" s="56" t="s">
        <v>523</v>
      </c>
      <c r="B42" s="37" t="s">
        <v>59</v>
      </c>
      <c r="C42" s="37" t="s">
        <v>95</v>
      </c>
      <c r="D42" s="37" t="s">
        <v>479</v>
      </c>
      <c r="E42" s="1" t="s">
        <v>524</v>
      </c>
    </row>
    <row r="45" customFormat="false" ht="15.6" hidden="false" customHeight="false" outlineLevel="0" collapsed="false">
      <c r="A45" s="54" t="s">
        <v>34</v>
      </c>
      <c r="B45" s="17"/>
    </row>
    <row r="46" customFormat="false" ht="14.4" hidden="false" customHeight="false" outlineLevel="0" collapsed="false">
      <c r="A46" s="55"/>
      <c r="B46" s="25" t="s">
        <v>376</v>
      </c>
    </row>
    <row r="47" customFormat="false" ht="13.8" hidden="false" customHeight="false" outlineLevel="0" collapsed="false">
      <c r="A47" s="26" t="s">
        <v>1</v>
      </c>
      <c r="B47" s="26" t="s">
        <v>36</v>
      </c>
      <c r="C47" s="26" t="s">
        <v>37</v>
      </c>
      <c r="D47" s="26" t="s">
        <v>38</v>
      </c>
      <c r="E47" s="26" t="s">
        <v>4</v>
      </c>
    </row>
    <row r="48" customFormat="false" ht="13.2" hidden="false" customHeight="false" outlineLevel="0" collapsed="false">
      <c r="A48" s="56" t="s">
        <v>525</v>
      </c>
      <c r="B48" s="37" t="s">
        <v>378</v>
      </c>
      <c r="C48" s="37" t="s">
        <v>225</v>
      </c>
      <c r="D48" s="37" t="s">
        <v>485</v>
      </c>
      <c r="E48" s="1" t="s">
        <v>526</v>
      </c>
    </row>
    <row r="50" customFormat="false" ht="14.4" hidden="false" customHeight="false" outlineLevel="0" collapsed="false">
      <c r="A50" s="55"/>
      <c r="B50" s="25" t="s">
        <v>59</v>
      </c>
    </row>
    <row r="51" customFormat="false" ht="13.8" hidden="false" customHeight="false" outlineLevel="0" collapsed="false">
      <c r="A51" s="26" t="s">
        <v>1</v>
      </c>
      <c r="B51" s="26" t="s">
        <v>36</v>
      </c>
      <c r="C51" s="26" t="s">
        <v>37</v>
      </c>
      <c r="D51" s="26" t="s">
        <v>38</v>
      </c>
      <c r="E51" s="26" t="s">
        <v>4</v>
      </c>
    </row>
    <row r="52" customFormat="false" ht="13.2" hidden="false" customHeight="false" outlineLevel="0" collapsed="false">
      <c r="A52" s="56" t="s">
        <v>527</v>
      </c>
      <c r="B52" s="37" t="s">
        <v>59</v>
      </c>
      <c r="C52" s="37" t="s">
        <v>158</v>
      </c>
      <c r="D52" s="37" t="s">
        <v>440</v>
      </c>
      <c r="E52" s="1" t="s">
        <v>528</v>
      </c>
    </row>
    <row r="53" customFormat="false" ht="13.2" hidden="false" customHeight="false" outlineLevel="0" collapsed="false">
      <c r="A53" s="56" t="s">
        <v>529</v>
      </c>
      <c r="B53" s="37" t="s">
        <v>59</v>
      </c>
      <c r="C53" s="37" t="s">
        <v>95</v>
      </c>
      <c r="D53" s="37" t="s">
        <v>356</v>
      </c>
      <c r="E53" s="1" t="s">
        <v>530</v>
      </c>
    </row>
    <row r="54" customFormat="false" ht="13.2" hidden="false" customHeight="false" outlineLevel="0" collapsed="false">
      <c r="A54" s="56" t="s">
        <v>531</v>
      </c>
      <c r="B54" s="37" t="s">
        <v>59</v>
      </c>
      <c r="C54" s="37" t="s">
        <v>158</v>
      </c>
      <c r="D54" s="37" t="s">
        <v>440</v>
      </c>
      <c r="E54" s="1" t="s">
        <v>532</v>
      </c>
    </row>
    <row r="55" customFormat="false" ht="13.2" hidden="false" customHeight="false" outlineLevel="0" collapsed="false">
      <c r="A55" s="56" t="s">
        <v>533</v>
      </c>
      <c r="B55" s="37" t="s">
        <v>59</v>
      </c>
      <c r="C55" s="37" t="s">
        <v>98</v>
      </c>
      <c r="D55" s="37" t="s">
        <v>502</v>
      </c>
      <c r="E55" s="1" t="s">
        <v>534</v>
      </c>
    </row>
    <row r="56" customFormat="false" ht="13.2" hidden="false" customHeight="false" outlineLevel="0" collapsed="false">
      <c r="A56" s="56" t="s">
        <v>227</v>
      </c>
      <c r="B56" s="37" t="s">
        <v>59</v>
      </c>
      <c r="C56" s="37" t="s">
        <v>98</v>
      </c>
      <c r="D56" s="37" t="s">
        <v>355</v>
      </c>
      <c r="E56" s="1" t="s">
        <v>535</v>
      </c>
    </row>
    <row r="57" customFormat="false" ht="13.2" hidden="false" customHeight="false" outlineLevel="0" collapsed="false">
      <c r="A57" s="56" t="s">
        <v>536</v>
      </c>
      <c r="B57" s="37" t="s">
        <v>59</v>
      </c>
      <c r="C57" s="37" t="s">
        <v>44</v>
      </c>
      <c r="D57" s="37" t="s">
        <v>356</v>
      </c>
      <c r="E57" s="1" t="s">
        <v>537</v>
      </c>
    </row>
    <row r="58" customFormat="false" ht="13.2" hidden="false" customHeight="false" outlineLevel="0" collapsed="false">
      <c r="A58" s="56" t="s">
        <v>538</v>
      </c>
      <c r="B58" s="37" t="s">
        <v>59</v>
      </c>
      <c r="C58" s="37" t="s">
        <v>158</v>
      </c>
      <c r="D58" s="37" t="s">
        <v>344</v>
      </c>
      <c r="E58" s="1" t="s">
        <v>539</v>
      </c>
    </row>
    <row r="59" customFormat="false" ht="13.2" hidden="false" customHeight="false" outlineLevel="0" collapsed="false">
      <c r="A59" s="56" t="s">
        <v>540</v>
      </c>
      <c r="B59" s="37" t="s">
        <v>59</v>
      </c>
      <c r="C59" s="37" t="s">
        <v>158</v>
      </c>
      <c r="D59" s="37" t="s">
        <v>314</v>
      </c>
      <c r="E59" s="1" t="s">
        <v>541</v>
      </c>
    </row>
    <row r="60" customFormat="false" ht="13.2" hidden="false" customHeight="false" outlineLevel="0" collapsed="false">
      <c r="A60" s="56" t="s">
        <v>542</v>
      </c>
      <c r="B60" s="37" t="s">
        <v>59</v>
      </c>
      <c r="C60" s="37" t="s">
        <v>225</v>
      </c>
      <c r="D60" s="37" t="s">
        <v>485</v>
      </c>
      <c r="E60" s="1" t="s">
        <v>543</v>
      </c>
    </row>
    <row r="62" customFormat="false" ht="14.4" hidden="false" customHeight="false" outlineLevel="0" collapsed="false">
      <c r="A62" s="55"/>
      <c r="B62" s="25" t="s">
        <v>244</v>
      </c>
    </row>
    <row r="63" customFormat="false" ht="13.8" hidden="false" customHeight="false" outlineLevel="0" collapsed="false">
      <c r="A63" s="26" t="s">
        <v>1</v>
      </c>
      <c r="B63" s="26" t="s">
        <v>36</v>
      </c>
      <c r="C63" s="26" t="s">
        <v>37</v>
      </c>
      <c r="D63" s="26" t="s">
        <v>38</v>
      </c>
      <c r="E63" s="26" t="s">
        <v>4</v>
      </c>
    </row>
    <row r="64" customFormat="false" ht="13.2" hidden="false" customHeight="false" outlineLevel="0" collapsed="false">
      <c r="A64" s="56" t="s">
        <v>544</v>
      </c>
      <c r="B64" s="37" t="s">
        <v>246</v>
      </c>
      <c r="C64" s="37" t="s">
        <v>225</v>
      </c>
      <c r="D64" s="37" t="s">
        <v>306</v>
      </c>
      <c r="E64" s="1" t="s">
        <v>545</v>
      </c>
    </row>
    <row r="65" customFormat="false" ht="13.2" hidden="false" customHeight="false" outlineLevel="0" collapsed="false">
      <c r="A65" s="56" t="s">
        <v>536</v>
      </c>
      <c r="B65" s="37" t="s">
        <v>259</v>
      </c>
      <c r="C65" s="37" t="s">
        <v>44</v>
      </c>
      <c r="D65" s="37" t="s">
        <v>356</v>
      </c>
      <c r="E65" s="1" t="s">
        <v>546</v>
      </c>
    </row>
  </sheetData>
  <mergeCells count="17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A8:J8"/>
    <mergeCell ref="A13:J13"/>
    <mergeCell ref="A16:J16"/>
    <mergeCell ref="A20:J20"/>
    <mergeCell ref="A26:J2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4.11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4.78"/>
    <col collapsed="false" customWidth="true" hidden="false" outlineLevel="0" max="9" min="7" style="37" width="5.55"/>
    <col collapsed="false" customWidth="true" hidden="false" outlineLevel="0" max="10" min="10" style="37" width="4.78"/>
    <col collapsed="false" customWidth="true" hidden="false" outlineLevel="0" max="11" min="11" style="1" width="5.78"/>
    <col collapsed="false" customWidth="true" hidden="false" outlineLevel="0" max="12" min="12" style="38" width="8.56"/>
    <col collapsed="false" customWidth="true" hidden="false" outlineLevel="0" max="13" min="13" style="36" width="7.11"/>
    <col collapsed="false" customWidth="false" hidden="false" outlineLevel="0" max="1024" min="14" style="39" width="9.11"/>
  </cols>
  <sheetData>
    <row r="1" s="41" customFormat="true" ht="28.95" hidden="false" customHeight="true" outlineLevel="0" collapsed="false">
      <c r="A1" s="40" t="s">
        <v>547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475</v>
      </c>
      <c r="H3" s="45"/>
      <c r="I3" s="45"/>
      <c r="J3" s="45"/>
      <c r="K3" s="44" t="s">
        <v>8</v>
      </c>
      <c r="L3" s="44" t="s">
        <v>128</v>
      </c>
      <c r="M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4"/>
      <c r="L4" s="44"/>
      <c r="M4" s="46"/>
    </row>
    <row r="5" s="37" customFormat="true" ht="15.6" hidden="false" customHeight="false" outlineLevel="0" collapsed="false">
      <c r="A5" s="13" t="s">
        <v>131</v>
      </c>
      <c r="B5" s="13"/>
      <c r="C5" s="13"/>
      <c r="D5" s="13"/>
      <c r="E5" s="13"/>
      <c r="F5" s="13"/>
      <c r="G5" s="13"/>
      <c r="H5" s="13"/>
      <c r="I5" s="13"/>
      <c r="J5" s="13"/>
      <c r="K5" s="1"/>
      <c r="L5" s="38"/>
      <c r="M5" s="36"/>
    </row>
    <row r="6" s="37" customFormat="true" ht="13.2" hidden="false" customHeight="false" outlineLevel="0" collapsed="false">
      <c r="A6" s="16" t="s">
        <v>548</v>
      </c>
      <c r="B6" s="15" t="s">
        <v>549</v>
      </c>
      <c r="C6" s="15" t="s">
        <v>550</v>
      </c>
      <c r="D6" s="15" t="str">
        <f aca="false">"0,9266"</f>
        <v>0,9266</v>
      </c>
      <c r="E6" s="16" t="s">
        <v>164</v>
      </c>
      <c r="F6" s="16" t="s">
        <v>165</v>
      </c>
      <c r="G6" s="18" t="s">
        <v>68</v>
      </c>
      <c r="H6" s="15" t="s">
        <v>68</v>
      </c>
      <c r="I6" s="15" t="s">
        <v>69</v>
      </c>
      <c r="J6" s="18"/>
      <c r="K6" s="14" t="str">
        <f aca="false">"120,0"</f>
        <v>120,0</v>
      </c>
      <c r="L6" s="48" t="str">
        <f aca="false">"111,1980"</f>
        <v>111,1980</v>
      </c>
      <c r="M6" s="16"/>
    </row>
    <row r="7" s="37" customFormat="true" ht="13.2" hidden="false" customHeight="false" outlineLevel="0" collapsed="false">
      <c r="A7" s="36"/>
      <c r="E7" s="36"/>
      <c r="F7" s="36"/>
      <c r="K7" s="1"/>
      <c r="L7" s="38"/>
      <c r="M7" s="36"/>
    </row>
    <row r="8" customFormat="false" ht="15.6" hidden="false" customHeight="false" outlineLevel="0" collapsed="false">
      <c r="A8" s="17" t="s">
        <v>281</v>
      </c>
      <c r="B8" s="17"/>
      <c r="C8" s="17"/>
      <c r="D8" s="17"/>
      <c r="E8" s="17"/>
      <c r="F8" s="17"/>
      <c r="G8" s="17"/>
      <c r="H8" s="17"/>
      <c r="I8" s="17"/>
      <c r="J8" s="17"/>
    </row>
    <row r="9" customFormat="false" ht="13.2" hidden="false" customHeight="false" outlineLevel="0" collapsed="false">
      <c r="A9" s="16" t="s">
        <v>551</v>
      </c>
      <c r="B9" s="15" t="s">
        <v>552</v>
      </c>
      <c r="C9" s="15" t="s">
        <v>553</v>
      </c>
      <c r="D9" s="15" t="str">
        <f aca="false">"0,8467"</f>
        <v>0,8467</v>
      </c>
      <c r="E9" s="16" t="s">
        <v>13</v>
      </c>
      <c r="F9" s="16" t="s">
        <v>318</v>
      </c>
      <c r="G9" s="15" t="s">
        <v>26</v>
      </c>
      <c r="H9" s="15" t="s">
        <v>278</v>
      </c>
      <c r="I9" s="15" t="s">
        <v>72</v>
      </c>
      <c r="J9" s="15" t="s">
        <v>554</v>
      </c>
      <c r="K9" s="14" t="str">
        <f aca="false">"90,0"</f>
        <v>90,0</v>
      </c>
      <c r="L9" s="48" t="str">
        <f aca="false">"76,1985"</f>
        <v>76,1985</v>
      </c>
      <c r="M9" s="16"/>
    </row>
    <row r="11" customFormat="false" ht="15" hidden="false" customHeight="false" outlineLevel="0" collapsed="false">
      <c r="E11" s="20" t="s">
        <v>27</v>
      </c>
    </row>
    <row r="12" customFormat="false" ht="15" hidden="false" customHeight="false" outlineLevel="0" collapsed="false">
      <c r="E12" s="20" t="s">
        <v>28</v>
      </c>
    </row>
    <row r="13" customFormat="false" ht="15" hidden="false" customHeight="false" outlineLevel="0" collapsed="false">
      <c r="E13" s="20" t="s">
        <v>29</v>
      </c>
    </row>
    <row r="14" customFormat="false" ht="13.2" hidden="false" customHeight="false" outlineLevel="0" collapsed="false">
      <c r="E14" s="36" t="s">
        <v>30</v>
      </c>
    </row>
    <row r="15" customFormat="false" ht="13.2" hidden="false" customHeight="false" outlineLevel="0" collapsed="false">
      <c r="E15" s="36" t="s">
        <v>31</v>
      </c>
    </row>
    <row r="16" customFormat="false" ht="13.2" hidden="false" customHeight="false" outlineLevel="0" collapsed="false">
      <c r="E16" s="36" t="s">
        <v>32</v>
      </c>
    </row>
    <row r="19" customFormat="false" ht="17.4" hidden="false" customHeight="false" outlineLevel="0" collapsed="false">
      <c r="A19" s="53" t="s">
        <v>33</v>
      </c>
      <c r="B19" s="22"/>
    </row>
    <row r="20" customFormat="false" ht="15.6" hidden="false" customHeight="false" outlineLevel="0" collapsed="false">
      <c r="A20" s="54" t="s">
        <v>58</v>
      </c>
      <c r="B20" s="17"/>
    </row>
    <row r="21" customFormat="false" ht="14.4" hidden="false" customHeight="false" outlineLevel="0" collapsed="false">
      <c r="A21" s="55"/>
      <c r="B21" s="25" t="s">
        <v>59</v>
      </c>
    </row>
    <row r="22" customFormat="false" ht="13.8" hidden="false" customHeight="false" outlineLevel="0" collapsed="false">
      <c r="A22" s="26" t="s">
        <v>1</v>
      </c>
      <c r="B22" s="26" t="s">
        <v>36</v>
      </c>
      <c r="C22" s="26" t="s">
        <v>37</v>
      </c>
      <c r="D22" s="26" t="s">
        <v>38</v>
      </c>
      <c r="E22" s="26" t="s">
        <v>4</v>
      </c>
    </row>
    <row r="23" customFormat="false" ht="13.2" hidden="false" customHeight="false" outlineLevel="0" collapsed="false">
      <c r="A23" s="56" t="s">
        <v>555</v>
      </c>
      <c r="B23" s="37" t="s">
        <v>59</v>
      </c>
      <c r="C23" s="37" t="s">
        <v>151</v>
      </c>
      <c r="D23" s="37" t="s">
        <v>69</v>
      </c>
      <c r="E23" s="1" t="s">
        <v>556</v>
      </c>
    </row>
    <row r="26" customFormat="false" ht="15.6" hidden="false" customHeight="false" outlineLevel="0" collapsed="false">
      <c r="A26" s="54" t="s">
        <v>34</v>
      </c>
      <c r="B26" s="17"/>
    </row>
    <row r="27" customFormat="false" ht="14.4" hidden="false" customHeight="false" outlineLevel="0" collapsed="false">
      <c r="A27" s="55"/>
      <c r="B27" s="25" t="s">
        <v>376</v>
      </c>
    </row>
    <row r="28" customFormat="false" ht="13.8" hidden="false" customHeight="false" outlineLevel="0" collapsed="false">
      <c r="A28" s="26" t="s">
        <v>1</v>
      </c>
      <c r="B28" s="26" t="s">
        <v>36</v>
      </c>
      <c r="C28" s="26" t="s">
        <v>37</v>
      </c>
      <c r="D28" s="26" t="s">
        <v>38</v>
      </c>
      <c r="E28" s="26" t="s">
        <v>4</v>
      </c>
    </row>
    <row r="29" customFormat="false" ht="13.2" hidden="false" customHeight="false" outlineLevel="0" collapsed="false">
      <c r="A29" s="56" t="s">
        <v>557</v>
      </c>
      <c r="B29" s="37" t="s">
        <v>381</v>
      </c>
      <c r="C29" s="37" t="s">
        <v>368</v>
      </c>
      <c r="D29" s="37" t="s">
        <v>72</v>
      </c>
      <c r="E29" s="1" t="s">
        <v>558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A8:J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6.56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9.33"/>
    <col collapsed="false" customWidth="true" hidden="false" outlineLevel="0" max="9" min="7" style="37" width="5.55"/>
    <col collapsed="false" customWidth="true" hidden="false" outlineLevel="0" max="10" min="10" style="37" width="4.78"/>
    <col collapsed="false" customWidth="true" hidden="false" outlineLevel="0" max="11" min="11" style="1" width="5.78"/>
    <col collapsed="false" customWidth="true" hidden="false" outlineLevel="0" max="12" min="12" style="38" width="8.56"/>
    <col collapsed="false" customWidth="true" hidden="false" outlineLevel="0" max="13" min="13" style="36" width="16.44"/>
    <col collapsed="false" customWidth="false" hidden="false" outlineLevel="0" max="1024" min="14" style="39" width="9.11"/>
  </cols>
  <sheetData>
    <row r="1" s="41" customFormat="true" ht="28.95" hidden="false" customHeight="true" outlineLevel="0" collapsed="false">
      <c r="A1" s="40" t="s">
        <v>559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475</v>
      </c>
      <c r="H3" s="45"/>
      <c r="I3" s="45"/>
      <c r="J3" s="45"/>
      <c r="K3" s="44" t="s">
        <v>8</v>
      </c>
      <c r="L3" s="44" t="s">
        <v>128</v>
      </c>
      <c r="M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4"/>
      <c r="L4" s="44"/>
      <c r="M4" s="46"/>
    </row>
    <row r="5" s="37" customFormat="true" ht="15.6" hidden="false" customHeight="false" outlineLevel="0" collapsed="false">
      <c r="A5" s="13" t="s">
        <v>560</v>
      </c>
      <c r="B5" s="13"/>
      <c r="C5" s="13"/>
      <c r="D5" s="13"/>
      <c r="E5" s="13"/>
      <c r="F5" s="13"/>
      <c r="G5" s="13"/>
      <c r="H5" s="13"/>
      <c r="I5" s="13"/>
      <c r="J5" s="13"/>
      <c r="K5" s="1"/>
      <c r="L5" s="38"/>
      <c r="M5" s="36"/>
    </row>
    <row r="6" s="37" customFormat="true" ht="13.2" hidden="false" customHeight="false" outlineLevel="0" collapsed="false">
      <c r="A6" s="30" t="s">
        <v>561</v>
      </c>
      <c r="B6" s="29" t="s">
        <v>562</v>
      </c>
      <c r="C6" s="29" t="s">
        <v>563</v>
      </c>
      <c r="D6" s="29" t="str">
        <f aca="false">"1,1942"</f>
        <v>1,1942</v>
      </c>
      <c r="E6" s="30" t="s">
        <v>478</v>
      </c>
      <c r="F6" s="30" t="s">
        <v>25</v>
      </c>
      <c r="G6" s="29" t="s">
        <v>149</v>
      </c>
      <c r="H6" s="29" t="s">
        <v>18</v>
      </c>
      <c r="I6" s="49" t="s">
        <v>211</v>
      </c>
      <c r="J6" s="49"/>
      <c r="K6" s="28" t="str">
        <f aca="false">"70,0"</f>
        <v>70,0</v>
      </c>
      <c r="L6" s="50" t="str">
        <f aca="false">"83,5940"</f>
        <v>83,5940</v>
      </c>
      <c r="M6" s="30"/>
    </row>
    <row r="7" s="37" customFormat="true" ht="13.2" hidden="false" customHeight="false" outlineLevel="0" collapsed="false">
      <c r="A7" s="34" t="s">
        <v>564</v>
      </c>
      <c r="B7" s="33" t="s">
        <v>565</v>
      </c>
      <c r="C7" s="33" t="s">
        <v>563</v>
      </c>
      <c r="D7" s="33" t="str">
        <f aca="false">"1,1942"</f>
        <v>1,1942</v>
      </c>
      <c r="E7" s="34" t="s">
        <v>13</v>
      </c>
      <c r="F7" s="34" t="s">
        <v>25</v>
      </c>
      <c r="G7" s="33" t="s">
        <v>206</v>
      </c>
      <c r="H7" s="33" t="s">
        <v>16</v>
      </c>
      <c r="I7" s="51" t="s">
        <v>172</v>
      </c>
      <c r="J7" s="51"/>
      <c r="K7" s="32" t="str">
        <f aca="false">"50,0"</f>
        <v>50,0</v>
      </c>
      <c r="L7" s="52" t="str">
        <f aca="false">"59,7100"</f>
        <v>59,7100</v>
      </c>
      <c r="M7" s="34"/>
    </row>
    <row r="9" customFormat="false" ht="15.6" hidden="false" customHeight="false" outlineLevel="0" collapsed="false">
      <c r="A9" s="17" t="s">
        <v>286</v>
      </c>
      <c r="B9" s="17"/>
      <c r="C9" s="17"/>
      <c r="D9" s="17"/>
      <c r="E9" s="17"/>
      <c r="F9" s="17"/>
      <c r="G9" s="17"/>
      <c r="H9" s="17"/>
      <c r="I9" s="17"/>
      <c r="J9" s="17"/>
    </row>
    <row r="10" customFormat="false" ht="13.2" hidden="false" customHeight="false" outlineLevel="0" collapsed="false">
      <c r="A10" s="30" t="s">
        <v>566</v>
      </c>
      <c r="B10" s="29" t="s">
        <v>567</v>
      </c>
      <c r="C10" s="29" t="s">
        <v>568</v>
      </c>
      <c r="D10" s="29" t="str">
        <f aca="false">"1,1352"</f>
        <v>1,1352</v>
      </c>
      <c r="E10" s="30" t="s">
        <v>13</v>
      </c>
      <c r="F10" s="30" t="s">
        <v>318</v>
      </c>
      <c r="G10" s="29" t="s">
        <v>569</v>
      </c>
      <c r="H10" s="29" t="s">
        <v>172</v>
      </c>
      <c r="I10" s="49" t="s">
        <v>178</v>
      </c>
      <c r="J10" s="49"/>
      <c r="K10" s="28" t="str">
        <f aca="false">"52,5"</f>
        <v>52,5</v>
      </c>
      <c r="L10" s="50" t="str">
        <f aca="false">"59,5980"</f>
        <v>59,5980</v>
      </c>
      <c r="M10" s="30"/>
    </row>
    <row r="11" customFormat="false" ht="13.2" hidden="false" customHeight="false" outlineLevel="0" collapsed="false">
      <c r="A11" s="34" t="s">
        <v>570</v>
      </c>
      <c r="B11" s="33" t="s">
        <v>571</v>
      </c>
      <c r="C11" s="33" t="s">
        <v>572</v>
      </c>
      <c r="D11" s="33" t="str">
        <f aca="false">"1,1282"</f>
        <v>1,1282</v>
      </c>
      <c r="E11" s="34" t="s">
        <v>13</v>
      </c>
      <c r="F11" s="34" t="s">
        <v>573</v>
      </c>
      <c r="G11" s="51" t="s">
        <v>206</v>
      </c>
      <c r="H11" s="51" t="s">
        <v>16</v>
      </c>
      <c r="I11" s="51" t="s">
        <v>16</v>
      </c>
      <c r="J11" s="51"/>
      <c r="K11" s="32" t="str">
        <f aca="false">"0.00"</f>
        <v>0.00</v>
      </c>
      <c r="L11" s="52" t="str">
        <f aca="false">"0,0000"</f>
        <v>0,0000</v>
      </c>
      <c r="M11" s="34"/>
    </row>
    <row r="13" customFormat="false" ht="15.6" hidden="false" customHeight="false" outlineLevel="0" collapsed="false">
      <c r="A13" s="17" t="s">
        <v>262</v>
      </c>
      <c r="B13" s="17"/>
      <c r="C13" s="17"/>
      <c r="D13" s="17"/>
      <c r="E13" s="17"/>
      <c r="F13" s="17"/>
      <c r="G13" s="17"/>
      <c r="H13" s="17"/>
      <c r="I13" s="17"/>
      <c r="J13" s="17"/>
    </row>
    <row r="14" customFormat="false" ht="13.2" hidden="false" customHeight="false" outlineLevel="0" collapsed="false">
      <c r="A14" s="30" t="s">
        <v>270</v>
      </c>
      <c r="B14" s="29" t="s">
        <v>271</v>
      </c>
      <c r="C14" s="29" t="s">
        <v>272</v>
      </c>
      <c r="D14" s="29" t="str">
        <f aca="false">"1,0653"</f>
        <v>1,0653</v>
      </c>
      <c r="E14" s="30" t="s">
        <v>13</v>
      </c>
      <c r="F14" s="30" t="s">
        <v>25</v>
      </c>
      <c r="G14" s="29" t="s">
        <v>16</v>
      </c>
      <c r="H14" s="29" t="s">
        <v>172</v>
      </c>
      <c r="I14" s="29" t="s">
        <v>177</v>
      </c>
      <c r="J14" s="49"/>
      <c r="K14" s="28" t="str">
        <f aca="false">"55,0"</f>
        <v>55,0</v>
      </c>
      <c r="L14" s="50" t="str">
        <f aca="false">"58,5915"</f>
        <v>58,5915</v>
      </c>
      <c r="M14" s="30" t="s">
        <v>274</v>
      </c>
    </row>
    <row r="15" customFormat="false" ht="13.2" hidden="false" customHeight="false" outlineLevel="0" collapsed="false">
      <c r="A15" s="34" t="s">
        <v>574</v>
      </c>
      <c r="B15" s="33" t="s">
        <v>575</v>
      </c>
      <c r="C15" s="33" t="s">
        <v>576</v>
      </c>
      <c r="D15" s="33" t="str">
        <f aca="false">"1,0877"</f>
        <v>1,0877</v>
      </c>
      <c r="E15" s="34" t="s">
        <v>13</v>
      </c>
      <c r="F15" s="34" t="s">
        <v>25</v>
      </c>
      <c r="G15" s="33" t="s">
        <v>16</v>
      </c>
      <c r="H15" s="51" t="s">
        <v>177</v>
      </c>
      <c r="I15" s="51" t="s">
        <v>177</v>
      </c>
      <c r="J15" s="51"/>
      <c r="K15" s="32" t="str">
        <f aca="false">"50,0"</f>
        <v>50,0</v>
      </c>
      <c r="L15" s="52" t="str">
        <f aca="false">"54,3850"</f>
        <v>54,3850</v>
      </c>
      <c r="M15" s="34"/>
    </row>
    <row r="17" customFormat="false" ht="15.6" hidden="false" customHeight="false" outlineLevel="0" collapsed="false">
      <c r="A17" s="17" t="s">
        <v>281</v>
      </c>
      <c r="B17" s="17"/>
      <c r="C17" s="17"/>
      <c r="D17" s="17"/>
      <c r="E17" s="17"/>
      <c r="F17" s="17"/>
      <c r="G17" s="17"/>
      <c r="H17" s="17"/>
      <c r="I17" s="17"/>
      <c r="J17" s="17"/>
    </row>
    <row r="18" customFormat="false" ht="13.2" hidden="false" customHeight="false" outlineLevel="0" collapsed="false">
      <c r="A18" s="16" t="s">
        <v>577</v>
      </c>
      <c r="B18" s="15" t="s">
        <v>578</v>
      </c>
      <c r="C18" s="15" t="s">
        <v>579</v>
      </c>
      <c r="D18" s="15" t="str">
        <f aca="false">"0,9876"</f>
        <v>0,9876</v>
      </c>
      <c r="E18" s="16" t="s">
        <v>13</v>
      </c>
      <c r="F18" s="16" t="s">
        <v>318</v>
      </c>
      <c r="G18" s="15" t="s">
        <v>16</v>
      </c>
      <c r="H18" s="18" t="s">
        <v>172</v>
      </c>
      <c r="I18" s="15" t="s">
        <v>172</v>
      </c>
      <c r="J18" s="18"/>
      <c r="K18" s="14" t="str">
        <f aca="false">"52,5"</f>
        <v>52,5</v>
      </c>
      <c r="L18" s="48" t="str">
        <f aca="false">"51,8490"</f>
        <v>51,8490</v>
      </c>
      <c r="M18" s="16"/>
    </row>
    <row r="20" customFormat="false" ht="15.6" hidden="false" customHeight="false" outlineLevel="0" collapsed="false">
      <c r="A20" s="17" t="s">
        <v>131</v>
      </c>
      <c r="B20" s="17"/>
      <c r="C20" s="17"/>
      <c r="D20" s="17"/>
      <c r="E20" s="17"/>
      <c r="F20" s="17"/>
      <c r="G20" s="17"/>
      <c r="H20" s="17"/>
      <c r="I20" s="17"/>
      <c r="J20" s="17"/>
    </row>
    <row r="21" customFormat="false" ht="13.2" hidden="false" customHeight="false" outlineLevel="0" collapsed="false">
      <c r="A21" s="30" t="s">
        <v>580</v>
      </c>
      <c r="B21" s="29" t="s">
        <v>581</v>
      </c>
      <c r="C21" s="29" t="s">
        <v>582</v>
      </c>
      <c r="D21" s="29" t="str">
        <f aca="false">"0,9416"</f>
        <v>0,9416</v>
      </c>
      <c r="E21" s="30" t="s">
        <v>13</v>
      </c>
      <c r="F21" s="30" t="s">
        <v>25</v>
      </c>
      <c r="G21" s="49" t="s">
        <v>18</v>
      </c>
      <c r="H21" s="29" t="s">
        <v>18</v>
      </c>
      <c r="I21" s="49" t="s">
        <v>138</v>
      </c>
      <c r="J21" s="49"/>
      <c r="K21" s="28" t="str">
        <f aca="false">"70,0"</f>
        <v>70,0</v>
      </c>
      <c r="L21" s="50" t="str">
        <f aca="false">"65,9085"</f>
        <v>65,9085</v>
      </c>
      <c r="M21" s="30"/>
    </row>
    <row r="22" customFormat="false" ht="13.2" hidden="false" customHeight="false" outlineLevel="0" collapsed="false">
      <c r="A22" s="34" t="s">
        <v>161</v>
      </c>
      <c r="B22" s="33" t="s">
        <v>162</v>
      </c>
      <c r="C22" s="33" t="s">
        <v>163</v>
      </c>
      <c r="D22" s="33" t="str">
        <f aca="false">"0,9392"</f>
        <v>0,9392</v>
      </c>
      <c r="E22" s="34" t="s">
        <v>164</v>
      </c>
      <c r="F22" s="34" t="s">
        <v>165</v>
      </c>
      <c r="G22" s="33" t="s">
        <v>178</v>
      </c>
      <c r="H22" s="51" t="s">
        <v>191</v>
      </c>
      <c r="I22" s="33" t="s">
        <v>191</v>
      </c>
      <c r="J22" s="51"/>
      <c r="K22" s="32" t="str">
        <f aca="false">"62,5"</f>
        <v>62,5</v>
      </c>
      <c r="L22" s="52" t="str">
        <f aca="false">"58,7000"</f>
        <v>58,7000</v>
      </c>
      <c r="M22" s="34"/>
    </row>
    <row r="24" customFormat="false" ht="15.6" hidden="false" customHeight="false" outlineLevel="0" collapsed="false">
      <c r="A24" s="17" t="s">
        <v>187</v>
      </c>
      <c r="B24" s="17"/>
      <c r="C24" s="17"/>
      <c r="D24" s="17"/>
      <c r="E24" s="17"/>
      <c r="F24" s="17"/>
      <c r="G24" s="17"/>
      <c r="H24" s="17"/>
      <c r="I24" s="17"/>
      <c r="J24" s="17"/>
    </row>
    <row r="25" customFormat="false" ht="13.2" hidden="false" customHeight="false" outlineLevel="0" collapsed="false">
      <c r="A25" s="16" t="s">
        <v>583</v>
      </c>
      <c r="B25" s="15" t="s">
        <v>584</v>
      </c>
      <c r="C25" s="15" t="s">
        <v>585</v>
      </c>
      <c r="D25" s="15" t="str">
        <f aca="false">"0,8082"</f>
        <v>0,8082</v>
      </c>
      <c r="E25" s="16" t="s">
        <v>13</v>
      </c>
      <c r="F25" s="16" t="s">
        <v>573</v>
      </c>
      <c r="G25" s="15" t="s">
        <v>150</v>
      </c>
      <c r="H25" s="15" t="s">
        <v>67</v>
      </c>
      <c r="I25" s="15" t="s">
        <v>268</v>
      </c>
      <c r="J25" s="18"/>
      <c r="K25" s="14" t="str">
        <f aca="false">"102,5"</f>
        <v>102,5</v>
      </c>
      <c r="L25" s="48" t="str">
        <f aca="false">"93,6098"</f>
        <v>93,6098</v>
      </c>
      <c r="M25" s="16"/>
    </row>
    <row r="27" customFormat="false" ht="15.6" hidden="false" customHeight="false" outlineLevel="0" collapsed="false">
      <c r="A27" s="17" t="s">
        <v>74</v>
      </c>
      <c r="B27" s="17"/>
      <c r="C27" s="17"/>
      <c r="D27" s="17"/>
      <c r="E27" s="17"/>
      <c r="F27" s="17"/>
      <c r="G27" s="17"/>
      <c r="H27" s="17"/>
      <c r="I27" s="17"/>
      <c r="J27" s="17"/>
    </row>
    <row r="28" customFormat="false" ht="13.2" hidden="false" customHeight="false" outlineLevel="0" collapsed="false">
      <c r="A28" s="16" t="s">
        <v>586</v>
      </c>
      <c r="B28" s="15" t="s">
        <v>587</v>
      </c>
      <c r="C28" s="15" t="s">
        <v>588</v>
      </c>
      <c r="D28" s="15" t="str">
        <f aca="false">"0,7645"</f>
        <v>0,7645</v>
      </c>
      <c r="E28" s="16" t="s">
        <v>478</v>
      </c>
      <c r="F28" s="16" t="s">
        <v>25</v>
      </c>
      <c r="G28" s="15" t="s">
        <v>206</v>
      </c>
      <c r="H28" s="18" t="s">
        <v>16</v>
      </c>
      <c r="I28" s="15" t="s">
        <v>16</v>
      </c>
      <c r="J28" s="18"/>
      <c r="K28" s="14" t="str">
        <f aca="false">"50,0"</f>
        <v>50,0</v>
      </c>
      <c r="L28" s="48" t="str">
        <f aca="false">"38,9895"</f>
        <v>38,9895</v>
      </c>
      <c r="M28" s="16" t="s">
        <v>480</v>
      </c>
    </row>
    <row r="30" customFormat="false" ht="15.6" hidden="false" customHeight="false" outlineLevel="0" collapsed="false">
      <c r="A30" s="17" t="s">
        <v>262</v>
      </c>
      <c r="B30" s="17"/>
      <c r="C30" s="17"/>
      <c r="D30" s="17"/>
      <c r="E30" s="17"/>
      <c r="F30" s="17"/>
      <c r="G30" s="17"/>
      <c r="H30" s="17"/>
      <c r="I30" s="17"/>
      <c r="J30" s="17"/>
    </row>
    <row r="31" customFormat="false" ht="13.2" hidden="false" customHeight="false" outlineLevel="0" collapsed="false">
      <c r="A31" s="16" t="s">
        <v>589</v>
      </c>
      <c r="B31" s="15" t="s">
        <v>590</v>
      </c>
      <c r="C31" s="15" t="s">
        <v>591</v>
      </c>
      <c r="D31" s="15" t="str">
        <f aca="false">"0,8992"</f>
        <v>0,8992</v>
      </c>
      <c r="E31" s="16" t="s">
        <v>13</v>
      </c>
      <c r="F31" s="16" t="s">
        <v>318</v>
      </c>
      <c r="G31" s="15" t="s">
        <v>592</v>
      </c>
      <c r="H31" s="15" t="s">
        <v>593</v>
      </c>
      <c r="I31" s="18" t="s">
        <v>268</v>
      </c>
      <c r="J31" s="18"/>
      <c r="K31" s="14" t="str">
        <f aca="false">"97,5"</f>
        <v>97,5</v>
      </c>
      <c r="L31" s="48" t="str">
        <f aca="false">"87,6769"</f>
        <v>87,6769</v>
      </c>
      <c r="M31" s="16" t="s">
        <v>594</v>
      </c>
    </row>
    <row r="33" customFormat="false" ht="15.6" hidden="false" customHeight="false" outlineLevel="0" collapsed="false">
      <c r="A33" s="17" t="s">
        <v>281</v>
      </c>
      <c r="B33" s="17"/>
      <c r="C33" s="17"/>
      <c r="D33" s="17"/>
      <c r="E33" s="17"/>
      <c r="F33" s="17"/>
      <c r="G33" s="17"/>
      <c r="H33" s="17"/>
      <c r="I33" s="17"/>
      <c r="J33" s="17"/>
    </row>
    <row r="34" customFormat="false" ht="13.2" hidden="false" customHeight="false" outlineLevel="0" collapsed="false">
      <c r="A34" s="30" t="s">
        <v>595</v>
      </c>
      <c r="B34" s="29" t="s">
        <v>596</v>
      </c>
      <c r="C34" s="29" t="s">
        <v>597</v>
      </c>
      <c r="D34" s="29" t="str">
        <f aca="false">"0,8383"</f>
        <v>0,8383</v>
      </c>
      <c r="E34" s="30" t="s">
        <v>13</v>
      </c>
      <c r="F34" s="30" t="s">
        <v>25</v>
      </c>
      <c r="G34" s="29" t="s">
        <v>72</v>
      </c>
      <c r="H34" s="49" t="s">
        <v>150</v>
      </c>
      <c r="I34" s="49" t="s">
        <v>593</v>
      </c>
      <c r="J34" s="49"/>
      <c r="K34" s="28" t="str">
        <f aca="false">"90,0"</f>
        <v>90,0</v>
      </c>
      <c r="L34" s="50" t="str">
        <f aca="false">"75,4470"</f>
        <v>75,4470</v>
      </c>
      <c r="M34" s="30"/>
    </row>
    <row r="35" customFormat="false" ht="13.2" hidden="false" customHeight="false" outlineLevel="0" collapsed="false">
      <c r="A35" s="57" t="s">
        <v>598</v>
      </c>
      <c r="B35" s="58" t="s">
        <v>599</v>
      </c>
      <c r="C35" s="58" t="s">
        <v>600</v>
      </c>
      <c r="D35" s="58" t="str">
        <f aca="false">"0,8356"</f>
        <v>0,8356</v>
      </c>
      <c r="E35" s="57" t="s">
        <v>13</v>
      </c>
      <c r="F35" s="57" t="s">
        <v>601</v>
      </c>
      <c r="G35" s="58" t="s">
        <v>69</v>
      </c>
      <c r="H35" s="59" t="s">
        <v>479</v>
      </c>
      <c r="I35" s="59" t="s">
        <v>479</v>
      </c>
      <c r="J35" s="59"/>
      <c r="K35" s="60" t="str">
        <f aca="false">"120,0"</f>
        <v>120,0</v>
      </c>
      <c r="L35" s="61" t="str">
        <f aca="false">"100,2660"</f>
        <v>100,2660</v>
      </c>
      <c r="M35" s="57"/>
    </row>
    <row r="36" customFormat="false" ht="13.2" hidden="false" customHeight="false" outlineLevel="0" collapsed="false">
      <c r="A36" s="34" t="s">
        <v>602</v>
      </c>
      <c r="B36" s="33" t="s">
        <v>292</v>
      </c>
      <c r="C36" s="33" t="s">
        <v>293</v>
      </c>
      <c r="D36" s="33" t="str">
        <f aca="false">"0,8495"</f>
        <v>0,8495</v>
      </c>
      <c r="E36" s="34" t="s">
        <v>13</v>
      </c>
      <c r="F36" s="34" t="s">
        <v>294</v>
      </c>
      <c r="G36" s="33" t="s">
        <v>150</v>
      </c>
      <c r="H36" s="33" t="s">
        <v>268</v>
      </c>
      <c r="I36" s="51" t="s">
        <v>273</v>
      </c>
      <c r="J36" s="51"/>
      <c r="K36" s="32" t="str">
        <f aca="false">"102,5"</f>
        <v>102,5</v>
      </c>
      <c r="L36" s="52" t="str">
        <f aca="false">"87,0738"</f>
        <v>87,0738</v>
      </c>
      <c r="M36" s="34"/>
    </row>
    <row r="38" customFormat="false" ht="15.6" hidden="false" customHeight="false" outlineLevel="0" collapsed="false">
      <c r="A38" s="17" t="s">
        <v>173</v>
      </c>
      <c r="B38" s="17"/>
      <c r="C38" s="17"/>
      <c r="D38" s="17"/>
      <c r="E38" s="17"/>
      <c r="F38" s="17"/>
      <c r="G38" s="17"/>
      <c r="H38" s="17"/>
      <c r="I38" s="17"/>
      <c r="J38" s="17"/>
    </row>
    <row r="39" customFormat="false" ht="13.2" hidden="false" customHeight="false" outlineLevel="0" collapsed="false">
      <c r="A39" s="30" t="s">
        <v>603</v>
      </c>
      <c r="B39" s="29" t="s">
        <v>604</v>
      </c>
      <c r="C39" s="29" t="s">
        <v>605</v>
      </c>
      <c r="D39" s="29" t="str">
        <f aca="false">"0,7125"</f>
        <v>0,7125</v>
      </c>
      <c r="E39" s="30" t="s">
        <v>13</v>
      </c>
      <c r="F39" s="30" t="s">
        <v>25</v>
      </c>
      <c r="G39" s="29" t="s">
        <v>206</v>
      </c>
      <c r="H39" s="29" t="s">
        <v>16</v>
      </c>
      <c r="I39" s="49" t="s">
        <v>177</v>
      </c>
      <c r="J39" s="49"/>
      <c r="K39" s="28" t="str">
        <f aca="false">"50,0"</f>
        <v>50,0</v>
      </c>
      <c r="L39" s="50" t="str">
        <f aca="false">"35,6250"</f>
        <v>35,6250</v>
      </c>
      <c r="M39" s="30"/>
    </row>
    <row r="40" customFormat="false" ht="13.2" hidden="false" customHeight="false" outlineLevel="0" collapsed="false">
      <c r="A40" s="57" t="s">
        <v>606</v>
      </c>
      <c r="B40" s="58" t="s">
        <v>607</v>
      </c>
      <c r="C40" s="58" t="s">
        <v>312</v>
      </c>
      <c r="D40" s="58" t="str">
        <f aca="false">"0,6885"</f>
        <v>0,6885</v>
      </c>
      <c r="E40" s="57" t="s">
        <v>13</v>
      </c>
      <c r="F40" s="57" t="s">
        <v>318</v>
      </c>
      <c r="G40" s="58" t="s">
        <v>608</v>
      </c>
      <c r="H40" s="58" t="s">
        <v>609</v>
      </c>
      <c r="I40" s="59" t="s">
        <v>322</v>
      </c>
      <c r="J40" s="59"/>
      <c r="K40" s="60" t="str">
        <f aca="false">"117,5"</f>
        <v>117,5</v>
      </c>
      <c r="L40" s="61" t="str">
        <f aca="false">"80,9046"</f>
        <v>80,9046</v>
      </c>
      <c r="M40" s="57"/>
    </row>
    <row r="41" customFormat="false" ht="13.2" hidden="false" customHeight="false" outlineLevel="0" collapsed="false">
      <c r="A41" s="57" t="s">
        <v>610</v>
      </c>
      <c r="B41" s="58" t="s">
        <v>611</v>
      </c>
      <c r="C41" s="58" t="s">
        <v>612</v>
      </c>
      <c r="D41" s="58" t="str">
        <f aca="false">"0,7079"</f>
        <v>0,7079</v>
      </c>
      <c r="E41" s="57" t="s">
        <v>13</v>
      </c>
      <c r="F41" s="57" t="s">
        <v>25</v>
      </c>
      <c r="G41" s="58" t="s">
        <v>328</v>
      </c>
      <c r="H41" s="58" t="s">
        <v>90</v>
      </c>
      <c r="I41" s="59" t="s">
        <v>437</v>
      </c>
      <c r="J41" s="59"/>
      <c r="K41" s="60" t="str">
        <f aca="false">"170,0"</f>
        <v>170,0</v>
      </c>
      <c r="L41" s="61" t="str">
        <f aca="false">"120,3430"</f>
        <v>120,3430</v>
      </c>
      <c r="M41" s="57"/>
    </row>
    <row r="42" customFormat="false" ht="13.2" hidden="false" customHeight="false" outlineLevel="0" collapsed="false">
      <c r="A42" s="57" t="s">
        <v>613</v>
      </c>
      <c r="B42" s="58" t="s">
        <v>614</v>
      </c>
      <c r="C42" s="58" t="s">
        <v>181</v>
      </c>
      <c r="D42" s="58" t="str">
        <f aca="false">"0,6940"</f>
        <v>0,6940</v>
      </c>
      <c r="E42" s="57" t="s">
        <v>13</v>
      </c>
      <c r="F42" s="57" t="s">
        <v>615</v>
      </c>
      <c r="G42" s="58" t="s">
        <v>73</v>
      </c>
      <c r="H42" s="58" t="s">
        <v>332</v>
      </c>
      <c r="I42" s="58" t="s">
        <v>79</v>
      </c>
      <c r="J42" s="59"/>
      <c r="K42" s="60" t="str">
        <f aca="false">"140,0"</f>
        <v>140,0</v>
      </c>
      <c r="L42" s="61" t="str">
        <f aca="false">"97,1600"</f>
        <v>97,1600</v>
      </c>
      <c r="M42" s="57" t="s">
        <v>616</v>
      </c>
    </row>
    <row r="43" customFormat="false" ht="13.2" hidden="false" customHeight="false" outlineLevel="0" collapsed="false">
      <c r="A43" s="57" t="s">
        <v>617</v>
      </c>
      <c r="B43" s="58" t="s">
        <v>618</v>
      </c>
      <c r="C43" s="58" t="s">
        <v>619</v>
      </c>
      <c r="D43" s="58" t="str">
        <f aca="false">"0,7012"</f>
        <v>0,7012</v>
      </c>
      <c r="E43" s="57" t="s">
        <v>13</v>
      </c>
      <c r="F43" s="57" t="s">
        <v>25</v>
      </c>
      <c r="G43" s="59" t="s">
        <v>332</v>
      </c>
      <c r="H43" s="58" t="s">
        <v>332</v>
      </c>
      <c r="I43" s="58" t="s">
        <v>323</v>
      </c>
      <c r="J43" s="59"/>
      <c r="K43" s="60" t="str">
        <f aca="false">"137,5"</f>
        <v>137,5</v>
      </c>
      <c r="L43" s="61" t="str">
        <f aca="false">"96,4081"</f>
        <v>96,4081</v>
      </c>
      <c r="M43" s="57"/>
    </row>
    <row r="44" customFormat="false" ht="13.2" hidden="false" customHeight="false" outlineLevel="0" collapsed="false">
      <c r="A44" s="57" t="s">
        <v>620</v>
      </c>
      <c r="B44" s="58" t="s">
        <v>621</v>
      </c>
      <c r="C44" s="58" t="s">
        <v>622</v>
      </c>
      <c r="D44" s="58" t="str">
        <f aca="false">"0,6962"</f>
        <v>0,6962</v>
      </c>
      <c r="E44" s="57" t="s">
        <v>623</v>
      </c>
      <c r="F44" s="57" t="s">
        <v>25</v>
      </c>
      <c r="G44" s="58" t="s">
        <v>624</v>
      </c>
      <c r="H44" s="58" t="s">
        <v>73</v>
      </c>
      <c r="I44" s="59" t="s">
        <v>332</v>
      </c>
      <c r="J44" s="59"/>
      <c r="K44" s="60" t="str">
        <f aca="false">"130,0"</f>
        <v>130,0</v>
      </c>
      <c r="L44" s="61" t="str">
        <f aca="false">"90,4995"</f>
        <v>90,4995</v>
      </c>
      <c r="M44" s="57"/>
    </row>
    <row r="45" customFormat="false" ht="13.2" hidden="false" customHeight="false" outlineLevel="0" collapsed="false">
      <c r="A45" s="57" t="s">
        <v>625</v>
      </c>
      <c r="B45" s="58" t="s">
        <v>626</v>
      </c>
      <c r="C45" s="58" t="s">
        <v>627</v>
      </c>
      <c r="D45" s="58" t="str">
        <f aca="false">"0,6998"</f>
        <v>0,6998</v>
      </c>
      <c r="E45" s="57" t="s">
        <v>623</v>
      </c>
      <c r="F45" s="57" t="s">
        <v>25</v>
      </c>
      <c r="G45" s="58" t="s">
        <v>322</v>
      </c>
      <c r="H45" s="58" t="s">
        <v>479</v>
      </c>
      <c r="I45" s="59" t="s">
        <v>332</v>
      </c>
      <c r="J45" s="59"/>
      <c r="K45" s="60" t="str">
        <f aca="false">"127,5"</f>
        <v>127,5</v>
      </c>
      <c r="L45" s="61" t="str">
        <f aca="false">"89,2181"</f>
        <v>89,2181</v>
      </c>
      <c r="M45" s="57"/>
    </row>
    <row r="46" customFormat="false" ht="13.2" hidden="false" customHeight="false" outlineLevel="0" collapsed="false">
      <c r="A46" s="57" t="s">
        <v>628</v>
      </c>
      <c r="B46" s="58" t="s">
        <v>629</v>
      </c>
      <c r="C46" s="58" t="s">
        <v>176</v>
      </c>
      <c r="D46" s="58" t="str">
        <f aca="false">"0,6990"</f>
        <v>0,6990</v>
      </c>
      <c r="E46" s="57" t="s">
        <v>13</v>
      </c>
      <c r="F46" s="57" t="s">
        <v>25</v>
      </c>
      <c r="G46" s="58" t="s">
        <v>68</v>
      </c>
      <c r="H46" s="58" t="s">
        <v>609</v>
      </c>
      <c r="I46" s="59" t="s">
        <v>69</v>
      </c>
      <c r="J46" s="59"/>
      <c r="K46" s="60" t="str">
        <f aca="false">"117,5"</f>
        <v>117,5</v>
      </c>
      <c r="L46" s="61" t="str">
        <f aca="false">"82,1325"</f>
        <v>82,1325</v>
      </c>
      <c r="M46" s="57"/>
    </row>
    <row r="47" customFormat="false" ht="13.2" hidden="false" customHeight="false" outlineLevel="0" collapsed="false">
      <c r="A47" s="57" t="s">
        <v>630</v>
      </c>
      <c r="B47" s="58" t="s">
        <v>180</v>
      </c>
      <c r="C47" s="58" t="s">
        <v>181</v>
      </c>
      <c r="D47" s="58" t="str">
        <f aca="false">"0,6940"</f>
        <v>0,6940</v>
      </c>
      <c r="E47" s="57" t="s">
        <v>13</v>
      </c>
      <c r="F47" s="57" t="s">
        <v>182</v>
      </c>
      <c r="G47" s="58" t="s">
        <v>609</v>
      </c>
      <c r="H47" s="59" t="s">
        <v>479</v>
      </c>
      <c r="I47" s="59" t="s">
        <v>479</v>
      </c>
      <c r="J47" s="59"/>
      <c r="K47" s="60" t="str">
        <f aca="false">"117,5"</f>
        <v>117,5</v>
      </c>
      <c r="L47" s="61" t="str">
        <f aca="false">"81,5450"</f>
        <v>81,5450</v>
      </c>
      <c r="M47" s="57"/>
    </row>
    <row r="48" customFormat="false" ht="13.2" hidden="false" customHeight="false" outlineLevel="0" collapsed="false">
      <c r="A48" s="57" t="s">
        <v>631</v>
      </c>
      <c r="B48" s="58" t="s">
        <v>632</v>
      </c>
      <c r="C48" s="58" t="s">
        <v>633</v>
      </c>
      <c r="D48" s="58" t="str">
        <f aca="false">"0,7049"</f>
        <v>0,7049</v>
      </c>
      <c r="E48" s="57" t="s">
        <v>13</v>
      </c>
      <c r="F48" s="57" t="s">
        <v>25</v>
      </c>
      <c r="G48" s="58" t="s">
        <v>68</v>
      </c>
      <c r="H48" s="58" t="s">
        <v>608</v>
      </c>
      <c r="I48" s="59" t="s">
        <v>634</v>
      </c>
      <c r="J48" s="59"/>
      <c r="K48" s="60" t="str">
        <f aca="false">"112,5"</f>
        <v>112,5</v>
      </c>
      <c r="L48" s="61" t="str">
        <f aca="false">"79,2956"</f>
        <v>79,2956</v>
      </c>
      <c r="M48" s="57"/>
    </row>
    <row r="49" customFormat="false" ht="13.2" hidden="false" customHeight="false" outlineLevel="0" collapsed="false">
      <c r="A49" s="34" t="s">
        <v>315</v>
      </c>
      <c r="B49" s="33" t="s">
        <v>316</v>
      </c>
      <c r="C49" s="33" t="s">
        <v>317</v>
      </c>
      <c r="D49" s="33" t="str">
        <f aca="false">"0,7064"</f>
        <v>0,7064</v>
      </c>
      <c r="E49" s="34" t="s">
        <v>13</v>
      </c>
      <c r="F49" s="34" t="s">
        <v>318</v>
      </c>
      <c r="G49" s="33" t="s">
        <v>278</v>
      </c>
      <c r="H49" s="33" t="s">
        <v>72</v>
      </c>
      <c r="I49" s="33" t="s">
        <v>150</v>
      </c>
      <c r="J49" s="51"/>
      <c r="K49" s="32" t="str">
        <f aca="false">"95,0"</f>
        <v>95,0</v>
      </c>
      <c r="L49" s="52" t="str">
        <f aca="false">"83,6166"</f>
        <v>83,6166</v>
      </c>
      <c r="M49" s="34"/>
    </row>
    <row r="51" customFormat="false" ht="15.6" hidden="false" customHeight="false" outlineLevel="0" collapsed="false">
      <c r="A51" s="17" t="s">
        <v>187</v>
      </c>
      <c r="B51" s="17"/>
      <c r="C51" s="17"/>
      <c r="D51" s="17"/>
      <c r="E51" s="17"/>
      <c r="F51" s="17"/>
      <c r="G51" s="17"/>
      <c r="H51" s="17"/>
      <c r="I51" s="17"/>
      <c r="J51" s="17"/>
    </row>
    <row r="52" customFormat="false" ht="13.2" hidden="false" customHeight="false" outlineLevel="0" collapsed="false">
      <c r="A52" s="30" t="s">
        <v>635</v>
      </c>
      <c r="B52" s="29" t="s">
        <v>636</v>
      </c>
      <c r="C52" s="29" t="s">
        <v>489</v>
      </c>
      <c r="D52" s="29" t="str">
        <f aca="false">"0,6446"</f>
        <v>0,6446</v>
      </c>
      <c r="E52" s="30" t="s">
        <v>13</v>
      </c>
      <c r="F52" s="30" t="s">
        <v>25</v>
      </c>
      <c r="G52" s="29" t="s">
        <v>637</v>
      </c>
      <c r="H52" s="49" t="s">
        <v>638</v>
      </c>
      <c r="I52" s="49" t="s">
        <v>638</v>
      </c>
      <c r="J52" s="49"/>
      <c r="K52" s="28" t="str">
        <f aca="false">"145,0"</f>
        <v>145,0</v>
      </c>
      <c r="L52" s="50" t="str">
        <f aca="false">"93,4670"</f>
        <v>93,4670</v>
      </c>
      <c r="M52" s="30"/>
    </row>
    <row r="53" customFormat="false" ht="13.2" hidden="false" customHeight="false" outlineLevel="0" collapsed="false">
      <c r="A53" s="57" t="s">
        <v>639</v>
      </c>
      <c r="B53" s="58" t="s">
        <v>640</v>
      </c>
      <c r="C53" s="58" t="s">
        <v>641</v>
      </c>
      <c r="D53" s="58" t="str">
        <f aca="false">"0,6606"</f>
        <v>0,6606</v>
      </c>
      <c r="E53" s="57" t="s">
        <v>13</v>
      </c>
      <c r="F53" s="57" t="s">
        <v>642</v>
      </c>
      <c r="G53" s="59" t="s">
        <v>79</v>
      </c>
      <c r="H53" s="58" t="s">
        <v>79</v>
      </c>
      <c r="I53" s="59" t="s">
        <v>637</v>
      </c>
      <c r="J53" s="59"/>
      <c r="K53" s="60" t="str">
        <f aca="false">"140,0"</f>
        <v>140,0</v>
      </c>
      <c r="L53" s="61" t="str">
        <f aca="false">"92,4840"</f>
        <v>92,4840</v>
      </c>
      <c r="M53" s="57"/>
    </row>
    <row r="54" customFormat="false" ht="13.2" hidden="false" customHeight="false" outlineLevel="0" collapsed="false">
      <c r="A54" s="57" t="s">
        <v>643</v>
      </c>
      <c r="B54" s="58" t="s">
        <v>644</v>
      </c>
      <c r="C54" s="58" t="s">
        <v>483</v>
      </c>
      <c r="D54" s="58" t="str">
        <f aca="false">"0,6492"</f>
        <v>0,6492</v>
      </c>
      <c r="E54" s="57" t="s">
        <v>623</v>
      </c>
      <c r="F54" s="57" t="s">
        <v>25</v>
      </c>
      <c r="G54" s="58" t="s">
        <v>332</v>
      </c>
      <c r="H54" s="59" t="s">
        <v>79</v>
      </c>
      <c r="I54" s="58" t="s">
        <v>79</v>
      </c>
      <c r="J54" s="59"/>
      <c r="K54" s="60" t="str">
        <f aca="false">"140,0"</f>
        <v>140,0</v>
      </c>
      <c r="L54" s="61" t="str">
        <f aca="false">"90,8950"</f>
        <v>90,8950</v>
      </c>
      <c r="M54" s="57"/>
    </row>
    <row r="55" customFormat="false" ht="13.2" hidden="false" customHeight="false" outlineLevel="0" collapsed="false">
      <c r="A55" s="57" t="s">
        <v>645</v>
      </c>
      <c r="B55" s="58" t="s">
        <v>646</v>
      </c>
      <c r="C55" s="58" t="s">
        <v>647</v>
      </c>
      <c r="D55" s="58" t="str">
        <f aca="false">"0,6545"</f>
        <v>0,6545</v>
      </c>
      <c r="E55" s="57" t="s">
        <v>13</v>
      </c>
      <c r="F55" s="57" t="s">
        <v>25</v>
      </c>
      <c r="G55" s="59" t="s">
        <v>332</v>
      </c>
      <c r="H55" s="59" t="s">
        <v>332</v>
      </c>
      <c r="I55" s="58" t="s">
        <v>332</v>
      </c>
      <c r="J55" s="59"/>
      <c r="K55" s="60" t="str">
        <f aca="false">"135,0"</f>
        <v>135,0</v>
      </c>
      <c r="L55" s="61" t="str">
        <f aca="false">"88,3575"</f>
        <v>88,3575</v>
      </c>
      <c r="M55" s="57"/>
    </row>
    <row r="56" customFormat="false" ht="13.2" hidden="false" customHeight="false" outlineLevel="0" collapsed="false">
      <c r="A56" s="34" t="s">
        <v>10</v>
      </c>
      <c r="B56" s="33" t="s">
        <v>648</v>
      </c>
      <c r="C56" s="33" t="s">
        <v>12</v>
      </c>
      <c r="D56" s="33" t="str">
        <f aca="false">"0,6805"</f>
        <v>0,6805</v>
      </c>
      <c r="E56" s="34" t="s">
        <v>13</v>
      </c>
      <c r="F56" s="34" t="s">
        <v>14</v>
      </c>
      <c r="G56" s="33" t="s">
        <v>72</v>
      </c>
      <c r="H56" s="51" t="s">
        <v>150</v>
      </c>
      <c r="I56" s="51"/>
      <c r="J56" s="51"/>
      <c r="K56" s="32" t="str">
        <f aca="false">"90,0"</f>
        <v>90,0</v>
      </c>
      <c r="L56" s="52" t="str">
        <f aca="false">"87,0355"</f>
        <v>87,0355</v>
      </c>
      <c r="M56" s="34"/>
    </row>
    <row r="58" customFormat="false" ht="15.6" hidden="false" customHeight="false" outlineLevel="0" collapsed="false">
      <c r="A58" s="17" t="s">
        <v>74</v>
      </c>
      <c r="B58" s="17"/>
      <c r="C58" s="17"/>
      <c r="D58" s="17"/>
      <c r="E58" s="17"/>
      <c r="F58" s="17"/>
      <c r="G58" s="17"/>
      <c r="H58" s="17"/>
      <c r="I58" s="17"/>
      <c r="J58" s="17"/>
    </row>
    <row r="59" customFormat="false" ht="13.2" hidden="false" customHeight="false" outlineLevel="0" collapsed="false">
      <c r="A59" s="30" t="s">
        <v>649</v>
      </c>
      <c r="B59" s="29" t="s">
        <v>650</v>
      </c>
      <c r="C59" s="29" t="s">
        <v>651</v>
      </c>
      <c r="D59" s="29" t="str">
        <f aca="false">"0,6133"</f>
        <v>0,6133</v>
      </c>
      <c r="E59" s="30" t="s">
        <v>13</v>
      </c>
      <c r="F59" s="30" t="s">
        <v>25</v>
      </c>
      <c r="G59" s="29" t="s">
        <v>177</v>
      </c>
      <c r="H59" s="29" t="s">
        <v>17</v>
      </c>
      <c r="I59" s="29" t="s">
        <v>149</v>
      </c>
      <c r="J59" s="49"/>
      <c r="K59" s="28" t="str">
        <f aca="false">"65,0"</f>
        <v>65,0</v>
      </c>
      <c r="L59" s="50" t="str">
        <f aca="false">"39,8677"</f>
        <v>39,8677</v>
      </c>
      <c r="M59" s="30"/>
    </row>
    <row r="60" customFormat="false" ht="13.2" hidden="false" customHeight="false" outlineLevel="0" collapsed="false">
      <c r="A60" s="57" t="s">
        <v>203</v>
      </c>
      <c r="B60" s="58" t="s">
        <v>652</v>
      </c>
      <c r="C60" s="58" t="s">
        <v>653</v>
      </c>
      <c r="D60" s="58" t="str">
        <f aca="false">"0,6130"</f>
        <v>0,6130</v>
      </c>
      <c r="E60" s="57" t="s">
        <v>13</v>
      </c>
      <c r="F60" s="57" t="s">
        <v>25</v>
      </c>
      <c r="G60" s="58" t="s">
        <v>90</v>
      </c>
      <c r="H60" s="59" t="s">
        <v>437</v>
      </c>
      <c r="I60" s="59" t="s">
        <v>437</v>
      </c>
      <c r="J60" s="59"/>
      <c r="K60" s="60" t="str">
        <f aca="false">"170,0"</f>
        <v>170,0</v>
      </c>
      <c r="L60" s="61" t="str">
        <f aca="false">"104,2100"</f>
        <v>104,2100</v>
      </c>
      <c r="M60" s="57"/>
    </row>
    <row r="61" customFormat="false" ht="13.2" hidden="false" customHeight="false" outlineLevel="0" collapsed="false">
      <c r="A61" s="57" t="s">
        <v>654</v>
      </c>
      <c r="B61" s="58" t="s">
        <v>655</v>
      </c>
      <c r="C61" s="58" t="s">
        <v>656</v>
      </c>
      <c r="D61" s="58" t="str">
        <f aca="false">"0,6308"</f>
        <v>0,6308</v>
      </c>
      <c r="E61" s="57" t="s">
        <v>13</v>
      </c>
      <c r="F61" s="57" t="s">
        <v>25</v>
      </c>
      <c r="G61" s="58" t="s">
        <v>637</v>
      </c>
      <c r="H61" s="58" t="s">
        <v>80</v>
      </c>
      <c r="I61" s="58" t="s">
        <v>657</v>
      </c>
      <c r="J61" s="59"/>
      <c r="K61" s="60" t="str">
        <f aca="false">"157,5"</f>
        <v>157,5</v>
      </c>
      <c r="L61" s="61" t="str">
        <f aca="false">"99,3510"</f>
        <v>99,3510</v>
      </c>
      <c r="M61" s="57"/>
    </row>
    <row r="62" customFormat="false" ht="13.2" hidden="false" customHeight="false" outlineLevel="0" collapsed="false">
      <c r="A62" s="57" t="s">
        <v>658</v>
      </c>
      <c r="B62" s="58" t="s">
        <v>659</v>
      </c>
      <c r="C62" s="58" t="s">
        <v>660</v>
      </c>
      <c r="D62" s="58" t="str">
        <f aca="false">"0,6188"</f>
        <v>0,6188</v>
      </c>
      <c r="E62" s="57" t="s">
        <v>13</v>
      </c>
      <c r="F62" s="57" t="s">
        <v>661</v>
      </c>
      <c r="G62" s="58" t="s">
        <v>638</v>
      </c>
      <c r="H62" s="58" t="s">
        <v>662</v>
      </c>
      <c r="I62" s="59" t="s">
        <v>309</v>
      </c>
      <c r="J62" s="59"/>
      <c r="K62" s="60" t="str">
        <f aca="false">"152,5"</f>
        <v>152,5</v>
      </c>
      <c r="L62" s="61" t="str">
        <f aca="false">"94,3746"</f>
        <v>94,3746</v>
      </c>
      <c r="M62" s="57"/>
    </row>
    <row r="63" customFormat="false" ht="13.2" hidden="false" customHeight="false" outlineLevel="0" collapsed="false">
      <c r="A63" s="57" t="s">
        <v>663</v>
      </c>
      <c r="B63" s="58" t="s">
        <v>664</v>
      </c>
      <c r="C63" s="58" t="s">
        <v>665</v>
      </c>
      <c r="D63" s="58" t="str">
        <f aca="false">"0,6141"</f>
        <v>0,6141</v>
      </c>
      <c r="E63" s="57" t="s">
        <v>13</v>
      </c>
      <c r="F63" s="57" t="s">
        <v>25</v>
      </c>
      <c r="G63" s="58" t="s">
        <v>637</v>
      </c>
      <c r="H63" s="58" t="s">
        <v>662</v>
      </c>
      <c r="I63" s="59" t="s">
        <v>666</v>
      </c>
      <c r="J63" s="59"/>
      <c r="K63" s="60" t="str">
        <f aca="false">"152,5"</f>
        <v>152,5</v>
      </c>
      <c r="L63" s="61" t="str">
        <f aca="false">"93,6579"</f>
        <v>93,6579</v>
      </c>
      <c r="M63" s="57"/>
    </row>
    <row r="64" customFormat="false" ht="13.2" hidden="false" customHeight="false" outlineLevel="0" collapsed="false">
      <c r="A64" s="57" t="s">
        <v>667</v>
      </c>
      <c r="B64" s="58" t="s">
        <v>668</v>
      </c>
      <c r="C64" s="58" t="s">
        <v>669</v>
      </c>
      <c r="D64" s="58" t="str">
        <f aca="false">"0,6137"</f>
        <v>0,6137</v>
      </c>
      <c r="E64" s="57" t="s">
        <v>13</v>
      </c>
      <c r="F64" s="57" t="s">
        <v>25</v>
      </c>
      <c r="G64" s="58" t="s">
        <v>670</v>
      </c>
      <c r="H64" s="59" t="s">
        <v>79</v>
      </c>
      <c r="I64" s="59" t="s">
        <v>79</v>
      </c>
      <c r="J64" s="59"/>
      <c r="K64" s="60" t="str">
        <f aca="false">"132,5"</f>
        <v>132,5</v>
      </c>
      <c r="L64" s="61" t="str">
        <f aca="false">"81,3219"</f>
        <v>81,3219</v>
      </c>
      <c r="M64" s="57"/>
    </row>
    <row r="65" customFormat="false" ht="13.2" hidden="false" customHeight="false" outlineLevel="0" collapsed="false">
      <c r="A65" s="57" t="s">
        <v>671</v>
      </c>
      <c r="B65" s="58" t="s">
        <v>672</v>
      </c>
      <c r="C65" s="58" t="s">
        <v>673</v>
      </c>
      <c r="D65" s="58" t="str">
        <f aca="false">"0,6201"</f>
        <v>0,6201</v>
      </c>
      <c r="E65" s="57" t="s">
        <v>13</v>
      </c>
      <c r="F65" s="57" t="s">
        <v>444</v>
      </c>
      <c r="G65" s="58" t="s">
        <v>69</v>
      </c>
      <c r="H65" s="58" t="s">
        <v>479</v>
      </c>
      <c r="I65" s="59" t="s">
        <v>670</v>
      </c>
      <c r="J65" s="59"/>
      <c r="K65" s="60" t="str">
        <f aca="false">"127,5"</f>
        <v>127,5</v>
      </c>
      <c r="L65" s="61" t="str">
        <f aca="false">"79,0628"</f>
        <v>79,0628</v>
      </c>
      <c r="M65" s="57"/>
    </row>
    <row r="66" customFormat="false" ht="13.2" hidden="false" customHeight="false" outlineLevel="0" collapsed="false">
      <c r="A66" s="34" t="s">
        <v>674</v>
      </c>
      <c r="B66" s="33" t="s">
        <v>675</v>
      </c>
      <c r="C66" s="33" t="s">
        <v>676</v>
      </c>
      <c r="D66" s="33" t="str">
        <f aca="false">"0,6153"</f>
        <v>0,6153</v>
      </c>
      <c r="E66" s="34" t="s">
        <v>13</v>
      </c>
      <c r="F66" s="34" t="s">
        <v>25</v>
      </c>
      <c r="G66" s="51" t="s">
        <v>80</v>
      </c>
      <c r="H66" s="51" t="s">
        <v>81</v>
      </c>
      <c r="I66" s="51" t="s">
        <v>81</v>
      </c>
      <c r="J66" s="51"/>
      <c r="K66" s="32" t="str">
        <f aca="false">"0.00"</f>
        <v>0.00</v>
      </c>
      <c r="L66" s="52" t="str">
        <f aca="false">"0,0000"</f>
        <v>0,0000</v>
      </c>
      <c r="M66" s="34"/>
    </row>
    <row r="68" customFormat="false" ht="15.6" hidden="false" customHeight="false" outlineLevel="0" collapsed="false">
      <c r="A68" s="17" t="s">
        <v>82</v>
      </c>
      <c r="B68" s="17"/>
      <c r="C68" s="17"/>
      <c r="D68" s="17"/>
      <c r="E68" s="17"/>
      <c r="F68" s="17"/>
      <c r="G68" s="17"/>
      <c r="H68" s="17"/>
      <c r="I68" s="17"/>
      <c r="J68" s="17"/>
    </row>
    <row r="69" customFormat="false" ht="13.2" hidden="false" customHeight="false" outlineLevel="0" collapsed="false">
      <c r="A69" s="30" t="s">
        <v>677</v>
      </c>
      <c r="B69" s="29" t="s">
        <v>678</v>
      </c>
      <c r="C69" s="29" t="s">
        <v>679</v>
      </c>
      <c r="D69" s="29" t="str">
        <f aca="false">"0,5940"</f>
        <v>0,5940</v>
      </c>
      <c r="E69" s="30" t="s">
        <v>13</v>
      </c>
      <c r="F69" s="30" t="s">
        <v>25</v>
      </c>
      <c r="G69" s="49" t="s">
        <v>328</v>
      </c>
      <c r="H69" s="29" t="s">
        <v>328</v>
      </c>
      <c r="I69" s="49" t="s">
        <v>90</v>
      </c>
      <c r="J69" s="49"/>
      <c r="K69" s="28" t="str">
        <f aca="false">"165,0"</f>
        <v>165,0</v>
      </c>
      <c r="L69" s="50" t="str">
        <f aca="false">"98,0100"</f>
        <v>98,0100</v>
      </c>
      <c r="M69" s="30"/>
    </row>
    <row r="70" customFormat="false" ht="13.2" hidden="false" customHeight="false" outlineLevel="0" collapsed="false">
      <c r="A70" s="57" t="s">
        <v>503</v>
      </c>
      <c r="B70" s="58" t="s">
        <v>208</v>
      </c>
      <c r="C70" s="58" t="s">
        <v>209</v>
      </c>
      <c r="D70" s="58" t="str">
        <f aca="false">"0,5889"</f>
        <v>0,5889</v>
      </c>
      <c r="E70" s="57" t="s">
        <v>13</v>
      </c>
      <c r="F70" s="57" t="s">
        <v>210</v>
      </c>
      <c r="G70" s="58" t="s">
        <v>328</v>
      </c>
      <c r="H70" s="59" t="s">
        <v>90</v>
      </c>
      <c r="I70" s="59" t="s">
        <v>90</v>
      </c>
      <c r="J70" s="59"/>
      <c r="K70" s="60" t="str">
        <f aca="false">"165,0"</f>
        <v>165,0</v>
      </c>
      <c r="L70" s="61" t="str">
        <f aca="false">"97,1603"</f>
        <v>97,1603</v>
      </c>
      <c r="M70" s="57"/>
    </row>
    <row r="71" customFormat="false" ht="13.2" hidden="false" customHeight="false" outlineLevel="0" collapsed="false">
      <c r="A71" s="57" t="s">
        <v>680</v>
      </c>
      <c r="B71" s="58" t="s">
        <v>681</v>
      </c>
      <c r="C71" s="58" t="s">
        <v>682</v>
      </c>
      <c r="D71" s="58" t="str">
        <f aca="false">"0,5861"</f>
        <v>0,5861</v>
      </c>
      <c r="E71" s="57" t="s">
        <v>13</v>
      </c>
      <c r="F71" s="57" t="s">
        <v>25</v>
      </c>
      <c r="G71" s="58" t="s">
        <v>79</v>
      </c>
      <c r="H71" s="58" t="s">
        <v>80</v>
      </c>
      <c r="I71" s="58" t="s">
        <v>81</v>
      </c>
      <c r="J71" s="59"/>
      <c r="K71" s="60" t="str">
        <f aca="false">"160,0"</f>
        <v>160,0</v>
      </c>
      <c r="L71" s="61" t="str">
        <f aca="false">"93,7840"</f>
        <v>93,7840</v>
      </c>
      <c r="M71" s="57"/>
    </row>
    <row r="72" customFormat="false" ht="13.2" hidden="false" customHeight="false" outlineLevel="0" collapsed="false">
      <c r="A72" s="57" t="s">
        <v>683</v>
      </c>
      <c r="B72" s="58" t="s">
        <v>684</v>
      </c>
      <c r="C72" s="58" t="s">
        <v>685</v>
      </c>
      <c r="D72" s="58" t="str">
        <f aca="false">"0,5850"</f>
        <v>0,5850</v>
      </c>
      <c r="E72" s="57" t="s">
        <v>13</v>
      </c>
      <c r="F72" s="57" t="s">
        <v>25</v>
      </c>
      <c r="G72" s="58" t="s">
        <v>79</v>
      </c>
      <c r="H72" s="58" t="s">
        <v>80</v>
      </c>
      <c r="I72" s="59" t="s">
        <v>81</v>
      </c>
      <c r="J72" s="59"/>
      <c r="K72" s="60" t="str">
        <f aca="false">"150,0"</f>
        <v>150,0</v>
      </c>
      <c r="L72" s="61" t="str">
        <f aca="false">"87,7575"</f>
        <v>87,7575</v>
      </c>
      <c r="M72" s="57"/>
    </row>
    <row r="73" customFormat="false" ht="13.2" hidden="false" customHeight="false" outlineLevel="0" collapsed="false">
      <c r="A73" s="57" t="s">
        <v>686</v>
      </c>
      <c r="B73" s="58" t="s">
        <v>687</v>
      </c>
      <c r="C73" s="58" t="s">
        <v>688</v>
      </c>
      <c r="D73" s="58" t="str">
        <f aca="false">"0,5871"</f>
        <v>0,5871</v>
      </c>
      <c r="E73" s="57" t="s">
        <v>13</v>
      </c>
      <c r="F73" s="57" t="s">
        <v>615</v>
      </c>
      <c r="G73" s="59" t="s">
        <v>332</v>
      </c>
      <c r="H73" s="58" t="s">
        <v>79</v>
      </c>
      <c r="I73" s="59" t="s">
        <v>637</v>
      </c>
      <c r="J73" s="59"/>
      <c r="K73" s="60" t="str">
        <f aca="false">"140,0"</f>
        <v>140,0</v>
      </c>
      <c r="L73" s="61" t="str">
        <f aca="false">"82,2010"</f>
        <v>82,2010</v>
      </c>
      <c r="M73" s="57"/>
    </row>
    <row r="74" customFormat="false" ht="13.2" hidden="false" customHeight="false" outlineLevel="0" collapsed="false">
      <c r="A74" s="57" t="s">
        <v>689</v>
      </c>
      <c r="B74" s="58" t="s">
        <v>690</v>
      </c>
      <c r="C74" s="58" t="s">
        <v>691</v>
      </c>
      <c r="D74" s="58" t="str">
        <f aca="false">"0,5831"</f>
        <v>0,5831</v>
      </c>
      <c r="E74" s="57" t="s">
        <v>13</v>
      </c>
      <c r="F74" s="57" t="s">
        <v>692</v>
      </c>
      <c r="G74" s="58" t="s">
        <v>437</v>
      </c>
      <c r="H74" s="58" t="s">
        <v>257</v>
      </c>
      <c r="I74" s="58" t="s">
        <v>350</v>
      </c>
      <c r="J74" s="59"/>
      <c r="K74" s="60" t="str">
        <f aca="false">"190,0"</f>
        <v>190,0</v>
      </c>
      <c r="L74" s="61" t="str">
        <f aca="false">"110,7795"</f>
        <v>110,7795</v>
      </c>
      <c r="M74" s="57"/>
    </row>
    <row r="75" customFormat="false" ht="13.2" hidden="false" customHeight="false" outlineLevel="0" collapsed="false">
      <c r="A75" s="57" t="s">
        <v>693</v>
      </c>
      <c r="B75" s="58" t="s">
        <v>694</v>
      </c>
      <c r="C75" s="58" t="s">
        <v>695</v>
      </c>
      <c r="D75" s="58" t="str">
        <f aca="false">"0,5853"</f>
        <v>0,5853</v>
      </c>
      <c r="E75" s="57" t="s">
        <v>164</v>
      </c>
      <c r="F75" s="57" t="s">
        <v>696</v>
      </c>
      <c r="G75" s="58" t="s">
        <v>79</v>
      </c>
      <c r="H75" s="58" t="s">
        <v>80</v>
      </c>
      <c r="I75" s="58" t="s">
        <v>309</v>
      </c>
      <c r="J75" s="59"/>
      <c r="K75" s="60" t="str">
        <f aca="false">"155,0"</f>
        <v>155,0</v>
      </c>
      <c r="L75" s="61" t="str">
        <f aca="false">"93,5419"</f>
        <v>93,5419</v>
      </c>
      <c r="M75" s="57"/>
    </row>
    <row r="76" customFormat="false" ht="13.2" hidden="false" customHeight="false" outlineLevel="0" collapsed="false">
      <c r="A76" s="57" t="s">
        <v>697</v>
      </c>
      <c r="B76" s="58" t="s">
        <v>698</v>
      </c>
      <c r="C76" s="58" t="s">
        <v>699</v>
      </c>
      <c r="D76" s="58" t="str">
        <f aca="false">"0,5878"</f>
        <v>0,5878</v>
      </c>
      <c r="E76" s="57" t="s">
        <v>13</v>
      </c>
      <c r="F76" s="57" t="s">
        <v>615</v>
      </c>
      <c r="G76" s="58" t="s">
        <v>91</v>
      </c>
      <c r="H76" s="58" t="s">
        <v>301</v>
      </c>
      <c r="I76" s="59" t="s">
        <v>295</v>
      </c>
      <c r="J76" s="59"/>
      <c r="K76" s="60" t="str">
        <f aca="false">"195,0"</f>
        <v>195,0</v>
      </c>
      <c r="L76" s="61" t="str">
        <f aca="false">"127,5623"</f>
        <v>127,5623</v>
      </c>
      <c r="M76" s="57"/>
    </row>
    <row r="77" customFormat="false" ht="13.2" hidden="false" customHeight="false" outlineLevel="0" collapsed="false">
      <c r="A77" s="34" t="s">
        <v>700</v>
      </c>
      <c r="B77" s="33" t="s">
        <v>701</v>
      </c>
      <c r="C77" s="33" t="s">
        <v>702</v>
      </c>
      <c r="D77" s="33" t="str">
        <f aca="false">"0,5943"</f>
        <v>0,5943</v>
      </c>
      <c r="E77" s="34" t="s">
        <v>13</v>
      </c>
      <c r="F77" s="34" t="s">
        <v>703</v>
      </c>
      <c r="G77" s="33" t="s">
        <v>332</v>
      </c>
      <c r="H77" s="51" t="s">
        <v>79</v>
      </c>
      <c r="I77" s="33" t="s">
        <v>79</v>
      </c>
      <c r="J77" s="51"/>
      <c r="K77" s="32" t="str">
        <f aca="false">"140,0"</f>
        <v>140,0</v>
      </c>
      <c r="L77" s="52" t="str">
        <f aca="false">"87,7781"</f>
        <v>87,7781</v>
      </c>
      <c r="M77" s="34"/>
    </row>
    <row r="79" customFormat="false" ht="15.6" hidden="false" customHeight="false" outlineLevel="0" collapsed="false">
      <c r="A79" s="17" t="s">
        <v>144</v>
      </c>
      <c r="B79" s="17"/>
      <c r="C79" s="17"/>
      <c r="D79" s="17"/>
      <c r="E79" s="17"/>
      <c r="F79" s="17"/>
      <c r="G79" s="17"/>
      <c r="H79" s="17"/>
      <c r="I79" s="17"/>
      <c r="J79" s="17"/>
    </row>
    <row r="80" customFormat="false" ht="13.2" hidden="false" customHeight="false" outlineLevel="0" collapsed="false">
      <c r="A80" s="30" t="s">
        <v>704</v>
      </c>
      <c r="B80" s="29" t="s">
        <v>705</v>
      </c>
      <c r="C80" s="29" t="s">
        <v>706</v>
      </c>
      <c r="D80" s="29" t="str">
        <f aca="false">"0,5644"</f>
        <v>0,5644</v>
      </c>
      <c r="E80" s="30" t="s">
        <v>13</v>
      </c>
      <c r="F80" s="30" t="s">
        <v>707</v>
      </c>
      <c r="G80" s="29" t="s">
        <v>81</v>
      </c>
      <c r="H80" s="29" t="s">
        <v>485</v>
      </c>
      <c r="I80" s="49" t="s">
        <v>486</v>
      </c>
      <c r="J80" s="49"/>
      <c r="K80" s="28" t="str">
        <f aca="false">"172,5"</f>
        <v>172,5</v>
      </c>
      <c r="L80" s="50" t="str">
        <f aca="false">"97,3590"</f>
        <v>97,3590</v>
      </c>
      <c r="M80" s="30"/>
    </row>
    <row r="81" customFormat="false" ht="13.2" hidden="false" customHeight="false" outlineLevel="0" collapsed="false">
      <c r="A81" s="57" t="s">
        <v>708</v>
      </c>
      <c r="B81" s="58" t="s">
        <v>709</v>
      </c>
      <c r="C81" s="58" t="s">
        <v>710</v>
      </c>
      <c r="D81" s="58" t="str">
        <f aca="false">"0,5652"</f>
        <v>0,5652</v>
      </c>
      <c r="E81" s="57" t="s">
        <v>13</v>
      </c>
      <c r="F81" s="57" t="s">
        <v>696</v>
      </c>
      <c r="G81" s="58" t="s">
        <v>90</v>
      </c>
      <c r="H81" s="59" t="s">
        <v>711</v>
      </c>
      <c r="I81" s="59" t="s">
        <v>91</v>
      </c>
      <c r="J81" s="59"/>
      <c r="K81" s="60" t="str">
        <f aca="false">"170,0"</f>
        <v>170,0</v>
      </c>
      <c r="L81" s="61" t="str">
        <f aca="false">"96,0840"</f>
        <v>96,0840</v>
      </c>
      <c r="M81" s="57"/>
    </row>
    <row r="82" customFormat="false" ht="13.2" hidden="false" customHeight="false" outlineLevel="0" collapsed="false">
      <c r="A82" s="34" t="s">
        <v>712</v>
      </c>
      <c r="B82" s="33" t="s">
        <v>713</v>
      </c>
      <c r="C82" s="33" t="s">
        <v>714</v>
      </c>
      <c r="D82" s="33" t="str">
        <f aca="false">"0,5724"</f>
        <v>0,5724</v>
      </c>
      <c r="E82" s="34" t="s">
        <v>13</v>
      </c>
      <c r="F82" s="34" t="s">
        <v>25</v>
      </c>
      <c r="G82" s="33" t="s">
        <v>90</v>
      </c>
      <c r="H82" s="33" t="s">
        <v>437</v>
      </c>
      <c r="I82" s="51" t="s">
        <v>711</v>
      </c>
      <c r="J82" s="51"/>
      <c r="K82" s="32" t="str">
        <f aca="false">"175,0"</f>
        <v>175,0</v>
      </c>
      <c r="L82" s="52" t="str">
        <f aca="false">"102,1734"</f>
        <v>102,1734</v>
      </c>
      <c r="M82" s="34"/>
    </row>
    <row r="84" customFormat="false" ht="15.6" hidden="false" customHeight="false" outlineLevel="0" collapsed="false">
      <c r="A84" s="17" t="s">
        <v>21</v>
      </c>
      <c r="B84" s="17"/>
      <c r="C84" s="17"/>
      <c r="D84" s="17"/>
      <c r="E84" s="17"/>
      <c r="F84" s="17"/>
      <c r="G84" s="17"/>
      <c r="H84" s="17"/>
      <c r="I84" s="17"/>
      <c r="J84" s="17"/>
    </row>
    <row r="85" customFormat="false" ht="13.2" hidden="false" customHeight="false" outlineLevel="0" collapsed="false">
      <c r="A85" s="30" t="s">
        <v>715</v>
      </c>
      <c r="B85" s="29" t="s">
        <v>716</v>
      </c>
      <c r="C85" s="29" t="s">
        <v>717</v>
      </c>
      <c r="D85" s="29" t="str">
        <f aca="false">"0,5587"</f>
        <v>0,5587</v>
      </c>
      <c r="E85" s="30" t="s">
        <v>13</v>
      </c>
      <c r="F85" s="30" t="s">
        <v>718</v>
      </c>
      <c r="G85" s="29" t="s">
        <v>437</v>
      </c>
      <c r="H85" s="29" t="s">
        <v>91</v>
      </c>
      <c r="I85" s="29" t="s">
        <v>486</v>
      </c>
      <c r="J85" s="49"/>
      <c r="K85" s="28" t="str">
        <f aca="false">"182,5"</f>
        <v>182,5</v>
      </c>
      <c r="L85" s="50" t="str">
        <f aca="false">"101,9536"</f>
        <v>101,9536</v>
      </c>
      <c r="M85" s="30"/>
    </row>
    <row r="86" customFormat="false" ht="13.2" hidden="false" customHeight="false" outlineLevel="0" collapsed="false">
      <c r="A86" s="57" t="s">
        <v>519</v>
      </c>
      <c r="B86" s="58" t="s">
        <v>522</v>
      </c>
      <c r="C86" s="58" t="s">
        <v>521</v>
      </c>
      <c r="D86" s="58" t="str">
        <f aca="false">"0,5530"</f>
        <v>0,5530</v>
      </c>
      <c r="E86" s="57" t="s">
        <v>164</v>
      </c>
      <c r="F86" s="57" t="s">
        <v>165</v>
      </c>
      <c r="G86" s="58" t="s">
        <v>90</v>
      </c>
      <c r="H86" s="58" t="s">
        <v>711</v>
      </c>
      <c r="I86" s="58" t="s">
        <v>257</v>
      </c>
      <c r="J86" s="59"/>
      <c r="K86" s="60" t="str">
        <f aca="false">"185,0"</f>
        <v>185,0</v>
      </c>
      <c r="L86" s="61" t="str">
        <f aca="false">"106,7041"</f>
        <v>106,7041</v>
      </c>
      <c r="M86" s="57"/>
    </row>
    <row r="87" customFormat="false" ht="13.2" hidden="false" customHeight="false" outlineLevel="0" collapsed="false">
      <c r="A87" s="57" t="s">
        <v>719</v>
      </c>
      <c r="B87" s="58" t="s">
        <v>720</v>
      </c>
      <c r="C87" s="58" t="s">
        <v>88</v>
      </c>
      <c r="D87" s="58" t="str">
        <f aca="false">"0,5571"</f>
        <v>0,5571</v>
      </c>
      <c r="E87" s="57" t="s">
        <v>13</v>
      </c>
      <c r="F87" s="57" t="s">
        <v>25</v>
      </c>
      <c r="G87" s="58" t="s">
        <v>90</v>
      </c>
      <c r="H87" s="58" t="s">
        <v>485</v>
      </c>
      <c r="I87" s="59" t="s">
        <v>437</v>
      </c>
      <c r="J87" s="59"/>
      <c r="K87" s="60" t="str">
        <f aca="false">"172,5"</f>
        <v>172,5</v>
      </c>
      <c r="L87" s="61" t="str">
        <f aca="false">"108,5927"</f>
        <v>108,5927</v>
      </c>
      <c r="M87" s="57"/>
    </row>
    <row r="88" customFormat="false" ht="13.2" hidden="false" customHeight="false" outlineLevel="0" collapsed="false">
      <c r="A88" s="34" t="s">
        <v>22</v>
      </c>
      <c r="B88" s="33" t="s">
        <v>361</v>
      </c>
      <c r="C88" s="33" t="s">
        <v>24</v>
      </c>
      <c r="D88" s="33" t="str">
        <f aca="false">"0,5466"</f>
        <v>0,5466</v>
      </c>
      <c r="E88" s="34" t="s">
        <v>13</v>
      </c>
      <c r="F88" s="34" t="s">
        <v>25</v>
      </c>
      <c r="G88" s="33" t="s">
        <v>68</v>
      </c>
      <c r="H88" s="33" t="s">
        <v>69</v>
      </c>
      <c r="I88" s="51" t="s">
        <v>73</v>
      </c>
      <c r="J88" s="51"/>
      <c r="K88" s="32" t="str">
        <f aca="false">"120,0"</f>
        <v>120,0</v>
      </c>
      <c r="L88" s="52" t="str">
        <f aca="false">"97,0762"</f>
        <v>97,0762</v>
      </c>
      <c r="M88" s="34"/>
    </row>
    <row r="90" customFormat="false" ht="15.6" hidden="false" customHeight="false" outlineLevel="0" collapsed="false">
      <c r="A90" s="17" t="s">
        <v>721</v>
      </c>
      <c r="B90" s="17"/>
      <c r="C90" s="17"/>
      <c r="D90" s="17"/>
      <c r="E90" s="17"/>
      <c r="F90" s="17"/>
      <c r="G90" s="17"/>
      <c r="H90" s="17"/>
      <c r="I90" s="17"/>
      <c r="J90" s="17"/>
    </row>
    <row r="91" customFormat="false" ht="13.2" hidden="false" customHeight="false" outlineLevel="0" collapsed="false">
      <c r="A91" s="16" t="s">
        <v>722</v>
      </c>
      <c r="B91" s="15" t="s">
        <v>723</v>
      </c>
      <c r="C91" s="15" t="s">
        <v>724</v>
      </c>
      <c r="D91" s="15" t="str">
        <f aca="false">"0,5206"</f>
        <v>0,5206</v>
      </c>
      <c r="E91" s="16" t="s">
        <v>13</v>
      </c>
      <c r="F91" s="16" t="s">
        <v>25</v>
      </c>
      <c r="G91" s="15" t="s">
        <v>350</v>
      </c>
      <c r="H91" s="15" t="s">
        <v>295</v>
      </c>
      <c r="I91" s="15" t="s">
        <v>302</v>
      </c>
      <c r="J91" s="18"/>
      <c r="K91" s="14" t="str">
        <f aca="false">"205,0"</f>
        <v>205,0</v>
      </c>
      <c r="L91" s="48" t="str">
        <f aca="false">"106,7179"</f>
        <v>106,7179</v>
      </c>
      <c r="M91" s="16"/>
    </row>
    <row r="93" customFormat="false" ht="15" hidden="false" customHeight="false" outlineLevel="0" collapsed="false">
      <c r="E93" s="20" t="s">
        <v>27</v>
      </c>
    </row>
    <row r="94" customFormat="false" ht="15" hidden="false" customHeight="false" outlineLevel="0" collapsed="false">
      <c r="E94" s="20" t="s">
        <v>28</v>
      </c>
    </row>
    <row r="95" customFormat="false" ht="15" hidden="false" customHeight="false" outlineLevel="0" collapsed="false">
      <c r="E95" s="20" t="s">
        <v>29</v>
      </c>
    </row>
    <row r="96" customFormat="false" ht="13.2" hidden="false" customHeight="false" outlineLevel="0" collapsed="false">
      <c r="E96" s="36" t="s">
        <v>30</v>
      </c>
    </row>
    <row r="97" customFormat="false" ht="13.2" hidden="false" customHeight="false" outlineLevel="0" collapsed="false">
      <c r="E97" s="36" t="s">
        <v>31</v>
      </c>
    </row>
    <row r="98" customFormat="false" ht="13.2" hidden="false" customHeight="false" outlineLevel="0" collapsed="false">
      <c r="E98" s="36" t="s">
        <v>32</v>
      </c>
    </row>
    <row r="101" customFormat="false" ht="17.4" hidden="false" customHeight="false" outlineLevel="0" collapsed="false">
      <c r="A101" s="53" t="s">
        <v>33</v>
      </c>
      <c r="B101" s="22"/>
    </row>
    <row r="102" customFormat="false" ht="15.6" hidden="false" customHeight="false" outlineLevel="0" collapsed="false">
      <c r="A102" s="54" t="s">
        <v>58</v>
      </c>
      <c r="B102" s="17"/>
    </row>
    <row r="103" customFormat="false" ht="14.4" hidden="false" customHeight="false" outlineLevel="0" collapsed="false">
      <c r="A103" s="55"/>
      <c r="B103" s="25" t="s">
        <v>376</v>
      </c>
    </row>
    <row r="104" customFormat="false" ht="13.8" hidden="false" customHeight="false" outlineLevel="0" collapsed="false">
      <c r="A104" s="26" t="s">
        <v>1</v>
      </c>
      <c r="B104" s="26" t="s">
        <v>36</v>
      </c>
      <c r="C104" s="26" t="s">
        <v>37</v>
      </c>
      <c r="D104" s="26" t="s">
        <v>38</v>
      </c>
      <c r="E104" s="26" t="s">
        <v>4</v>
      </c>
    </row>
    <row r="105" customFormat="false" ht="13.2" hidden="false" customHeight="false" outlineLevel="0" collapsed="false">
      <c r="A105" s="56" t="s">
        <v>725</v>
      </c>
      <c r="B105" s="37" t="s">
        <v>381</v>
      </c>
      <c r="C105" s="37" t="s">
        <v>726</v>
      </c>
      <c r="D105" s="37" t="s">
        <v>18</v>
      </c>
      <c r="E105" s="1" t="s">
        <v>727</v>
      </c>
    </row>
    <row r="106" customFormat="false" ht="13.2" hidden="false" customHeight="false" outlineLevel="0" collapsed="false">
      <c r="A106" s="56" t="s">
        <v>728</v>
      </c>
      <c r="B106" s="37" t="s">
        <v>378</v>
      </c>
      <c r="C106" s="37" t="s">
        <v>382</v>
      </c>
      <c r="D106" s="37" t="s">
        <v>172</v>
      </c>
      <c r="E106" s="1" t="s">
        <v>729</v>
      </c>
    </row>
    <row r="107" customFormat="false" ht="13.2" hidden="false" customHeight="false" outlineLevel="0" collapsed="false">
      <c r="A107" s="56" t="s">
        <v>730</v>
      </c>
      <c r="B107" s="37" t="s">
        <v>378</v>
      </c>
      <c r="C107" s="37" t="s">
        <v>368</v>
      </c>
      <c r="D107" s="37" t="s">
        <v>172</v>
      </c>
      <c r="E107" s="1" t="s">
        <v>731</v>
      </c>
    </row>
    <row r="109" customFormat="false" ht="14.4" hidden="false" customHeight="false" outlineLevel="0" collapsed="false">
      <c r="A109" s="55"/>
      <c r="B109" s="25" t="s">
        <v>362</v>
      </c>
    </row>
    <row r="110" customFormat="false" ht="13.8" hidden="false" customHeight="false" outlineLevel="0" collapsed="false">
      <c r="A110" s="26" t="s">
        <v>1</v>
      </c>
      <c r="B110" s="26" t="s">
        <v>36</v>
      </c>
      <c r="C110" s="26" t="s">
        <v>37</v>
      </c>
      <c r="D110" s="26" t="s">
        <v>38</v>
      </c>
      <c r="E110" s="26" t="s">
        <v>4</v>
      </c>
    </row>
    <row r="111" customFormat="false" ht="13.2" hidden="false" customHeight="false" outlineLevel="0" collapsed="false">
      <c r="A111" s="56" t="s">
        <v>732</v>
      </c>
      <c r="B111" s="37" t="s">
        <v>364</v>
      </c>
      <c r="C111" s="37" t="s">
        <v>151</v>
      </c>
      <c r="D111" s="37" t="s">
        <v>18</v>
      </c>
      <c r="E111" s="1" t="s">
        <v>733</v>
      </c>
    </row>
    <row r="112" customFormat="false" ht="13.2" hidden="false" customHeight="false" outlineLevel="0" collapsed="false">
      <c r="A112" s="56" t="s">
        <v>734</v>
      </c>
      <c r="B112" s="37" t="s">
        <v>364</v>
      </c>
      <c r="C112" s="37" t="s">
        <v>726</v>
      </c>
      <c r="D112" s="37" t="s">
        <v>16</v>
      </c>
      <c r="E112" s="1" t="s">
        <v>735</v>
      </c>
    </row>
    <row r="114" customFormat="false" ht="14.4" hidden="false" customHeight="false" outlineLevel="0" collapsed="false">
      <c r="A114" s="55"/>
      <c r="B114" s="25" t="s">
        <v>59</v>
      </c>
    </row>
    <row r="115" customFormat="false" ht="13.8" hidden="false" customHeight="false" outlineLevel="0" collapsed="false">
      <c r="A115" s="26" t="s">
        <v>1</v>
      </c>
      <c r="B115" s="26" t="s">
        <v>36</v>
      </c>
      <c r="C115" s="26" t="s">
        <v>37</v>
      </c>
      <c r="D115" s="26" t="s">
        <v>38</v>
      </c>
      <c r="E115" s="26" t="s">
        <v>4</v>
      </c>
    </row>
    <row r="116" customFormat="false" ht="13.2" hidden="false" customHeight="false" outlineLevel="0" collapsed="false">
      <c r="A116" s="56" t="s">
        <v>222</v>
      </c>
      <c r="B116" s="37" t="s">
        <v>59</v>
      </c>
      <c r="C116" s="37" t="s">
        <v>151</v>
      </c>
      <c r="D116" s="37" t="s">
        <v>191</v>
      </c>
      <c r="E116" s="1" t="s">
        <v>736</v>
      </c>
    </row>
    <row r="117" customFormat="false" ht="13.2" hidden="false" customHeight="false" outlineLevel="0" collapsed="false">
      <c r="A117" s="56" t="s">
        <v>370</v>
      </c>
      <c r="B117" s="37" t="s">
        <v>59</v>
      </c>
      <c r="C117" s="37" t="s">
        <v>365</v>
      </c>
      <c r="D117" s="37" t="s">
        <v>177</v>
      </c>
      <c r="E117" s="1" t="s">
        <v>737</v>
      </c>
    </row>
    <row r="118" customFormat="false" ht="13.2" hidden="false" customHeight="false" outlineLevel="0" collapsed="false">
      <c r="A118" s="56" t="s">
        <v>738</v>
      </c>
      <c r="B118" s="37" t="s">
        <v>59</v>
      </c>
      <c r="C118" s="37" t="s">
        <v>365</v>
      </c>
      <c r="D118" s="37" t="s">
        <v>16</v>
      </c>
      <c r="E118" s="1" t="s">
        <v>739</v>
      </c>
    </row>
    <row r="120" customFormat="false" ht="14.4" hidden="false" customHeight="false" outlineLevel="0" collapsed="false">
      <c r="A120" s="55"/>
      <c r="B120" s="25" t="s">
        <v>244</v>
      </c>
    </row>
    <row r="121" customFormat="false" ht="13.8" hidden="false" customHeight="false" outlineLevel="0" collapsed="false">
      <c r="A121" s="26" t="s">
        <v>1</v>
      </c>
      <c r="B121" s="26" t="s">
        <v>36</v>
      </c>
      <c r="C121" s="26" t="s">
        <v>37</v>
      </c>
      <c r="D121" s="26" t="s">
        <v>38</v>
      </c>
      <c r="E121" s="26" t="s">
        <v>4</v>
      </c>
    </row>
    <row r="122" customFormat="false" ht="13.2" hidden="false" customHeight="false" outlineLevel="0" collapsed="false">
      <c r="A122" s="56" t="s">
        <v>740</v>
      </c>
      <c r="B122" s="37" t="s">
        <v>461</v>
      </c>
      <c r="C122" s="37" t="s">
        <v>225</v>
      </c>
      <c r="D122" s="37" t="s">
        <v>268</v>
      </c>
      <c r="E122" s="1" t="s">
        <v>741</v>
      </c>
    </row>
    <row r="123" customFormat="false" ht="13.2" hidden="false" customHeight="false" outlineLevel="0" collapsed="false">
      <c r="A123" s="56" t="s">
        <v>742</v>
      </c>
      <c r="B123" s="37" t="s">
        <v>259</v>
      </c>
      <c r="C123" s="37" t="s">
        <v>95</v>
      </c>
      <c r="D123" s="37" t="s">
        <v>16</v>
      </c>
      <c r="E123" s="1" t="s">
        <v>743</v>
      </c>
    </row>
    <row r="126" customFormat="false" ht="15.6" hidden="false" customHeight="false" outlineLevel="0" collapsed="false">
      <c r="A126" s="54" t="s">
        <v>34</v>
      </c>
      <c r="B126" s="17"/>
    </row>
    <row r="127" customFormat="false" ht="14.4" hidden="false" customHeight="false" outlineLevel="0" collapsed="false">
      <c r="A127" s="55"/>
      <c r="B127" s="25" t="s">
        <v>376</v>
      </c>
    </row>
    <row r="128" customFormat="false" ht="13.8" hidden="false" customHeight="false" outlineLevel="0" collapsed="false">
      <c r="A128" s="26" t="s">
        <v>1</v>
      </c>
      <c r="B128" s="26" t="s">
        <v>36</v>
      </c>
      <c r="C128" s="26" t="s">
        <v>37</v>
      </c>
      <c r="D128" s="26" t="s">
        <v>38</v>
      </c>
      <c r="E128" s="26" t="s">
        <v>4</v>
      </c>
    </row>
    <row r="129" customFormat="false" ht="13.2" hidden="false" customHeight="false" outlineLevel="0" collapsed="false">
      <c r="A129" s="56" t="s">
        <v>744</v>
      </c>
      <c r="B129" s="37" t="s">
        <v>381</v>
      </c>
      <c r="C129" s="37" t="s">
        <v>365</v>
      </c>
      <c r="D129" s="37" t="s">
        <v>593</v>
      </c>
      <c r="E129" s="1" t="s">
        <v>745</v>
      </c>
    </row>
    <row r="130" customFormat="false" ht="13.2" hidden="false" customHeight="false" outlineLevel="0" collapsed="false">
      <c r="A130" s="56" t="s">
        <v>746</v>
      </c>
      <c r="B130" s="37" t="s">
        <v>378</v>
      </c>
      <c r="C130" s="37" t="s">
        <v>232</v>
      </c>
      <c r="D130" s="37" t="s">
        <v>609</v>
      </c>
      <c r="E130" s="1" t="s">
        <v>747</v>
      </c>
    </row>
    <row r="131" customFormat="false" ht="13.2" hidden="false" customHeight="false" outlineLevel="0" collapsed="false">
      <c r="A131" s="56" t="s">
        <v>748</v>
      </c>
      <c r="B131" s="37" t="s">
        <v>378</v>
      </c>
      <c r="C131" s="37" t="s">
        <v>95</v>
      </c>
      <c r="D131" s="37" t="s">
        <v>149</v>
      </c>
      <c r="E131" s="1" t="s">
        <v>749</v>
      </c>
    </row>
    <row r="132" customFormat="false" ht="13.2" hidden="false" customHeight="false" outlineLevel="0" collapsed="false">
      <c r="A132" s="56" t="s">
        <v>750</v>
      </c>
      <c r="B132" s="37" t="s">
        <v>381</v>
      </c>
      <c r="C132" s="37" t="s">
        <v>232</v>
      </c>
      <c r="D132" s="37" t="s">
        <v>16</v>
      </c>
      <c r="E132" s="1" t="s">
        <v>751</v>
      </c>
    </row>
    <row r="134" customFormat="false" ht="14.4" hidden="false" customHeight="false" outlineLevel="0" collapsed="false">
      <c r="A134" s="55"/>
      <c r="B134" s="25" t="s">
        <v>362</v>
      </c>
    </row>
    <row r="135" customFormat="false" ht="13.8" hidden="false" customHeight="false" outlineLevel="0" collapsed="false">
      <c r="A135" s="26" t="s">
        <v>1</v>
      </c>
      <c r="B135" s="26" t="s">
        <v>36</v>
      </c>
      <c r="C135" s="26" t="s">
        <v>37</v>
      </c>
      <c r="D135" s="26" t="s">
        <v>38</v>
      </c>
      <c r="E135" s="26" t="s">
        <v>4</v>
      </c>
    </row>
    <row r="136" customFormat="false" ht="13.2" hidden="false" customHeight="false" outlineLevel="0" collapsed="false">
      <c r="A136" s="56" t="s">
        <v>752</v>
      </c>
      <c r="B136" s="37" t="s">
        <v>364</v>
      </c>
      <c r="C136" s="37" t="s">
        <v>368</v>
      </c>
      <c r="D136" s="37" t="s">
        <v>72</v>
      </c>
      <c r="E136" s="1" t="s">
        <v>753</v>
      </c>
    </row>
    <row r="138" customFormat="false" ht="14.4" hidden="false" customHeight="false" outlineLevel="0" collapsed="false">
      <c r="A138" s="55"/>
      <c r="B138" s="25" t="s">
        <v>59</v>
      </c>
    </row>
    <row r="139" customFormat="false" ht="13.8" hidden="false" customHeight="false" outlineLevel="0" collapsed="false">
      <c r="A139" s="26" t="s">
        <v>1</v>
      </c>
      <c r="B139" s="26" t="s">
        <v>36</v>
      </c>
      <c r="C139" s="26" t="s">
        <v>37</v>
      </c>
      <c r="D139" s="26" t="s">
        <v>38</v>
      </c>
      <c r="E139" s="26" t="s">
        <v>4</v>
      </c>
    </row>
    <row r="140" customFormat="false" ht="13.2" hidden="false" customHeight="false" outlineLevel="0" collapsed="false">
      <c r="A140" s="56" t="s">
        <v>754</v>
      </c>
      <c r="B140" s="37" t="s">
        <v>59</v>
      </c>
      <c r="C140" s="37" t="s">
        <v>232</v>
      </c>
      <c r="D140" s="37" t="s">
        <v>90</v>
      </c>
      <c r="E140" s="1" t="s">
        <v>755</v>
      </c>
    </row>
    <row r="141" customFormat="false" ht="13.2" hidden="false" customHeight="false" outlineLevel="0" collapsed="false">
      <c r="A141" s="56" t="s">
        <v>756</v>
      </c>
      <c r="B141" s="37" t="s">
        <v>59</v>
      </c>
      <c r="C141" s="37" t="s">
        <v>757</v>
      </c>
      <c r="D141" s="37" t="s">
        <v>302</v>
      </c>
      <c r="E141" s="1" t="s">
        <v>758</v>
      </c>
    </row>
    <row r="142" customFormat="false" ht="13.2" hidden="false" customHeight="false" outlineLevel="0" collapsed="false">
      <c r="A142" s="56" t="s">
        <v>245</v>
      </c>
      <c r="B142" s="37" t="s">
        <v>59</v>
      </c>
      <c r="C142" s="37" t="s">
        <v>95</v>
      </c>
      <c r="D142" s="37" t="s">
        <v>90</v>
      </c>
      <c r="E142" s="1" t="s">
        <v>759</v>
      </c>
    </row>
    <row r="143" customFormat="false" ht="13.2" hidden="false" customHeight="false" outlineLevel="0" collapsed="false">
      <c r="A143" s="56" t="s">
        <v>760</v>
      </c>
      <c r="B143" s="37" t="s">
        <v>59</v>
      </c>
      <c r="C143" s="37" t="s">
        <v>44</v>
      </c>
      <c r="D143" s="37" t="s">
        <v>486</v>
      </c>
      <c r="E143" s="1" t="s">
        <v>761</v>
      </c>
    </row>
    <row r="144" customFormat="false" ht="13.2" hidden="false" customHeight="false" outlineLevel="0" collapsed="false">
      <c r="A144" s="56" t="s">
        <v>762</v>
      </c>
      <c r="B144" s="37" t="s">
        <v>59</v>
      </c>
      <c r="C144" s="37" t="s">
        <v>368</v>
      </c>
      <c r="D144" s="37" t="s">
        <v>69</v>
      </c>
      <c r="E144" s="1" t="s">
        <v>763</v>
      </c>
    </row>
    <row r="145" customFormat="false" ht="13.2" hidden="false" customHeight="false" outlineLevel="0" collapsed="false">
      <c r="A145" s="56" t="s">
        <v>764</v>
      </c>
      <c r="B145" s="37" t="s">
        <v>59</v>
      </c>
      <c r="C145" s="37" t="s">
        <v>95</v>
      </c>
      <c r="D145" s="37" t="s">
        <v>657</v>
      </c>
      <c r="E145" s="1" t="s">
        <v>765</v>
      </c>
    </row>
    <row r="146" customFormat="false" ht="13.2" hidden="false" customHeight="false" outlineLevel="0" collapsed="false">
      <c r="A146" s="56" t="s">
        <v>766</v>
      </c>
      <c r="B146" s="37" t="s">
        <v>59</v>
      </c>
      <c r="C146" s="37" t="s">
        <v>98</v>
      </c>
      <c r="D146" s="37" t="s">
        <v>328</v>
      </c>
      <c r="E146" s="1" t="s">
        <v>767</v>
      </c>
    </row>
    <row r="147" customFormat="false" ht="13.2" hidden="false" customHeight="false" outlineLevel="0" collapsed="false">
      <c r="A147" s="56" t="s">
        <v>768</v>
      </c>
      <c r="B147" s="37" t="s">
        <v>59</v>
      </c>
      <c r="C147" s="37" t="s">
        <v>158</v>
      </c>
      <c r="D147" s="37" t="s">
        <v>485</v>
      </c>
      <c r="E147" s="1" t="s">
        <v>769</v>
      </c>
    </row>
    <row r="148" customFormat="false" ht="13.2" hidden="false" customHeight="false" outlineLevel="0" collapsed="false">
      <c r="A148" s="56" t="s">
        <v>227</v>
      </c>
      <c r="B148" s="37" t="s">
        <v>59</v>
      </c>
      <c r="C148" s="37" t="s">
        <v>98</v>
      </c>
      <c r="D148" s="37" t="s">
        <v>328</v>
      </c>
      <c r="E148" s="1" t="s">
        <v>770</v>
      </c>
    </row>
    <row r="149" customFormat="false" ht="13.2" hidden="false" customHeight="false" outlineLevel="0" collapsed="false">
      <c r="A149" s="56" t="s">
        <v>771</v>
      </c>
      <c r="B149" s="37" t="s">
        <v>59</v>
      </c>
      <c r="C149" s="37" t="s">
        <v>232</v>
      </c>
      <c r="D149" s="37" t="s">
        <v>79</v>
      </c>
      <c r="E149" s="1" t="s">
        <v>772</v>
      </c>
    </row>
    <row r="150" customFormat="false" ht="13.2" hidden="false" customHeight="false" outlineLevel="0" collapsed="false">
      <c r="A150" s="56" t="s">
        <v>773</v>
      </c>
      <c r="B150" s="37" t="s">
        <v>59</v>
      </c>
      <c r="C150" s="37" t="s">
        <v>232</v>
      </c>
      <c r="D150" s="37" t="s">
        <v>323</v>
      </c>
      <c r="E150" s="1" t="s">
        <v>774</v>
      </c>
    </row>
    <row r="151" customFormat="false" ht="13.2" hidden="false" customHeight="false" outlineLevel="0" collapsed="false">
      <c r="A151" s="56" t="s">
        <v>775</v>
      </c>
      <c r="B151" s="37" t="s">
        <v>59</v>
      </c>
      <c r="C151" s="37" t="s">
        <v>158</v>
      </c>
      <c r="D151" s="37" t="s">
        <v>90</v>
      </c>
      <c r="E151" s="1" t="s">
        <v>776</v>
      </c>
    </row>
    <row r="152" customFormat="false" ht="13.2" hidden="false" customHeight="false" outlineLevel="0" collapsed="false">
      <c r="A152" s="56" t="s">
        <v>777</v>
      </c>
      <c r="B152" s="37" t="s">
        <v>59</v>
      </c>
      <c r="C152" s="37" t="s">
        <v>95</v>
      </c>
      <c r="D152" s="37" t="s">
        <v>662</v>
      </c>
      <c r="E152" s="1" t="s">
        <v>778</v>
      </c>
    </row>
    <row r="153" customFormat="false" ht="13.2" hidden="false" customHeight="false" outlineLevel="0" collapsed="false">
      <c r="A153" s="56" t="s">
        <v>779</v>
      </c>
      <c r="B153" s="37" t="s">
        <v>59</v>
      </c>
      <c r="C153" s="37" t="s">
        <v>98</v>
      </c>
      <c r="D153" s="37" t="s">
        <v>81</v>
      </c>
      <c r="E153" s="1" t="s">
        <v>780</v>
      </c>
    </row>
    <row r="154" customFormat="false" ht="13.2" hidden="false" customHeight="false" outlineLevel="0" collapsed="false">
      <c r="A154" s="56" t="s">
        <v>781</v>
      </c>
      <c r="B154" s="37" t="s">
        <v>59</v>
      </c>
      <c r="C154" s="37" t="s">
        <v>95</v>
      </c>
      <c r="D154" s="37" t="s">
        <v>662</v>
      </c>
      <c r="E154" s="1" t="s">
        <v>782</v>
      </c>
    </row>
    <row r="155" customFormat="false" ht="13.2" hidden="false" customHeight="false" outlineLevel="0" collapsed="false">
      <c r="A155" s="56" t="s">
        <v>783</v>
      </c>
      <c r="B155" s="37" t="s">
        <v>59</v>
      </c>
      <c r="C155" s="37" t="s">
        <v>225</v>
      </c>
      <c r="D155" s="37" t="s">
        <v>637</v>
      </c>
      <c r="E155" s="1" t="s">
        <v>784</v>
      </c>
    </row>
    <row r="156" customFormat="false" ht="13.2" hidden="false" customHeight="false" outlineLevel="0" collapsed="false">
      <c r="A156" s="56" t="s">
        <v>785</v>
      </c>
      <c r="B156" s="37" t="s">
        <v>59</v>
      </c>
      <c r="C156" s="37" t="s">
        <v>225</v>
      </c>
      <c r="D156" s="37" t="s">
        <v>79</v>
      </c>
      <c r="E156" s="1" t="s">
        <v>786</v>
      </c>
    </row>
    <row r="157" customFormat="false" ht="13.2" hidden="false" customHeight="false" outlineLevel="0" collapsed="false">
      <c r="A157" s="56" t="s">
        <v>787</v>
      </c>
      <c r="B157" s="37" t="s">
        <v>59</v>
      </c>
      <c r="C157" s="37" t="s">
        <v>225</v>
      </c>
      <c r="D157" s="37" t="s">
        <v>79</v>
      </c>
      <c r="E157" s="1" t="s">
        <v>788</v>
      </c>
    </row>
    <row r="158" customFormat="false" ht="13.2" hidden="false" customHeight="false" outlineLevel="0" collapsed="false">
      <c r="A158" s="56" t="s">
        <v>789</v>
      </c>
      <c r="B158" s="37" t="s">
        <v>59</v>
      </c>
      <c r="C158" s="37" t="s">
        <v>232</v>
      </c>
      <c r="D158" s="37" t="s">
        <v>73</v>
      </c>
      <c r="E158" s="1" t="s">
        <v>790</v>
      </c>
    </row>
    <row r="159" customFormat="false" ht="13.2" hidden="false" customHeight="false" outlineLevel="0" collapsed="false">
      <c r="A159" s="56" t="s">
        <v>791</v>
      </c>
      <c r="B159" s="37" t="s">
        <v>59</v>
      </c>
      <c r="C159" s="37" t="s">
        <v>232</v>
      </c>
      <c r="D159" s="37" t="s">
        <v>479</v>
      </c>
      <c r="E159" s="1" t="s">
        <v>792</v>
      </c>
    </row>
    <row r="160" customFormat="false" ht="13.2" hidden="false" customHeight="false" outlineLevel="0" collapsed="false">
      <c r="A160" s="56" t="s">
        <v>793</v>
      </c>
      <c r="B160" s="37" t="s">
        <v>59</v>
      </c>
      <c r="C160" s="37" t="s">
        <v>225</v>
      </c>
      <c r="D160" s="37" t="s">
        <v>332</v>
      </c>
      <c r="E160" s="1" t="s">
        <v>794</v>
      </c>
    </row>
    <row r="161" customFormat="false" ht="13.2" hidden="false" customHeight="false" outlineLevel="0" collapsed="false">
      <c r="A161" s="56" t="s">
        <v>795</v>
      </c>
      <c r="B161" s="37" t="s">
        <v>59</v>
      </c>
      <c r="C161" s="37" t="s">
        <v>98</v>
      </c>
      <c r="D161" s="37" t="s">
        <v>80</v>
      </c>
      <c r="E161" s="1" t="s">
        <v>796</v>
      </c>
    </row>
    <row r="162" customFormat="false" ht="13.2" hidden="false" customHeight="false" outlineLevel="0" collapsed="false">
      <c r="A162" s="56" t="s">
        <v>388</v>
      </c>
      <c r="B162" s="37" t="s">
        <v>59</v>
      </c>
      <c r="C162" s="37" t="s">
        <v>368</v>
      </c>
      <c r="D162" s="37" t="s">
        <v>268</v>
      </c>
      <c r="E162" s="1" t="s">
        <v>797</v>
      </c>
    </row>
    <row r="163" customFormat="false" ht="13.2" hidden="false" customHeight="false" outlineLevel="0" collapsed="false">
      <c r="A163" s="56" t="s">
        <v>798</v>
      </c>
      <c r="B163" s="37" t="s">
        <v>59</v>
      </c>
      <c r="C163" s="37" t="s">
        <v>98</v>
      </c>
      <c r="D163" s="37" t="s">
        <v>79</v>
      </c>
      <c r="E163" s="1" t="s">
        <v>799</v>
      </c>
    </row>
    <row r="165" customFormat="false" ht="14.4" hidden="false" customHeight="false" outlineLevel="0" collapsed="false">
      <c r="A165" s="55"/>
      <c r="B165" s="25" t="s">
        <v>244</v>
      </c>
    </row>
    <row r="166" customFormat="false" ht="13.8" hidden="false" customHeight="false" outlineLevel="0" collapsed="false">
      <c r="A166" s="26" t="s">
        <v>1</v>
      </c>
      <c r="B166" s="26" t="s">
        <v>36</v>
      </c>
      <c r="C166" s="26" t="s">
        <v>37</v>
      </c>
      <c r="D166" s="26" t="s">
        <v>38</v>
      </c>
      <c r="E166" s="26" t="s">
        <v>4</v>
      </c>
    </row>
    <row r="167" customFormat="false" ht="13.2" hidden="false" customHeight="false" outlineLevel="0" collapsed="false">
      <c r="A167" s="56" t="s">
        <v>800</v>
      </c>
      <c r="B167" s="37" t="s">
        <v>246</v>
      </c>
      <c r="C167" s="37" t="s">
        <v>98</v>
      </c>
      <c r="D167" s="37" t="s">
        <v>301</v>
      </c>
      <c r="E167" s="1" t="s">
        <v>801</v>
      </c>
    </row>
    <row r="168" customFormat="false" ht="13.2" hidden="false" customHeight="false" outlineLevel="0" collapsed="false">
      <c r="A168" s="56" t="s">
        <v>802</v>
      </c>
      <c r="B168" s="37" t="s">
        <v>259</v>
      </c>
      <c r="C168" s="37" t="s">
        <v>98</v>
      </c>
      <c r="D168" s="37" t="s">
        <v>350</v>
      </c>
      <c r="E168" s="1" t="s">
        <v>803</v>
      </c>
    </row>
    <row r="169" customFormat="false" ht="13.2" hidden="false" customHeight="false" outlineLevel="0" collapsed="false">
      <c r="A169" s="56" t="s">
        <v>804</v>
      </c>
      <c r="B169" s="37" t="s">
        <v>461</v>
      </c>
      <c r="C169" s="37" t="s">
        <v>44</v>
      </c>
      <c r="D169" s="37" t="s">
        <v>485</v>
      </c>
      <c r="E169" s="1" t="s">
        <v>805</v>
      </c>
    </row>
    <row r="170" customFormat="false" ht="13.2" hidden="false" customHeight="false" outlineLevel="0" collapsed="false">
      <c r="A170" s="56" t="s">
        <v>536</v>
      </c>
      <c r="B170" s="37" t="s">
        <v>259</v>
      </c>
      <c r="C170" s="37" t="s">
        <v>44</v>
      </c>
      <c r="D170" s="37" t="s">
        <v>257</v>
      </c>
      <c r="E170" s="1" t="s">
        <v>806</v>
      </c>
    </row>
    <row r="171" customFormat="false" ht="13.2" hidden="false" customHeight="false" outlineLevel="0" collapsed="false">
      <c r="A171" s="56" t="s">
        <v>807</v>
      </c>
      <c r="B171" s="37" t="s">
        <v>259</v>
      </c>
      <c r="C171" s="37" t="s">
        <v>158</v>
      </c>
      <c r="D171" s="37" t="s">
        <v>437</v>
      </c>
      <c r="E171" s="1" t="s">
        <v>808</v>
      </c>
    </row>
    <row r="172" customFormat="false" ht="13.2" hidden="false" customHeight="false" outlineLevel="0" collapsed="false">
      <c r="A172" s="56" t="s">
        <v>43</v>
      </c>
      <c r="B172" s="37" t="s">
        <v>404</v>
      </c>
      <c r="C172" s="37" t="s">
        <v>44</v>
      </c>
      <c r="D172" s="37" t="s">
        <v>69</v>
      </c>
      <c r="E172" s="1" t="s">
        <v>809</v>
      </c>
    </row>
    <row r="173" customFormat="false" ht="13.2" hidden="false" customHeight="false" outlineLevel="0" collapsed="false">
      <c r="A173" s="56" t="s">
        <v>810</v>
      </c>
      <c r="B173" s="37" t="s">
        <v>259</v>
      </c>
      <c r="C173" s="37" t="s">
        <v>98</v>
      </c>
      <c r="D173" s="37" t="s">
        <v>309</v>
      </c>
      <c r="E173" s="1" t="s">
        <v>811</v>
      </c>
    </row>
    <row r="174" customFormat="false" ht="13.2" hidden="false" customHeight="false" outlineLevel="0" collapsed="false">
      <c r="A174" s="56" t="s">
        <v>812</v>
      </c>
      <c r="B174" s="37" t="s">
        <v>246</v>
      </c>
      <c r="C174" s="37" t="s">
        <v>98</v>
      </c>
      <c r="D174" s="37" t="s">
        <v>79</v>
      </c>
      <c r="E174" s="1" t="s">
        <v>813</v>
      </c>
    </row>
    <row r="175" customFormat="false" ht="13.2" hidden="false" customHeight="false" outlineLevel="0" collapsed="false">
      <c r="A175" s="56" t="s">
        <v>39</v>
      </c>
      <c r="B175" s="37" t="s">
        <v>402</v>
      </c>
      <c r="C175" s="37" t="s">
        <v>225</v>
      </c>
      <c r="D175" s="37" t="s">
        <v>72</v>
      </c>
      <c r="E175" s="1" t="s">
        <v>814</v>
      </c>
    </row>
    <row r="176" customFormat="false" ht="13.2" hidden="false" customHeight="false" outlineLevel="0" collapsed="false">
      <c r="A176" s="56" t="s">
        <v>408</v>
      </c>
      <c r="B176" s="37" t="s">
        <v>249</v>
      </c>
      <c r="C176" s="37" t="s">
        <v>232</v>
      </c>
      <c r="D176" s="37" t="s">
        <v>150</v>
      </c>
      <c r="E176" s="1" t="s">
        <v>815</v>
      </c>
    </row>
  </sheetData>
  <mergeCells count="27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A9:J9"/>
    <mergeCell ref="A13:J13"/>
    <mergeCell ref="A17:J17"/>
    <mergeCell ref="A20:J20"/>
    <mergeCell ref="A24:J24"/>
    <mergeCell ref="A27:J27"/>
    <mergeCell ref="A30:J30"/>
    <mergeCell ref="A33:J33"/>
    <mergeCell ref="A38:J38"/>
    <mergeCell ref="A51:J51"/>
    <mergeCell ref="A58:J58"/>
    <mergeCell ref="A68:J68"/>
    <mergeCell ref="A79:J79"/>
    <mergeCell ref="A84:J84"/>
    <mergeCell ref="A90:J9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19.11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6"/>
    <col collapsed="false" customWidth="true" hidden="false" outlineLevel="0" max="8" min="7" style="37" width="5.55"/>
    <col collapsed="false" customWidth="true" hidden="false" outlineLevel="0" max="9" min="9" style="37" width="2.11"/>
    <col collapsed="false" customWidth="true" hidden="false" outlineLevel="0" max="10" min="10" style="37" width="4.78"/>
    <col collapsed="false" customWidth="true" hidden="false" outlineLevel="0" max="13" min="11" style="37" width="5.55"/>
    <col collapsed="false" customWidth="true" hidden="false" outlineLevel="0" max="14" min="14" style="37" width="4.78"/>
    <col collapsed="false" customWidth="true" hidden="false" outlineLevel="0" max="17" min="15" style="37" width="5.55"/>
    <col collapsed="false" customWidth="true" hidden="false" outlineLevel="0" max="18" min="18" style="37" width="4.78"/>
    <col collapsed="false" customWidth="true" hidden="false" outlineLevel="0" max="19" min="19" style="1" width="5.78"/>
    <col collapsed="false" customWidth="true" hidden="false" outlineLevel="0" max="20" min="20" style="38" width="8.56"/>
    <col collapsed="false" customWidth="true" hidden="false" outlineLevel="0" max="21" min="21" style="36" width="7.11"/>
    <col collapsed="false" customWidth="false" hidden="false" outlineLevel="0" max="1024" min="22" style="39" width="9.11"/>
  </cols>
  <sheetData>
    <row r="1" s="41" customFormat="true" ht="28.95" hidden="false" customHeight="true" outlineLevel="0" collapsed="false">
      <c r="A1" s="40" t="s">
        <v>816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817</v>
      </c>
      <c r="H3" s="45"/>
      <c r="I3" s="45"/>
      <c r="J3" s="45"/>
      <c r="K3" s="45" t="s">
        <v>475</v>
      </c>
      <c r="L3" s="45"/>
      <c r="M3" s="45"/>
      <c r="N3" s="45"/>
      <c r="O3" s="45" t="s">
        <v>252</v>
      </c>
      <c r="P3" s="45"/>
      <c r="Q3" s="45"/>
      <c r="R3" s="45"/>
      <c r="S3" s="44" t="s">
        <v>818</v>
      </c>
      <c r="T3" s="44" t="s">
        <v>128</v>
      </c>
      <c r="U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7" t="n">
        <v>1</v>
      </c>
      <c r="L4" s="47" t="n">
        <v>2</v>
      </c>
      <c r="M4" s="47" t="n">
        <v>3</v>
      </c>
      <c r="N4" s="47" t="s">
        <v>130</v>
      </c>
      <c r="O4" s="47" t="n">
        <v>1</v>
      </c>
      <c r="P4" s="47" t="n">
        <v>2</v>
      </c>
      <c r="Q4" s="47" t="n">
        <v>3</v>
      </c>
      <c r="R4" s="47" t="s">
        <v>130</v>
      </c>
      <c r="S4" s="44"/>
      <c r="T4" s="44"/>
      <c r="U4" s="46"/>
    </row>
    <row r="5" s="37" customFormat="true" ht="15.6" hidden="false" customHeight="false" outlineLevel="0" collapsed="false">
      <c r="A5" s="13" t="s">
        <v>173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"/>
      <c r="T5" s="38"/>
      <c r="U5" s="36"/>
    </row>
    <row r="6" s="37" customFormat="true" ht="13.2" hidden="false" customHeight="false" outlineLevel="0" collapsed="false">
      <c r="A6" s="16" t="s">
        <v>819</v>
      </c>
      <c r="B6" s="15" t="s">
        <v>820</v>
      </c>
      <c r="C6" s="15" t="s">
        <v>181</v>
      </c>
      <c r="D6" s="15" t="str">
        <f aca="false">"0,6940"</f>
        <v>0,6940</v>
      </c>
      <c r="E6" s="16" t="s">
        <v>13</v>
      </c>
      <c r="F6" s="16" t="s">
        <v>821</v>
      </c>
      <c r="G6" s="15" t="s">
        <v>501</v>
      </c>
      <c r="H6" s="15" t="s">
        <v>306</v>
      </c>
      <c r="I6" s="18"/>
      <c r="J6" s="18"/>
      <c r="K6" s="15" t="s">
        <v>81</v>
      </c>
      <c r="L6" s="15" t="s">
        <v>328</v>
      </c>
      <c r="M6" s="15" t="s">
        <v>90</v>
      </c>
      <c r="N6" s="18"/>
      <c r="O6" s="15" t="s">
        <v>344</v>
      </c>
      <c r="P6" s="15" t="s">
        <v>822</v>
      </c>
      <c r="Q6" s="15" t="s">
        <v>355</v>
      </c>
      <c r="R6" s="18"/>
      <c r="S6" s="14" t="str">
        <f aca="false">"665,0"</f>
        <v>665,0</v>
      </c>
      <c r="T6" s="48" t="str">
        <f aca="false">"461,5100"</f>
        <v>461,5100</v>
      </c>
      <c r="U6" s="16"/>
    </row>
    <row r="7" s="37" customFormat="true" ht="13.2" hidden="false" customHeight="false" outlineLevel="0" collapsed="false">
      <c r="A7" s="36"/>
      <c r="E7" s="36"/>
      <c r="F7" s="36"/>
      <c r="S7" s="1"/>
      <c r="T7" s="38"/>
      <c r="U7" s="36"/>
    </row>
    <row r="8" customFormat="false" ht="15" hidden="false" customHeight="false" outlineLevel="0" collapsed="false">
      <c r="E8" s="20" t="s">
        <v>27</v>
      </c>
    </row>
    <row r="9" customFormat="false" ht="15" hidden="false" customHeight="false" outlineLevel="0" collapsed="false">
      <c r="E9" s="20" t="s">
        <v>28</v>
      </c>
    </row>
    <row r="10" customFormat="false" ht="15" hidden="false" customHeight="false" outlineLevel="0" collapsed="false">
      <c r="E10" s="20" t="s">
        <v>29</v>
      </c>
    </row>
    <row r="11" customFormat="false" ht="13.2" hidden="false" customHeight="false" outlineLevel="0" collapsed="false">
      <c r="E11" s="36" t="s">
        <v>30</v>
      </c>
    </row>
    <row r="12" customFormat="false" ht="13.2" hidden="false" customHeight="false" outlineLevel="0" collapsed="false">
      <c r="E12" s="36" t="s">
        <v>31</v>
      </c>
    </row>
    <row r="13" customFormat="false" ht="13.2" hidden="false" customHeight="false" outlineLevel="0" collapsed="false">
      <c r="E13" s="36" t="s">
        <v>32</v>
      </c>
    </row>
    <row r="16" customFormat="false" ht="17.4" hidden="false" customHeight="false" outlineLevel="0" collapsed="false">
      <c r="A16" s="53" t="s">
        <v>33</v>
      </c>
      <c r="B16" s="22"/>
    </row>
    <row r="17" customFormat="false" ht="15.6" hidden="false" customHeight="false" outlineLevel="0" collapsed="false">
      <c r="A17" s="54" t="s">
        <v>34</v>
      </c>
      <c r="B17" s="17"/>
    </row>
    <row r="18" customFormat="false" ht="14.4" hidden="false" customHeight="false" outlineLevel="0" collapsed="false">
      <c r="A18" s="55"/>
      <c r="B18" s="25" t="s">
        <v>59</v>
      </c>
    </row>
    <row r="19" customFormat="false" ht="13.8" hidden="false" customHeight="false" outlineLevel="0" collapsed="false">
      <c r="A19" s="26" t="s">
        <v>1</v>
      </c>
      <c r="B19" s="26" t="s">
        <v>36</v>
      </c>
      <c r="C19" s="26" t="s">
        <v>37</v>
      </c>
      <c r="D19" s="26" t="s">
        <v>823</v>
      </c>
      <c r="E19" s="26" t="s">
        <v>4</v>
      </c>
    </row>
    <row r="20" customFormat="false" ht="13.2" hidden="false" customHeight="false" outlineLevel="0" collapsed="false">
      <c r="A20" s="56" t="s">
        <v>824</v>
      </c>
      <c r="B20" s="37" t="s">
        <v>59</v>
      </c>
      <c r="C20" s="37" t="s">
        <v>232</v>
      </c>
      <c r="D20" s="37" t="s">
        <v>825</v>
      </c>
      <c r="E20" s="1" t="s">
        <v>826</v>
      </c>
    </row>
  </sheetData>
  <mergeCells count="14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R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7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6.56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4.78"/>
    <col collapsed="false" customWidth="true" hidden="false" outlineLevel="0" max="9" min="7" style="37" width="5.55"/>
    <col collapsed="false" customWidth="true" hidden="false" outlineLevel="0" max="10" min="10" style="37" width="4.78"/>
    <col collapsed="false" customWidth="true" hidden="false" outlineLevel="0" max="13" min="11" style="37" width="5.55"/>
    <col collapsed="false" customWidth="true" hidden="false" outlineLevel="0" max="14" min="14" style="37" width="4.78"/>
    <col collapsed="false" customWidth="true" hidden="false" outlineLevel="0" max="17" min="15" style="37" width="5.55"/>
    <col collapsed="false" customWidth="true" hidden="false" outlineLevel="0" max="18" min="18" style="37" width="4.78"/>
    <col collapsed="false" customWidth="true" hidden="false" outlineLevel="0" max="19" min="19" style="1" width="5.78"/>
    <col collapsed="false" customWidth="true" hidden="false" outlineLevel="0" max="20" min="20" style="38" width="8.56"/>
    <col collapsed="false" customWidth="true" hidden="false" outlineLevel="0" max="21" min="21" style="36" width="13.1"/>
    <col collapsed="false" customWidth="false" hidden="false" outlineLevel="0" max="1024" min="22" style="39" width="9.11"/>
  </cols>
  <sheetData>
    <row r="1" s="41" customFormat="true" ht="28.95" hidden="false" customHeight="true" outlineLevel="0" collapsed="false">
      <c r="A1" s="40" t="s">
        <v>827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817</v>
      </c>
      <c r="H3" s="45"/>
      <c r="I3" s="45"/>
      <c r="J3" s="45"/>
      <c r="K3" s="45" t="s">
        <v>475</v>
      </c>
      <c r="L3" s="45"/>
      <c r="M3" s="45"/>
      <c r="N3" s="45"/>
      <c r="O3" s="45" t="s">
        <v>252</v>
      </c>
      <c r="P3" s="45"/>
      <c r="Q3" s="45"/>
      <c r="R3" s="45"/>
      <c r="S3" s="44" t="s">
        <v>818</v>
      </c>
      <c r="T3" s="44" t="s">
        <v>128</v>
      </c>
      <c r="U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7" t="n">
        <v>1</v>
      </c>
      <c r="L4" s="47" t="n">
        <v>2</v>
      </c>
      <c r="M4" s="47" t="n">
        <v>3</v>
      </c>
      <c r="N4" s="47" t="s">
        <v>130</v>
      </c>
      <c r="O4" s="47" t="n">
        <v>1</v>
      </c>
      <c r="P4" s="47" t="n">
        <v>2</v>
      </c>
      <c r="Q4" s="47" t="n">
        <v>3</v>
      </c>
      <c r="R4" s="47" t="s">
        <v>130</v>
      </c>
      <c r="S4" s="44"/>
      <c r="T4" s="44"/>
      <c r="U4" s="46"/>
    </row>
    <row r="5" s="37" customFormat="true" ht="15.6" hidden="false" customHeight="false" outlineLevel="0" collapsed="false">
      <c r="A5" s="13" t="s">
        <v>281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"/>
      <c r="T5" s="38"/>
      <c r="U5" s="36"/>
    </row>
    <row r="6" s="37" customFormat="true" ht="13.2" hidden="false" customHeight="false" outlineLevel="0" collapsed="false">
      <c r="A6" s="16" t="s">
        <v>828</v>
      </c>
      <c r="B6" s="15" t="s">
        <v>829</v>
      </c>
      <c r="C6" s="15" t="s">
        <v>830</v>
      </c>
      <c r="D6" s="15" t="str">
        <f aca="false">"0,9997"</f>
        <v>0,9997</v>
      </c>
      <c r="E6" s="16" t="s">
        <v>164</v>
      </c>
      <c r="F6" s="16" t="s">
        <v>165</v>
      </c>
      <c r="G6" s="15" t="s">
        <v>72</v>
      </c>
      <c r="H6" s="15" t="s">
        <v>67</v>
      </c>
      <c r="I6" s="15" t="s">
        <v>68</v>
      </c>
      <c r="J6" s="18"/>
      <c r="K6" s="15" t="s">
        <v>15</v>
      </c>
      <c r="L6" s="15" t="s">
        <v>569</v>
      </c>
      <c r="M6" s="18" t="s">
        <v>172</v>
      </c>
      <c r="N6" s="18"/>
      <c r="O6" s="15" t="s">
        <v>67</v>
      </c>
      <c r="P6" s="15" t="s">
        <v>608</v>
      </c>
      <c r="Q6" s="15" t="s">
        <v>322</v>
      </c>
      <c r="R6" s="18"/>
      <c r="S6" s="14" t="str">
        <f aca="false">"280,0"</f>
        <v>280,0</v>
      </c>
      <c r="T6" s="48" t="str">
        <f aca="false">"279,9160"</f>
        <v>279,9160</v>
      </c>
      <c r="U6" s="16"/>
    </row>
    <row r="7" s="37" customFormat="true" ht="13.2" hidden="false" customHeight="false" outlineLevel="0" collapsed="false">
      <c r="A7" s="36"/>
      <c r="E7" s="36"/>
      <c r="F7" s="36"/>
      <c r="S7" s="1"/>
      <c r="T7" s="38"/>
      <c r="U7" s="36"/>
    </row>
    <row r="8" customFormat="false" ht="15.6" hidden="false" customHeight="false" outlineLevel="0" collapsed="false">
      <c r="A8" s="17" t="s">
        <v>131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customFormat="false" ht="13.2" hidden="false" customHeight="false" outlineLevel="0" collapsed="false">
      <c r="A9" s="30" t="s">
        <v>831</v>
      </c>
      <c r="B9" s="29" t="s">
        <v>832</v>
      </c>
      <c r="C9" s="29" t="s">
        <v>833</v>
      </c>
      <c r="D9" s="29" t="str">
        <f aca="false">"0,9837"</f>
        <v>0,9837</v>
      </c>
      <c r="E9" s="30" t="s">
        <v>13</v>
      </c>
      <c r="F9" s="30" t="s">
        <v>25</v>
      </c>
      <c r="G9" s="29" t="s">
        <v>26</v>
      </c>
      <c r="H9" s="29" t="s">
        <v>72</v>
      </c>
      <c r="I9" s="29" t="s">
        <v>67</v>
      </c>
      <c r="J9" s="49"/>
      <c r="K9" s="29" t="s">
        <v>206</v>
      </c>
      <c r="L9" s="29" t="s">
        <v>172</v>
      </c>
      <c r="M9" s="29" t="s">
        <v>178</v>
      </c>
      <c r="N9" s="49"/>
      <c r="O9" s="29" t="s">
        <v>150</v>
      </c>
      <c r="P9" s="29" t="s">
        <v>269</v>
      </c>
      <c r="Q9" s="29" t="s">
        <v>608</v>
      </c>
      <c r="R9" s="49"/>
      <c r="S9" s="28" t="str">
        <f aca="false">"270,0"</f>
        <v>270,0</v>
      </c>
      <c r="T9" s="50" t="str">
        <f aca="false">"265,5990"</f>
        <v>265,5990</v>
      </c>
      <c r="U9" s="30"/>
    </row>
    <row r="10" customFormat="false" ht="13.2" hidden="false" customHeight="false" outlineLevel="0" collapsed="false">
      <c r="A10" s="34" t="s">
        <v>548</v>
      </c>
      <c r="B10" s="33" t="s">
        <v>549</v>
      </c>
      <c r="C10" s="33" t="s">
        <v>550</v>
      </c>
      <c r="D10" s="33" t="str">
        <f aca="false">"0,9266"</f>
        <v>0,9266</v>
      </c>
      <c r="E10" s="34" t="s">
        <v>164</v>
      </c>
      <c r="F10" s="34" t="s">
        <v>165</v>
      </c>
      <c r="G10" s="33" t="s">
        <v>68</v>
      </c>
      <c r="H10" s="33" t="s">
        <v>69</v>
      </c>
      <c r="I10" s="33" t="s">
        <v>624</v>
      </c>
      <c r="J10" s="51"/>
      <c r="K10" s="33" t="s">
        <v>554</v>
      </c>
      <c r="L10" s="33" t="s">
        <v>150</v>
      </c>
      <c r="M10" s="33" t="s">
        <v>593</v>
      </c>
      <c r="N10" s="51"/>
      <c r="O10" s="33" t="s">
        <v>68</v>
      </c>
      <c r="P10" s="33" t="s">
        <v>69</v>
      </c>
      <c r="Q10" s="33" t="s">
        <v>624</v>
      </c>
      <c r="R10" s="51"/>
      <c r="S10" s="32" t="str">
        <f aca="false">"347,5"</f>
        <v>347,5</v>
      </c>
      <c r="T10" s="52" t="str">
        <f aca="false">"322,0109"</f>
        <v>322,0109</v>
      </c>
      <c r="U10" s="34"/>
    </row>
    <row r="12" customFormat="false" ht="15.6" hidden="false" customHeight="false" outlineLevel="0" collapsed="false">
      <c r="A12" s="17" t="s">
        <v>173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customFormat="false" ht="13.2" hidden="false" customHeight="false" outlineLevel="0" collapsed="false">
      <c r="A13" s="30" t="s">
        <v>834</v>
      </c>
      <c r="B13" s="29" t="s">
        <v>835</v>
      </c>
      <c r="C13" s="29" t="s">
        <v>836</v>
      </c>
      <c r="D13" s="29" t="str">
        <f aca="false">"0,8730"</f>
        <v>0,8730</v>
      </c>
      <c r="E13" s="30" t="s">
        <v>13</v>
      </c>
      <c r="F13" s="30" t="s">
        <v>25</v>
      </c>
      <c r="G13" s="29" t="s">
        <v>26</v>
      </c>
      <c r="H13" s="29" t="s">
        <v>554</v>
      </c>
      <c r="I13" s="29" t="s">
        <v>67</v>
      </c>
      <c r="J13" s="49"/>
      <c r="K13" s="29" t="s">
        <v>206</v>
      </c>
      <c r="L13" s="29" t="s">
        <v>16</v>
      </c>
      <c r="M13" s="49" t="s">
        <v>172</v>
      </c>
      <c r="N13" s="49"/>
      <c r="O13" s="29" t="s">
        <v>72</v>
      </c>
      <c r="P13" s="29" t="s">
        <v>67</v>
      </c>
      <c r="Q13" s="49" t="s">
        <v>273</v>
      </c>
      <c r="R13" s="49"/>
      <c r="S13" s="28" t="str">
        <f aca="false">"250,0"</f>
        <v>250,0</v>
      </c>
      <c r="T13" s="50" t="str">
        <f aca="false">"218,2500"</f>
        <v>218,2500</v>
      </c>
      <c r="U13" s="30"/>
    </row>
    <row r="14" customFormat="false" ht="13.2" hidden="false" customHeight="false" outlineLevel="0" collapsed="false">
      <c r="A14" s="57" t="s">
        <v>837</v>
      </c>
      <c r="B14" s="58" t="s">
        <v>838</v>
      </c>
      <c r="C14" s="58" t="s">
        <v>839</v>
      </c>
      <c r="D14" s="58" t="str">
        <f aca="false">"0,8612"</f>
        <v>0,8612</v>
      </c>
      <c r="E14" s="57" t="s">
        <v>343</v>
      </c>
      <c r="F14" s="57" t="s">
        <v>25</v>
      </c>
      <c r="G14" s="59" t="s">
        <v>269</v>
      </c>
      <c r="H14" s="59" t="s">
        <v>608</v>
      </c>
      <c r="I14" s="59" t="s">
        <v>608</v>
      </c>
      <c r="J14" s="59"/>
      <c r="K14" s="59" t="s">
        <v>17</v>
      </c>
      <c r="L14" s="59"/>
      <c r="M14" s="59"/>
      <c r="N14" s="59"/>
      <c r="O14" s="59" t="s">
        <v>69</v>
      </c>
      <c r="P14" s="59"/>
      <c r="Q14" s="59"/>
      <c r="R14" s="59"/>
      <c r="S14" s="60" t="str">
        <f aca="false">"0.00"</f>
        <v>0.00</v>
      </c>
      <c r="T14" s="61" t="str">
        <f aca="false">"0,0000"</f>
        <v>0,0000</v>
      </c>
      <c r="U14" s="57"/>
    </row>
    <row r="15" customFormat="false" ht="13.2" hidden="false" customHeight="false" outlineLevel="0" collapsed="false">
      <c r="A15" s="34" t="s">
        <v>840</v>
      </c>
      <c r="B15" s="33" t="s">
        <v>841</v>
      </c>
      <c r="C15" s="33" t="s">
        <v>842</v>
      </c>
      <c r="D15" s="33" t="str">
        <f aca="false">"0,8507"</f>
        <v>0,8507</v>
      </c>
      <c r="E15" s="34" t="s">
        <v>478</v>
      </c>
      <c r="F15" s="34" t="s">
        <v>25</v>
      </c>
      <c r="G15" s="33" t="s">
        <v>138</v>
      </c>
      <c r="H15" s="33" t="s">
        <v>26</v>
      </c>
      <c r="I15" s="33" t="s">
        <v>278</v>
      </c>
      <c r="J15" s="51"/>
      <c r="K15" s="33" t="s">
        <v>16</v>
      </c>
      <c r="L15" s="51" t="s">
        <v>172</v>
      </c>
      <c r="M15" s="51" t="s">
        <v>172</v>
      </c>
      <c r="N15" s="51"/>
      <c r="O15" s="33" t="s">
        <v>554</v>
      </c>
      <c r="P15" s="33" t="s">
        <v>67</v>
      </c>
      <c r="Q15" s="33" t="s">
        <v>269</v>
      </c>
      <c r="R15" s="51"/>
      <c r="S15" s="32" t="str">
        <f aca="false">"240,0"</f>
        <v>240,0</v>
      </c>
      <c r="T15" s="52" t="str">
        <f aca="false">"215,3972"</f>
        <v>215,3972</v>
      </c>
      <c r="U15" s="34"/>
    </row>
    <row r="17" customFormat="false" ht="15.6" hidden="false" customHeight="false" outlineLevel="0" collapsed="false">
      <c r="A17" s="17" t="s">
        <v>74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customFormat="false" ht="13.2" hidden="false" customHeight="false" outlineLevel="0" collapsed="false">
      <c r="A18" s="16" t="s">
        <v>476</v>
      </c>
      <c r="B18" s="15" t="s">
        <v>477</v>
      </c>
      <c r="C18" s="15" t="s">
        <v>77</v>
      </c>
      <c r="D18" s="15" t="str">
        <f aca="false">"0,7545"</f>
        <v>0,7545</v>
      </c>
      <c r="E18" s="16" t="s">
        <v>478</v>
      </c>
      <c r="F18" s="16" t="s">
        <v>25</v>
      </c>
      <c r="G18" s="15" t="s">
        <v>843</v>
      </c>
      <c r="H18" s="15" t="s">
        <v>80</v>
      </c>
      <c r="I18" s="18"/>
      <c r="J18" s="18"/>
      <c r="K18" s="15" t="s">
        <v>149</v>
      </c>
      <c r="L18" s="15" t="s">
        <v>18</v>
      </c>
      <c r="M18" s="18"/>
      <c r="N18" s="18"/>
      <c r="O18" s="15" t="s">
        <v>657</v>
      </c>
      <c r="P18" s="15" t="s">
        <v>328</v>
      </c>
      <c r="Q18" s="18"/>
      <c r="R18" s="18"/>
      <c r="S18" s="14" t="str">
        <f aca="false">"385,0"</f>
        <v>385,0</v>
      </c>
      <c r="T18" s="48" t="str">
        <f aca="false">"290,4825"</f>
        <v>290,4825</v>
      </c>
      <c r="U18" s="16" t="s">
        <v>480</v>
      </c>
    </row>
    <row r="20" customFormat="false" ht="15.6" hidden="false" customHeight="false" outlineLevel="0" collapsed="false">
      <c r="A20" s="17" t="s">
        <v>173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customFormat="false" ht="13.2" hidden="false" customHeight="false" outlineLevel="0" collapsed="false">
      <c r="A21" s="16" t="s">
        <v>844</v>
      </c>
      <c r="B21" s="15" t="s">
        <v>845</v>
      </c>
      <c r="C21" s="15" t="s">
        <v>633</v>
      </c>
      <c r="D21" s="15" t="str">
        <f aca="false">"0,7049"</f>
        <v>0,7049</v>
      </c>
      <c r="E21" s="16" t="s">
        <v>13</v>
      </c>
      <c r="F21" s="16" t="s">
        <v>25</v>
      </c>
      <c r="G21" s="15" t="s">
        <v>18</v>
      </c>
      <c r="H21" s="15" t="s">
        <v>138</v>
      </c>
      <c r="I21" s="15" t="s">
        <v>26</v>
      </c>
      <c r="J21" s="18"/>
      <c r="K21" s="15" t="s">
        <v>16</v>
      </c>
      <c r="L21" s="15" t="s">
        <v>17</v>
      </c>
      <c r="M21" s="15" t="s">
        <v>191</v>
      </c>
      <c r="N21" s="18"/>
      <c r="O21" s="15" t="s">
        <v>278</v>
      </c>
      <c r="P21" s="15" t="s">
        <v>72</v>
      </c>
      <c r="Q21" s="15" t="s">
        <v>150</v>
      </c>
      <c r="R21" s="18"/>
      <c r="S21" s="14" t="str">
        <f aca="false">"237,5"</f>
        <v>237,5</v>
      </c>
      <c r="T21" s="48" t="str">
        <f aca="false">"167,4019"</f>
        <v>167,4019</v>
      </c>
      <c r="U21" s="16"/>
    </row>
    <row r="23" customFormat="false" ht="15.6" hidden="false" customHeight="false" outlineLevel="0" collapsed="false">
      <c r="A23" s="17" t="s">
        <v>187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customFormat="false" ht="13.2" hidden="false" customHeight="false" outlineLevel="0" collapsed="false">
      <c r="A24" s="16" t="s">
        <v>846</v>
      </c>
      <c r="B24" s="15" t="s">
        <v>847</v>
      </c>
      <c r="C24" s="15" t="s">
        <v>336</v>
      </c>
      <c r="D24" s="15" t="str">
        <f aca="false">"0,6852"</f>
        <v>0,6852</v>
      </c>
      <c r="E24" s="16" t="s">
        <v>478</v>
      </c>
      <c r="F24" s="16" t="s">
        <v>25</v>
      </c>
      <c r="G24" s="15" t="s">
        <v>634</v>
      </c>
      <c r="H24" s="15" t="s">
        <v>69</v>
      </c>
      <c r="I24" s="15" t="s">
        <v>624</v>
      </c>
      <c r="J24" s="18"/>
      <c r="K24" s="15" t="s">
        <v>18</v>
      </c>
      <c r="L24" s="15" t="s">
        <v>138</v>
      </c>
      <c r="M24" s="18" t="s">
        <v>26</v>
      </c>
      <c r="N24" s="18"/>
      <c r="O24" s="15" t="s">
        <v>634</v>
      </c>
      <c r="P24" s="15" t="s">
        <v>69</v>
      </c>
      <c r="Q24" s="15" t="s">
        <v>624</v>
      </c>
      <c r="R24" s="18"/>
      <c r="S24" s="14" t="str">
        <f aca="false">"325,0"</f>
        <v>325,0</v>
      </c>
      <c r="T24" s="48" t="str">
        <f aca="false">"222,6738"</f>
        <v>222,6738</v>
      </c>
      <c r="U24" s="16"/>
    </row>
    <row r="26" customFormat="false" ht="15.6" hidden="false" customHeight="false" outlineLevel="0" collapsed="false">
      <c r="A26" s="17" t="s">
        <v>74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customFormat="false" ht="13.2" hidden="false" customHeight="false" outlineLevel="0" collapsed="false">
      <c r="A27" s="30" t="s">
        <v>848</v>
      </c>
      <c r="B27" s="29" t="s">
        <v>849</v>
      </c>
      <c r="C27" s="29" t="s">
        <v>850</v>
      </c>
      <c r="D27" s="29" t="str">
        <f aca="false">"0,6313"</f>
        <v>0,6313</v>
      </c>
      <c r="E27" s="30" t="s">
        <v>13</v>
      </c>
      <c r="F27" s="30" t="s">
        <v>25</v>
      </c>
      <c r="G27" s="29" t="s">
        <v>80</v>
      </c>
      <c r="H27" s="29" t="s">
        <v>328</v>
      </c>
      <c r="I27" s="29" t="s">
        <v>437</v>
      </c>
      <c r="J27" s="49"/>
      <c r="K27" s="29" t="s">
        <v>69</v>
      </c>
      <c r="L27" s="29" t="s">
        <v>73</v>
      </c>
      <c r="M27" s="49" t="s">
        <v>79</v>
      </c>
      <c r="N27" s="49"/>
      <c r="O27" s="29" t="s">
        <v>81</v>
      </c>
      <c r="P27" s="49" t="s">
        <v>91</v>
      </c>
      <c r="Q27" s="29" t="s">
        <v>91</v>
      </c>
      <c r="R27" s="49"/>
      <c r="S27" s="28" t="str">
        <f aca="false">"485,0"</f>
        <v>485,0</v>
      </c>
      <c r="T27" s="50" t="str">
        <f aca="false">"306,1563"</f>
        <v>306,1563</v>
      </c>
      <c r="U27" s="30"/>
    </row>
    <row r="28" customFormat="false" ht="13.2" hidden="false" customHeight="false" outlineLevel="0" collapsed="false">
      <c r="A28" s="34" t="s">
        <v>851</v>
      </c>
      <c r="B28" s="33" t="s">
        <v>852</v>
      </c>
      <c r="C28" s="33" t="s">
        <v>853</v>
      </c>
      <c r="D28" s="33" t="str">
        <f aca="false">"0,6406"</f>
        <v>0,6406</v>
      </c>
      <c r="E28" s="34" t="s">
        <v>13</v>
      </c>
      <c r="F28" s="34" t="s">
        <v>25</v>
      </c>
      <c r="G28" s="33" t="s">
        <v>80</v>
      </c>
      <c r="H28" s="33" t="s">
        <v>81</v>
      </c>
      <c r="I28" s="33" t="s">
        <v>328</v>
      </c>
      <c r="J28" s="51"/>
      <c r="K28" s="33" t="s">
        <v>278</v>
      </c>
      <c r="L28" s="33" t="s">
        <v>150</v>
      </c>
      <c r="M28" s="33" t="s">
        <v>269</v>
      </c>
      <c r="N28" s="51"/>
      <c r="O28" s="33" t="s">
        <v>91</v>
      </c>
      <c r="P28" s="51" t="s">
        <v>257</v>
      </c>
      <c r="Q28" s="51" t="s">
        <v>257</v>
      </c>
      <c r="R28" s="51"/>
      <c r="S28" s="32" t="str">
        <f aca="false">"450,0"</f>
        <v>450,0</v>
      </c>
      <c r="T28" s="52" t="str">
        <f aca="false">"288,2925"</f>
        <v>288,2925</v>
      </c>
      <c r="U28" s="34"/>
    </row>
    <row r="30" customFormat="false" ht="15.6" hidden="false" customHeight="false" outlineLevel="0" collapsed="false">
      <c r="A30" s="17" t="s">
        <v>82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customFormat="false" ht="13.2" hidden="false" customHeight="false" outlineLevel="0" collapsed="false">
      <c r="A31" s="16" t="s">
        <v>854</v>
      </c>
      <c r="B31" s="15" t="s">
        <v>855</v>
      </c>
      <c r="C31" s="15" t="s">
        <v>856</v>
      </c>
      <c r="D31" s="15" t="str">
        <f aca="false">"0,5856"</f>
        <v>0,5856</v>
      </c>
      <c r="E31" s="16" t="s">
        <v>164</v>
      </c>
      <c r="F31" s="16" t="s">
        <v>25</v>
      </c>
      <c r="G31" s="15" t="s">
        <v>437</v>
      </c>
      <c r="H31" s="15" t="s">
        <v>257</v>
      </c>
      <c r="I31" s="15" t="s">
        <v>295</v>
      </c>
      <c r="J31" s="18"/>
      <c r="K31" s="15" t="s">
        <v>269</v>
      </c>
      <c r="L31" s="18" t="s">
        <v>608</v>
      </c>
      <c r="M31" s="18" t="s">
        <v>608</v>
      </c>
      <c r="N31" s="18"/>
      <c r="O31" s="15" t="s">
        <v>257</v>
      </c>
      <c r="P31" s="18" t="s">
        <v>301</v>
      </c>
      <c r="Q31" s="15" t="s">
        <v>301</v>
      </c>
      <c r="R31" s="18"/>
      <c r="S31" s="14" t="str">
        <f aca="false">"500,0"</f>
        <v>500,0</v>
      </c>
      <c r="T31" s="48" t="str">
        <f aca="false">"292,8000"</f>
        <v>292,8000</v>
      </c>
      <c r="U31" s="16"/>
    </row>
    <row r="33" customFormat="false" ht="15" hidden="false" customHeight="false" outlineLevel="0" collapsed="false">
      <c r="E33" s="20" t="s">
        <v>27</v>
      </c>
    </row>
    <row r="34" customFormat="false" ht="15" hidden="false" customHeight="false" outlineLevel="0" collapsed="false">
      <c r="E34" s="20" t="s">
        <v>28</v>
      </c>
    </row>
    <row r="35" customFormat="false" ht="15" hidden="false" customHeight="false" outlineLevel="0" collapsed="false">
      <c r="E35" s="20" t="s">
        <v>29</v>
      </c>
    </row>
    <row r="36" customFormat="false" ht="13.2" hidden="false" customHeight="false" outlineLevel="0" collapsed="false">
      <c r="E36" s="36" t="s">
        <v>30</v>
      </c>
    </row>
    <row r="37" customFormat="false" ht="13.2" hidden="false" customHeight="false" outlineLevel="0" collapsed="false">
      <c r="E37" s="36" t="s">
        <v>31</v>
      </c>
    </row>
    <row r="38" customFormat="false" ht="13.2" hidden="false" customHeight="false" outlineLevel="0" collapsed="false">
      <c r="E38" s="36" t="s">
        <v>32</v>
      </c>
    </row>
    <row r="41" customFormat="false" ht="17.4" hidden="false" customHeight="false" outlineLevel="0" collapsed="false">
      <c r="A41" s="53" t="s">
        <v>33</v>
      </c>
      <c r="B41" s="22"/>
    </row>
    <row r="42" customFormat="false" ht="15.6" hidden="false" customHeight="false" outlineLevel="0" collapsed="false">
      <c r="A42" s="54" t="s">
        <v>58</v>
      </c>
      <c r="B42" s="17"/>
    </row>
    <row r="43" customFormat="false" ht="14.4" hidden="false" customHeight="false" outlineLevel="0" collapsed="false">
      <c r="A43" s="55"/>
      <c r="B43" s="25" t="s">
        <v>362</v>
      </c>
    </row>
    <row r="44" customFormat="false" ht="13.8" hidden="false" customHeight="false" outlineLevel="0" collapsed="false">
      <c r="A44" s="26" t="s">
        <v>1</v>
      </c>
      <c r="B44" s="26" t="s">
        <v>36</v>
      </c>
      <c r="C44" s="26" t="s">
        <v>37</v>
      </c>
      <c r="D44" s="26" t="s">
        <v>823</v>
      </c>
      <c r="E44" s="26" t="s">
        <v>4</v>
      </c>
    </row>
    <row r="45" customFormat="false" ht="13.2" hidden="false" customHeight="false" outlineLevel="0" collapsed="false">
      <c r="A45" s="56" t="s">
        <v>857</v>
      </c>
      <c r="B45" s="37" t="s">
        <v>364</v>
      </c>
      <c r="C45" s="37" t="s">
        <v>151</v>
      </c>
      <c r="D45" s="37" t="s">
        <v>858</v>
      </c>
      <c r="E45" s="1" t="s">
        <v>859</v>
      </c>
    </row>
    <row r="47" customFormat="false" ht="14.4" hidden="false" customHeight="false" outlineLevel="0" collapsed="false">
      <c r="A47" s="55"/>
      <c r="B47" s="25" t="s">
        <v>59</v>
      </c>
    </row>
    <row r="48" customFormat="false" ht="13.8" hidden="false" customHeight="false" outlineLevel="0" collapsed="false">
      <c r="A48" s="26" t="s">
        <v>1</v>
      </c>
      <c r="B48" s="26" t="s">
        <v>36</v>
      </c>
      <c r="C48" s="26" t="s">
        <v>37</v>
      </c>
      <c r="D48" s="26" t="s">
        <v>823</v>
      </c>
      <c r="E48" s="26" t="s">
        <v>4</v>
      </c>
    </row>
    <row r="49" customFormat="false" ht="13.2" hidden="false" customHeight="false" outlineLevel="0" collapsed="false">
      <c r="A49" s="56" t="s">
        <v>555</v>
      </c>
      <c r="B49" s="37" t="s">
        <v>59</v>
      </c>
      <c r="C49" s="37" t="s">
        <v>151</v>
      </c>
      <c r="D49" s="37" t="s">
        <v>860</v>
      </c>
      <c r="E49" s="1" t="s">
        <v>861</v>
      </c>
    </row>
    <row r="50" customFormat="false" ht="13.2" hidden="false" customHeight="false" outlineLevel="0" collapsed="false">
      <c r="A50" s="56" t="s">
        <v>523</v>
      </c>
      <c r="B50" s="37" t="s">
        <v>59</v>
      </c>
      <c r="C50" s="37" t="s">
        <v>95</v>
      </c>
      <c r="D50" s="37" t="s">
        <v>862</v>
      </c>
      <c r="E50" s="1" t="s">
        <v>863</v>
      </c>
    </row>
    <row r="51" customFormat="false" ht="13.2" hidden="false" customHeight="false" outlineLevel="0" collapsed="false">
      <c r="A51" s="56" t="s">
        <v>864</v>
      </c>
      <c r="B51" s="37" t="s">
        <v>59</v>
      </c>
      <c r="C51" s="37" t="s">
        <v>368</v>
      </c>
      <c r="D51" s="37" t="s">
        <v>865</v>
      </c>
      <c r="E51" s="1" t="s">
        <v>866</v>
      </c>
    </row>
    <row r="52" customFormat="false" ht="13.2" hidden="false" customHeight="false" outlineLevel="0" collapsed="false">
      <c r="A52" s="56" t="s">
        <v>867</v>
      </c>
      <c r="B52" s="37" t="s">
        <v>59</v>
      </c>
      <c r="C52" s="37" t="s">
        <v>232</v>
      </c>
      <c r="D52" s="37" t="s">
        <v>306</v>
      </c>
      <c r="E52" s="1" t="s">
        <v>868</v>
      </c>
    </row>
    <row r="54" customFormat="false" ht="14.4" hidden="false" customHeight="false" outlineLevel="0" collapsed="false">
      <c r="A54" s="55"/>
      <c r="B54" s="25" t="s">
        <v>244</v>
      </c>
    </row>
    <row r="55" customFormat="false" ht="13.8" hidden="false" customHeight="false" outlineLevel="0" collapsed="false">
      <c r="A55" s="26" t="s">
        <v>1</v>
      </c>
      <c r="B55" s="26" t="s">
        <v>36</v>
      </c>
      <c r="C55" s="26" t="s">
        <v>37</v>
      </c>
      <c r="D55" s="26" t="s">
        <v>823</v>
      </c>
      <c r="E55" s="26" t="s">
        <v>4</v>
      </c>
    </row>
    <row r="56" customFormat="false" ht="13.2" hidden="false" customHeight="false" outlineLevel="0" collapsed="false">
      <c r="A56" s="56" t="s">
        <v>869</v>
      </c>
      <c r="B56" s="37" t="s">
        <v>246</v>
      </c>
      <c r="C56" s="37" t="s">
        <v>232</v>
      </c>
      <c r="D56" s="37" t="s">
        <v>446</v>
      </c>
      <c r="E56" s="1" t="s">
        <v>870</v>
      </c>
    </row>
    <row r="59" customFormat="false" ht="15.6" hidden="false" customHeight="false" outlineLevel="0" collapsed="false">
      <c r="A59" s="54" t="s">
        <v>34</v>
      </c>
      <c r="B59" s="17"/>
    </row>
    <row r="60" customFormat="false" ht="14.4" hidden="false" customHeight="false" outlineLevel="0" collapsed="false">
      <c r="A60" s="55"/>
      <c r="B60" s="25" t="s">
        <v>376</v>
      </c>
    </row>
    <row r="61" customFormat="false" ht="13.8" hidden="false" customHeight="false" outlineLevel="0" collapsed="false">
      <c r="A61" s="26" t="s">
        <v>1</v>
      </c>
      <c r="B61" s="26" t="s">
        <v>36</v>
      </c>
      <c r="C61" s="26" t="s">
        <v>37</v>
      </c>
      <c r="D61" s="26" t="s">
        <v>823</v>
      </c>
      <c r="E61" s="26" t="s">
        <v>4</v>
      </c>
    </row>
    <row r="62" customFormat="false" ht="13.2" hidden="false" customHeight="false" outlineLevel="0" collapsed="false">
      <c r="A62" s="56" t="s">
        <v>871</v>
      </c>
      <c r="B62" s="37" t="s">
        <v>378</v>
      </c>
      <c r="C62" s="37" t="s">
        <v>225</v>
      </c>
      <c r="D62" s="37" t="s">
        <v>872</v>
      </c>
      <c r="E62" s="1" t="s">
        <v>873</v>
      </c>
    </row>
    <row r="63" customFormat="false" ht="13.2" hidden="false" customHeight="false" outlineLevel="0" collapsed="false">
      <c r="A63" s="56" t="s">
        <v>874</v>
      </c>
      <c r="B63" s="37" t="s">
        <v>381</v>
      </c>
      <c r="C63" s="37" t="s">
        <v>232</v>
      </c>
      <c r="D63" s="37" t="s">
        <v>822</v>
      </c>
      <c r="E63" s="1" t="s">
        <v>875</v>
      </c>
    </row>
    <row r="65" customFormat="false" ht="14.4" hidden="false" customHeight="false" outlineLevel="0" collapsed="false">
      <c r="A65" s="55"/>
      <c r="B65" s="25" t="s">
        <v>59</v>
      </c>
    </row>
    <row r="66" customFormat="false" ht="13.8" hidden="false" customHeight="false" outlineLevel="0" collapsed="false">
      <c r="A66" s="26" t="s">
        <v>1</v>
      </c>
      <c r="B66" s="26" t="s">
        <v>36</v>
      </c>
      <c r="C66" s="26" t="s">
        <v>37</v>
      </c>
      <c r="D66" s="26" t="s">
        <v>823</v>
      </c>
      <c r="E66" s="26" t="s">
        <v>4</v>
      </c>
    </row>
    <row r="67" customFormat="false" ht="13.2" hidden="false" customHeight="false" outlineLevel="0" collapsed="false">
      <c r="A67" s="56" t="s">
        <v>876</v>
      </c>
      <c r="B67" s="37" t="s">
        <v>59</v>
      </c>
      <c r="C67" s="37" t="s">
        <v>95</v>
      </c>
      <c r="D67" s="37" t="s">
        <v>877</v>
      </c>
      <c r="E67" s="1" t="s">
        <v>878</v>
      </c>
    </row>
    <row r="68" customFormat="false" ht="13.2" hidden="false" customHeight="false" outlineLevel="0" collapsed="false">
      <c r="A68" s="56" t="s">
        <v>879</v>
      </c>
      <c r="B68" s="37" t="s">
        <v>59</v>
      </c>
      <c r="C68" s="37" t="s">
        <v>98</v>
      </c>
      <c r="D68" s="37" t="s">
        <v>880</v>
      </c>
      <c r="E68" s="1" t="s">
        <v>881</v>
      </c>
    </row>
    <row r="70" customFormat="false" ht="14.4" hidden="false" customHeight="false" outlineLevel="0" collapsed="false">
      <c r="A70" s="55"/>
      <c r="B70" s="25" t="s">
        <v>244</v>
      </c>
    </row>
    <row r="71" customFormat="false" ht="13.8" hidden="false" customHeight="false" outlineLevel="0" collapsed="false">
      <c r="A71" s="26" t="s">
        <v>1</v>
      </c>
      <c r="B71" s="26" t="s">
        <v>36</v>
      </c>
      <c r="C71" s="26" t="s">
        <v>37</v>
      </c>
      <c r="D71" s="26" t="s">
        <v>823</v>
      </c>
      <c r="E71" s="26" t="s">
        <v>4</v>
      </c>
    </row>
    <row r="72" customFormat="false" ht="13.2" hidden="false" customHeight="false" outlineLevel="0" collapsed="false">
      <c r="A72" s="56" t="s">
        <v>882</v>
      </c>
      <c r="B72" s="37" t="s">
        <v>259</v>
      </c>
      <c r="C72" s="37" t="s">
        <v>95</v>
      </c>
      <c r="D72" s="37" t="s">
        <v>883</v>
      </c>
      <c r="E72" s="1" t="s">
        <v>884</v>
      </c>
    </row>
  </sheetData>
  <mergeCells count="21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R5"/>
    <mergeCell ref="A8:R8"/>
    <mergeCell ref="A12:R12"/>
    <mergeCell ref="A17:R17"/>
    <mergeCell ref="A20:R20"/>
    <mergeCell ref="A23:R23"/>
    <mergeCell ref="A26:R26"/>
    <mergeCell ref="A30:R3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10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6.56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7.78"/>
    <col collapsed="false" customWidth="true" hidden="false" outlineLevel="0" max="9" min="7" style="37" width="5.55"/>
    <col collapsed="false" customWidth="true" hidden="false" outlineLevel="0" max="10" min="10" style="37" width="4.78"/>
    <col collapsed="false" customWidth="true" hidden="false" outlineLevel="0" max="13" min="11" style="37" width="5.55"/>
    <col collapsed="false" customWidth="true" hidden="false" outlineLevel="0" max="14" min="14" style="37" width="4.78"/>
    <col collapsed="false" customWidth="true" hidden="false" outlineLevel="0" max="17" min="15" style="37" width="5.55"/>
    <col collapsed="false" customWidth="true" hidden="false" outlineLevel="0" max="18" min="18" style="37" width="4.78"/>
    <col collapsed="false" customWidth="true" hidden="false" outlineLevel="0" max="19" min="19" style="1" width="5.78"/>
    <col collapsed="false" customWidth="true" hidden="false" outlineLevel="0" max="20" min="20" style="38" width="8.56"/>
    <col collapsed="false" customWidth="true" hidden="false" outlineLevel="0" max="21" min="21" style="36" width="17.33"/>
    <col collapsed="false" customWidth="false" hidden="false" outlineLevel="0" max="1024" min="22" style="39" width="9.11"/>
  </cols>
  <sheetData>
    <row r="1" s="41" customFormat="true" ht="28.95" hidden="false" customHeight="true" outlineLevel="0" collapsed="false">
      <c r="A1" s="40" t="s">
        <v>885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817</v>
      </c>
      <c r="H3" s="45"/>
      <c r="I3" s="45"/>
      <c r="J3" s="45"/>
      <c r="K3" s="45" t="s">
        <v>475</v>
      </c>
      <c r="L3" s="45"/>
      <c r="M3" s="45"/>
      <c r="N3" s="45"/>
      <c r="O3" s="45" t="s">
        <v>252</v>
      </c>
      <c r="P3" s="45"/>
      <c r="Q3" s="45"/>
      <c r="R3" s="45"/>
      <c r="S3" s="44" t="s">
        <v>818</v>
      </c>
      <c r="T3" s="44" t="s">
        <v>128</v>
      </c>
      <c r="U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7" t="n">
        <v>1</v>
      </c>
      <c r="L4" s="47" t="n">
        <v>2</v>
      </c>
      <c r="M4" s="47" t="n">
        <v>3</v>
      </c>
      <c r="N4" s="47" t="s">
        <v>130</v>
      </c>
      <c r="O4" s="47" t="n">
        <v>1</v>
      </c>
      <c r="P4" s="47" t="n">
        <v>2</v>
      </c>
      <c r="Q4" s="47" t="n">
        <v>3</v>
      </c>
      <c r="R4" s="47" t="s">
        <v>130</v>
      </c>
      <c r="S4" s="44"/>
      <c r="T4" s="44"/>
      <c r="U4" s="46"/>
    </row>
    <row r="5" s="37" customFormat="true" ht="15.6" hidden="false" customHeight="false" outlineLevel="0" collapsed="false">
      <c r="A5" s="13" t="s">
        <v>560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"/>
      <c r="T5" s="38"/>
      <c r="U5" s="36"/>
    </row>
    <row r="6" s="37" customFormat="true" ht="13.2" hidden="false" customHeight="false" outlineLevel="0" collapsed="false">
      <c r="A6" s="16" t="s">
        <v>564</v>
      </c>
      <c r="B6" s="15" t="s">
        <v>565</v>
      </c>
      <c r="C6" s="15" t="s">
        <v>563</v>
      </c>
      <c r="D6" s="15" t="str">
        <f aca="false">"1,1942"</f>
        <v>1,1942</v>
      </c>
      <c r="E6" s="16" t="s">
        <v>13</v>
      </c>
      <c r="F6" s="16" t="s">
        <v>25</v>
      </c>
      <c r="G6" s="18" t="s">
        <v>138</v>
      </c>
      <c r="H6" s="15" t="s">
        <v>290</v>
      </c>
      <c r="I6" s="18" t="s">
        <v>26</v>
      </c>
      <c r="J6" s="18"/>
      <c r="K6" s="15" t="s">
        <v>206</v>
      </c>
      <c r="L6" s="15" t="s">
        <v>16</v>
      </c>
      <c r="M6" s="18" t="s">
        <v>172</v>
      </c>
      <c r="N6" s="18"/>
      <c r="O6" s="15" t="s">
        <v>72</v>
      </c>
      <c r="P6" s="15" t="s">
        <v>554</v>
      </c>
      <c r="Q6" s="18" t="s">
        <v>150</v>
      </c>
      <c r="R6" s="18"/>
      <c r="S6" s="14" t="str">
        <f aca="false">"220,0"</f>
        <v>220,0</v>
      </c>
      <c r="T6" s="48" t="str">
        <f aca="false">"262,7240"</f>
        <v>262,7240</v>
      </c>
      <c r="U6" s="16"/>
    </row>
    <row r="7" s="37" customFormat="true" ht="13.2" hidden="false" customHeight="false" outlineLevel="0" collapsed="false">
      <c r="A7" s="36"/>
      <c r="E7" s="36"/>
      <c r="F7" s="36"/>
      <c r="S7" s="1"/>
      <c r="T7" s="38"/>
      <c r="U7" s="36"/>
    </row>
    <row r="8" customFormat="false" ht="15.6" hidden="false" customHeight="false" outlineLevel="0" collapsed="false">
      <c r="A8" s="17" t="s">
        <v>262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customFormat="false" ht="13.2" hidden="false" customHeight="false" outlineLevel="0" collapsed="false">
      <c r="A9" s="16" t="s">
        <v>270</v>
      </c>
      <c r="B9" s="15" t="s">
        <v>271</v>
      </c>
      <c r="C9" s="15" t="s">
        <v>272</v>
      </c>
      <c r="D9" s="15" t="str">
        <f aca="false">"1,0653"</f>
        <v>1,0653</v>
      </c>
      <c r="E9" s="16" t="s">
        <v>13</v>
      </c>
      <c r="F9" s="16" t="s">
        <v>25</v>
      </c>
      <c r="G9" s="15" t="s">
        <v>72</v>
      </c>
      <c r="H9" s="18" t="s">
        <v>150</v>
      </c>
      <c r="I9" s="18" t="s">
        <v>593</v>
      </c>
      <c r="J9" s="18"/>
      <c r="K9" s="15" t="s">
        <v>16</v>
      </c>
      <c r="L9" s="15" t="s">
        <v>172</v>
      </c>
      <c r="M9" s="15" t="s">
        <v>177</v>
      </c>
      <c r="N9" s="18"/>
      <c r="O9" s="15" t="s">
        <v>269</v>
      </c>
      <c r="P9" s="15" t="s">
        <v>273</v>
      </c>
      <c r="Q9" s="15" t="s">
        <v>68</v>
      </c>
      <c r="R9" s="18"/>
      <c r="S9" s="14" t="str">
        <f aca="false">"255,0"</f>
        <v>255,0</v>
      </c>
      <c r="T9" s="48" t="str">
        <f aca="false">"271,6515"</f>
        <v>271,6515</v>
      </c>
      <c r="U9" s="16" t="s">
        <v>274</v>
      </c>
    </row>
    <row r="11" customFormat="false" ht="15.6" hidden="false" customHeight="false" outlineLevel="0" collapsed="false">
      <c r="A11" s="17" t="s">
        <v>131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customFormat="false" ht="13.2" hidden="false" customHeight="false" outlineLevel="0" collapsed="false">
      <c r="A12" s="30" t="s">
        <v>886</v>
      </c>
      <c r="B12" s="29" t="s">
        <v>887</v>
      </c>
      <c r="C12" s="29" t="s">
        <v>888</v>
      </c>
      <c r="D12" s="29" t="str">
        <f aca="false">"0,9222"</f>
        <v>0,9222</v>
      </c>
      <c r="E12" s="30" t="s">
        <v>13</v>
      </c>
      <c r="F12" s="30" t="s">
        <v>25</v>
      </c>
      <c r="G12" s="29" t="s">
        <v>150</v>
      </c>
      <c r="H12" s="29" t="s">
        <v>268</v>
      </c>
      <c r="I12" s="29" t="s">
        <v>269</v>
      </c>
      <c r="J12" s="49"/>
      <c r="K12" s="29" t="s">
        <v>177</v>
      </c>
      <c r="L12" s="29" t="s">
        <v>191</v>
      </c>
      <c r="M12" s="49" t="s">
        <v>149</v>
      </c>
      <c r="N12" s="49"/>
      <c r="O12" s="29" t="s">
        <v>67</v>
      </c>
      <c r="P12" s="29" t="s">
        <v>608</v>
      </c>
      <c r="Q12" s="29" t="s">
        <v>69</v>
      </c>
      <c r="R12" s="49"/>
      <c r="S12" s="28" t="str">
        <f aca="false">"287,5"</f>
        <v>287,5</v>
      </c>
      <c r="T12" s="50" t="str">
        <f aca="false">"265,1325"</f>
        <v>265,1325</v>
      </c>
      <c r="U12" s="30"/>
    </row>
    <row r="13" customFormat="false" ht="13.2" hidden="false" customHeight="false" outlineLevel="0" collapsed="false">
      <c r="A13" s="57" t="s">
        <v>889</v>
      </c>
      <c r="B13" s="58" t="s">
        <v>890</v>
      </c>
      <c r="C13" s="58" t="s">
        <v>891</v>
      </c>
      <c r="D13" s="58" t="str">
        <f aca="false">"0,9123"</f>
        <v>0,9123</v>
      </c>
      <c r="E13" s="57" t="s">
        <v>343</v>
      </c>
      <c r="F13" s="57" t="s">
        <v>25</v>
      </c>
      <c r="G13" s="58" t="s">
        <v>67</v>
      </c>
      <c r="H13" s="58" t="s">
        <v>68</v>
      </c>
      <c r="I13" s="59" t="s">
        <v>69</v>
      </c>
      <c r="J13" s="59"/>
      <c r="K13" s="58" t="s">
        <v>16</v>
      </c>
      <c r="L13" s="58" t="s">
        <v>17</v>
      </c>
      <c r="M13" s="59" t="s">
        <v>191</v>
      </c>
      <c r="N13" s="59"/>
      <c r="O13" s="58" t="s">
        <v>67</v>
      </c>
      <c r="P13" s="58" t="s">
        <v>634</v>
      </c>
      <c r="Q13" s="59" t="s">
        <v>479</v>
      </c>
      <c r="R13" s="59"/>
      <c r="S13" s="60" t="str">
        <f aca="false">"285,0"</f>
        <v>285,0</v>
      </c>
      <c r="T13" s="61" t="str">
        <f aca="false">"260,0197"</f>
        <v>260,0197</v>
      </c>
      <c r="U13" s="57"/>
    </row>
    <row r="14" customFormat="false" ht="13.2" hidden="false" customHeight="false" outlineLevel="0" collapsed="false">
      <c r="A14" s="34" t="s">
        <v>892</v>
      </c>
      <c r="B14" s="33" t="s">
        <v>893</v>
      </c>
      <c r="C14" s="33" t="s">
        <v>894</v>
      </c>
      <c r="D14" s="33" t="str">
        <f aca="false">"0,9102"</f>
        <v>0,9102</v>
      </c>
      <c r="E14" s="34" t="s">
        <v>343</v>
      </c>
      <c r="F14" s="34" t="s">
        <v>25</v>
      </c>
      <c r="G14" s="33" t="s">
        <v>138</v>
      </c>
      <c r="H14" s="33" t="s">
        <v>278</v>
      </c>
      <c r="I14" s="51" t="s">
        <v>554</v>
      </c>
      <c r="J14" s="51"/>
      <c r="K14" s="33" t="s">
        <v>206</v>
      </c>
      <c r="L14" s="33" t="s">
        <v>16</v>
      </c>
      <c r="M14" s="51" t="s">
        <v>172</v>
      </c>
      <c r="N14" s="51"/>
      <c r="O14" s="33" t="s">
        <v>26</v>
      </c>
      <c r="P14" s="33" t="s">
        <v>72</v>
      </c>
      <c r="Q14" s="33" t="s">
        <v>67</v>
      </c>
      <c r="R14" s="51"/>
      <c r="S14" s="32" t="str">
        <f aca="false">"235,0"</f>
        <v>235,0</v>
      </c>
      <c r="T14" s="52" t="str">
        <f aca="false">"213,8970"</f>
        <v>213,8970</v>
      </c>
      <c r="U14" s="34"/>
    </row>
    <row r="16" customFormat="false" ht="15.6" hidden="false" customHeight="false" outlineLevel="0" collapsed="false">
      <c r="A16" s="17" t="s">
        <v>187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customFormat="false" ht="13.2" hidden="false" customHeight="false" outlineLevel="0" collapsed="false">
      <c r="A17" s="16" t="s">
        <v>895</v>
      </c>
      <c r="B17" s="15" t="s">
        <v>896</v>
      </c>
      <c r="C17" s="15" t="s">
        <v>897</v>
      </c>
      <c r="D17" s="15" t="str">
        <f aca="false">"0,8281"</f>
        <v>0,8281</v>
      </c>
      <c r="E17" s="16" t="s">
        <v>13</v>
      </c>
      <c r="F17" s="16" t="s">
        <v>25</v>
      </c>
      <c r="G17" s="18" t="s">
        <v>67</v>
      </c>
      <c r="H17" s="15" t="s">
        <v>269</v>
      </c>
      <c r="I17" s="15" t="s">
        <v>68</v>
      </c>
      <c r="J17" s="18"/>
      <c r="K17" s="15" t="s">
        <v>16</v>
      </c>
      <c r="L17" s="15" t="s">
        <v>177</v>
      </c>
      <c r="M17" s="18" t="s">
        <v>17</v>
      </c>
      <c r="N17" s="18"/>
      <c r="O17" s="18" t="s">
        <v>608</v>
      </c>
      <c r="P17" s="18" t="s">
        <v>609</v>
      </c>
      <c r="Q17" s="15" t="s">
        <v>609</v>
      </c>
      <c r="R17" s="18"/>
      <c r="S17" s="14" t="str">
        <f aca="false">"282,5"</f>
        <v>282,5</v>
      </c>
      <c r="T17" s="48" t="str">
        <f aca="false">"233,9383"</f>
        <v>233,9383</v>
      </c>
      <c r="U17" s="16"/>
    </row>
    <row r="19" customFormat="false" ht="15.6" hidden="false" customHeight="false" outlineLevel="0" collapsed="false">
      <c r="A19" s="17" t="s">
        <v>281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customFormat="false" ht="13.2" hidden="false" customHeight="false" outlineLevel="0" collapsed="false">
      <c r="A20" s="16" t="s">
        <v>291</v>
      </c>
      <c r="B20" s="15" t="s">
        <v>292</v>
      </c>
      <c r="C20" s="15" t="s">
        <v>293</v>
      </c>
      <c r="D20" s="15" t="str">
        <f aca="false">"0,8495"</f>
        <v>0,8495</v>
      </c>
      <c r="E20" s="16" t="s">
        <v>13</v>
      </c>
      <c r="F20" s="16" t="s">
        <v>294</v>
      </c>
      <c r="G20" s="15" t="s">
        <v>73</v>
      </c>
      <c r="H20" s="15" t="s">
        <v>637</v>
      </c>
      <c r="I20" s="15" t="s">
        <v>662</v>
      </c>
      <c r="J20" s="18"/>
      <c r="K20" s="15" t="s">
        <v>150</v>
      </c>
      <c r="L20" s="15" t="s">
        <v>268</v>
      </c>
      <c r="M20" s="18" t="s">
        <v>273</v>
      </c>
      <c r="N20" s="18"/>
      <c r="O20" s="15" t="s">
        <v>257</v>
      </c>
      <c r="P20" s="15" t="s">
        <v>295</v>
      </c>
      <c r="Q20" s="18" t="s">
        <v>296</v>
      </c>
      <c r="R20" s="18"/>
      <c r="S20" s="14" t="str">
        <f aca="false">"455,0"</f>
        <v>455,0</v>
      </c>
      <c r="T20" s="48" t="str">
        <f aca="false">"386,5225"</f>
        <v>386,5225</v>
      </c>
      <c r="U20" s="16"/>
    </row>
    <row r="22" customFormat="false" ht="15.6" hidden="false" customHeight="false" outlineLevel="0" collapsed="false">
      <c r="A22" s="17" t="s">
        <v>131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customFormat="false" ht="13.2" hidden="false" customHeight="false" outlineLevel="0" collapsed="false">
      <c r="A23" s="16" t="s">
        <v>898</v>
      </c>
      <c r="B23" s="15" t="s">
        <v>899</v>
      </c>
      <c r="C23" s="15" t="s">
        <v>900</v>
      </c>
      <c r="D23" s="15" t="str">
        <f aca="false">"0,7561"</f>
        <v>0,7561</v>
      </c>
      <c r="E23" s="16" t="s">
        <v>13</v>
      </c>
      <c r="F23" s="16" t="s">
        <v>696</v>
      </c>
      <c r="G23" s="15" t="s">
        <v>79</v>
      </c>
      <c r="H23" s="18" t="s">
        <v>309</v>
      </c>
      <c r="I23" s="18" t="s">
        <v>309</v>
      </c>
      <c r="J23" s="18"/>
      <c r="K23" s="15" t="s">
        <v>67</v>
      </c>
      <c r="L23" s="18" t="s">
        <v>68</v>
      </c>
      <c r="M23" s="18" t="s">
        <v>68</v>
      </c>
      <c r="N23" s="18"/>
      <c r="O23" s="18" t="s">
        <v>81</v>
      </c>
      <c r="P23" s="15" t="s">
        <v>90</v>
      </c>
      <c r="Q23" s="15" t="s">
        <v>91</v>
      </c>
      <c r="R23" s="18"/>
      <c r="S23" s="14" t="str">
        <f aca="false">"420,0"</f>
        <v>420,0</v>
      </c>
      <c r="T23" s="48" t="str">
        <f aca="false">"317,5620"</f>
        <v>317,5620</v>
      </c>
      <c r="U23" s="16"/>
    </row>
    <row r="25" customFormat="false" ht="15.6" hidden="false" customHeight="false" outlineLevel="0" collapsed="false">
      <c r="A25" s="17" t="s">
        <v>173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customFormat="false" ht="13.2" hidden="false" customHeight="false" outlineLevel="0" collapsed="false">
      <c r="A26" s="30" t="s">
        <v>901</v>
      </c>
      <c r="B26" s="29" t="s">
        <v>902</v>
      </c>
      <c r="C26" s="29" t="s">
        <v>903</v>
      </c>
      <c r="D26" s="29" t="str">
        <f aca="false">"0,7340"</f>
        <v>0,7340</v>
      </c>
      <c r="E26" s="30" t="s">
        <v>13</v>
      </c>
      <c r="F26" s="30" t="s">
        <v>25</v>
      </c>
      <c r="G26" s="49" t="s">
        <v>67</v>
      </c>
      <c r="H26" s="29" t="s">
        <v>634</v>
      </c>
      <c r="I26" s="49" t="s">
        <v>624</v>
      </c>
      <c r="J26" s="49"/>
      <c r="K26" s="29" t="s">
        <v>149</v>
      </c>
      <c r="L26" s="29" t="s">
        <v>18</v>
      </c>
      <c r="M26" s="29" t="s">
        <v>138</v>
      </c>
      <c r="N26" s="49"/>
      <c r="O26" s="49" t="s">
        <v>69</v>
      </c>
      <c r="P26" s="29" t="s">
        <v>73</v>
      </c>
      <c r="Q26" s="29" t="s">
        <v>637</v>
      </c>
      <c r="R26" s="49"/>
      <c r="S26" s="28" t="str">
        <f aca="false">"335,0"</f>
        <v>335,0</v>
      </c>
      <c r="T26" s="50" t="str">
        <f aca="false">"245,8733"</f>
        <v>245,8733</v>
      </c>
      <c r="U26" s="30"/>
    </row>
    <row r="27" customFormat="false" ht="13.2" hidden="false" customHeight="false" outlineLevel="0" collapsed="false">
      <c r="A27" s="34" t="s">
        <v>904</v>
      </c>
      <c r="B27" s="33" t="s">
        <v>311</v>
      </c>
      <c r="C27" s="33" t="s">
        <v>312</v>
      </c>
      <c r="D27" s="33" t="str">
        <f aca="false">"0,6885"</f>
        <v>0,6885</v>
      </c>
      <c r="E27" s="34" t="s">
        <v>13</v>
      </c>
      <c r="F27" s="34" t="s">
        <v>313</v>
      </c>
      <c r="G27" s="51" t="s">
        <v>79</v>
      </c>
      <c r="H27" s="33" t="s">
        <v>637</v>
      </c>
      <c r="I27" s="51" t="s">
        <v>80</v>
      </c>
      <c r="J27" s="51"/>
      <c r="K27" s="33" t="s">
        <v>150</v>
      </c>
      <c r="L27" s="51" t="s">
        <v>67</v>
      </c>
      <c r="M27" s="51" t="s">
        <v>67</v>
      </c>
      <c r="N27" s="51"/>
      <c r="O27" s="33" t="s">
        <v>338</v>
      </c>
      <c r="P27" s="33" t="s">
        <v>314</v>
      </c>
      <c r="Q27" s="51" t="s">
        <v>494</v>
      </c>
      <c r="R27" s="51"/>
      <c r="S27" s="32" t="str">
        <f aca="false">"460,0"</f>
        <v>460,0</v>
      </c>
      <c r="T27" s="52" t="str">
        <f aca="false">"316,7330"</f>
        <v>316,7330</v>
      </c>
      <c r="U27" s="34"/>
    </row>
    <row r="29" customFormat="false" ht="15.6" hidden="false" customHeight="false" outlineLevel="0" collapsed="false">
      <c r="A29" s="17" t="s">
        <v>187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customFormat="false" ht="13.2" hidden="false" customHeight="false" outlineLevel="0" collapsed="false">
      <c r="A30" s="30" t="s">
        <v>905</v>
      </c>
      <c r="B30" s="29" t="s">
        <v>906</v>
      </c>
      <c r="C30" s="29" t="s">
        <v>907</v>
      </c>
      <c r="D30" s="29" t="str">
        <f aca="false">"0,6461"</f>
        <v>0,6461</v>
      </c>
      <c r="E30" s="30" t="s">
        <v>13</v>
      </c>
      <c r="F30" s="30" t="s">
        <v>25</v>
      </c>
      <c r="G30" s="29" t="s">
        <v>81</v>
      </c>
      <c r="H30" s="29" t="s">
        <v>437</v>
      </c>
      <c r="I30" s="49" t="s">
        <v>486</v>
      </c>
      <c r="J30" s="49"/>
      <c r="K30" s="29" t="s">
        <v>150</v>
      </c>
      <c r="L30" s="29" t="s">
        <v>269</v>
      </c>
      <c r="M30" s="29" t="s">
        <v>608</v>
      </c>
      <c r="N30" s="49"/>
      <c r="O30" s="29" t="s">
        <v>91</v>
      </c>
      <c r="P30" s="29" t="s">
        <v>302</v>
      </c>
      <c r="Q30" s="49" t="s">
        <v>344</v>
      </c>
      <c r="R30" s="49"/>
      <c r="S30" s="28" t="str">
        <f aca="false">"492,5"</f>
        <v>492,5</v>
      </c>
      <c r="T30" s="50" t="str">
        <f aca="false">"318,2289"</f>
        <v>318,2289</v>
      </c>
      <c r="U30" s="30"/>
    </row>
    <row r="31" customFormat="false" ht="13.2" hidden="false" customHeight="false" outlineLevel="0" collapsed="false">
      <c r="A31" s="57" t="s">
        <v>908</v>
      </c>
      <c r="B31" s="58" t="s">
        <v>909</v>
      </c>
      <c r="C31" s="58" t="s">
        <v>647</v>
      </c>
      <c r="D31" s="58" t="str">
        <f aca="false">"0,6545"</f>
        <v>0,6545</v>
      </c>
      <c r="E31" s="57" t="s">
        <v>13</v>
      </c>
      <c r="F31" s="57" t="s">
        <v>25</v>
      </c>
      <c r="G31" s="58" t="s">
        <v>80</v>
      </c>
      <c r="H31" s="59" t="s">
        <v>81</v>
      </c>
      <c r="I31" s="59" t="s">
        <v>81</v>
      </c>
      <c r="J31" s="59"/>
      <c r="K31" s="58" t="s">
        <v>68</v>
      </c>
      <c r="L31" s="58" t="s">
        <v>609</v>
      </c>
      <c r="M31" s="59" t="s">
        <v>69</v>
      </c>
      <c r="N31" s="59"/>
      <c r="O31" s="58" t="s">
        <v>90</v>
      </c>
      <c r="P31" s="58" t="s">
        <v>257</v>
      </c>
      <c r="Q31" s="58" t="s">
        <v>301</v>
      </c>
      <c r="R31" s="59"/>
      <c r="S31" s="60" t="str">
        <f aca="false">"462,5"</f>
        <v>462,5</v>
      </c>
      <c r="T31" s="61" t="str">
        <f aca="false">"305,7333"</f>
        <v>305,7333</v>
      </c>
      <c r="U31" s="57"/>
    </row>
    <row r="32" customFormat="false" ht="13.2" hidden="false" customHeight="false" outlineLevel="0" collapsed="false">
      <c r="A32" s="34" t="s">
        <v>910</v>
      </c>
      <c r="B32" s="33" t="s">
        <v>911</v>
      </c>
      <c r="C32" s="33" t="s">
        <v>912</v>
      </c>
      <c r="D32" s="33" t="str">
        <f aca="false">"0,6652"</f>
        <v>0,6652</v>
      </c>
      <c r="E32" s="34" t="s">
        <v>13</v>
      </c>
      <c r="F32" s="34" t="s">
        <v>25</v>
      </c>
      <c r="G32" s="33" t="s">
        <v>624</v>
      </c>
      <c r="H32" s="51" t="s">
        <v>332</v>
      </c>
      <c r="I32" s="51" t="s">
        <v>79</v>
      </c>
      <c r="J32" s="51"/>
      <c r="K32" s="33" t="s">
        <v>138</v>
      </c>
      <c r="L32" s="51" t="s">
        <v>278</v>
      </c>
      <c r="M32" s="51" t="s">
        <v>278</v>
      </c>
      <c r="N32" s="51"/>
      <c r="O32" s="33" t="s">
        <v>332</v>
      </c>
      <c r="P32" s="33" t="s">
        <v>637</v>
      </c>
      <c r="Q32" s="51" t="s">
        <v>309</v>
      </c>
      <c r="R32" s="51"/>
      <c r="S32" s="32" t="str">
        <f aca="false">"345,0"</f>
        <v>345,0</v>
      </c>
      <c r="T32" s="52" t="str">
        <f aca="false">"290,9984"</f>
        <v>290,9984</v>
      </c>
      <c r="U32" s="34" t="s">
        <v>913</v>
      </c>
    </row>
    <row r="34" customFormat="false" ht="15.6" hidden="false" customHeight="false" outlineLevel="0" collapsed="false">
      <c r="A34" s="17" t="s">
        <v>74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customFormat="false" ht="13.2" hidden="false" customHeight="false" outlineLevel="0" collapsed="false">
      <c r="A35" s="30" t="s">
        <v>914</v>
      </c>
      <c r="B35" s="29" t="s">
        <v>915</v>
      </c>
      <c r="C35" s="29" t="s">
        <v>141</v>
      </c>
      <c r="D35" s="29" t="str">
        <f aca="false">"0,6157"</f>
        <v>0,6157</v>
      </c>
      <c r="E35" s="30" t="s">
        <v>343</v>
      </c>
      <c r="F35" s="30" t="s">
        <v>25</v>
      </c>
      <c r="G35" s="29" t="s">
        <v>350</v>
      </c>
      <c r="H35" s="29" t="s">
        <v>338</v>
      </c>
      <c r="I35" s="29" t="s">
        <v>314</v>
      </c>
      <c r="J35" s="49"/>
      <c r="K35" s="29" t="s">
        <v>79</v>
      </c>
      <c r="L35" s="29" t="s">
        <v>309</v>
      </c>
      <c r="M35" s="29" t="s">
        <v>81</v>
      </c>
      <c r="N35" s="49"/>
      <c r="O35" s="29" t="s">
        <v>295</v>
      </c>
      <c r="P35" s="29" t="s">
        <v>314</v>
      </c>
      <c r="Q35" s="29" t="s">
        <v>446</v>
      </c>
      <c r="R35" s="49"/>
      <c r="S35" s="28" t="str">
        <f aca="false">"620,0"</f>
        <v>620,0</v>
      </c>
      <c r="T35" s="50" t="str">
        <f aca="false">"381,7340"</f>
        <v>381,7340</v>
      </c>
      <c r="U35" s="30"/>
    </row>
    <row r="36" customFormat="false" ht="13.2" hidden="false" customHeight="false" outlineLevel="0" collapsed="false">
      <c r="A36" s="57" t="s">
        <v>916</v>
      </c>
      <c r="B36" s="58" t="s">
        <v>917</v>
      </c>
      <c r="C36" s="58" t="s">
        <v>918</v>
      </c>
      <c r="D36" s="58" t="str">
        <f aca="false">"0,6165"</f>
        <v>0,6165</v>
      </c>
      <c r="E36" s="57" t="s">
        <v>13</v>
      </c>
      <c r="F36" s="57" t="s">
        <v>25</v>
      </c>
      <c r="G36" s="59" t="s">
        <v>81</v>
      </c>
      <c r="H36" s="58" t="s">
        <v>257</v>
      </c>
      <c r="I36" s="58" t="s">
        <v>919</v>
      </c>
      <c r="J36" s="59"/>
      <c r="K36" s="58" t="s">
        <v>624</v>
      </c>
      <c r="L36" s="58" t="s">
        <v>332</v>
      </c>
      <c r="M36" s="59" t="s">
        <v>843</v>
      </c>
      <c r="N36" s="59"/>
      <c r="O36" s="58" t="s">
        <v>445</v>
      </c>
      <c r="P36" s="58" t="s">
        <v>920</v>
      </c>
      <c r="Q36" s="59" t="s">
        <v>497</v>
      </c>
      <c r="R36" s="59"/>
      <c r="S36" s="60" t="str">
        <f aca="false">"570,0"</f>
        <v>570,0</v>
      </c>
      <c r="T36" s="61" t="str">
        <f aca="false">"351,3765"</f>
        <v>351,3765</v>
      </c>
      <c r="U36" s="57"/>
    </row>
    <row r="37" customFormat="false" ht="13.2" hidden="false" customHeight="false" outlineLevel="0" collapsed="false">
      <c r="A37" s="57" t="s">
        <v>921</v>
      </c>
      <c r="B37" s="58" t="s">
        <v>922</v>
      </c>
      <c r="C37" s="58" t="s">
        <v>850</v>
      </c>
      <c r="D37" s="58" t="str">
        <f aca="false">"0,6313"</f>
        <v>0,6313</v>
      </c>
      <c r="E37" s="57" t="s">
        <v>13</v>
      </c>
      <c r="F37" s="57" t="s">
        <v>327</v>
      </c>
      <c r="G37" s="58" t="s">
        <v>80</v>
      </c>
      <c r="H37" s="58" t="s">
        <v>328</v>
      </c>
      <c r="I37" s="58" t="s">
        <v>91</v>
      </c>
      <c r="J37" s="59"/>
      <c r="K37" s="58" t="s">
        <v>69</v>
      </c>
      <c r="L37" s="58" t="s">
        <v>332</v>
      </c>
      <c r="M37" s="58" t="s">
        <v>637</v>
      </c>
      <c r="N37" s="59"/>
      <c r="O37" s="58" t="s">
        <v>81</v>
      </c>
      <c r="P37" s="58" t="s">
        <v>257</v>
      </c>
      <c r="Q37" s="59" t="s">
        <v>295</v>
      </c>
      <c r="R37" s="59"/>
      <c r="S37" s="60" t="str">
        <f aca="false">"510,0"</f>
        <v>510,0</v>
      </c>
      <c r="T37" s="61" t="str">
        <f aca="false">"321,9375"</f>
        <v>321,9375</v>
      </c>
      <c r="U37" s="57"/>
    </row>
    <row r="38" customFormat="false" ht="13.2" hidden="false" customHeight="false" outlineLevel="0" collapsed="false">
      <c r="A38" s="57" t="s">
        <v>923</v>
      </c>
      <c r="B38" s="58" t="s">
        <v>924</v>
      </c>
      <c r="C38" s="58" t="s">
        <v>656</v>
      </c>
      <c r="D38" s="58" t="str">
        <f aca="false">"0,6308"</f>
        <v>0,6308</v>
      </c>
      <c r="E38" s="57" t="s">
        <v>343</v>
      </c>
      <c r="F38" s="57" t="s">
        <v>25</v>
      </c>
      <c r="G38" s="59" t="s">
        <v>80</v>
      </c>
      <c r="H38" s="58" t="s">
        <v>81</v>
      </c>
      <c r="I38" s="59" t="s">
        <v>328</v>
      </c>
      <c r="J38" s="59"/>
      <c r="K38" s="58" t="s">
        <v>26</v>
      </c>
      <c r="L38" s="58" t="s">
        <v>72</v>
      </c>
      <c r="M38" s="59" t="s">
        <v>593</v>
      </c>
      <c r="N38" s="59"/>
      <c r="O38" s="58" t="s">
        <v>81</v>
      </c>
      <c r="P38" s="58" t="s">
        <v>257</v>
      </c>
      <c r="Q38" s="58" t="s">
        <v>295</v>
      </c>
      <c r="R38" s="59"/>
      <c r="S38" s="60" t="str">
        <f aca="false">"450,0"</f>
        <v>450,0</v>
      </c>
      <c r="T38" s="61" t="str">
        <f aca="false">"283,8600"</f>
        <v>283,8600</v>
      </c>
      <c r="U38" s="57"/>
    </row>
    <row r="39" customFormat="false" ht="13.2" hidden="false" customHeight="false" outlineLevel="0" collapsed="false">
      <c r="A39" s="34" t="s">
        <v>925</v>
      </c>
      <c r="B39" s="33" t="s">
        <v>926</v>
      </c>
      <c r="C39" s="33" t="s">
        <v>927</v>
      </c>
      <c r="D39" s="33" t="str">
        <f aca="false">"0,6119"</f>
        <v>0,6119</v>
      </c>
      <c r="E39" s="34" t="s">
        <v>13</v>
      </c>
      <c r="F39" s="34" t="s">
        <v>25</v>
      </c>
      <c r="G39" s="51" t="s">
        <v>309</v>
      </c>
      <c r="H39" s="51" t="s">
        <v>81</v>
      </c>
      <c r="I39" s="33" t="s">
        <v>328</v>
      </c>
      <c r="J39" s="51"/>
      <c r="K39" s="33" t="s">
        <v>67</v>
      </c>
      <c r="L39" s="33" t="s">
        <v>273</v>
      </c>
      <c r="M39" s="51" t="s">
        <v>634</v>
      </c>
      <c r="N39" s="51"/>
      <c r="O39" s="33" t="s">
        <v>81</v>
      </c>
      <c r="P39" s="33" t="s">
        <v>90</v>
      </c>
      <c r="Q39" s="33" t="s">
        <v>437</v>
      </c>
      <c r="R39" s="51"/>
      <c r="S39" s="32" t="str">
        <f aca="false">"447,5"</f>
        <v>447,5</v>
      </c>
      <c r="T39" s="52" t="str">
        <f aca="false">"276,5409"</f>
        <v>276,5409</v>
      </c>
      <c r="U39" s="34"/>
    </row>
    <row r="41" customFormat="false" ht="15.6" hidden="false" customHeight="false" outlineLevel="0" collapsed="false">
      <c r="A41" s="17" t="s">
        <v>82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customFormat="false" ht="13.2" hidden="false" customHeight="false" outlineLevel="0" collapsed="false">
      <c r="A42" s="30" t="s">
        <v>928</v>
      </c>
      <c r="B42" s="29" t="s">
        <v>929</v>
      </c>
      <c r="C42" s="29" t="s">
        <v>930</v>
      </c>
      <c r="D42" s="29" t="str">
        <f aca="false">"0,5833"</f>
        <v>0,5833</v>
      </c>
      <c r="E42" s="30" t="s">
        <v>343</v>
      </c>
      <c r="F42" s="30" t="s">
        <v>25</v>
      </c>
      <c r="G42" s="29" t="s">
        <v>338</v>
      </c>
      <c r="H42" s="29" t="s">
        <v>451</v>
      </c>
      <c r="I42" s="29" t="s">
        <v>446</v>
      </c>
      <c r="J42" s="49"/>
      <c r="K42" s="29" t="s">
        <v>79</v>
      </c>
      <c r="L42" s="29" t="s">
        <v>309</v>
      </c>
      <c r="M42" s="29" t="s">
        <v>333</v>
      </c>
      <c r="N42" s="49"/>
      <c r="O42" s="29" t="s">
        <v>356</v>
      </c>
      <c r="P42" s="29" t="s">
        <v>865</v>
      </c>
      <c r="Q42" s="29" t="s">
        <v>510</v>
      </c>
      <c r="R42" s="49"/>
      <c r="S42" s="28" t="str">
        <f aca="false">"702,5"</f>
        <v>702,5</v>
      </c>
      <c r="T42" s="50" t="str">
        <f aca="false">"409,7682"</f>
        <v>409,7682</v>
      </c>
      <c r="U42" s="30"/>
    </row>
    <row r="43" customFormat="false" ht="13.2" hidden="false" customHeight="false" outlineLevel="0" collapsed="false">
      <c r="A43" s="57" t="s">
        <v>931</v>
      </c>
      <c r="B43" s="58" t="s">
        <v>932</v>
      </c>
      <c r="C43" s="58" t="s">
        <v>933</v>
      </c>
      <c r="D43" s="58" t="str">
        <f aca="false">"0,5961"</f>
        <v>0,5961</v>
      </c>
      <c r="E43" s="57" t="s">
        <v>13</v>
      </c>
      <c r="F43" s="57" t="s">
        <v>25</v>
      </c>
      <c r="G43" s="58" t="s">
        <v>80</v>
      </c>
      <c r="H43" s="58" t="s">
        <v>81</v>
      </c>
      <c r="I43" s="58" t="s">
        <v>90</v>
      </c>
      <c r="J43" s="59"/>
      <c r="K43" s="58" t="s">
        <v>69</v>
      </c>
      <c r="L43" s="58" t="s">
        <v>73</v>
      </c>
      <c r="M43" s="59" t="s">
        <v>79</v>
      </c>
      <c r="N43" s="59"/>
      <c r="O43" s="58" t="s">
        <v>81</v>
      </c>
      <c r="P43" s="58" t="s">
        <v>91</v>
      </c>
      <c r="Q43" s="58" t="s">
        <v>295</v>
      </c>
      <c r="R43" s="59"/>
      <c r="S43" s="60" t="str">
        <f aca="false">"500,0"</f>
        <v>500,0</v>
      </c>
      <c r="T43" s="61" t="str">
        <f aca="false">"298,0750"</f>
        <v>298,0750</v>
      </c>
      <c r="U43" s="57"/>
    </row>
    <row r="44" customFormat="false" ht="13.2" hidden="false" customHeight="false" outlineLevel="0" collapsed="false">
      <c r="A44" s="34" t="s">
        <v>934</v>
      </c>
      <c r="B44" s="33" t="s">
        <v>935</v>
      </c>
      <c r="C44" s="33" t="s">
        <v>936</v>
      </c>
      <c r="D44" s="33" t="str">
        <f aca="false">"0,5902"</f>
        <v>0,5902</v>
      </c>
      <c r="E44" s="34" t="s">
        <v>13</v>
      </c>
      <c r="F44" s="34" t="s">
        <v>25</v>
      </c>
      <c r="G44" s="33" t="s">
        <v>81</v>
      </c>
      <c r="H44" s="33" t="s">
        <v>91</v>
      </c>
      <c r="I44" s="33" t="s">
        <v>257</v>
      </c>
      <c r="J44" s="51"/>
      <c r="K44" s="33" t="s">
        <v>69</v>
      </c>
      <c r="L44" s="33" t="s">
        <v>73</v>
      </c>
      <c r="M44" s="33" t="s">
        <v>670</v>
      </c>
      <c r="N44" s="51"/>
      <c r="O44" s="33" t="s">
        <v>350</v>
      </c>
      <c r="P44" s="33" t="s">
        <v>338</v>
      </c>
      <c r="Q44" s="51" t="s">
        <v>314</v>
      </c>
      <c r="R44" s="51"/>
      <c r="S44" s="32" t="str">
        <f aca="false">"527,5"</f>
        <v>527,5</v>
      </c>
      <c r="T44" s="52" t="str">
        <f aca="false">"317,5571"</f>
        <v>317,5571</v>
      </c>
      <c r="U44" s="34"/>
    </row>
    <row r="46" customFormat="false" ht="15.6" hidden="false" customHeight="false" outlineLevel="0" collapsed="false">
      <c r="A46" s="17" t="s">
        <v>144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customFormat="false" ht="13.2" hidden="false" customHeight="false" outlineLevel="0" collapsed="false">
      <c r="A47" s="30" t="s">
        <v>704</v>
      </c>
      <c r="B47" s="29" t="s">
        <v>705</v>
      </c>
      <c r="C47" s="29" t="s">
        <v>706</v>
      </c>
      <c r="D47" s="29" t="str">
        <f aca="false">"0,5644"</f>
        <v>0,5644</v>
      </c>
      <c r="E47" s="30" t="s">
        <v>13</v>
      </c>
      <c r="F47" s="30" t="s">
        <v>707</v>
      </c>
      <c r="G47" s="29" t="s">
        <v>91</v>
      </c>
      <c r="H47" s="29" t="s">
        <v>350</v>
      </c>
      <c r="I47" s="29" t="s">
        <v>295</v>
      </c>
      <c r="J47" s="49"/>
      <c r="K47" s="29" t="s">
        <v>81</v>
      </c>
      <c r="L47" s="29" t="s">
        <v>485</v>
      </c>
      <c r="M47" s="49" t="s">
        <v>486</v>
      </c>
      <c r="N47" s="49"/>
      <c r="O47" s="29" t="s">
        <v>295</v>
      </c>
      <c r="P47" s="29" t="s">
        <v>314</v>
      </c>
      <c r="Q47" s="29" t="s">
        <v>451</v>
      </c>
      <c r="R47" s="49"/>
      <c r="S47" s="28" t="str">
        <f aca="false">"602,5"</f>
        <v>602,5</v>
      </c>
      <c r="T47" s="50" t="str">
        <f aca="false">"340,0510"</f>
        <v>340,0510</v>
      </c>
      <c r="U47" s="30"/>
    </row>
    <row r="48" customFormat="false" ht="13.2" hidden="false" customHeight="false" outlineLevel="0" collapsed="false">
      <c r="A48" s="57" t="s">
        <v>937</v>
      </c>
      <c r="B48" s="58" t="s">
        <v>938</v>
      </c>
      <c r="C48" s="58" t="s">
        <v>939</v>
      </c>
      <c r="D48" s="58" t="str">
        <f aca="false">"0,5661"</f>
        <v>0,5661</v>
      </c>
      <c r="E48" s="57" t="s">
        <v>13</v>
      </c>
      <c r="F48" s="57" t="s">
        <v>940</v>
      </c>
      <c r="G48" s="58" t="s">
        <v>73</v>
      </c>
      <c r="H48" s="58" t="s">
        <v>79</v>
      </c>
      <c r="I48" s="59" t="s">
        <v>80</v>
      </c>
      <c r="J48" s="59"/>
      <c r="K48" s="58" t="s">
        <v>67</v>
      </c>
      <c r="L48" s="58" t="s">
        <v>68</v>
      </c>
      <c r="M48" s="59" t="s">
        <v>608</v>
      </c>
      <c r="N48" s="59"/>
      <c r="O48" s="58" t="s">
        <v>81</v>
      </c>
      <c r="P48" s="58" t="s">
        <v>437</v>
      </c>
      <c r="Q48" s="58" t="s">
        <v>257</v>
      </c>
      <c r="R48" s="59"/>
      <c r="S48" s="60" t="str">
        <f aca="false">"435,0"</f>
        <v>435,0</v>
      </c>
      <c r="T48" s="61" t="str">
        <f aca="false">"246,2535"</f>
        <v>246,2535</v>
      </c>
      <c r="U48" s="57"/>
    </row>
    <row r="49" customFormat="false" ht="13.2" hidden="false" customHeight="false" outlineLevel="0" collapsed="false">
      <c r="A49" s="34" t="s">
        <v>941</v>
      </c>
      <c r="B49" s="33" t="s">
        <v>942</v>
      </c>
      <c r="C49" s="33" t="s">
        <v>513</v>
      </c>
      <c r="D49" s="33" t="str">
        <f aca="false">"0,5714"</f>
        <v>0,5714</v>
      </c>
      <c r="E49" s="34" t="s">
        <v>13</v>
      </c>
      <c r="F49" s="34" t="s">
        <v>25</v>
      </c>
      <c r="G49" s="33" t="s">
        <v>328</v>
      </c>
      <c r="H49" s="33" t="s">
        <v>91</v>
      </c>
      <c r="I49" s="33" t="s">
        <v>350</v>
      </c>
      <c r="J49" s="51"/>
      <c r="K49" s="33" t="s">
        <v>73</v>
      </c>
      <c r="L49" s="33" t="s">
        <v>323</v>
      </c>
      <c r="M49" s="33" t="s">
        <v>637</v>
      </c>
      <c r="N49" s="51"/>
      <c r="O49" s="33" t="s">
        <v>338</v>
      </c>
      <c r="P49" s="33" t="s">
        <v>314</v>
      </c>
      <c r="Q49" s="51" t="s">
        <v>501</v>
      </c>
      <c r="R49" s="51"/>
      <c r="S49" s="32" t="str">
        <f aca="false">"555,0"</f>
        <v>555,0</v>
      </c>
      <c r="T49" s="52" t="str">
        <f aca="false">"320,2983"</f>
        <v>320,2983</v>
      </c>
      <c r="U49" s="34" t="s">
        <v>943</v>
      </c>
    </row>
    <row r="51" customFormat="false" ht="15.6" hidden="false" customHeight="false" outlineLevel="0" collapsed="false">
      <c r="A51" s="17" t="s">
        <v>944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customFormat="false" ht="13.2" hidden="false" customHeight="false" outlineLevel="0" collapsed="false">
      <c r="A52" s="16" t="s">
        <v>945</v>
      </c>
      <c r="B52" s="15" t="s">
        <v>946</v>
      </c>
      <c r="C52" s="15" t="s">
        <v>947</v>
      </c>
      <c r="D52" s="15" t="str">
        <f aca="false">"0,5331"</f>
        <v>0,5331</v>
      </c>
      <c r="E52" s="16" t="s">
        <v>13</v>
      </c>
      <c r="F52" s="16" t="s">
        <v>948</v>
      </c>
      <c r="G52" s="15" t="s">
        <v>314</v>
      </c>
      <c r="H52" s="15" t="s">
        <v>446</v>
      </c>
      <c r="I52" s="15" t="s">
        <v>356</v>
      </c>
      <c r="J52" s="18"/>
      <c r="K52" s="15" t="s">
        <v>637</v>
      </c>
      <c r="L52" s="15" t="s">
        <v>309</v>
      </c>
      <c r="M52" s="15" t="s">
        <v>328</v>
      </c>
      <c r="N52" s="18"/>
      <c r="O52" s="15" t="s">
        <v>446</v>
      </c>
      <c r="P52" s="15" t="s">
        <v>356</v>
      </c>
      <c r="Q52" s="15" t="s">
        <v>858</v>
      </c>
      <c r="R52" s="18"/>
      <c r="S52" s="14" t="str">
        <f aca="false">"695,0"</f>
        <v>695,0</v>
      </c>
      <c r="T52" s="48" t="str">
        <f aca="false">"390,8676"</f>
        <v>390,8676</v>
      </c>
      <c r="U52" s="16"/>
    </row>
    <row r="54" customFormat="false" ht="15" hidden="false" customHeight="false" outlineLevel="0" collapsed="false">
      <c r="E54" s="20" t="s">
        <v>27</v>
      </c>
    </row>
    <row r="55" customFormat="false" ht="15" hidden="false" customHeight="false" outlineLevel="0" collapsed="false">
      <c r="E55" s="20" t="s">
        <v>28</v>
      </c>
    </row>
    <row r="56" customFormat="false" ht="15" hidden="false" customHeight="false" outlineLevel="0" collapsed="false">
      <c r="E56" s="20" t="s">
        <v>29</v>
      </c>
    </row>
    <row r="57" customFormat="false" ht="13.2" hidden="false" customHeight="false" outlineLevel="0" collapsed="false">
      <c r="E57" s="36" t="s">
        <v>30</v>
      </c>
    </row>
    <row r="58" customFormat="false" ht="13.2" hidden="false" customHeight="false" outlineLevel="0" collapsed="false">
      <c r="E58" s="36" t="s">
        <v>31</v>
      </c>
    </row>
    <row r="59" customFormat="false" ht="13.2" hidden="false" customHeight="false" outlineLevel="0" collapsed="false">
      <c r="E59" s="36" t="s">
        <v>32</v>
      </c>
    </row>
    <row r="62" customFormat="false" ht="17.4" hidden="false" customHeight="false" outlineLevel="0" collapsed="false">
      <c r="A62" s="53" t="s">
        <v>33</v>
      </c>
      <c r="B62" s="22"/>
    </row>
    <row r="63" customFormat="false" ht="15.6" hidden="false" customHeight="false" outlineLevel="0" collapsed="false">
      <c r="A63" s="54" t="s">
        <v>58</v>
      </c>
      <c r="B63" s="17"/>
    </row>
    <row r="64" customFormat="false" ht="14.4" hidden="false" customHeight="false" outlineLevel="0" collapsed="false">
      <c r="A64" s="55"/>
      <c r="B64" s="25" t="s">
        <v>362</v>
      </c>
    </row>
    <row r="65" customFormat="false" ht="13.8" hidden="false" customHeight="false" outlineLevel="0" collapsed="false">
      <c r="A65" s="26" t="s">
        <v>1</v>
      </c>
      <c r="B65" s="26" t="s">
        <v>36</v>
      </c>
      <c r="C65" s="26" t="s">
        <v>37</v>
      </c>
      <c r="D65" s="26" t="s">
        <v>823</v>
      </c>
      <c r="E65" s="26" t="s">
        <v>4</v>
      </c>
    </row>
    <row r="66" customFormat="false" ht="13.2" hidden="false" customHeight="false" outlineLevel="0" collapsed="false">
      <c r="A66" s="56" t="s">
        <v>734</v>
      </c>
      <c r="B66" s="37" t="s">
        <v>364</v>
      </c>
      <c r="C66" s="37" t="s">
        <v>726</v>
      </c>
      <c r="D66" s="37" t="s">
        <v>314</v>
      </c>
      <c r="E66" s="1" t="s">
        <v>949</v>
      </c>
    </row>
    <row r="68" customFormat="false" ht="14.4" hidden="false" customHeight="false" outlineLevel="0" collapsed="false">
      <c r="A68" s="55"/>
      <c r="B68" s="25" t="s">
        <v>59</v>
      </c>
    </row>
    <row r="69" customFormat="false" ht="13.8" hidden="false" customHeight="false" outlineLevel="0" collapsed="false">
      <c r="A69" s="26" t="s">
        <v>1</v>
      </c>
      <c r="B69" s="26" t="s">
        <v>36</v>
      </c>
      <c r="C69" s="26" t="s">
        <v>37</v>
      </c>
      <c r="D69" s="26" t="s">
        <v>823</v>
      </c>
      <c r="E69" s="26" t="s">
        <v>4</v>
      </c>
    </row>
    <row r="70" customFormat="false" ht="13.2" hidden="false" customHeight="false" outlineLevel="0" collapsed="false">
      <c r="A70" s="56" t="s">
        <v>370</v>
      </c>
      <c r="B70" s="37" t="s">
        <v>59</v>
      </c>
      <c r="C70" s="37" t="s">
        <v>365</v>
      </c>
      <c r="D70" s="37" t="s">
        <v>950</v>
      </c>
      <c r="E70" s="1" t="s">
        <v>951</v>
      </c>
    </row>
    <row r="71" customFormat="false" ht="13.2" hidden="false" customHeight="false" outlineLevel="0" collapsed="false">
      <c r="A71" s="56" t="s">
        <v>952</v>
      </c>
      <c r="B71" s="37" t="s">
        <v>59</v>
      </c>
      <c r="C71" s="37" t="s">
        <v>151</v>
      </c>
      <c r="D71" s="37" t="s">
        <v>953</v>
      </c>
      <c r="E71" s="1" t="s">
        <v>954</v>
      </c>
    </row>
    <row r="72" customFormat="false" ht="13.2" hidden="false" customHeight="false" outlineLevel="0" collapsed="false">
      <c r="A72" s="56" t="s">
        <v>955</v>
      </c>
      <c r="B72" s="37" t="s">
        <v>59</v>
      </c>
      <c r="C72" s="37" t="s">
        <v>151</v>
      </c>
      <c r="D72" s="37" t="s">
        <v>956</v>
      </c>
      <c r="E72" s="1" t="s">
        <v>957</v>
      </c>
    </row>
    <row r="73" customFormat="false" ht="13.2" hidden="false" customHeight="false" outlineLevel="0" collapsed="false">
      <c r="A73" s="56" t="s">
        <v>958</v>
      </c>
      <c r="B73" s="37" t="s">
        <v>59</v>
      </c>
      <c r="C73" s="37" t="s">
        <v>225</v>
      </c>
      <c r="D73" s="37" t="s">
        <v>440</v>
      </c>
      <c r="E73" s="1" t="s">
        <v>959</v>
      </c>
    </row>
    <row r="74" customFormat="false" ht="13.2" hidden="false" customHeight="false" outlineLevel="0" collapsed="false">
      <c r="A74" s="56" t="s">
        <v>960</v>
      </c>
      <c r="B74" s="37" t="s">
        <v>59</v>
      </c>
      <c r="C74" s="37" t="s">
        <v>151</v>
      </c>
      <c r="D74" s="37" t="s">
        <v>501</v>
      </c>
      <c r="E74" s="1" t="s">
        <v>961</v>
      </c>
    </row>
    <row r="77" customFormat="false" ht="15.6" hidden="false" customHeight="false" outlineLevel="0" collapsed="false">
      <c r="A77" s="54" t="s">
        <v>34</v>
      </c>
      <c r="B77" s="17"/>
    </row>
    <row r="78" customFormat="false" ht="14.4" hidden="false" customHeight="false" outlineLevel="0" collapsed="false">
      <c r="A78" s="55"/>
      <c r="B78" s="25" t="s">
        <v>376</v>
      </c>
    </row>
    <row r="79" customFormat="false" ht="13.8" hidden="false" customHeight="false" outlineLevel="0" collapsed="false">
      <c r="A79" s="26" t="s">
        <v>1</v>
      </c>
      <c r="B79" s="26" t="s">
        <v>36</v>
      </c>
      <c r="C79" s="26" t="s">
        <v>37</v>
      </c>
      <c r="D79" s="26" t="s">
        <v>823</v>
      </c>
      <c r="E79" s="26" t="s">
        <v>4</v>
      </c>
    </row>
    <row r="80" customFormat="false" ht="13.2" hidden="false" customHeight="false" outlineLevel="0" collapsed="false">
      <c r="A80" s="56" t="s">
        <v>962</v>
      </c>
      <c r="B80" s="37" t="s">
        <v>378</v>
      </c>
      <c r="C80" s="37" t="s">
        <v>232</v>
      </c>
      <c r="D80" s="37" t="s">
        <v>963</v>
      </c>
      <c r="E80" s="1" t="s">
        <v>964</v>
      </c>
    </row>
    <row r="82" customFormat="false" ht="14.4" hidden="false" customHeight="false" outlineLevel="0" collapsed="false">
      <c r="A82" s="55"/>
      <c r="B82" s="25" t="s">
        <v>59</v>
      </c>
    </row>
    <row r="83" customFormat="false" ht="13.8" hidden="false" customHeight="false" outlineLevel="0" collapsed="false">
      <c r="A83" s="26" t="s">
        <v>1</v>
      </c>
      <c r="B83" s="26" t="s">
        <v>36</v>
      </c>
      <c r="C83" s="26" t="s">
        <v>37</v>
      </c>
      <c r="D83" s="26" t="s">
        <v>823</v>
      </c>
      <c r="E83" s="26" t="s">
        <v>4</v>
      </c>
    </row>
    <row r="84" customFormat="false" ht="13.2" hidden="false" customHeight="false" outlineLevel="0" collapsed="false">
      <c r="A84" s="56" t="s">
        <v>965</v>
      </c>
      <c r="B84" s="37" t="s">
        <v>59</v>
      </c>
      <c r="C84" s="37" t="s">
        <v>98</v>
      </c>
      <c r="D84" s="37" t="s">
        <v>966</v>
      </c>
      <c r="E84" s="1" t="s">
        <v>967</v>
      </c>
    </row>
    <row r="85" customFormat="false" ht="13.2" hidden="false" customHeight="false" outlineLevel="0" collapsed="false">
      <c r="A85" s="56" t="s">
        <v>388</v>
      </c>
      <c r="B85" s="37" t="s">
        <v>59</v>
      </c>
      <c r="C85" s="37" t="s">
        <v>368</v>
      </c>
      <c r="D85" s="37" t="s">
        <v>968</v>
      </c>
      <c r="E85" s="1" t="s">
        <v>969</v>
      </c>
    </row>
    <row r="86" customFormat="false" ht="13.2" hidden="false" customHeight="false" outlineLevel="0" collapsed="false">
      <c r="A86" s="56" t="s">
        <v>970</v>
      </c>
      <c r="B86" s="37" t="s">
        <v>59</v>
      </c>
      <c r="C86" s="37" t="s">
        <v>95</v>
      </c>
      <c r="D86" s="37" t="s">
        <v>971</v>
      </c>
      <c r="E86" s="1" t="s">
        <v>972</v>
      </c>
    </row>
    <row r="87" customFormat="false" ht="13.2" hidden="false" customHeight="false" outlineLevel="0" collapsed="false">
      <c r="A87" s="56" t="s">
        <v>973</v>
      </c>
      <c r="B87" s="37" t="s">
        <v>59</v>
      </c>
      <c r="C87" s="37" t="s">
        <v>95</v>
      </c>
      <c r="D87" s="37" t="s">
        <v>974</v>
      </c>
      <c r="E87" s="1" t="s">
        <v>975</v>
      </c>
    </row>
    <row r="88" customFormat="false" ht="13.2" hidden="false" customHeight="false" outlineLevel="0" collapsed="false">
      <c r="A88" s="56" t="s">
        <v>768</v>
      </c>
      <c r="B88" s="37" t="s">
        <v>59</v>
      </c>
      <c r="C88" s="37" t="s">
        <v>158</v>
      </c>
      <c r="D88" s="37" t="s">
        <v>976</v>
      </c>
      <c r="E88" s="1" t="s">
        <v>977</v>
      </c>
    </row>
    <row r="89" customFormat="false" ht="13.2" hidden="false" customHeight="false" outlineLevel="0" collapsed="false">
      <c r="A89" s="56" t="s">
        <v>978</v>
      </c>
      <c r="B89" s="37" t="s">
        <v>59</v>
      </c>
      <c r="C89" s="37" t="s">
        <v>95</v>
      </c>
      <c r="D89" s="37" t="s">
        <v>979</v>
      </c>
      <c r="E89" s="1" t="s">
        <v>980</v>
      </c>
    </row>
    <row r="90" customFormat="false" ht="13.2" hidden="false" customHeight="false" outlineLevel="0" collapsed="false">
      <c r="A90" s="56" t="s">
        <v>981</v>
      </c>
      <c r="B90" s="37" t="s">
        <v>59</v>
      </c>
      <c r="C90" s="37" t="s">
        <v>225</v>
      </c>
      <c r="D90" s="37" t="s">
        <v>982</v>
      </c>
      <c r="E90" s="1" t="s">
        <v>983</v>
      </c>
    </row>
    <row r="91" customFormat="false" ht="13.2" hidden="false" customHeight="false" outlineLevel="0" collapsed="false">
      <c r="A91" s="56" t="s">
        <v>984</v>
      </c>
      <c r="B91" s="37" t="s">
        <v>59</v>
      </c>
      <c r="C91" s="37" t="s">
        <v>151</v>
      </c>
      <c r="D91" s="37" t="s">
        <v>985</v>
      </c>
      <c r="E91" s="1" t="s">
        <v>986</v>
      </c>
    </row>
    <row r="92" customFormat="false" ht="13.2" hidden="false" customHeight="false" outlineLevel="0" collapsed="false">
      <c r="A92" s="56" t="s">
        <v>987</v>
      </c>
      <c r="B92" s="37" t="s">
        <v>59</v>
      </c>
      <c r="C92" s="37" t="s">
        <v>232</v>
      </c>
      <c r="D92" s="37" t="s">
        <v>988</v>
      </c>
      <c r="E92" s="1" t="s">
        <v>989</v>
      </c>
    </row>
    <row r="93" customFormat="false" ht="13.2" hidden="false" customHeight="false" outlineLevel="0" collapsed="false">
      <c r="A93" s="56" t="s">
        <v>990</v>
      </c>
      <c r="B93" s="37" t="s">
        <v>59</v>
      </c>
      <c r="C93" s="37" t="s">
        <v>98</v>
      </c>
      <c r="D93" s="37" t="s">
        <v>880</v>
      </c>
      <c r="E93" s="1" t="s">
        <v>991</v>
      </c>
    </row>
    <row r="94" customFormat="false" ht="13.2" hidden="false" customHeight="false" outlineLevel="0" collapsed="false">
      <c r="A94" s="56" t="s">
        <v>992</v>
      </c>
      <c r="B94" s="37" t="s">
        <v>59</v>
      </c>
      <c r="C94" s="37" t="s">
        <v>95</v>
      </c>
      <c r="D94" s="37" t="s">
        <v>883</v>
      </c>
      <c r="E94" s="1" t="s">
        <v>993</v>
      </c>
    </row>
    <row r="95" customFormat="false" ht="13.2" hidden="false" customHeight="false" outlineLevel="0" collapsed="false">
      <c r="A95" s="56" t="s">
        <v>994</v>
      </c>
      <c r="B95" s="37" t="s">
        <v>59</v>
      </c>
      <c r="C95" s="37" t="s">
        <v>158</v>
      </c>
      <c r="D95" s="37" t="s">
        <v>995</v>
      </c>
      <c r="E95" s="1" t="s">
        <v>996</v>
      </c>
    </row>
    <row r="97" customFormat="false" ht="14.4" hidden="false" customHeight="false" outlineLevel="0" collapsed="false">
      <c r="A97" s="55"/>
      <c r="B97" s="25" t="s">
        <v>244</v>
      </c>
    </row>
    <row r="98" customFormat="false" ht="13.8" hidden="false" customHeight="false" outlineLevel="0" collapsed="false">
      <c r="A98" s="26" t="s">
        <v>1</v>
      </c>
      <c r="B98" s="26" t="s">
        <v>36</v>
      </c>
      <c r="C98" s="26" t="s">
        <v>37</v>
      </c>
      <c r="D98" s="26" t="s">
        <v>823</v>
      </c>
      <c r="E98" s="26" t="s">
        <v>4</v>
      </c>
    </row>
    <row r="99" customFormat="false" ht="13.2" hidden="false" customHeight="false" outlineLevel="0" collapsed="false">
      <c r="A99" s="56" t="s">
        <v>997</v>
      </c>
      <c r="B99" s="37" t="s">
        <v>246</v>
      </c>
      <c r="C99" s="37" t="s">
        <v>998</v>
      </c>
      <c r="D99" s="37" t="s">
        <v>999</v>
      </c>
      <c r="E99" s="1" t="s">
        <v>1000</v>
      </c>
    </row>
    <row r="100" customFormat="false" ht="13.2" hidden="false" customHeight="false" outlineLevel="0" collapsed="false">
      <c r="A100" s="56" t="s">
        <v>1001</v>
      </c>
      <c r="B100" s="37" t="s">
        <v>259</v>
      </c>
      <c r="C100" s="37" t="s">
        <v>158</v>
      </c>
      <c r="D100" s="37" t="s">
        <v>1002</v>
      </c>
      <c r="E100" s="1" t="s">
        <v>1003</v>
      </c>
    </row>
    <row r="101" customFormat="false" ht="13.2" hidden="false" customHeight="false" outlineLevel="0" collapsed="false">
      <c r="A101" s="56" t="s">
        <v>1004</v>
      </c>
      <c r="B101" s="37" t="s">
        <v>259</v>
      </c>
      <c r="C101" s="37" t="s">
        <v>98</v>
      </c>
      <c r="D101" s="37" t="s">
        <v>1005</v>
      </c>
      <c r="E101" s="1" t="s">
        <v>1006</v>
      </c>
    </row>
    <row r="102" customFormat="false" ht="13.2" hidden="false" customHeight="false" outlineLevel="0" collapsed="false">
      <c r="A102" s="56" t="s">
        <v>1007</v>
      </c>
      <c r="B102" s="37" t="s">
        <v>259</v>
      </c>
      <c r="C102" s="37" t="s">
        <v>225</v>
      </c>
      <c r="D102" s="37" t="s">
        <v>1008</v>
      </c>
      <c r="E102" s="1" t="s">
        <v>1009</v>
      </c>
    </row>
    <row r="103" customFormat="false" ht="13.2" hidden="false" customHeight="false" outlineLevel="0" collapsed="false">
      <c r="A103" s="56" t="s">
        <v>1010</v>
      </c>
      <c r="B103" s="37" t="s">
        <v>249</v>
      </c>
      <c r="C103" s="37" t="s">
        <v>225</v>
      </c>
      <c r="D103" s="37" t="s">
        <v>1011</v>
      </c>
      <c r="E103" s="1" t="s">
        <v>1012</v>
      </c>
    </row>
    <row r="104" customFormat="false" ht="13.2" hidden="false" customHeight="false" outlineLevel="0" collapsed="false">
      <c r="A104" s="56" t="s">
        <v>1013</v>
      </c>
      <c r="B104" s="37" t="s">
        <v>259</v>
      </c>
      <c r="C104" s="37" t="s">
        <v>95</v>
      </c>
      <c r="D104" s="37" t="s">
        <v>1014</v>
      </c>
      <c r="E104" s="1" t="s">
        <v>1015</v>
      </c>
    </row>
  </sheetData>
  <mergeCells count="25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R5"/>
    <mergeCell ref="A8:R8"/>
    <mergeCell ref="A11:R11"/>
    <mergeCell ref="A16:R16"/>
    <mergeCell ref="A19:R19"/>
    <mergeCell ref="A22:R22"/>
    <mergeCell ref="A25:R25"/>
    <mergeCell ref="A29:R29"/>
    <mergeCell ref="A34:R34"/>
    <mergeCell ref="A41:R41"/>
    <mergeCell ref="A46:R46"/>
    <mergeCell ref="A51:R5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6.56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7.89"/>
    <col collapsed="false" customWidth="true" hidden="false" outlineLevel="0" max="9" min="7" style="37" width="5.55"/>
    <col collapsed="false" customWidth="true" hidden="false" outlineLevel="0" max="10" min="10" style="37" width="4.78"/>
    <col collapsed="false" customWidth="true" hidden="false" outlineLevel="0" max="11" min="11" style="1" width="5.78"/>
    <col collapsed="false" customWidth="true" hidden="false" outlineLevel="0" max="12" min="12" style="38" width="8.56"/>
    <col collapsed="false" customWidth="true" hidden="false" outlineLevel="0" max="13" min="13" style="36" width="7.11"/>
    <col collapsed="false" customWidth="false" hidden="false" outlineLevel="0" max="1024" min="14" style="39" width="9.11"/>
  </cols>
  <sheetData>
    <row r="1" s="41" customFormat="true" ht="28.95" hidden="false" customHeight="true" outlineLevel="0" collapsed="false">
      <c r="A1" s="40" t="s">
        <v>1016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475</v>
      </c>
      <c r="H3" s="45"/>
      <c r="I3" s="45"/>
      <c r="J3" s="45"/>
      <c r="K3" s="44" t="s">
        <v>8</v>
      </c>
      <c r="L3" s="44" t="s">
        <v>128</v>
      </c>
      <c r="M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4"/>
      <c r="L4" s="44"/>
      <c r="M4" s="46"/>
    </row>
    <row r="5" s="37" customFormat="true" ht="15.6" hidden="false" customHeight="false" outlineLevel="0" collapsed="false">
      <c r="A5" s="13" t="s">
        <v>187</v>
      </c>
      <c r="B5" s="13"/>
      <c r="C5" s="13"/>
      <c r="D5" s="13"/>
      <c r="E5" s="13"/>
      <c r="F5" s="13"/>
      <c r="G5" s="13"/>
      <c r="H5" s="13"/>
      <c r="I5" s="13"/>
      <c r="J5" s="13"/>
      <c r="K5" s="1"/>
      <c r="L5" s="38"/>
      <c r="M5" s="36"/>
    </row>
    <row r="6" s="37" customFormat="true" ht="13.2" hidden="false" customHeight="false" outlineLevel="0" collapsed="false">
      <c r="A6" s="16" t="s">
        <v>1017</v>
      </c>
      <c r="B6" s="15" t="s">
        <v>1018</v>
      </c>
      <c r="C6" s="15" t="s">
        <v>1019</v>
      </c>
      <c r="D6" s="15" t="str">
        <f aca="false">"0,6477"</f>
        <v>0,6477</v>
      </c>
      <c r="E6" s="16" t="s">
        <v>266</v>
      </c>
      <c r="F6" s="16" t="s">
        <v>25</v>
      </c>
      <c r="G6" s="15" t="s">
        <v>91</v>
      </c>
      <c r="H6" s="15" t="s">
        <v>302</v>
      </c>
      <c r="I6" s="15" t="s">
        <v>296</v>
      </c>
      <c r="J6" s="18"/>
      <c r="K6" s="14" t="str">
        <f aca="false">"207,5"</f>
        <v>207,5</v>
      </c>
      <c r="L6" s="48" t="str">
        <f aca="false">"134,3874"</f>
        <v>134,3874</v>
      </c>
      <c r="M6" s="16"/>
    </row>
    <row r="7" s="37" customFormat="true" ht="13.2" hidden="false" customHeight="false" outlineLevel="0" collapsed="false">
      <c r="A7" s="36"/>
      <c r="E7" s="36"/>
      <c r="F7" s="36"/>
      <c r="K7" s="1"/>
      <c r="L7" s="38"/>
      <c r="M7" s="36"/>
    </row>
    <row r="8" customFormat="false" ht="15.6" hidden="false" customHeight="false" outlineLevel="0" collapsed="false">
      <c r="A8" s="17" t="s">
        <v>74</v>
      </c>
      <c r="B8" s="17"/>
      <c r="C8" s="17"/>
      <c r="D8" s="17"/>
      <c r="E8" s="17"/>
      <c r="F8" s="17"/>
      <c r="G8" s="17"/>
      <c r="H8" s="17"/>
      <c r="I8" s="17"/>
      <c r="J8" s="17"/>
    </row>
    <row r="9" customFormat="false" ht="13.2" hidden="false" customHeight="false" outlineLevel="0" collapsed="false">
      <c r="A9" s="30" t="s">
        <v>438</v>
      </c>
      <c r="B9" s="29" t="s">
        <v>439</v>
      </c>
      <c r="C9" s="29" t="s">
        <v>77</v>
      </c>
      <c r="D9" s="29" t="str">
        <f aca="false">"0,6177"</f>
        <v>0,6177</v>
      </c>
      <c r="E9" s="30" t="s">
        <v>13</v>
      </c>
      <c r="F9" s="30" t="s">
        <v>413</v>
      </c>
      <c r="G9" s="29" t="s">
        <v>90</v>
      </c>
      <c r="H9" s="49" t="s">
        <v>257</v>
      </c>
      <c r="I9" s="49" t="s">
        <v>295</v>
      </c>
      <c r="J9" s="49"/>
      <c r="K9" s="28" t="str">
        <f aca="false">"170,0"</f>
        <v>170,0</v>
      </c>
      <c r="L9" s="50" t="str">
        <f aca="false">"105,0090"</f>
        <v>105,0090</v>
      </c>
      <c r="M9" s="30"/>
    </row>
    <row r="10" customFormat="false" ht="13.2" hidden="false" customHeight="false" outlineLevel="0" collapsed="false">
      <c r="A10" s="57" t="s">
        <v>1020</v>
      </c>
      <c r="B10" s="58" t="s">
        <v>1021</v>
      </c>
      <c r="C10" s="58" t="s">
        <v>927</v>
      </c>
      <c r="D10" s="58" t="str">
        <f aca="false">"0,6119"</f>
        <v>0,6119</v>
      </c>
      <c r="E10" s="57" t="s">
        <v>13</v>
      </c>
      <c r="F10" s="57" t="s">
        <v>1022</v>
      </c>
      <c r="G10" s="58" t="s">
        <v>314</v>
      </c>
      <c r="H10" s="58" t="s">
        <v>451</v>
      </c>
      <c r="I10" s="59" t="s">
        <v>446</v>
      </c>
      <c r="J10" s="59"/>
      <c r="K10" s="60" t="str">
        <f aca="false">"230,0"</f>
        <v>230,0</v>
      </c>
      <c r="L10" s="61" t="str">
        <f aca="false">"143,5400"</f>
        <v>143,5400</v>
      </c>
      <c r="M10" s="57"/>
    </row>
    <row r="11" customFormat="false" ht="13.2" hidden="false" customHeight="false" outlineLevel="0" collapsed="false">
      <c r="A11" s="34" t="s">
        <v>1023</v>
      </c>
      <c r="B11" s="33" t="s">
        <v>1024</v>
      </c>
      <c r="C11" s="33" t="s">
        <v>1025</v>
      </c>
      <c r="D11" s="33" t="str">
        <f aca="false">"0,6161"</f>
        <v>0,6161</v>
      </c>
      <c r="E11" s="34" t="s">
        <v>13</v>
      </c>
      <c r="F11" s="34" t="s">
        <v>25</v>
      </c>
      <c r="G11" s="33" t="s">
        <v>302</v>
      </c>
      <c r="H11" s="33" t="s">
        <v>314</v>
      </c>
      <c r="I11" s="51" t="s">
        <v>445</v>
      </c>
      <c r="J11" s="51"/>
      <c r="K11" s="32" t="str">
        <f aca="false">"220,0"</f>
        <v>220,0</v>
      </c>
      <c r="L11" s="52" t="str">
        <f aca="false">"135,5310"</f>
        <v>135,5310</v>
      </c>
      <c r="M11" s="34"/>
    </row>
    <row r="13" customFormat="false" ht="15.6" hidden="false" customHeight="false" outlineLevel="0" collapsed="false">
      <c r="A13" s="17" t="s">
        <v>82</v>
      </c>
      <c r="B13" s="17"/>
      <c r="C13" s="17"/>
      <c r="D13" s="17"/>
      <c r="E13" s="17"/>
      <c r="F13" s="17"/>
      <c r="G13" s="17"/>
      <c r="H13" s="17"/>
      <c r="I13" s="17"/>
      <c r="J13" s="17"/>
    </row>
    <row r="14" customFormat="false" ht="13.2" hidden="false" customHeight="false" outlineLevel="0" collapsed="false">
      <c r="A14" s="16" t="s">
        <v>1026</v>
      </c>
      <c r="B14" s="15" t="s">
        <v>1027</v>
      </c>
      <c r="C14" s="15" t="s">
        <v>1028</v>
      </c>
      <c r="D14" s="15" t="str">
        <f aca="false">"0,5880"</f>
        <v>0,5880</v>
      </c>
      <c r="E14" s="16" t="s">
        <v>13</v>
      </c>
      <c r="F14" s="16" t="s">
        <v>25</v>
      </c>
      <c r="G14" s="15" t="s">
        <v>306</v>
      </c>
      <c r="H14" s="18" t="s">
        <v>1029</v>
      </c>
      <c r="I14" s="15" t="s">
        <v>1029</v>
      </c>
      <c r="J14" s="18"/>
      <c r="K14" s="14" t="str">
        <f aca="false">"272,5"</f>
        <v>272,5</v>
      </c>
      <c r="L14" s="48" t="str">
        <f aca="false">"160,2300"</f>
        <v>160,2300</v>
      </c>
      <c r="M14" s="16"/>
    </row>
    <row r="16" customFormat="false" ht="15" hidden="false" customHeight="false" outlineLevel="0" collapsed="false">
      <c r="E16" s="20" t="s">
        <v>27</v>
      </c>
    </row>
    <row r="17" customFormat="false" ht="15" hidden="false" customHeight="false" outlineLevel="0" collapsed="false">
      <c r="E17" s="20" t="s">
        <v>28</v>
      </c>
    </row>
    <row r="18" customFormat="false" ht="15" hidden="false" customHeight="false" outlineLevel="0" collapsed="false">
      <c r="E18" s="20" t="s">
        <v>29</v>
      </c>
    </row>
    <row r="19" customFormat="false" ht="13.2" hidden="false" customHeight="false" outlineLevel="0" collapsed="false">
      <c r="E19" s="36" t="s">
        <v>30</v>
      </c>
    </row>
    <row r="20" customFormat="false" ht="13.2" hidden="false" customHeight="false" outlineLevel="0" collapsed="false">
      <c r="E20" s="36" t="s">
        <v>31</v>
      </c>
    </row>
    <row r="21" customFormat="false" ht="13.2" hidden="false" customHeight="false" outlineLevel="0" collapsed="false">
      <c r="E21" s="36" t="s">
        <v>32</v>
      </c>
    </row>
    <row r="24" customFormat="false" ht="17.4" hidden="false" customHeight="false" outlineLevel="0" collapsed="false">
      <c r="A24" s="53" t="s">
        <v>33</v>
      </c>
      <c r="B24" s="22"/>
    </row>
    <row r="25" customFormat="false" ht="15.6" hidden="false" customHeight="false" outlineLevel="0" collapsed="false">
      <c r="A25" s="54" t="s">
        <v>34</v>
      </c>
      <c r="B25" s="17"/>
    </row>
    <row r="26" customFormat="false" ht="14.4" hidden="false" customHeight="false" outlineLevel="0" collapsed="false">
      <c r="A26" s="55"/>
      <c r="B26" s="25" t="s">
        <v>59</v>
      </c>
    </row>
    <row r="27" customFormat="false" ht="13.8" hidden="false" customHeight="false" outlineLevel="0" collapsed="false">
      <c r="A27" s="26" t="s">
        <v>1</v>
      </c>
      <c r="B27" s="26" t="s">
        <v>36</v>
      </c>
      <c r="C27" s="26" t="s">
        <v>37</v>
      </c>
      <c r="D27" s="26" t="s">
        <v>38</v>
      </c>
      <c r="E27" s="26" t="s">
        <v>4</v>
      </c>
    </row>
    <row r="28" customFormat="false" ht="13.2" hidden="false" customHeight="false" outlineLevel="0" collapsed="false">
      <c r="A28" s="56" t="s">
        <v>1030</v>
      </c>
      <c r="B28" s="37" t="s">
        <v>59</v>
      </c>
      <c r="C28" s="37" t="s">
        <v>98</v>
      </c>
      <c r="D28" s="37" t="s">
        <v>1029</v>
      </c>
      <c r="E28" s="1" t="s">
        <v>1031</v>
      </c>
    </row>
    <row r="29" customFormat="false" ht="13.2" hidden="false" customHeight="false" outlineLevel="0" collapsed="false">
      <c r="A29" s="56" t="s">
        <v>1032</v>
      </c>
      <c r="B29" s="37" t="s">
        <v>59</v>
      </c>
      <c r="C29" s="37" t="s">
        <v>225</v>
      </c>
      <c r="D29" s="37" t="s">
        <v>296</v>
      </c>
      <c r="E29" s="1" t="s">
        <v>1033</v>
      </c>
    </row>
    <row r="30" customFormat="false" ht="13.2" hidden="false" customHeight="false" outlineLevel="0" collapsed="false">
      <c r="A30" s="56" t="s">
        <v>467</v>
      </c>
      <c r="B30" s="37" t="s">
        <v>59</v>
      </c>
      <c r="C30" s="37" t="s">
        <v>95</v>
      </c>
      <c r="D30" s="37" t="s">
        <v>90</v>
      </c>
      <c r="E30" s="1" t="s">
        <v>1034</v>
      </c>
    </row>
    <row r="32" customFormat="false" ht="14.4" hidden="false" customHeight="false" outlineLevel="0" collapsed="false">
      <c r="A32" s="55"/>
      <c r="B32" s="25" t="s">
        <v>244</v>
      </c>
    </row>
    <row r="33" customFormat="false" ht="13.8" hidden="false" customHeight="false" outlineLevel="0" collapsed="false">
      <c r="A33" s="26" t="s">
        <v>1</v>
      </c>
      <c r="B33" s="26" t="s">
        <v>36</v>
      </c>
      <c r="C33" s="26" t="s">
        <v>37</v>
      </c>
      <c r="D33" s="26" t="s">
        <v>38</v>
      </c>
      <c r="E33" s="26" t="s">
        <v>4</v>
      </c>
    </row>
    <row r="34" customFormat="false" ht="13.2" hidden="false" customHeight="false" outlineLevel="0" collapsed="false">
      <c r="A34" s="56" t="s">
        <v>1035</v>
      </c>
      <c r="B34" s="37" t="s">
        <v>259</v>
      </c>
      <c r="C34" s="37" t="s">
        <v>95</v>
      </c>
      <c r="D34" s="37" t="s">
        <v>451</v>
      </c>
      <c r="E34" s="1" t="s">
        <v>1036</v>
      </c>
    </row>
    <row r="35" customFormat="false" ht="13.2" hidden="false" customHeight="false" outlineLevel="0" collapsed="false">
      <c r="A35" s="56" t="s">
        <v>1037</v>
      </c>
      <c r="B35" s="37" t="s">
        <v>259</v>
      </c>
      <c r="C35" s="37" t="s">
        <v>95</v>
      </c>
      <c r="D35" s="37" t="s">
        <v>314</v>
      </c>
      <c r="E35" s="1" t="s">
        <v>1038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A8:J8"/>
    <mergeCell ref="A13:J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6.56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5.88"/>
    <col collapsed="false" customWidth="true" hidden="false" outlineLevel="0" max="9" min="7" style="37" width="5.55"/>
    <col collapsed="false" customWidth="true" hidden="false" outlineLevel="0" max="10" min="10" style="37" width="4.78"/>
    <col collapsed="false" customWidth="true" hidden="false" outlineLevel="0" max="11" min="11" style="1" width="5.78"/>
    <col collapsed="false" customWidth="true" hidden="false" outlineLevel="0" max="12" min="12" style="38" width="8.56"/>
    <col collapsed="false" customWidth="true" hidden="false" outlineLevel="0" max="13" min="13" style="36" width="7.11"/>
    <col collapsed="false" customWidth="false" hidden="false" outlineLevel="0" max="1024" min="14" style="39" width="9.11"/>
  </cols>
  <sheetData>
    <row r="1" s="41" customFormat="true" ht="28.95" hidden="false" customHeight="true" outlineLevel="0" collapsed="false">
      <c r="A1" s="40" t="s">
        <v>1039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475</v>
      </c>
      <c r="H3" s="45"/>
      <c r="I3" s="45"/>
      <c r="J3" s="45"/>
      <c r="K3" s="44" t="s">
        <v>8</v>
      </c>
      <c r="L3" s="44" t="s">
        <v>128</v>
      </c>
      <c r="M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4"/>
      <c r="L4" s="44"/>
      <c r="M4" s="46"/>
    </row>
    <row r="5" s="37" customFormat="true" ht="15.6" hidden="false" customHeight="false" outlineLevel="0" collapsed="false">
      <c r="A5" s="13" t="s">
        <v>82</v>
      </c>
      <c r="B5" s="13"/>
      <c r="C5" s="13"/>
      <c r="D5" s="13"/>
      <c r="E5" s="13"/>
      <c r="F5" s="13"/>
      <c r="G5" s="13"/>
      <c r="H5" s="13"/>
      <c r="I5" s="13"/>
      <c r="J5" s="13"/>
      <c r="K5" s="1"/>
      <c r="L5" s="38"/>
      <c r="M5" s="36"/>
    </row>
    <row r="6" s="37" customFormat="true" ht="13.2" hidden="false" customHeight="false" outlineLevel="0" collapsed="false">
      <c r="A6" s="16" t="s">
        <v>1040</v>
      </c>
      <c r="B6" s="15" t="s">
        <v>1041</v>
      </c>
      <c r="C6" s="15" t="s">
        <v>1042</v>
      </c>
      <c r="D6" s="15" t="str">
        <f aca="false">"0,5949"</f>
        <v>0,5949</v>
      </c>
      <c r="E6" s="16" t="s">
        <v>13</v>
      </c>
      <c r="F6" s="16" t="s">
        <v>1043</v>
      </c>
      <c r="G6" s="18" t="s">
        <v>446</v>
      </c>
      <c r="H6" s="15" t="s">
        <v>446</v>
      </c>
      <c r="I6" s="18" t="s">
        <v>355</v>
      </c>
      <c r="J6" s="18"/>
      <c r="K6" s="14" t="str">
        <f aca="false">"240,0"</f>
        <v>240,0</v>
      </c>
      <c r="L6" s="48" t="str">
        <f aca="false">"191,3198"</f>
        <v>191,3198</v>
      </c>
      <c r="M6" s="16"/>
    </row>
    <row r="7" s="37" customFormat="true" ht="13.2" hidden="false" customHeight="false" outlineLevel="0" collapsed="false">
      <c r="A7" s="36"/>
      <c r="E7" s="36"/>
      <c r="F7" s="36"/>
      <c r="K7" s="1"/>
      <c r="L7" s="38"/>
      <c r="M7" s="36"/>
    </row>
    <row r="8" customFormat="false" ht="15" hidden="false" customHeight="false" outlineLevel="0" collapsed="false">
      <c r="E8" s="20" t="s">
        <v>27</v>
      </c>
    </row>
    <row r="9" customFormat="false" ht="15" hidden="false" customHeight="false" outlineLevel="0" collapsed="false">
      <c r="E9" s="20" t="s">
        <v>28</v>
      </c>
    </row>
    <row r="10" customFormat="false" ht="15" hidden="false" customHeight="false" outlineLevel="0" collapsed="false">
      <c r="E10" s="20" t="s">
        <v>29</v>
      </c>
    </row>
    <row r="11" customFormat="false" ht="13.2" hidden="false" customHeight="false" outlineLevel="0" collapsed="false">
      <c r="E11" s="36" t="s">
        <v>30</v>
      </c>
    </row>
    <row r="12" customFormat="false" ht="13.2" hidden="false" customHeight="false" outlineLevel="0" collapsed="false">
      <c r="E12" s="36" t="s">
        <v>31</v>
      </c>
    </row>
    <row r="13" customFormat="false" ht="13.2" hidden="false" customHeight="false" outlineLevel="0" collapsed="false">
      <c r="E13" s="36" t="s">
        <v>32</v>
      </c>
    </row>
    <row r="16" customFormat="false" ht="17.4" hidden="false" customHeight="false" outlineLevel="0" collapsed="false">
      <c r="A16" s="53" t="s">
        <v>33</v>
      </c>
      <c r="B16" s="22"/>
    </row>
    <row r="17" customFormat="false" ht="15.6" hidden="false" customHeight="false" outlineLevel="0" collapsed="false">
      <c r="A17" s="54" t="s">
        <v>34</v>
      </c>
      <c r="B17" s="17"/>
    </row>
    <row r="18" customFormat="false" ht="14.4" hidden="false" customHeight="false" outlineLevel="0" collapsed="false">
      <c r="A18" s="55"/>
      <c r="B18" s="25" t="s">
        <v>244</v>
      </c>
    </row>
    <row r="19" customFormat="false" ht="13.8" hidden="false" customHeight="false" outlineLevel="0" collapsed="false">
      <c r="A19" s="26" t="s">
        <v>1</v>
      </c>
      <c r="B19" s="26" t="s">
        <v>36</v>
      </c>
      <c r="C19" s="26" t="s">
        <v>37</v>
      </c>
      <c r="D19" s="26" t="s">
        <v>38</v>
      </c>
      <c r="E19" s="26" t="s">
        <v>4</v>
      </c>
    </row>
    <row r="20" customFormat="false" ht="13.2" hidden="false" customHeight="false" outlineLevel="0" collapsed="false">
      <c r="A20" s="56" t="s">
        <v>1044</v>
      </c>
      <c r="B20" s="37" t="s">
        <v>402</v>
      </c>
      <c r="C20" s="37" t="s">
        <v>98</v>
      </c>
      <c r="D20" s="37" t="s">
        <v>446</v>
      </c>
      <c r="E20" s="1" t="s">
        <v>1045</v>
      </c>
    </row>
  </sheetData>
  <mergeCells count="12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J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6.56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4.78"/>
    <col collapsed="false" customWidth="true" hidden="false" outlineLevel="0" max="8" min="7" style="37" width="5.55"/>
    <col collapsed="false" customWidth="true" hidden="false" outlineLevel="0" max="9" min="9" style="37" width="2.11"/>
    <col collapsed="false" customWidth="true" hidden="false" outlineLevel="0" max="10" min="10" style="37" width="4.78"/>
    <col collapsed="false" customWidth="true" hidden="false" outlineLevel="0" max="11" min="11" style="1" width="5.78"/>
    <col collapsed="false" customWidth="true" hidden="false" outlineLevel="0" max="12" min="12" style="38" width="7.56"/>
    <col collapsed="false" customWidth="true" hidden="false" outlineLevel="0" max="13" min="13" style="36" width="7.11"/>
    <col collapsed="false" customWidth="false" hidden="false" outlineLevel="0" max="1024" min="14" style="39" width="9.11"/>
  </cols>
  <sheetData>
    <row r="1" s="41" customFormat="true" ht="28.95" hidden="false" customHeight="true" outlineLevel="0" collapsed="false">
      <c r="A1" s="40" t="s">
        <v>1046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475</v>
      </c>
      <c r="H3" s="45"/>
      <c r="I3" s="45"/>
      <c r="J3" s="45"/>
      <c r="K3" s="44" t="s">
        <v>8</v>
      </c>
      <c r="L3" s="44" t="s">
        <v>128</v>
      </c>
      <c r="M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4"/>
      <c r="L4" s="44"/>
      <c r="M4" s="46"/>
    </row>
    <row r="5" s="37" customFormat="true" ht="15.6" hidden="false" customHeight="false" outlineLevel="0" collapsed="false">
      <c r="A5" s="13" t="s">
        <v>74</v>
      </c>
      <c r="B5" s="13"/>
      <c r="C5" s="13"/>
      <c r="D5" s="13"/>
      <c r="E5" s="13"/>
      <c r="F5" s="13"/>
      <c r="G5" s="13"/>
      <c r="H5" s="13"/>
      <c r="I5" s="13"/>
      <c r="J5" s="13"/>
      <c r="K5" s="1"/>
      <c r="L5" s="38"/>
      <c r="M5" s="36"/>
    </row>
    <row r="6" s="37" customFormat="true" ht="13.2" hidden="false" customHeight="false" outlineLevel="0" collapsed="false">
      <c r="A6" s="30" t="s">
        <v>411</v>
      </c>
      <c r="B6" s="29" t="s">
        <v>412</v>
      </c>
      <c r="C6" s="29" t="s">
        <v>342</v>
      </c>
      <c r="D6" s="29" t="str">
        <f aca="false">"0,6192"</f>
        <v>0,6192</v>
      </c>
      <c r="E6" s="30" t="s">
        <v>13</v>
      </c>
      <c r="F6" s="30" t="s">
        <v>413</v>
      </c>
      <c r="G6" s="29" t="s">
        <v>79</v>
      </c>
      <c r="H6" s="49" t="s">
        <v>80</v>
      </c>
      <c r="I6" s="49"/>
      <c r="J6" s="49"/>
      <c r="K6" s="28" t="str">
        <f aca="false">"140,0"</f>
        <v>140,0</v>
      </c>
      <c r="L6" s="50" t="str">
        <f aca="false">"86,6950"</f>
        <v>86,6950</v>
      </c>
      <c r="M6" s="30"/>
    </row>
    <row r="7" s="37" customFormat="true" ht="13.2" hidden="false" customHeight="false" outlineLevel="0" collapsed="false">
      <c r="A7" s="34" t="s">
        <v>411</v>
      </c>
      <c r="B7" s="33" t="s">
        <v>414</v>
      </c>
      <c r="C7" s="33" t="s">
        <v>342</v>
      </c>
      <c r="D7" s="33" t="str">
        <f aca="false">"0,6192"</f>
        <v>0,6192</v>
      </c>
      <c r="E7" s="34" t="s">
        <v>13</v>
      </c>
      <c r="F7" s="34" t="s">
        <v>413</v>
      </c>
      <c r="G7" s="33" t="s">
        <v>79</v>
      </c>
      <c r="H7" s="51" t="s">
        <v>80</v>
      </c>
      <c r="I7" s="51"/>
      <c r="J7" s="51"/>
      <c r="K7" s="32" t="str">
        <f aca="false">"140,0"</f>
        <v>140,0</v>
      </c>
      <c r="L7" s="52" t="str">
        <f aca="false">"89,3825"</f>
        <v>89,3825</v>
      </c>
      <c r="M7" s="34"/>
    </row>
    <row r="9" customFormat="false" ht="15" hidden="false" customHeight="false" outlineLevel="0" collapsed="false">
      <c r="E9" s="20" t="s">
        <v>27</v>
      </c>
    </row>
    <row r="10" customFormat="false" ht="15" hidden="false" customHeight="false" outlineLevel="0" collapsed="false">
      <c r="E10" s="20" t="s">
        <v>28</v>
      </c>
    </row>
    <row r="11" customFormat="false" ht="15" hidden="false" customHeight="false" outlineLevel="0" collapsed="false">
      <c r="E11" s="20" t="s">
        <v>29</v>
      </c>
    </row>
    <row r="12" customFormat="false" ht="13.2" hidden="false" customHeight="false" outlineLevel="0" collapsed="false">
      <c r="E12" s="36" t="s">
        <v>30</v>
      </c>
    </row>
    <row r="13" customFormat="false" ht="13.2" hidden="false" customHeight="false" outlineLevel="0" collapsed="false">
      <c r="E13" s="36" t="s">
        <v>31</v>
      </c>
    </row>
    <row r="14" customFormat="false" ht="13.2" hidden="false" customHeight="false" outlineLevel="0" collapsed="false">
      <c r="E14" s="36" t="s">
        <v>32</v>
      </c>
    </row>
    <row r="17" customFormat="false" ht="17.4" hidden="false" customHeight="false" outlineLevel="0" collapsed="false">
      <c r="A17" s="53" t="s">
        <v>33</v>
      </c>
      <c r="B17" s="22"/>
    </row>
    <row r="18" customFormat="false" ht="15.6" hidden="false" customHeight="false" outlineLevel="0" collapsed="false">
      <c r="A18" s="54" t="s">
        <v>34</v>
      </c>
      <c r="B18" s="17"/>
    </row>
    <row r="19" customFormat="false" ht="14.4" hidden="false" customHeight="false" outlineLevel="0" collapsed="false">
      <c r="A19" s="55"/>
      <c r="B19" s="25" t="s">
        <v>59</v>
      </c>
    </row>
    <row r="20" customFormat="false" ht="13.8" hidden="false" customHeight="false" outlineLevel="0" collapsed="false">
      <c r="A20" s="26" t="s">
        <v>1</v>
      </c>
      <c r="B20" s="26" t="s">
        <v>36</v>
      </c>
      <c r="C20" s="26" t="s">
        <v>37</v>
      </c>
      <c r="D20" s="26" t="s">
        <v>38</v>
      </c>
      <c r="E20" s="26" t="s">
        <v>4</v>
      </c>
    </row>
    <row r="21" customFormat="false" ht="13.2" hidden="false" customHeight="false" outlineLevel="0" collapsed="false">
      <c r="A21" s="56" t="s">
        <v>415</v>
      </c>
      <c r="B21" s="37" t="s">
        <v>59</v>
      </c>
      <c r="C21" s="37" t="s">
        <v>95</v>
      </c>
      <c r="D21" s="37" t="s">
        <v>79</v>
      </c>
      <c r="E21" s="1" t="s">
        <v>1047</v>
      </c>
    </row>
    <row r="23" customFormat="false" ht="14.4" hidden="false" customHeight="false" outlineLevel="0" collapsed="false">
      <c r="A23" s="55"/>
      <c r="B23" s="25" t="s">
        <v>244</v>
      </c>
    </row>
    <row r="24" customFormat="false" ht="13.8" hidden="false" customHeight="false" outlineLevel="0" collapsed="false">
      <c r="A24" s="26" t="s">
        <v>1</v>
      </c>
      <c r="B24" s="26" t="s">
        <v>36</v>
      </c>
      <c r="C24" s="26" t="s">
        <v>37</v>
      </c>
      <c r="D24" s="26" t="s">
        <v>38</v>
      </c>
      <c r="E24" s="26" t="s">
        <v>4</v>
      </c>
    </row>
    <row r="25" customFormat="false" ht="13.2" hidden="false" customHeight="false" outlineLevel="0" collapsed="false">
      <c r="A25" s="56" t="s">
        <v>415</v>
      </c>
      <c r="B25" s="37" t="s">
        <v>259</v>
      </c>
      <c r="C25" s="37" t="s">
        <v>95</v>
      </c>
      <c r="D25" s="37" t="s">
        <v>79</v>
      </c>
      <c r="E25" s="1" t="s">
        <v>1048</v>
      </c>
    </row>
  </sheetData>
  <mergeCells count="12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J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1" width="28.56"/>
    <col collapsed="false" customWidth="true" hidden="false" outlineLevel="0" max="2" min="2" style="2" width="19.11"/>
    <col collapsed="false" customWidth="true" hidden="false" outlineLevel="0" max="3" min="3" style="2" width="7.56"/>
    <col collapsed="false" customWidth="true" hidden="false" outlineLevel="0" max="4" min="4" style="2" width="6.56"/>
    <col collapsed="false" customWidth="true" hidden="false" outlineLevel="0" max="5" min="5" style="3" width="17"/>
    <col collapsed="false" customWidth="true" hidden="false" outlineLevel="0" max="6" min="6" style="3" width="14.78"/>
    <col collapsed="false" customWidth="true" hidden="false" outlineLevel="0" max="10" min="7" style="2" width="4.56"/>
    <col collapsed="false" customWidth="true" hidden="false" outlineLevel="0" max="11" min="11" style="4" width="7"/>
    <col collapsed="false" customWidth="true" hidden="false" outlineLevel="0" max="12" min="12" style="4" width="10"/>
    <col collapsed="false" customWidth="false" hidden="false" outlineLevel="0" max="1024" min="13" style="4" width="9.11"/>
  </cols>
  <sheetData>
    <row r="1" customFormat="false" ht="28.95" hidden="false" customHeight="true" outlineLevel="0" collapsed="false">
      <c r="A1" s="5" t="s">
        <v>46</v>
      </c>
      <c r="B1" s="5"/>
      <c r="C1" s="5"/>
      <c r="D1" s="5"/>
      <c r="E1" s="5"/>
      <c r="F1" s="5"/>
      <c r="G1" s="5"/>
      <c r="H1" s="5"/>
      <c r="I1" s="5"/>
      <c r="J1" s="5"/>
    </row>
    <row r="2" customFormat="false" ht="61.9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s="11" customFormat="true" ht="12.75" hidden="false" customHeight="true" outlineLevel="0" collapsed="false">
      <c r="A3" s="6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10"/>
      <c r="I3" s="10"/>
      <c r="J3" s="10"/>
      <c r="K3" s="11" t="s">
        <v>8</v>
      </c>
    </row>
    <row r="4" s="11" customFormat="true" ht="23.25" hidden="false" customHeight="true" outlineLevel="0" collapsed="false">
      <c r="A4" s="6"/>
      <c r="B4" s="7"/>
      <c r="C4" s="7"/>
      <c r="D4" s="7"/>
      <c r="E4" s="7"/>
      <c r="F4" s="9"/>
      <c r="G4" s="12" t="n">
        <v>1</v>
      </c>
      <c r="H4" s="12" t="n">
        <v>2</v>
      </c>
      <c r="I4" s="12" t="n">
        <v>3</v>
      </c>
      <c r="J4" s="12" t="n">
        <v>4</v>
      </c>
    </row>
    <row r="5" s="2" customFormat="true" ht="15.6" hidden="false" customHeight="false" outlineLevel="0" collapsed="false">
      <c r="A5" s="13" t="s">
        <v>47</v>
      </c>
      <c r="B5" s="13"/>
      <c r="C5" s="13"/>
      <c r="D5" s="13"/>
      <c r="E5" s="13"/>
      <c r="F5" s="13"/>
      <c r="G5" s="13"/>
      <c r="H5" s="13"/>
      <c r="I5" s="13"/>
      <c r="J5" s="13"/>
    </row>
    <row r="6" s="2" customFormat="true" ht="13.2" hidden="false" customHeight="false" outlineLevel="0" collapsed="false">
      <c r="A6" s="14" t="s">
        <v>48</v>
      </c>
      <c r="B6" s="15" t="s">
        <v>49</v>
      </c>
      <c r="C6" s="15" t="s">
        <v>50</v>
      </c>
      <c r="D6" s="15" t="str">
        <f aca="false">"0,9113"</f>
        <v>0,9113</v>
      </c>
      <c r="E6" s="16" t="s">
        <v>13</v>
      </c>
      <c r="F6" s="16" t="s">
        <v>51</v>
      </c>
      <c r="G6" s="15" t="s">
        <v>52</v>
      </c>
      <c r="H6" s="15" t="s">
        <v>53</v>
      </c>
      <c r="I6" s="15" t="s">
        <v>54</v>
      </c>
      <c r="J6" s="18" t="s">
        <v>55</v>
      </c>
      <c r="K6" s="15" t="s">
        <v>56</v>
      </c>
      <c r="L6" s="15" t="s">
        <v>57</v>
      </c>
      <c r="M6" s="15"/>
    </row>
    <row r="7" s="2" customFormat="true" ht="13.2" hidden="false" customHeight="false" outlineLevel="0" collapsed="false">
      <c r="A7" s="1"/>
      <c r="E7" s="3"/>
      <c r="F7" s="3"/>
    </row>
    <row r="8" customFormat="false" ht="15" hidden="false" customHeight="false" outlineLevel="0" collapsed="false">
      <c r="E8" s="20" t="s">
        <v>27</v>
      </c>
    </row>
    <row r="9" customFormat="false" ht="15" hidden="false" customHeight="false" outlineLevel="0" collapsed="false">
      <c r="E9" s="20" t="s">
        <v>28</v>
      </c>
    </row>
    <row r="10" customFormat="false" ht="15" hidden="false" customHeight="false" outlineLevel="0" collapsed="false">
      <c r="E10" s="20" t="s">
        <v>29</v>
      </c>
    </row>
    <row r="11" customFormat="false" ht="13.2" hidden="false" customHeight="false" outlineLevel="0" collapsed="false">
      <c r="E11" s="3" t="s">
        <v>30</v>
      </c>
    </row>
    <row r="12" customFormat="false" ht="13.2" hidden="false" customHeight="false" outlineLevel="0" collapsed="false">
      <c r="E12" s="3" t="s">
        <v>31</v>
      </c>
    </row>
    <row r="13" customFormat="false" ht="13.2" hidden="false" customHeight="false" outlineLevel="0" collapsed="false">
      <c r="E13" s="3" t="s">
        <v>32</v>
      </c>
    </row>
    <row r="16" customFormat="false" ht="17.4" hidden="false" customHeight="false" outlineLevel="0" collapsed="false">
      <c r="A16" s="21" t="s">
        <v>33</v>
      </c>
      <c r="B16" s="22"/>
    </row>
    <row r="17" customFormat="false" ht="15.6" hidden="false" customHeight="false" outlineLevel="0" collapsed="false">
      <c r="A17" s="23" t="s">
        <v>58</v>
      </c>
      <c r="B17" s="17"/>
    </row>
    <row r="18" customFormat="false" ht="14.4" hidden="false" customHeight="false" outlineLevel="0" collapsed="false">
      <c r="A18" s="24"/>
      <c r="B18" s="25" t="s">
        <v>59</v>
      </c>
    </row>
    <row r="19" customFormat="false" ht="13.8" hidden="false" customHeight="false" outlineLevel="0" collapsed="false">
      <c r="A19" s="26" t="s">
        <v>1</v>
      </c>
      <c r="B19" s="26" t="s">
        <v>36</v>
      </c>
      <c r="C19" s="26" t="s">
        <v>37</v>
      </c>
      <c r="D19" s="26" t="s">
        <v>38</v>
      </c>
      <c r="E19" s="26" t="s">
        <v>4</v>
      </c>
    </row>
    <row r="20" customFormat="false" ht="13.2" hidden="false" customHeight="false" outlineLevel="0" collapsed="false">
      <c r="A20" s="27" t="s">
        <v>60</v>
      </c>
      <c r="B20" s="2" t="s">
        <v>59</v>
      </c>
      <c r="C20" s="2" t="s">
        <v>61</v>
      </c>
      <c r="D20" s="2" t="s">
        <v>54</v>
      </c>
      <c r="E20" s="1" t="s">
        <v>62</v>
      </c>
    </row>
  </sheetData>
  <mergeCells count="9">
    <mergeCell ref="A1:J2"/>
    <mergeCell ref="A3:A4"/>
    <mergeCell ref="B3:B4"/>
    <mergeCell ref="C3:C4"/>
    <mergeCell ref="D3:D4"/>
    <mergeCell ref="E3:E4"/>
    <mergeCell ref="F3:F4"/>
    <mergeCell ref="G3:J3"/>
    <mergeCell ref="A5:J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6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6.56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7.89"/>
    <col collapsed="false" customWidth="true" hidden="false" outlineLevel="0" max="9" min="7" style="37" width="5.55"/>
    <col collapsed="false" customWidth="true" hidden="false" outlineLevel="0" max="10" min="10" style="37" width="4.78"/>
    <col collapsed="false" customWidth="true" hidden="false" outlineLevel="0" max="11" min="11" style="1" width="5.78"/>
    <col collapsed="false" customWidth="true" hidden="false" outlineLevel="0" max="12" min="12" style="38" width="8.56"/>
    <col collapsed="false" customWidth="true" hidden="false" outlineLevel="0" max="13" min="13" style="36" width="14.78"/>
    <col collapsed="false" customWidth="false" hidden="false" outlineLevel="0" max="1024" min="14" style="39" width="9.11"/>
  </cols>
  <sheetData>
    <row r="1" s="41" customFormat="true" ht="28.95" hidden="false" customHeight="true" outlineLevel="0" collapsed="false">
      <c r="A1" s="40" t="s">
        <v>1049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475</v>
      </c>
      <c r="H3" s="45"/>
      <c r="I3" s="45"/>
      <c r="J3" s="45"/>
      <c r="K3" s="44" t="s">
        <v>8</v>
      </c>
      <c r="L3" s="44" t="s">
        <v>128</v>
      </c>
      <c r="M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4"/>
      <c r="L4" s="44"/>
      <c r="M4" s="46"/>
    </row>
    <row r="5" s="37" customFormat="true" ht="15.6" hidden="false" customHeight="false" outlineLevel="0" collapsed="false">
      <c r="A5" s="13" t="s">
        <v>281</v>
      </c>
      <c r="B5" s="13"/>
      <c r="C5" s="13"/>
      <c r="D5" s="13"/>
      <c r="E5" s="13"/>
      <c r="F5" s="13"/>
      <c r="G5" s="13"/>
      <c r="H5" s="13"/>
      <c r="I5" s="13"/>
      <c r="J5" s="13"/>
      <c r="K5" s="1"/>
      <c r="L5" s="38"/>
      <c r="M5" s="36"/>
    </row>
    <row r="6" s="37" customFormat="true" ht="13.2" hidden="false" customHeight="false" outlineLevel="0" collapsed="false">
      <c r="A6" s="16" t="s">
        <v>1050</v>
      </c>
      <c r="B6" s="15" t="s">
        <v>1051</v>
      </c>
      <c r="C6" s="15" t="s">
        <v>830</v>
      </c>
      <c r="D6" s="15" t="str">
        <f aca="false">"0,9997"</f>
        <v>0,9997</v>
      </c>
      <c r="E6" s="16" t="s">
        <v>13</v>
      </c>
      <c r="F6" s="16" t="s">
        <v>25</v>
      </c>
      <c r="G6" s="15" t="s">
        <v>16</v>
      </c>
      <c r="H6" s="15" t="s">
        <v>172</v>
      </c>
      <c r="I6" s="15" t="s">
        <v>177</v>
      </c>
      <c r="J6" s="18"/>
      <c r="K6" s="14" t="str">
        <f aca="false">"55,0"</f>
        <v>55,0</v>
      </c>
      <c r="L6" s="48" t="str">
        <f aca="false">"61,1966"</f>
        <v>61,1966</v>
      </c>
      <c r="M6" s="16"/>
    </row>
    <row r="7" s="37" customFormat="true" ht="13.2" hidden="false" customHeight="false" outlineLevel="0" collapsed="false">
      <c r="A7" s="36"/>
      <c r="E7" s="36"/>
      <c r="F7" s="36"/>
      <c r="K7" s="1"/>
      <c r="L7" s="38"/>
      <c r="M7" s="36"/>
    </row>
    <row r="8" customFormat="false" ht="15.6" hidden="false" customHeight="false" outlineLevel="0" collapsed="false">
      <c r="A8" s="17" t="s">
        <v>131</v>
      </c>
      <c r="B8" s="17"/>
      <c r="C8" s="17"/>
      <c r="D8" s="17"/>
      <c r="E8" s="17"/>
      <c r="F8" s="17"/>
      <c r="G8" s="17"/>
      <c r="H8" s="17"/>
      <c r="I8" s="17"/>
      <c r="J8" s="17"/>
    </row>
    <row r="9" customFormat="false" ht="13.2" hidden="false" customHeight="false" outlineLevel="0" collapsed="false">
      <c r="A9" s="30" t="s">
        <v>1052</v>
      </c>
      <c r="B9" s="29" t="s">
        <v>1053</v>
      </c>
      <c r="C9" s="29" t="s">
        <v>1054</v>
      </c>
      <c r="D9" s="29" t="str">
        <f aca="false">"0,9000"</f>
        <v>0,9000</v>
      </c>
      <c r="E9" s="30" t="s">
        <v>13</v>
      </c>
      <c r="F9" s="30" t="s">
        <v>1055</v>
      </c>
      <c r="G9" s="29" t="s">
        <v>1056</v>
      </c>
      <c r="H9" s="29" t="s">
        <v>554</v>
      </c>
      <c r="I9" s="29" t="s">
        <v>593</v>
      </c>
      <c r="J9" s="49"/>
      <c r="K9" s="28" t="str">
        <f aca="false">"97,5"</f>
        <v>97,5</v>
      </c>
      <c r="L9" s="50" t="str">
        <f aca="false">"87,7451"</f>
        <v>87,7451</v>
      </c>
      <c r="M9" s="30"/>
    </row>
    <row r="10" customFormat="false" ht="13.2" hidden="false" customHeight="false" outlineLevel="0" collapsed="false">
      <c r="A10" s="57" t="s">
        <v>1057</v>
      </c>
      <c r="B10" s="58" t="s">
        <v>1058</v>
      </c>
      <c r="C10" s="58" t="s">
        <v>1059</v>
      </c>
      <c r="D10" s="58" t="str">
        <f aca="false">"0,9049"</f>
        <v>0,9049</v>
      </c>
      <c r="E10" s="57" t="s">
        <v>164</v>
      </c>
      <c r="F10" s="57" t="s">
        <v>25</v>
      </c>
      <c r="G10" s="58" t="s">
        <v>138</v>
      </c>
      <c r="H10" s="58" t="s">
        <v>290</v>
      </c>
      <c r="I10" s="59" t="s">
        <v>26</v>
      </c>
      <c r="J10" s="59"/>
      <c r="K10" s="60" t="str">
        <f aca="false">"77,5"</f>
        <v>77,5</v>
      </c>
      <c r="L10" s="61" t="str">
        <f aca="false">"70,1298"</f>
        <v>70,1298</v>
      </c>
      <c r="M10" s="57"/>
    </row>
    <row r="11" customFormat="false" ht="13.2" hidden="false" customHeight="false" outlineLevel="0" collapsed="false">
      <c r="A11" s="34" t="s">
        <v>1060</v>
      </c>
      <c r="B11" s="33" t="s">
        <v>1061</v>
      </c>
      <c r="C11" s="33" t="s">
        <v>1062</v>
      </c>
      <c r="D11" s="33" t="str">
        <f aca="false">"0,9166"</f>
        <v>0,9166</v>
      </c>
      <c r="E11" s="34" t="s">
        <v>13</v>
      </c>
      <c r="F11" s="34" t="s">
        <v>1043</v>
      </c>
      <c r="G11" s="33" t="s">
        <v>167</v>
      </c>
      <c r="H11" s="51" t="s">
        <v>110</v>
      </c>
      <c r="I11" s="33" t="s">
        <v>110</v>
      </c>
      <c r="J11" s="51"/>
      <c r="K11" s="32" t="str">
        <f aca="false">"40,0"</f>
        <v>40,0</v>
      </c>
      <c r="L11" s="52" t="str">
        <f aca="false">"68,7854"</f>
        <v>68,7854</v>
      </c>
      <c r="M11" s="34" t="s">
        <v>1044</v>
      </c>
    </row>
    <row r="13" customFormat="false" ht="15.6" hidden="false" customHeight="false" outlineLevel="0" collapsed="false">
      <c r="A13" s="17" t="s">
        <v>187</v>
      </c>
      <c r="B13" s="17"/>
      <c r="C13" s="17"/>
      <c r="D13" s="17"/>
      <c r="E13" s="17"/>
      <c r="F13" s="17"/>
      <c r="G13" s="17"/>
      <c r="H13" s="17"/>
      <c r="I13" s="17"/>
      <c r="J13" s="17"/>
    </row>
    <row r="14" customFormat="false" ht="13.2" hidden="false" customHeight="false" outlineLevel="0" collapsed="false">
      <c r="A14" s="16" t="s">
        <v>1063</v>
      </c>
      <c r="B14" s="15" t="s">
        <v>1064</v>
      </c>
      <c r="C14" s="15" t="s">
        <v>641</v>
      </c>
      <c r="D14" s="15" t="str">
        <f aca="false">"0,6606"</f>
        <v>0,6606</v>
      </c>
      <c r="E14" s="16" t="s">
        <v>13</v>
      </c>
      <c r="F14" s="16" t="s">
        <v>1065</v>
      </c>
      <c r="G14" s="15" t="s">
        <v>919</v>
      </c>
      <c r="H14" s="18" t="s">
        <v>1066</v>
      </c>
      <c r="I14" s="18" t="s">
        <v>1066</v>
      </c>
      <c r="J14" s="18"/>
      <c r="K14" s="14" t="str">
        <f aca="false">"192,5"</f>
        <v>192,5</v>
      </c>
      <c r="L14" s="48" t="str">
        <f aca="false">"127,1655"</f>
        <v>127,1655</v>
      </c>
      <c r="M14" s="16"/>
    </row>
    <row r="16" customFormat="false" ht="15.6" hidden="false" customHeight="false" outlineLevel="0" collapsed="false">
      <c r="A16" s="17" t="s">
        <v>74</v>
      </c>
      <c r="B16" s="17"/>
      <c r="C16" s="17"/>
      <c r="D16" s="17"/>
      <c r="E16" s="17"/>
      <c r="F16" s="17"/>
      <c r="G16" s="17"/>
      <c r="H16" s="17"/>
      <c r="I16" s="17"/>
      <c r="J16" s="17"/>
    </row>
    <row r="17" customFormat="false" ht="13.2" hidden="false" customHeight="false" outlineLevel="0" collapsed="false">
      <c r="A17" s="30" t="s">
        <v>135</v>
      </c>
      <c r="B17" s="29" t="s">
        <v>136</v>
      </c>
      <c r="C17" s="29" t="s">
        <v>137</v>
      </c>
      <c r="D17" s="29" t="str">
        <f aca="false">"0,6169"</f>
        <v>0,6169</v>
      </c>
      <c r="E17" s="30" t="s">
        <v>13</v>
      </c>
      <c r="F17" s="30" t="s">
        <v>25</v>
      </c>
      <c r="G17" s="49" t="s">
        <v>1067</v>
      </c>
      <c r="H17" s="29" t="s">
        <v>1067</v>
      </c>
      <c r="I17" s="49" t="s">
        <v>350</v>
      </c>
      <c r="J17" s="49"/>
      <c r="K17" s="28" t="str">
        <f aca="false">"187,5"</f>
        <v>187,5</v>
      </c>
      <c r="L17" s="50" t="str">
        <f aca="false">"115,6594"</f>
        <v>115,6594</v>
      </c>
      <c r="M17" s="30"/>
    </row>
    <row r="18" customFormat="false" ht="13.2" hidden="false" customHeight="false" outlineLevel="0" collapsed="false">
      <c r="A18" s="57" t="s">
        <v>139</v>
      </c>
      <c r="B18" s="58" t="s">
        <v>140</v>
      </c>
      <c r="C18" s="58" t="s">
        <v>141</v>
      </c>
      <c r="D18" s="58" t="str">
        <f aca="false">"0,6157"</f>
        <v>0,6157</v>
      </c>
      <c r="E18" s="57" t="s">
        <v>13</v>
      </c>
      <c r="F18" s="57" t="s">
        <v>142</v>
      </c>
      <c r="G18" s="58" t="s">
        <v>81</v>
      </c>
      <c r="H18" s="59" t="s">
        <v>437</v>
      </c>
      <c r="I18" s="59" t="s">
        <v>437</v>
      </c>
      <c r="J18" s="59"/>
      <c r="K18" s="60" t="str">
        <f aca="false">"160,0"</f>
        <v>160,0</v>
      </c>
      <c r="L18" s="61" t="str">
        <f aca="false">"98,5120"</f>
        <v>98,5120</v>
      </c>
      <c r="M18" s="57"/>
    </row>
    <row r="19" customFormat="false" ht="13.2" hidden="false" customHeight="false" outlineLevel="0" collapsed="false">
      <c r="A19" s="57" t="s">
        <v>1020</v>
      </c>
      <c r="B19" s="58" t="s">
        <v>1021</v>
      </c>
      <c r="C19" s="58" t="s">
        <v>927</v>
      </c>
      <c r="D19" s="58" t="str">
        <f aca="false">"0,6119"</f>
        <v>0,6119</v>
      </c>
      <c r="E19" s="57" t="s">
        <v>13</v>
      </c>
      <c r="F19" s="57" t="s">
        <v>1022</v>
      </c>
      <c r="G19" s="58" t="s">
        <v>81</v>
      </c>
      <c r="H19" s="58" t="s">
        <v>1068</v>
      </c>
      <c r="I19" s="59" t="s">
        <v>485</v>
      </c>
      <c r="J19" s="59"/>
      <c r="K19" s="60" t="str">
        <f aca="false">"167,5"</f>
        <v>167,5</v>
      </c>
      <c r="L19" s="61" t="str">
        <f aca="false">"104,5346"</f>
        <v>104,5346</v>
      </c>
      <c r="M19" s="57"/>
    </row>
    <row r="20" customFormat="false" ht="13.2" hidden="false" customHeight="false" outlineLevel="0" collapsed="false">
      <c r="A20" s="34" t="s">
        <v>1069</v>
      </c>
      <c r="B20" s="33" t="s">
        <v>1070</v>
      </c>
      <c r="C20" s="33" t="s">
        <v>588</v>
      </c>
      <c r="D20" s="33" t="str">
        <f aca="false">"0,6259"</f>
        <v>0,6259</v>
      </c>
      <c r="E20" s="34" t="s">
        <v>13</v>
      </c>
      <c r="F20" s="34" t="s">
        <v>1043</v>
      </c>
      <c r="G20" s="33" t="s">
        <v>69</v>
      </c>
      <c r="H20" s="33" t="s">
        <v>624</v>
      </c>
      <c r="I20" s="33" t="s">
        <v>73</v>
      </c>
      <c r="J20" s="51"/>
      <c r="K20" s="32" t="str">
        <f aca="false">"130,0"</f>
        <v>130,0</v>
      </c>
      <c r="L20" s="52" t="str">
        <f aca="false">"101,3914"</f>
        <v>101,3914</v>
      </c>
      <c r="M20" s="34" t="s">
        <v>1071</v>
      </c>
    </row>
    <row r="22" customFormat="false" ht="15.6" hidden="false" customHeight="false" outlineLevel="0" collapsed="false">
      <c r="A22" s="17" t="s">
        <v>82</v>
      </c>
      <c r="B22" s="17"/>
      <c r="C22" s="17"/>
      <c r="D22" s="17"/>
      <c r="E22" s="17"/>
      <c r="F22" s="17"/>
      <c r="G22" s="17"/>
      <c r="H22" s="17"/>
      <c r="I22" s="17"/>
      <c r="J22" s="17"/>
    </row>
    <row r="23" customFormat="false" ht="13.2" hidden="false" customHeight="false" outlineLevel="0" collapsed="false">
      <c r="A23" s="30" t="s">
        <v>1072</v>
      </c>
      <c r="B23" s="29" t="s">
        <v>1073</v>
      </c>
      <c r="C23" s="29" t="s">
        <v>359</v>
      </c>
      <c r="D23" s="29" t="str">
        <f aca="false">"0,5914"</f>
        <v>0,5914</v>
      </c>
      <c r="E23" s="30" t="s">
        <v>13</v>
      </c>
      <c r="F23" s="30" t="s">
        <v>25</v>
      </c>
      <c r="G23" s="29" t="s">
        <v>90</v>
      </c>
      <c r="H23" s="49" t="s">
        <v>91</v>
      </c>
      <c r="I23" s="49" t="s">
        <v>91</v>
      </c>
      <c r="J23" s="49"/>
      <c r="K23" s="28" t="str">
        <f aca="false">"170,0"</f>
        <v>170,0</v>
      </c>
      <c r="L23" s="50" t="str">
        <f aca="false">"100,5380"</f>
        <v>100,5380</v>
      </c>
      <c r="M23" s="30"/>
    </row>
    <row r="24" customFormat="false" ht="13.2" hidden="false" customHeight="false" outlineLevel="0" collapsed="false">
      <c r="A24" s="34" t="s">
        <v>1040</v>
      </c>
      <c r="B24" s="33" t="s">
        <v>1041</v>
      </c>
      <c r="C24" s="33" t="s">
        <v>1042</v>
      </c>
      <c r="D24" s="33" t="str">
        <f aca="false">"0,5949"</f>
        <v>0,5949</v>
      </c>
      <c r="E24" s="34" t="s">
        <v>13</v>
      </c>
      <c r="F24" s="34" t="s">
        <v>1043</v>
      </c>
      <c r="G24" s="33" t="s">
        <v>437</v>
      </c>
      <c r="H24" s="33" t="s">
        <v>257</v>
      </c>
      <c r="I24" s="51" t="s">
        <v>350</v>
      </c>
      <c r="J24" s="51"/>
      <c r="K24" s="32" t="str">
        <f aca="false">"185,0"</f>
        <v>185,0</v>
      </c>
      <c r="L24" s="52" t="str">
        <f aca="false">"147,4757"</f>
        <v>147,4757</v>
      </c>
      <c r="M24" s="34"/>
    </row>
    <row r="26" customFormat="false" ht="15.6" hidden="false" customHeight="false" outlineLevel="0" collapsed="false">
      <c r="A26" s="17" t="s">
        <v>944</v>
      </c>
      <c r="B26" s="17"/>
      <c r="C26" s="17"/>
      <c r="D26" s="17"/>
      <c r="E26" s="17"/>
      <c r="F26" s="17"/>
      <c r="G26" s="17"/>
      <c r="H26" s="17"/>
      <c r="I26" s="17"/>
      <c r="J26" s="17"/>
    </row>
    <row r="27" customFormat="false" ht="13.2" hidden="false" customHeight="false" outlineLevel="0" collapsed="false">
      <c r="A27" s="16" t="s">
        <v>1074</v>
      </c>
      <c r="B27" s="15" t="s">
        <v>1075</v>
      </c>
      <c r="C27" s="15" t="s">
        <v>1076</v>
      </c>
      <c r="D27" s="15" t="str">
        <f aca="false">"0,5372"</f>
        <v>0,5372</v>
      </c>
      <c r="E27" s="16" t="s">
        <v>13</v>
      </c>
      <c r="F27" s="16" t="s">
        <v>1043</v>
      </c>
      <c r="G27" s="15" t="s">
        <v>80</v>
      </c>
      <c r="H27" s="15" t="s">
        <v>81</v>
      </c>
      <c r="I27" s="18" t="s">
        <v>333</v>
      </c>
      <c r="J27" s="18"/>
      <c r="K27" s="14" t="str">
        <f aca="false">"160,0"</f>
        <v>160,0</v>
      </c>
      <c r="L27" s="48" t="str">
        <f aca="false">"97,1258"</f>
        <v>97,1258</v>
      </c>
      <c r="M27" s="16"/>
    </row>
    <row r="29" customFormat="false" ht="15" hidden="false" customHeight="false" outlineLevel="0" collapsed="false">
      <c r="E29" s="20" t="s">
        <v>27</v>
      </c>
    </row>
    <row r="30" customFormat="false" ht="15" hidden="false" customHeight="false" outlineLevel="0" collapsed="false">
      <c r="E30" s="20" t="s">
        <v>28</v>
      </c>
    </row>
    <row r="31" customFormat="false" ht="15" hidden="false" customHeight="false" outlineLevel="0" collapsed="false">
      <c r="E31" s="20" t="s">
        <v>29</v>
      </c>
    </row>
    <row r="32" customFormat="false" ht="13.2" hidden="false" customHeight="false" outlineLevel="0" collapsed="false">
      <c r="E32" s="36" t="s">
        <v>30</v>
      </c>
    </row>
    <row r="33" customFormat="false" ht="13.2" hidden="false" customHeight="false" outlineLevel="0" collapsed="false">
      <c r="E33" s="36" t="s">
        <v>31</v>
      </c>
    </row>
    <row r="34" customFormat="false" ht="13.2" hidden="false" customHeight="false" outlineLevel="0" collapsed="false">
      <c r="E34" s="36" t="s">
        <v>32</v>
      </c>
    </row>
    <row r="37" customFormat="false" ht="17.4" hidden="false" customHeight="false" outlineLevel="0" collapsed="false">
      <c r="A37" s="53" t="s">
        <v>33</v>
      </c>
      <c r="B37" s="22"/>
    </row>
    <row r="38" customFormat="false" ht="15.6" hidden="false" customHeight="false" outlineLevel="0" collapsed="false">
      <c r="A38" s="54" t="s">
        <v>58</v>
      </c>
      <c r="B38" s="17"/>
    </row>
    <row r="39" customFormat="false" ht="14.4" hidden="false" customHeight="false" outlineLevel="0" collapsed="false">
      <c r="A39" s="55"/>
      <c r="B39" s="25" t="s">
        <v>59</v>
      </c>
    </row>
    <row r="40" customFormat="false" ht="13.8" hidden="false" customHeight="false" outlineLevel="0" collapsed="false">
      <c r="A40" s="26" t="s">
        <v>1</v>
      </c>
      <c r="B40" s="26" t="s">
        <v>36</v>
      </c>
      <c r="C40" s="26" t="s">
        <v>37</v>
      </c>
      <c r="D40" s="26" t="s">
        <v>38</v>
      </c>
      <c r="E40" s="26" t="s">
        <v>4</v>
      </c>
    </row>
    <row r="41" customFormat="false" ht="13.2" hidden="false" customHeight="false" outlineLevel="0" collapsed="false">
      <c r="A41" s="56" t="s">
        <v>1077</v>
      </c>
      <c r="B41" s="37" t="s">
        <v>59</v>
      </c>
      <c r="C41" s="37" t="s">
        <v>151</v>
      </c>
      <c r="D41" s="37" t="s">
        <v>593</v>
      </c>
      <c r="E41" s="1" t="s">
        <v>1078</v>
      </c>
    </row>
    <row r="42" customFormat="false" ht="13.2" hidden="false" customHeight="false" outlineLevel="0" collapsed="false">
      <c r="A42" s="56" t="s">
        <v>1079</v>
      </c>
      <c r="B42" s="37" t="s">
        <v>59</v>
      </c>
      <c r="C42" s="37" t="s">
        <v>151</v>
      </c>
      <c r="D42" s="37" t="s">
        <v>290</v>
      </c>
      <c r="E42" s="1" t="s">
        <v>1080</v>
      </c>
    </row>
    <row r="44" customFormat="false" ht="14.4" hidden="false" customHeight="false" outlineLevel="0" collapsed="false">
      <c r="A44" s="55"/>
      <c r="B44" s="25" t="s">
        <v>244</v>
      </c>
    </row>
    <row r="45" customFormat="false" ht="13.8" hidden="false" customHeight="false" outlineLevel="0" collapsed="false">
      <c r="A45" s="26" t="s">
        <v>1</v>
      </c>
      <c r="B45" s="26" t="s">
        <v>36</v>
      </c>
      <c r="C45" s="26" t="s">
        <v>37</v>
      </c>
      <c r="D45" s="26" t="s">
        <v>38</v>
      </c>
      <c r="E45" s="26" t="s">
        <v>4</v>
      </c>
    </row>
    <row r="46" customFormat="false" ht="13.2" hidden="false" customHeight="false" outlineLevel="0" collapsed="false">
      <c r="A46" s="56" t="s">
        <v>1081</v>
      </c>
      <c r="B46" s="37" t="s">
        <v>1082</v>
      </c>
      <c r="C46" s="37" t="s">
        <v>151</v>
      </c>
      <c r="D46" s="37" t="s">
        <v>15</v>
      </c>
      <c r="E46" s="1" t="s">
        <v>1083</v>
      </c>
    </row>
    <row r="47" customFormat="false" ht="13.2" hidden="false" customHeight="false" outlineLevel="0" collapsed="false">
      <c r="A47" s="56" t="s">
        <v>1084</v>
      </c>
      <c r="B47" s="37" t="s">
        <v>246</v>
      </c>
      <c r="C47" s="37" t="s">
        <v>368</v>
      </c>
      <c r="D47" s="37" t="s">
        <v>177</v>
      </c>
      <c r="E47" s="1" t="s">
        <v>1085</v>
      </c>
    </row>
    <row r="50" customFormat="false" ht="15.6" hidden="false" customHeight="false" outlineLevel="0" collapsed="false">
      <c r="A50" s="54" t="s">
        <v>34</v>
      </c>
      <c r="B50" s="17"/>
    </row>
    <row r="51" customFormat="false" ht="14.4" hidden="false" customHeight="false" outlineLevel="0" collapsed="false">
      <c r="A51" s="55"/>
      <c r="B51" s="25" t="s">
        <v>59</v>
      </c>
    </row>
    <row r="52" customFormat="false" ht="13.8" hidden="false" customHeight="false" outlineLevel="0" collapsed="false">
      <c r="A52" s="26" t="s">
        <v>1</v>
      </c>
      <c r="B52" s="26" t="s">
        <v>36</v>
      </c>
      <c r="C52" s="26" t="s">
        <v>37</v>
      </c>
      <c r="D52" s="26" t="s">
        <v>38</v>
      </c>
      <c r="E52" s="26" t="s">
        <v>4</v>
      </c>
    </row>
    <row r="53" customFormat="false" ht="13.2" hidden="false" customHeight="false" outlineLevel="0" collapsed="false">
      <c r="A53" s="56" t="s">
        <v>1086</v>
      </c>
      <c r="B53" s="37" t="s">
        <v>59</v>
      </c>
      <c r="C53" s="37" t="s">
        <v>225</v>
      </c>
      <c r="D53" s="37" t="s">
        <v>919</v>
      </c>
      <c r="E53" s="1" t="s">
        <v>1087</v>
      </c>
    </row>
    <row r="54" customFormat="false" ht="13.2" hidden="false" customHeight="false" outlineLevel="0" collapsed="false">
      <c r="A54" s="56" t="s">
        <v>153</v>
      </c>
      <c r="B54" s="37" t="s">
        <v>59</v>
      </c>
      <c r="C54" s="37" t="s">
        <v>95</v>
      </c>
      <c r="D54" s="37" t="s">
        <v>1067</v>
      </c>
      <c r="E54" s="1" t="s">
        <v>1088</v>
      </c>
    </row>
    <row r="55" customFormat="false" ht="13.2" hidden="false" customHeight="false" outlineLevel="0" collapsed="false">
      <c r="A55" s="56" t="s">
        <v>1089</v>
      </c>
      <c r="B55" s="37" t="s">
        <v>59</v>
      </c>
      <c r="C55" s="37" t="s">
        <v>98</v>
      </c>
      <c r="D55" s="37" t="s">
        <v>90</v>
      </c>
      <c r="E55" s="1" t="s">
        <v>1090</v>
      </c>
    </row>
    <row r="56" customFormat="false" ht="13.2" hidden="false" customHeight="false" outlineLevel="0" collapsed="false">
      <c r="A56" s="56" t="s">
        <v>155</v>
      </c>
      <c r="B56" s="37" t="s">
        <v>59</v>
      </c>
      <c r="C56" s="37" t="s">
        <v>95</v>
      </c>
      <c r="D56" s="37" t="s">
        <v>81</v>
      </c>
      <c r="E56" s="1" t="s">
        <v>1091</v>
      </c>
    </row>
    <row r="58" customFormat="false" ht="14.4" hidden="false" customHeight="false" outlineLevel="0" collapsed="false">
      <c r="A58" s="55"/>
      <c r="B58" s="25" t="s">
        <v>244</v>
      </c>
    </row>
    <row r="59" customFormat="false" ht="13.8" hidden="false" customHeight="false" outlineLevel="0" collapsed="false">
      <c r="A59" s="26" t="s">
        <v>1</v>
      </c>
      <c r="B59" s="26" t="s">
        <v>36</v>
      </c>
      <c r="C59" s="26" t="s">
        <v>37</v>
      </c>
      <c r="D59" s="26" t="s">
        <v>38</v>
      </c>
      <c r="E59" s="26" t="s">
        <v>4</v>
      </c>
    </row>
    <row r="60" customFormat="false" ht="13.2" hidden="false" customHeight="false" outlineLevel="0" collapsed="false">
      <c r="A60" s="56" t="s">
        <v>1044</v>
      </c>
      <c r="B60" s="37" t="s">
        <v>402</v>
      </c>
      <c r="C60" s="37" t="s">
        <v>98</v>
      </c>
      <c r="D60" s="37" t="s">
        <v>257</v>
      </c>
      <c r="E60" s="1" t="s">
        <v>1092</v>
      </c>
    </row>
    <row r="61" customFormat="false" ht="13.2" hidden="false" customHeight="false" outlineLevel="0" collapsed="false">
      <c r="A61" s="56" t="s">
        <v>1035</v>
      </c>
      <c r="B61" s="37" t="s">
        <v>259</v>
      </c>
      <c r="C61" s="37" t="s">
        <v>95</v>
      </c>
      <c r="D61" s="37" t="s">
        <v>1068</v>
      </c>
      <c r="E61" s="1" t="s">
        <v>1093</v>
      </c>
    </row>
    <row r="62" customFormat="false" ht="13.2" hidden="false" customHeight="false" outlineLevel="0" collapsed="false">
      <c r="A62" s="56" t="s">
        <v>1094</v>
      </c>
      <c r="B62" s="37" t="s">
        <v>249</v>
      </c>
      <c r="C62" s="37" t="s">
        <v>95</v>
      </c>
      <c r="D62" s="37" t="s">
        <v>73</v>
      </c>
      <c r="E62" s="1" t="s">
        <v>1095</v>
      </c>
    </row>
    <row r="63" customFormat="false" ht="13.2" hidden="false" customHeight="false" outlineLevel="0" collapsed="false">
      <c r="A63" s="56" t="s">
        <v>1096</v>
      </c>
      <c r="B63" s="37" t="s">
        <v>461</v>
      </c>
      <c r="C63" s="37" t="s">
        <v>998</v>
      </c>
      <c r="D63" s="37" t="s">
        <v>81</v>
      </c>
      <c r="E63" s="1" t="s">
        <v>1097</v>
      </c>
    </row>
  </sheetData>
  <mergeCells count="17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A8:J8"/>
    <mergeCell ref="A13:J13"/>
    <mergeCell ref="A16:J16"/>
    <mergeCell ref="A22:J22"/>
    <mergeCell ref="A26:J2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6.56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4.78"/>
    <col collapsed="false" customWidth="true" hidden="false" outlineLevel="0" max="9" min="7" style="37" width="5.55"/>
    <col collapsed="false" customWidth="true" hidden="false" outlineLevel="0" max="10" min="10" style="37" width="4.78"/>
    <col collapsed="false" customWidth="true" hidden="false" outlineLevel="0" max="13" min="11" style="37" width="5.55"/>
    <col collapsed="false" customWidth="true" hidden="false" outlineLevel="0" max="14" min="14" style="37" width="4.78"/>
    <col collapsed="false" customWidth="true" hidden="false" outlineLevel="0" max="16" min="15" style="37" width="5.55"/>
    <col collapsed="false" customWidth="true" hidden="false" outlineLevel="0" max="17" min="17" style="37" width="2.11"/>
    <col collapsed="false" customWidth="true" hidden="false" outlineLevel="0" max="18" min="18" style="37" width="4.78"/>
    <col collapsed="false" customWidth="true" hidden="false" outlineLevel="0" max="19" min="19" style="1" width="5.78"/>
    <col collapsed="false" customWidth="true" hidden="false" outlineLevel="0" max="20" min="20" style="38" width="8.56"/>
    <col collapsed="false" customWidth="true" hidden="false" outlineLevel="0" max="21" min="21" style="36" width="7.11"/>
    <col collapsed="false" customWidth="false" hidden="false" outlineLevel="0" max="1024" min="22" style="39" width="9.11"/>
  </cols>
  <sheetData>
    <row r="1" s="41" customFormat="true" ht="28.95" hidden="false" customHeight="true" outlineLevel="0" collapsed="false">
      <c r="A1" s="40" t="s">
        <v>1098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817</v>
      </c>
      <c r="H3" s="45"/>
      <c r="I3" s="45"/>
      <c r="J3" s="45"/>
      <c r="K3" s="45" t="s">
        <v>475</v>
      </c>
      <c r="L3" s="45"/>
      <c r="M3" s="45"/>
      <c r="N3" s="45"/>
      <c r="O3" s="45" t="s">
        <v>252</v>
      </c>
      <c r="P3" s="45"/>
      <c r="Q3" s="45"/>
      <c r="R3" s="45"/>
      <c r="S3" s="44" t="s">
        <v>818</v>
      </c>
      <c r="T3" s="44" t="s">
        <v>128</v>
      </c>
      <c r="U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7" t="n">
        <v>1</v>
      </c>
      <c r="L4" s="47" t="n">
        <v>2</v>
      </c>
      <c r="M4" s="47" t="n">
        <v>3</v>
      </c>
      <c r="N4" s="47" t="s">
        <v>130</v>
      </c>
      <c r="O4" s="47" t="n">
        <v>1</v>
      </c>
      <c r="P4" s="47" t="n">
        <v>2</v>
      </c>
      <c r="Q4" s="47" t="n">
        <v>3</v>
      </c>
      <c r="R4" s="47" t="s">
        <v>130</v>
      </c>
      <c r="S4" s="44"/>
      <c r="T4" s="44"/>
      <c r="U4" s="46"/>
    </row>
    <row r="5" s="37" customFormat="true" ht="15.6" hidden="false" customHeight="false" outlineLevel="0" collapsed="false">
      <c r="A5" s="13" t="s">
        <v>74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"/>
      <c r="T5" s="38"/>
      <c r="U5" s="36"/>
    </row>
    <row r="6" s="37" customFormat="true" ht="13.2" hidden="false" customHeight="false" outlineLevel="0" collapsed="false">
      <c r="A6" s="30" t="s">
        <v>438</v>
      </c>
      <c r="B6" s="29" t="s">
        <v>439</v>
      </c>
      <c r="C6" s="29" t="s">
        <v>77</v>
      </c>
      <c r="D6" s="29" t="str">
        <f aca="false">"0,6177"</f>
        <v>0,6177</v>
      </c>
      <c r="E6" s="30" t="s">
        <v>13</v>
      </c>
      <c r="F6" s="30" t="s">
        <v>413</v>
      </c>
      <c r="G6" s="29" t="s">
        <v>356</v>
      </c>
      <c r="H6" s="29" t="s">
        <v>865</v>
      </c>
      <c r="I6" s="29" t="s">
        <v>510</v>
      </c>
      <c r="J6" s="49"/>
      <c r="K6" s="29" t="s">
        <v>73</v>
      </c>
      <c r="L6" s="29" t="s">
        <v>90</v>
      </c>
      <c r="M6" s="49" t="s">
        <v>257</v>
      </c>
      <c r="N6" s="49"/>
      <c r="O6" s="29" t="s">
        <v>306</v>
      </c>
      <c r="P6" s="29" t="s">
        <v>440</v>
      </c>
      <c r="Q6" s="49"/>
      <c r="R6" s="49"/>
      <c r="S6" s="28" t="str">
        <f aca="false">"752,5"</f>
        <v>752,5</v>
      </c>
      <c r="T6" s="50" t="str">
        <f aca="false">"464,8192"</f>
        <v>464,8192</v>
      </c>
      <c r="U6" s="30"/>
    </row>
    <row r="7" s="37" customFormat="true" ht="13.2" hidden="false" customHeight="false" outlineLevel="0" collapsed="false">
      <c r="A7" s="34" t="s">
        <v>411</v>
      </c>
      <c r="B7" s="33" t="s">
        <v>414</v>
      </c>
      <c r="C7" s="33" t="s">
        <v>342</v>
      </c>
      <c r="D7" s="33" t="str">
        <f aca="false">"0,6192"</f>
        <v>0,6192</v>
      </c>
      <c r="E7" s="34" t="s">
        <v>13</v>
      </c>
      <c r="F7" s="34" t="s">
        <v>413</v>
      </c>
      <c r="G7" s="33" t="s">
        <v>81</v>
      </c>
      <c r="H7" s="51" t="s">
        <v>91</v>
      </c>
      <c r="I7" s="33" t="s">
        <v>91</v>
      </c>
      <c r="J7" s="51"/>
      <c r="K7" s="33" t="s">
        <v>79</v>
      </c>
      <c r="L7" s="51" t="s">
        <v>80</v>
      </c>
      <c r="M7" s="51"/>
      <c r="N7" s="51"/>
      <c r="O7" s="33" t="s">
        <v>91</v>
      </c>
      <c r="P7" s="51"/>
      <c r="Q7" s="51"/>
      <c r="R7" s="51"/>
      <c r="S7" s="32" t="str">
        <f aca="false">"500,0"</f>
        <v>500,0</v>
      </c>
      <c r="T7" s="52" t="str">
        <f aca="false">"319,2234"</f>
        <v>319,2234</v>
      </c>
      <c r="U7" s="34"/>
    </row>
    <row r="9" customFormat="false" ht="15" hidden="false" customHeight="false" outlineLevel="0" collapsed="false">
      <c r="E9" s="20" t="s">
        <v>27</v>
      </c>
    </row>
    <row r="10" customFormat="false" ht="15" hidden="false" customHeight="false" outlineLevel="0" collapsed="false">
      <c r="E10" s="20" t="s">
        <v>28</v>
      </c>
    </row>
    <row r="11" customFormat="false" ht="15" hidden="false" customHeight="false" outlineLevel="0" collapsed="false">
      <c r="E11" s="20" t="s">
        <v>29</v>
      </c>
    </row>
    <row r="12" customFormat="false" ht="13.2" hidden="false" customHeight="false" outlineLevel="0" collapsed="false">
      <c r="E12" s="36" t="s">
        <v>30</v>
      </c>
    </row>
    <row r="13" customFormat="false" ht="13.2" hidden="false" customHeight="false" outlineLevel="0" collapsed="false">
      <c r="E13" s="36" t="s">
        <v>31</v>
      </c>
    </row>
    <row r="14" customFormat="false" ht="13.2" hidden="false" customHeight="false" outlineLevel="0" collapsed="false">
      <c r="E14" s="36" t="s">
        <v>32</v>
      </c>
    </row>
    <row r="17" customFormat="false" ht="17.4" hidden="false" customHeight="false" outlineLevel="0" collapsed="false">
      <c r="A17" s="53" t="s">
        <v>33</v>
      </c>
      <c r="B17" s="22"/>
    </row>
    <row r="18" customFormat="false" ht="15.6" hidden="false" customHeight="false" outlineLevel="0" collapsed="false">
      <c r="A18" s="54" t="s">
        <v>34</v>
      </c>
      <c r="B18" s="17"/>
    </row>
    <row r="19" customFormat="false" ht="14.4" hidden="false" customHeight="false" outlineLevel="0" collapsed="false">
      <c r="A19" s="55"/>
      <c r="B19" s="25" t="s">
        <v>59</v>
      </c>
    </row>
    <row r="20" customFormat="false" ht="13.8" hidden="false" customHeight="false" outlineLevel="0" collapsed="false">
      <c r="A20" s="26" t="s">
        <v>1</v>
      </c>
      <c r="B20" s="26" t="s">
        <v>36</v>
      </c>
      <c r="C20" s="26" t="s">
        <v>37</v>
      </c>
      <c r="D20" s="26" t="s">
        <v>823</v>
      </c>
      <c r="E20" s="26" t="s">
        <v>4</v>
      </c>
    </row>
    <row r="21" customFormat="false" ht="13.2" hidden="false" customHeight="false" outlineLevel="0" collapsed="false">
      <c r="A21" s="56" t="s">
        <v>467</v>
      </c>
      <c r="B21" s="37" t="s">
        <v>59</v>
      </c>
      <c r="C21" s="37" t="s">
        <v>95</v>
      </c>
      <c r="D21" s="37" t="s">
        <v>1099</v>
      </c>
      <c r="E21" s="1" t="s">
        <v>1100</v>
      </c>
    </row>
    <row r="23" customFormat="false" ht="14.4" hidden="false" customHeight="false" outlineLevel="0" collapsed="false">
      <c r="A23" s="55"/>
      <c r="B23" s="25" t="s">
        <v>244</v>
      </c>
    </row>
    <row r="24" customFormat="false" ht="13.8" hidden="false" customHeight="false" outlineLevel="0" collapsed="false">
      <c r="A24" s="26" t="s">
        <v>1</v>
      </c>
      <c r="B24" s="26" t="s">
        <v>36</v>
      </c>
      <c r="C24" s="26" t="s">
        <v>37</v>
      </c>
      <c r="D24" s="26" t="s">
        <v>823</v>
      </c>
      <c r="E24" s="26" t="s">
        <v>4</v>
      </c>
    </row>
    <row r="25" customFormat="false" ht="13.2" hidden="false" customHeight="false" outlineLevel="0" collapsed="false">
      <c r="A25" s="56" t="s">
        <v>415</v>
      </c>
      <c r="B25" s="37" t="s">
        <v>259</v>
      </c>
      <c r="C25" s="37" t="s">
        <v>95</v>
      </c>
      <c r="D25" s="37" t="s">
        <v>880</v>
      </c>
      <c r="E25" s="1" t="s">
        <v>1101</v>
      </c>
    </row>
  </sheetData>
  <mergeCells count="14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R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6.56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4.78"/>
    <col collapsed="false" customWidth="true" hidden="false" outlineLevel="0" max="9" min="7" style="37" width="5.55"/>
    <col collapsed="false" customWidth="true" hidden="false" outlineLevel="0" max="10" min="10" style="37" width="4.78"/>
    <col collapsed="false" customWidth="true" hidden="false" outlineLevel="0" max="13" min="11" style="37" width="5.55"/>
    <col collapsed="false" customWidth="true" hidden="false" outlineLevel="0" max="14" min="14" style="37" width="4.78"/>
    <col collapsed="false" customWidth="true" hidden="false" outlineLevel="0" max="17" min="15" style="37" width="5.55"/>
    <col collapsed="false" customWidth="true" hidden="false" outlineLevel="0" max="18" min="18" style="37" width="4.78"/>
    <col collapsed="false" customWidth="true" hidden="false" outlineLevel="0" max="19" min="19" style="1" width="5.78"/>
    <col collapsed="false" customWidth="true" hidden="false" outlineLevel="0" max="20" min="20" style="38" width="8.56"/>
    <col collapsed="false" customWidth="true" hidden="false" outlineLevel="0" max="21" min="21" style="36" width="7.11"/>
    <col collapsed="false" customWidth="false" hidden="false" outlineLevel="0" max="1024" min="22" style="39" width="9.11"/>
  </cols>
  <sheetData>
    <row r="1" s="41" customFormat="true" ht="28.95" hidden="false" customHeight="true" outlineLevel="0" collapsed="false">
      <c r="A1" s="40" t="s">
        <v>1102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817</v>
      </c>
      <c r="H3" s="45"/>
      <c r="I3" s="45"/>
      <c r="J3" s="45"/>
      <c r="K3" s="45" t="s">
        <v>475</v>
      </c>
      <c r="L3" s="45"/>
      <c r="M3" s="45"/>
      <c r="N3" s="45"/>
      <c r="O3" s="45" t="s">
        <v>252</v>
      </c>
      <c r="P3" s="45"/>
      <c r="Q3" s="45"/>
      <c r="R3" s="45"/>
      <c r="S3" s="44" t="s">
        <v>818</v>
      </c>
      <c r="T3" s="44" t="s">
        <v>128</v>
      </c>
      <c r="U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7" t="n">
        <v>1</v>
      </c>
      <c r="L4" s="47" t="n">
        <v>2</v>
      </c>
      <c r="M4" s="47" t="n">
        <v>3</v>
      </c>
      <c r="N4" s="47" t="s">
        <v>130</v>
      </c>
      <c r="O4" s="47" t="n">
        <v>1</v>
      </c>
      <c r="P4" s="47" t="n">
        <v>2</v>
      </c>
      <c r="Q4" s="47" t="n">
        <v>3</v>
      </c>
      <c r="R4" s="47" t="s">
        <v>130</v>
      </c>
      <c r="S4" s="44"/>
      <c r="T4" s="44"/>
      <c r="U4" s="46"/>
    </row>
    <row r="5" s="37" customFormat="true" ht="15.6" hidden="false" customHeight="false" outlineLevel="0" collapsed="false">
      <c r="A5" s="13" t="s">
        <v>187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"/>
      <c r="T5" s="38"/>
      <c r="U5" s="36"/>
    </row>
    <row r="6" s="37" customFormat="true" ht="13.2" hidden="false" customHeight="false" outlineLevel="0" collapsed="false">
      <c r="A6" s="16" t="s">
        <v>1103</v>
      </c>
      <c r="B6" s="15" t="s">
        <v>1104</v>
      </c>
      <c r="C6" s="15" t="s">
        <v>1019</v>
      </c>
      <c r="D6" s="15" t="str">
        <f aca="false">"0,6477"</f>
        <v>0,6477</v>
      </c>
      <c r="E6" s="16" t="s">
        <v>13</v>
      </c>
      <c r="F6" s="16" t="s">
        <v>89</v>
      </c>
      <c r="G6" s="18" t="s">
        <v>67</v>
      </c>
      <c r="H6" s="15" t="s">
        <v>67</v>
      </c>
      <c r="I6" s="18" t="s">
        <v>634</v>
      </c>
      <c r="J6" s="18"/>
      <c r="K6" s="15" t="s">
        <v>149</v>
      </c>
      <c r="L6" s="15" t="s">
        <v>18</v>
      </c>
      <c r="M6" s="18" t="s">
        <v>138</v>
      </c>
      <c r="N6" s="18"/>
      <c r="O6" s="15" t="s">
        <v>150</v>
      </c>
      <c r="P6" s="15" t="s">
        <v>67</v>
      </c>
      <c r="Q6" s="15" t="s">
        <v>269</v>
      </c>
      <c r="R6" s="18"/>
      <c r="S6" s="14" t="str">
        <f aca="false">"275,0"</f>
        <v>275,0</v>
      </c>
      <c r="T6" s="48" t="str">
        <f aca="false">"178,1038"</f>
        <v>178,1038</v>
      </c>
      <c r="U6" s="16"/>
    </row>
    <row r="7" s="37" customFormat="true" ht="13.2" hidden="false" customHeight="false" outlineLevel="0" collapsed="false">
      <c r="A7" s="36"/>
      <c r="E7" s="36"/>
      <c r="F7" s="36"/>
      <c r="S7" s="1"/>
      <c r="T7" s="38"/>
      <c r="U7" s="36"/>
    </row>
    <row r="8" customFormat="false" ht="15.6" hidden="false" customHeight="false" outlineLevel="0" collapsed="false">
      <c r="A8" s="17" t="s">
        <v>74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customFormat="false" ht="13.2" hidden="false" customHeight="false" outlineLevel="0" collapsed="false">
      <c r="A9" s="30" t="s">
        <v>438</v>
      </c>
      <c r="B9" s="29" t="s">
        <v>439</v>
      </c>
      <c r="C9" s="29" t="s">
        <v>77</v>
      </c>
      <c r="D9" s="29" t="str">
        <f aca="false">"0,6177"</f>
        <v>0,6177</v>
      </c>
      <c r="E9" s="30" t="s">
        <v>13</v>
      </c>
      <c r="F9" s="30" t="s">
        <v>413</v>
      </c>
      <c r="G9" s="49" t="s">
        <v>446</v>
      </c>
      <c r="H9" s="29" t="s">
        <v>446</v>
      </c>
      <c r="I9" s="49" t="s">
        <v>1105</v>
      </c>
      <c r="J9" s="49"/>
      <c r="K9" s="29" t="s">
        <v>73</v>
      </c>
      <c r="L9" s="49"/>
      <c r="M9" s="49"/>
      <c r="N9" s="49"/>
      <c r="O9" s="29" t="s">
        <v>306</v>
      </c>
      <c r="P9" s="29" t="s">
        <v>858</v>
      </c>
      <c r="Q9" s="49" t="s">
        <v>1106</v>
      </c>
      <c r="R9" s="49"/>
      <c r="S9" s="28" t="str">
        <f aca="false">"640,0"</f>
        <v>640,0</v>
      </c>
      <c r="T9" s="50" t="str">
        <f aca="false">"395,3280"</f>
        <v>395,3280</v>
      </c>
      <c r="U9" s="30"/>
    </row>
    <row r="10" customFormat="false" ht="13.2" hidden="false" customHeight="false" outlineLevel="0" collapsed="false">
      <c r="A10" s="57" t="s">
        <v>1107</v>
      </c>
      <c r="B10" s="58" t="s">
        <v>1108</v>
      </c>
      <c r="C10" s="58" t="s">
        <v>137</v>
      </c>
      <c r="D10" s="58" t="str">
        <f aca="false">"0,6169"</f>
        <v>0,6169</v>
      </c>
      <c r="E10" s="57" t="s">
        <v>13</v>
      </c>
      <c r="F10" s="57" t="s">
        <v>1109</v>
      </c>
      <c r="G10" s="58" t="s">
        <v>339</v>
      </c>
      <c r="H10" s="58" t="s">
        <v>345</v>
      </c>
      <c r="I10" s="59" t="s">
        <v>501</v>
      </c>
      <c r="J10" s="59"/>
      <c r="K10" s="58" t="s">
        <v>79</v>
      </c>
      <c r="L10" s="58" t="s">
        <v>638</v>
      </c>
      <c r="M10" s="58" t="s">
        <v>80</v>
      </c>
      <c r="N10" s="59"/>
      <c r="O10" s="58" t="s">
        <v>446</v>
      </c>
      <c r="P10" s="58" t="s">
        <v>950</v>
      </c>
      <c r="Q10" s="59" t="s">
        <v>858</v>
      </c>
      <c r="R10" s="59"/>
      <c r="S10" s="60" t="str">
        <f aca="false">"632,5"</f>
        <v>632,5</v>
      </c>
      <c r="T10" s="61" t="str">
        <f aca="false">"390,1576"</f>
        <v>390,1576</v>
      </c>
      <c r="U10" s="57"/>
    </row>
    <row r="11" customFormat="false" ht="13.2" hidden="false" customHeight="false" outlineLevel="0" collapsed="false">
      <c r="A11" s="34" t="s">
        <v>411</v>
      </c>
      <c r="B11" s="33" t="s">
        <v>414</v>
      </c>
      <c r="C11" s="33" t="s">
        <v>342</v>
      </c>
      <c r="D11" s="33" t="str">
        <f aca="false">"0,6192"</f>
        <v>0,6192</v>
      </c>
      <c r="E11" s="34" t="s">
        <v>13</v>
      </c>
      <c r="F11" s="34" t="s">
        <v>413</v>
      </c>
      <c r="G11" s="51" t="s">
        <v>81</v>
      </c>
      <c r="H11" s="51" t="s">
        <v>81</v>
      </c>
      <c r="I11" s="33" t="s">
        <v>81</v>
      </c>
      <c r="J11" s="51"/>
      <c r="K11" s="33" t="s">
        <v>73</v>
      </c>
      <c r="L11" s="33" t="s">
        <v>79</v>
      </c>
      <c r="M11" s="51"/>
      <c r="N11" s="51"/>
      <c r="O11" s="33" t="s">
        <v>295</v>
      </c>
      <c r="P11" s="51" t="s">
        <v>314</v>
      </c>
      <c r="Q11" s="51"/>
      <c r="R11" s="51"/>
      <c r="S11" s="32" t="str">
        <f aca="false">"500,0"</f>
        <v>500,0</v>
      </c>
      <c r="T11" s="52" t="str">
        <f aca="false">"319,2234"</f>
        <v>319,2234</v>
      </c>
      <c r="U11" s="34"/>
    </row>
    <row r="13" customFormat="false" ht="15.6" hidden="false" customHeight="false" outlineLevel="0" collapsed="false">
      <c r="A13" s="17" t="s">
        <v>82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customFormat="false" ht="13.2" hidden="false" customHeight="false" outlineLevel="0" collapsed="false">
      <c r="A14" s="16" t="s">
        <v>1110</v>
      </c>
      <c r="B14" s="15" t="s">
        <v>1111</v>
      </c>
      <c r="C14" s="15" t="s">
        <v>930</v>
      </c>
      <c r="D14" s="15" t="str">
        <f aca="false">"0,5833"</f>
        <v>0,5833</v>
      </c>
      <c r="E14" s="16" t="s">
        <v>13</v>
      </c>
      <c r="F14" s="16" t="s">
        <v>661</v>
      </c>
      <c r="G14" s="18" t="s">
        <v>446</v>
      </c>
      <c r="H14" s="18" t="s">
        <v>306</v>
      </c>
      <c r="I14" s="15" t="s">
        <v>306</v>
      </c>
      <c r="J14" s="18"/>
      <c r="K14" s="15" t="s">
        <v>257</v>
      </c>
      <c r="L14" s="15" t="s">
        <v>350</v>
      </c>
      <c r="M14" s="15" t="s">
        <v>301</v>
      </c>
      <c r="N14" s="18"/>
      <c r="O14" s="15" t="s">
        <v>306</v>
      </c>
      <c r="P14" s="15" t="s">
        <v>308</v>
      </c>
      <c r="Q14" s="18" t="s">
        <v>865</v>
      </c>
      <c r="R14" s="18"/>
      <c r="S14" s="14" t="str">
        <f aca="false">"710,0"</f>
        <v>710,0</v>
      </c>
      <c r="T14" s="48" t="str">
        <f aca="false">"414,1430"</f>
        <v>414,1430</v>
      </c>
      <c r="U14" s="16"/>
    </row>
    <row r="16" customFormat="false" ht="15.6" hidden="false" customHeight="false" outlineLevel="0" collapsed="false">
      <c r="A16" s="17" t="s">
        <v>144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customFormat="false" ht="13.2" hidden="false" customHeight="false" outlineLevel="0" collapsed="false">
      <c r="A17" s="16" t="s">
        <v>1112</v>
      </c>
      <c r="B17" s="15" t="s">
        <v>1113</v>
      </c>
      <c r="C17" s="15" t="s">
        <v>1114</v>
      </c>
      <c r="D17" s="15" t="str">
        <f aca="false">"0,5648"</f>
        <v>0,5648</v>
      </c>
      <c r="E17" s="16" t="s">
        <v>13</v>
      </c>
      <c r="F17" s="16" t="s">
        <v>25</v>
      </c>
      <c r="G17" s="18" t="s">
        <v>91</v>
      </c>
      <c r="H17" s="15" t="s">
        <v>91</v>
      </c>
      <c r="I17" s="15" t="s">
        <v>257</v>
      </c>
      <c r="J17" s="18"/>
      <c r="K17" s="18" t="s">
        <v>73</v>
      </c>
      <c r="L17" s="18" t="s">
        <v>73</v>
      </c>
      <c r="M17" s="18" t="s">
        <v>73</v>
      </c>
      <c r="N17" s="18"/>
      <c r="O17" s="18" t="s">
        <v>90</v>
      </c>
      <c r="P17" s="18"/>
      <c r="Q17" s="18"/>
      <c r="R17" s="18"/>
      <c r="S17" s="14" t="str">
        <f aca="false">"0.00"</f>
        <v>0.00</v>
      </c>
      <c r="T17" s="48" t="str">
        <f aca="false">"0,0000"</f>
        <v>0,0000</v>
      </c>
      <c r="U17" s="16"/>
    </row>
    <row r="19" customFormat="false" ht="15" hidden="false" customHeight="false" outlineLevel="0" collapsed="false">
      <c r="E19" s="20" t="s">
        <v>27</v>
      </c>
    </row>
    <row r="20" customFormat="false" ht="15" hidden="false" customHeight="false" outlineLevel="0" collapsed="false">
      <c r="E20" s="20" t="s">
        <v>28</v>
      </c>
    </row>
    <row r="21" customFormat="false" ht="15" hidden="false" customHeight="false" outlineLevel="0" collapsed="false">
      <c r="E21" s="20" t="s">
        <v>29</v>
      </c>
    </row>
    <row r="22" customFormat="false" ht="13.2" hidden="false" customHeight="false" outlineLevel="0" collapsed="false">
      <c r="E22" s="36" t="s">
        <v>30</v>
      </c>
    </row>
    <row r="23" customFormat="false" ht="13.2" hidden="false" customHeight="false" outlineLevel="0" collapsed="false">
      <c r="E23" s="36" t="s">
        <v>31</v>
      </c>
    </row>
    <row r="24" customFormat="false" ht="13.2" hidden="false" customHeight="false" outlineLevel="0" collapsed="false">
      <c r="E24" s="36" t="s">
        <v>32</v>
      </c>
    </row>
    <row r="27" customFormat="false" ht="17.4" hidden="false" customHeight="false" outlineLevel="0" collapsed="false">
      <c r="A27" s="53" t="s">
        <v>33</v>
      </c>
      <c r="B27" s="22"/>
    </row>
    <row r="28" customFormat="false" ht="15.6" hidden="false" customHeight="false" outlineLevel="0" collapsed="false">
      <c r="A28" s="54" t="s">
        <v>34</v>
      </c>
      <c r="B28" s="17"/>
    </row>
    <row r="29" customFormat="false" ht="14.4" hidden="false" customHeight="false" outlineLevel="0" collapsed="false">
      <c r="A29" s="55"/>
      <c r="B29" s="25" t="s">
        <v>59</v>
      </c>
    </row>
    <row r="30" customFormat="false" ht="13.8" hidden="false" customHeight="false" outlineLevel="0" collapsed="false">
      <c r="A30" s="26" t="s">
        <v>1</v>
      </c>
      <c r="B30" s="26" t="s">
        <v>36</v>
      </c>
      <c r="C30" s="26" t="s">
        <v>37</v>
      </c>
      <c r="D30" s="26" t="s">
        <v>823</v>
      </c>
      <c r="E30" s="26" t="s">
        <v>4</v>
      </c>
    </row>
    <row r="31" customFormat="false" ht="13.2" hidden="false" customHeight="false" outlineLevel="0" collapsed="false">
      <c r="A31" s="56" t="s">
        <v>1115</v>
      </c>
      <c r="B31" s="37" t="s">
        <v>59</v>
      </c>
      <c r="C31" s="37" t="s">
        <v>98</v>
      </c>
      <c r="D31" s="37" t="s">
        <v>1116</v>
      </c>
      <c r="E31" s="1" t="s">
        <v>1117</v>
      </c>
    </row>
    <row r="32" customFormat="false" ht="13.2" hidden="false" customHeight="false" outlineLevel="0" collapsed="false">
      <c r="A32" s="56" t="s">
        <v>467</v>
      </c>
      <c r="B32" s="37" t="s">
        <v>59</v>
      </c>
      <c r="C32" s="37" t="s">
        <v>95</v>
      </c>
      <c r="D32" s="37" t="s">
        <v>1118</v>
      </c>
      <c r="E32" s="1" t="s">
        <v>1119</v>
      </c>
    </row>
    <row r="33" customFormat="false" ht="13.2" hidden="false" customHeight="false" outlineLevel="0" collapsed="false">
      <c r="A33" s="56" t="s">
        <v>1120</v>
      </c>
      <c r="B33" s="37" t="s">
        <v>59</v>
      </c>
      <c r="C33" s="37" t="s">
        <v>95</v>
      </c>
      <c r="D33" s="37" t="s">
        <v>1121</v>
      </c>
      <c r="E33" s="1" t="s">
        <v>1122</v>
      </c>
    </row>
    <row r="34" customFormat="false" ht="13.2" hidden="false" customHeight="false" outlineLevel="0" collapsed="false">
      <c r="A34" s="56" t="s">
        <v>1123</v>
      </c>
      <c r="B34" s="37" t="s">
        <v>59</v>
      </c>
      <c r="C34" s="37" t="s">
        <v>225</v>
      </c>
      <c r="D34" s="37" t="s">
        <v>1105</v>
      </c>
      <c r="E34" s="1" t="s">
        <v>1124</v>
      </c>
    </row>
    <row r="36" customFormat="false" ht="14.4" hidden="false" customHeight="false" outlineLevel="0" collapsed="false">
      <c r="A36" s="55"/>
      <c r="B36" s="25" t="s">
        <v>244</v>
      </c>
    </row>
    <row r="37" customFormat="false" ht="13.8" hidden="false" customHeight="false" outlineLevel="0" collapsed="false">
      <c r="A37" s="26" t="s">
        <v>1</v>
      </c>
      <c r="B37" s="26" t="s">
        <v>36</v>
      </c>
      <c r="C37" s="26" t="s">
        <v>37</v>
      </c>
      <c r="D37" s="26" t="s">
        <v>823</v>
      </c>
      <c r="E37" s="26" t="s">
        <v>4</v>
      </c>
    </row>
    <row r="38" customFormat="false" ht="13.2" hidden="false" customHeight="false" outlineLevel="0" collapsed="false">
      <c r="A38" s="56" t="s">
        <v>415</v>
      </c>
      <c r="B38" s="37" t="s">
        <v>259</v>
      </c>
      <c r="C38" s="37" t="s">
        <v>95</v>
      </c>
      <c r="D38" s="37" t="s">
        <v>880</v>
      </c>
      <c r="E38" s="1" t="s">
        <v>1101</v>
      </c>
    </row>
  </sheetData>
  <mergeCells count="17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R5"/>
    <mergeCell ref="A8:R8"/>
    <mergeCell ref="A13:R13"/>
    <mergeCell ref="A16:R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6.56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8.66"/>
    <col collapsed="false" customWidth="true" hidden="false" outlineLevel="0" max="9" min="7" style="37" width="5.55"/>
    <col collapsed="false" customWidth="true" hidden="false" outlineLevel="0" max="10" min="10" style="37" width="4.78"/>
    <col collapsed="false" customWidth="true" hidden="false" outlineLevel="0" max="13" min="11" style="37" width="5.55"/>
    <col collapsed="false" customWidth="true" hidden="false" outlineLevel="0" max="14" min="14" style="37" width="4.78"/>
    <col collapsed="false" customWidth="true" hidden="false" outlineLevel="0" max="17" min="15" style="37" width="5.55"/>
    <col collapsed="false" customWidth="true" hidden="false" outlineLevel="0" max="18" min="18" style="37" width="4.78"/>
    <col collapsed="false" customWidth="true" hidden="false" outlineLevel="0" max="19" min="19" style="1" width="5.78"/>
    <col collapsed="false" customWidth="true" hidden="false" outlineLevel="0" max="20" min="20" style="38" width="8.56"/>
    <col collapsed="false" customWidth="true" hidden="false" outlineLevel="0" max="21" min="21" style="36" width="15.34"/>
    <col collapsed="false" customWidth="false" hidden="false" outlineLevel="0" max="1024" min="22" style="39" width="9.11"/>
  </cols>
  <sheetData>
    <row r="1" s="41" customFormat="true" ht="28.95" hidden="false" customHeight="true" outlineLevel="0" collapsed="false">
      <c r="A1" s="40" t="s">
        <v>1125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817</v>
      </c>
      <c r="H3" s="45"/>
      <c r="I3" s="45"/>
      <c r="J3" s="45"/>
      <c r="K3" s="45" t="s">
        <v>475</v>
      </c>
      <c r="L3" s="45"/>
      <c r="M3" s="45"/>
      <c r="N3" s="45"/>
      <c r="O3" s="45" t="s">
        <v>252</v>
      </c>
      <c r="P3" s="45"/>
      <c r="Q3" s="45"/>
      <c r="R3" s="45"/>
      <c r="S3" s="44" t="s">
        <v>818</v>
      </c>
      <c r="T3" s="44" t="s">
        <v>128</v>
      </c>
      <c r="U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7" t="n">
        <v>1</v>
      </c>
      <c r="L4" s="47" t="n">
        <v>2</v>
      </c>
      <c r="M4" s="47" t="n">
        <v>3</v>
      </c>
      <c r="N4" s="47" t="s">
        <v>130</v>
      </c>
      <c r="O4" s="47" t="n">
        <v>1</v>
      </c>
      <c r="P4" s="47" t="n">
        <v>2</v>
      </c>
      <c r="Q4" s="47" t="n">
        <v>3</v>
      </c>
      <c r="R4" s="47" t="s">
        <v>130</v>
      </c>
      <c r="S4" s="44"/>
      <c r="T4" s="44"/>
      <c r="U4" s="46"/>
    </row>
    <row r="5" s="37" customFormat="true" ht="15.6" hidden="false" customHeight="false" outlineLevel="0" collapsed="false">
      <c r="A5" s="13" t="s">
        <v>281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"/>
      <c r="T5" s="38"/>
      <c r="U5" s="36"/>
    </row>
    <row r="6" s="37" customFormat="true" ht="13.2" hidden="false" customHeight="false" outlineLevel="0" collapsed="false">
      <c r="A6" s="16" t="s">
        <v>1126</v>
      </c>
      <c r="B6" s="15" t="s">
        <v>1127</v>
      </c>
      <c r="C6" s="15" t="s">
        <v>579</v>
      </c>
      <c r="D6" s="15" t="str">
        <f aca="false">"0,9876"</f>
        <v>0,9876</v>
      </c>
      <c r="E6" s="16" t="s">
        <v>13</v>
      </c>
      <c r="F6" s="16" t="s">
        <v>256</v>
      </c>
      <c r="G6" s="15" t="s">
        <v>670</v>
      </c>
      <c r="H6" s="15" t="s">
        <v>323</v>
      </c>
      <c r="I6" s="15" t="s">
        <v>843</v>
      </c>
      <c r="J6" s="18"/>
      <c r="K6" s="15" t="s">
        <v>554</v>
      </c>
      <c r="L6" s="18" t="s">
        <v>593</v>
      </c>
      <c r="M6" s="18" t="s">
        <v>593</v>
      </c>
      <c r="N6" s="18"/>
      <c r="O6" s="15" t="s">
        <v>309</v>
      </c>
      <c r="P6" s="15" t="s">
        <v>1068</v>
      </c>
      <c r="Q6" s="18" t="s">
        <v>437</v>
      </c>
      <c r="R6" s="18"/>
      <c r="S6" s="14" t="str">
        <f aca="false">"402,5"</f>
        <v>402,5</v>
      </c>
      <c r="T6" s="48" t="str">
        <f aca="false">"397,5090"</f>
        <v>397,5090</v>
      </c>
      <c r="U6" s="16"/>
    </row>
    <row r="7" s="37" customFormat="true" ht="13.2" hidden="false" customHeight="false" outlineLevel="0" collapsed="false">
      <c r="A7" s="36"/>
      <c r="E7" s="36"/>
      <c r="F7" s="36"/>
      <c r="S7" s="1"/>
      <c r="T7" s="38"/>
      <c r="U7" s="36"/>
    </row>
    <row r="8" customFormat="false" ht="15.6" hidden="false" customHeight="false" outlineLevel="0" collapsed="false">
      <c r="A8" s="17" t="s">
        <v>173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customFormat="false" ht="13.2" hidden="false" customHeight="false" outlineLevel="0" collapsed="false">
      <c r="A9" s="16" t="s">
        <v>1128</v>
      </c>
      <c r="B9" s="15" t="s">
        <v>1129</v>
      </c>
      <c r="C9" s="15" t="s">
        <v>1130</v>
      </c>
      <c r="D9" s="15" t="str">
        <f aca="false">"0,8368"</f>
        <v>0,8368</v>
      </c>
      <c r="E9" s="16" t="s">
        <v>13</v>
      </c>
      <c r="F9" s="16" t="s">
        <v>256</v>
      </c>
      <c r="G9" s="15" t="s">
        <v>637</v>
      </c>
      <c r="H9" s="15" t="s">
        <v>309</v>
      </c>
      <c r="I9" s="15" t="s">
        <v>333</v>
      </c>
      <c r="J9" s="18"/>
      <c r="K9" s="15" t="s">
        <v>273</v>
      </c>
      <c r="L9" s="15" t="s">
        <v>634</v>
      </c>
      <c r="M9" s="15" t="s">
        <v>609</v>
      </c>
      <c r="N9" s="18"/>
      <c r="O9" s="15" t="s">
        <v>350</v>
      </c>
      <c r="P9" s="15" t="s">
        <v>1131</v>
      </c>
      <c r="Q9" s="18" t="s">
        <v>296</v>
      </c>
      <c r="R9" s="18"/>
      <c r="S9" s="14" t="str">
        <f aca="false">"482,5"</f>
        <v>482,5</v>
      </c>
      <c r="T9" s="48" t="str">
        <f aca="false">"403,7801"</f>
        <v>403,7801</v>
      </c>
      <c r="U9" s="16" t="s">
        <v>1132</v>
      </c>
    </row>
    <row r="11" customFormat="false" ht="15.6" hidden="false" customHeight="false" outlineLevel="0" collapsed="false">
      <c r="A11" s="17" t="s">
        <v>173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customFormat="false" ht="13.2" hidden="false" customHeight="false" outlineLevel="0" collapsed="false">
      <c r="A12" s="16" t="s">
        <v>434</v>
      </c>
      <c r="B12" s="15" t="s">
        <v>435</v>
      </c>
      <c r="C12" s="15" t="s">
        <v>436</v>
      </c>
      <c r="D12" s="15" t="str">
        <f aca="false">"0,7348"</f>
        <v>0,7348</v>
      </c>
      <c r="E12" s="16" t="s">
        <v>13</v>
      </c>
      <c r="F12" s="16" t="s">
        <v>25</v>
      </c>
      <c r="G12" s="18" t="s">
        <v>73</v>
      </c>
      <c r="H12" s="15" t="s">
        <v>79</v>
      </c>
      <c r="I12" s="15" t="s">
        <v>80</v>
      </c>
      <c r="J12" s="18"/>
      <c r="K12" s="18" t="s">
        <v>138</v>
      </c>
      <c r="L12" s="15" t="s">
        <v>138</v>
      </c>
      <c r="M12" s="15" t="s">
        <v>278</v>
      </c>
      <c r="N12" s="18"/>
      <c r="O12" s="15" t="s">
        <v>81</v>
      </c>
      <c r="P12" s="15" t="s">
        <v>437</v>
      </c>
      <c r="Q12" s="15" t="s">
        <v>257</v>
      </c>
      <c r="R12" s="18"/>
      <c r="S12" s="14" t="str">
        <f aca="false">"420,0"</f>
        <v>420,0</v>
      </c>
      <c r="T12" s="48" t="str">
        <f aca="false">"308,6370"</f>
        <v>308,6370</v>
      </c>
      <c r="U12" s="16"/>
    </row>
    <row r="14" customFormat="false" ht="15.6" hidden="false" customHeight="false" outlineLevel="0" collapsed="false">
      <c r="A14" s="17" t="s">
        <v>74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customFormat="false" ht="13.2" hidden="false" customHeight="false" outlineLevel="0" collapsed="false">
      <c r="A15" s="16" t="s">
        <v>1133</v>
      </c>
      <c r="B15" s="15" t="s">
        <v>1134</v>
      </c>
      <c r="C15" s="15" t="s">
        <v>1135</v>
      </c>
      <c r="D15" s="15" t="str">
        <f aca="false">"0,6145"</f>
        <v>0,6145</v>
      </c>
      <c r="E15" s="16" t="s">
        <v>13</v>
      </c>
      <c r="F15" s="16" t="s">
        <v>25</v>
      </c>
      <c r="G15" s="15" t="s">
        <v>81</v>
      </c>
      <c r="H15" s="15" t="s">
        <v>328</v>
      </c>
      <c r="I15" s="18" t="s">
        <v>437</v>
      </c>
      <c r="J15" s="18"/>
      <c r="K15" s="15" t="s">
        <v>79</v>
      </c>
      <c r="L15" s="18" t="s">
        <v>637</v>
      </c>
      <c r="M15" s="18" t="s">
        <v>637</v>
      </c>
      <c r="N15" s="18"/>
      <c r="O15" s="15" t="s">
        <v>350</v>
      </c>
      <c r="P15" s="15" t="s">
        <v>339</v>
      </c>
      <c r="Q15" s="15" t="s">
        <v>314</v>
      </c>
      <c r="R15" s="18"/>
      <c r="S15" s="14" t="str">
        <f aca="false">"525,0"</f>
        <v>525,0</v>
      </c>
      <c r="T15" s="48" t="str">
        <f aca="false">"322,6387"</f>
        <v>322,6387</v>
      </c>
      <c r="U15" s="16"/>
    </row>
    <row r="17" customFormat="false" ht="15.6" hidden="false" customHeight="false" outlineLevel="0" collapsed="false">
      <c r="A17" s="17" t="s">
        <v>144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customFormat="false" ht="13.2" hidden="false" customHeight="false" outlineLevel="0" collapsed="false">
      <c r="A18" s="16" t="s">
        <v>1136</v>
      </c>
      <c r="B18" s="15" t="s">
        <v>1137</v>
      </c>
      <c r="C18" s="15" t="s">
        <v>1138</v>
      </c>
      <c r="D18" s="15" t="str">
        <f aca="false">"0,5688"</f>
        <v>0,5688</v>
      </c>
      <c r="E18" s="16" t="s">
        <v>13</v>
      </c>
      <c r="F18" s="16" t="s">
        <v>25</v>
      </c>
      <c r="G18" s="15" t="s">
        <v>91</v>
      </c>
      <c r="H18" s="15" t="s">
        <v>301</v>
      </c>
      <c r="I18" s="15" t="s">
        <v>338</v>
      </c>
      <c r="J18" s="18"/>
      <c r="K18" s="15" t="s">
        <v>328</v>
      </c>
      <c r="L18" s="15" t="s">
        <v>437</v>
      </c>
      <c r="M18" s="18" t="s">
        <v>257</v>
      </c>
      <c r="N18" s="18"/>
      <c r="O18" s="15" t="s">
        <v>446</v>
      </c>
      <c r="P18" s="15" t="s">
        <v>356</v>
      </c>
      <c r="Q18" s="18" t="s">
        <v>865</v>
      </c>
      <c r="R18" s="18"/>
      <c r="S18" s="14" t="str">
        <f aca="false">"645,0"</f>
        <v>645,0</v>
      </c>
      <c r="T18" s="48" t="str">
        <f aca="false">"366,9082"</f>
        <v>366,9082</v>
      </c>
      <c r="U18" s="16" t="s">
        <v>1139</v>
      </c>
    </row>
    <row r="20" customFormat="false" ht="15.6" hidden="false" customHeight="false" outlineLevel="0" collapsed="false">
      <c r="A20" s="17" t="s">
        <v>21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customFormat="false" ht="13.2" hidden="false" customHeight="false" outlineLevel="0" collapsed="false">
      <c r="A21" s="16" t="s">
        <v>1140</v>
      </c>
      <c r="B21" s="15" t="s">
        <v>1141</v>
      </c>
      <c r="C21" s="15" t="s">
        <v>1142</v>
      </c>
      <c r="D21" s="15" t="str">
        <f aca="false">"0,5540"</f>
        <v>0,5540</v>
      </c>
      <c r="E21" s="16" t="s">
        <v>13</v>
      </c>
      <c r="F21" s="16" t="s">
        <v>1143</v>
      </c>
      <c r="G21" s="15" t="s">
        <v>865</v>
      </c>
      <c r="H21" s="15" t="s">
        <v>510</v>
      </c>
      <c r="I21" s="18"/>
      <c r="J21" s="18"/>
      <c r="K21" s="15" t="s">
        <v>91</v>
      </c>
      <c r="L21" s="15" t="s">
        <v>301</v>
      </c>
      <c r="M21" s="15" t="s">
        <v>295</v>
      </c>
      <c r="N21" s="18"/>
      <c r="O21" s="15" t="s">
        <v>865</v>
      </c>
      <c r="P21" s="15" t="s">
        <v>510</v>
      </c>
      <c r="Q21" s="15" t="s">
        <v>1144</v>
      </c>
      <c r="R21" s="18"/>
      <c r="S21" s="14" t="str">
        <f aca="false">"820,0"</f>
        <v>820,0</v>
      </c>
      <c r="T21" s="48" t="str">
        <f aca="false">"454,2390"</f>
        <v>454,2390</v>
      </c>
      <c r="U21" s="16"/>
    </row>
    <row r="23" customFormat="false" ht="15" hidden="false" customHeight="false" outlineLevel="0" collapsed="false">
      <c r="E23" s="20" t="s">
        <v>27</v>
      </c>
    </row>
    <row r="24" customFormat="false" ht="15" hidden="false" customHeight="false" outlineLevel="0" collapsed="false">
      <c r="E24" s="20" t="s">
        <v>28</v>
      </c>
    </row>
    <row r="25" customFormat="false" ht="15" hidden="false" customHeight="false" outlineLevel="0" collapsed="false">
      <c r="E25" s="20" t="s">
        <v>29</v>
      </c>
    </row>
    <row r="26" customFormat="false" ht="13.2" hidden="false" customHeight="false" outlineLevel="0" collapsed="false">
      <c r="E26" s="36" t="s">
        <v>30</v>
      </c>
    </row>
    <row r="27" customFormat="false" ht="13.2" hidden="false" customHeight="false" outlineLevel="0" collapsed="false">
      <c r="E27" s="36" t="s">
        <v>31</v>
      </c>
    </row>
    <row r="28" customFormat="false" ht="13.2" hidden="false" customHeight="false" outlineLevel="0" collapsed="false">
      <c r="E28" s="36" t="s">
        <v>32</v>
      </c>
    </row>
    <row r="31" customFormat="false" ht="17.4" hidden="false" customHeight="false" outlineLevel="0" collapsed="false">
      <c r="A31" s="53" t="s">
        <v>33</v>
      </c>
      <c r="B31" s="22"/>
    </row>
    <row r="32" customFormat="false" ht="15.6" hidden="false" customHeight="false" outlineLevel="0" collapsed="false">
      <c r="A32" s="54" t="s">
        <v>58</v>
      </c>
      <c r="B32" s="17"/>
    </row>
    <row r="33" customFormat="false" ht="14.4" hidden="false" customHeight="false" outlineLevel="0" collapsed="false">
      <c r="A33" s="55"/>
      <c r="B33" s="25" t="s">
        <v>59</v>
      </c>
    </row>
    <row r="34" customFormat="false" ht="13.8" hidden="false" customHeight="false" outlineLevel="0" collapsed="false">
      <c r="A34" s="26" t="s">
        <v>1</v>
      </c>
      <c r="B34" s="26" t="s">
        <v>36</v>
      </c>
      <c r="C34" s="26" t="s">
        <v>37</v>
      </c>
      <c r="D34" s="26" t="s">
        <v>823</v>
      </c>
      <c r="E34" s="26" t="s">
        <v>4</v>
      </c>
    </row>
    <row r="35" customFormat="false" ht="13.2" hidden="false" customHeight="false" outlineLevel="0" collapsed="false">
      <c r="A35" s="56" t="s">
        <v>1145</v>
      </c>
      <c r="B35" s="37" t="s">
        <v>59</v>
      </c>
      <c r="C35" s="37" t="s">
        <v>232</v>
      </c>
      <c r="D35" s="37" t="s">
        <v>1146</v>
      </c>
      <c r="E35" s="1" t="s">
        <v>1147</v>
      </c>
    </row>
    <row r="37" customFormat="false" ht="14.4" hidden="false" customHeight="false" outlineLevel="0" collapsed="false">
      <c r="A37" s="55"/>
      <c r="B37" s="25" t="s">
        <v>244</v>
      </c>
    </row>
    <row r="38" customFormat="false" ht="13.8" hidden="false" customHeight="false" outlineLevel="0" collapsed="false">
      <c r="A38" s="26" t="s">
        <v>1</v>
      </c>
      <c r="B38" s="26" t="s">
        <v>36</v>
      </c>
      <c r="C38" s="26" t="s">
        <v>37</v>
      </c>
      <c r="D38" s="26" t="s">
        <v>823</v>
      </c>
      <c r="E38" s="26" t="s">
        <v>4</v>
      </c>
    </row>
    <row r="39" customFormat="false" ht="13.2" hidden="false" customHeight="false" outlineLevel="0" collapsed="false">
      <c r="A39" s="56" t="s">
        <v>1148</v>
      </c>
      <c r="B39" s="37" t="s">
        <v>259</v>
      </c>
      <c r="C39" s="37" t="s">
        <v>368</v>
      </c>
      <c r="D39" s="37" t="s">
        <v>1149</v>
      </c>
      <c r="E39" s="1" t="s">
        <v>1150</v>
      </c>
    </row>
    <row r="42" customFormat="false" ht="15.6" hidden="false" customHeight="false" outlineLevel="0" collapsed="false">
      <c r="A42" s="54" t="s">
        <v>34</v>
      </c>
      <c r="B42" s="17"/>
    </row>
    <row r="43" customFormat="false" ht="14.4" hidden="false" customHeight="false" outlineLevel="0" collapsed="false">
      <c r="A43" s="55"/>
      <c r="B43" s="25" t="s">
        <v>376</v>
      </c>
    </row>
    <row r="44" customFormat="false" ht="13.8" hidden="false" customHeight="false" outlineLevel="0" collapsed="false">
      <c r="A44" s="26" t="s">
        <v>1</v>
      </c>
      <c r="B44" s="26" t="s">
        <v>36</v>
      </c>
      <c r="C44" s="26" t="s">
        <v>37</v>
      </c>
      <c r="D44" s="26" t="s">
        <v>823</v>
      </c>
      <c r="E44" s="26" t="s">
        <v>4</v>
      </c>
    </row>
    <row r="45" customFormat="false" ht="13.2" hidden="false" customHeight="false" outlineLevel="0" collapsed="false">
      <c r="A45" s="56" t="s">
        <v>463</v>
      </c>
      <c r="B45" s="37" t="s">
        <v>378</v>
      </c>
      <c r="C45" s="37" t="s">
        <v>232</v>
      </c>
      <c r="D45" s="37" t="s">
        <v>985</v>
      </c>
      <c r="E45" s="1" t="s">
        <v>1151</v>
      </c>
    </row>
    <row r="47" customFormat="false" ht="14.4" hidden="false" customHeight="false" outlineLevel="0" collapsed="false">
      <c r="A47" s="55"/>
      <c r="B47" s="25" t="s">
        <v>59</v>
      </c>
    </row>
    <row r="48" customFormat="false" ht="13.8" hidden="false" customHeight="false" outlineLevel="0" collapsed="false">
      <c r="A48" s="26" t="s">
        <v>1</v>
      </c>
      <c r="B48" s="26" t="s">
        <v>36</v>
      </c>
      <c r="C48" s="26" t="s">
        <v>37</v>
      </c>
      <c r="D48" s="26" t="s">
        <v>823</v>
      </c>
      <c r="E48" s="26" t="s">
        <v>4</v>
      </c>
    </row>
    <row r="49" customFormat="false" ht="13.2" hidden="false" customHeight="false" outlineLevel="0" collapsed="false">
      <c r="A49" s="56" t="s">
        <v>1152</v>
      </c>
      <c r="B49" s="37" t="s">
        <v>59</v>
      </c>
      <c r="C49" s="37" t="s">
        <v>158</v>
      </c>
      <c r="D49" s="37" t="s">
        <v>1153</v>
      </c>
      <c r="E49" s="1" t="s">
        <v>1154</v>
      </c>
    </row>
    <row r="50" customFormat="false" ht="13.2" hidden="false" customHeight="false" outlineLevel="0" collapsed="false">
      <c r="A50" s="56" t="s">
        <v>1155</v>
      </c>
      <c r="B50" s="37" t="s">
        <v>59</v>
      </c>
      <c r="C50" s="37" t="s">
        <v>95</v>
      </c>
      <c r="D50" s="37" t="s">
        <v>1156</v>
      </c>
      <c r="E50" s="1" t="s">
        <v>1157</v>
      </c>
    </row>
    <row r="52" customFormat="false" ht="14.4" hidden="false" customHeight="false" outlineLevel="0" collapsed="false">
      <c r="A52" s="55"/>
      <c r="B52" s="25" t="s">
        <v>244</v>
      </c>
    </row>
    <row r="53" customFormat="false" ht="13.8" hidden="false" customHeight="false" outlineLevel="0" collapsed="false">
      <c r="A53" s="26" t="s">
        <v>1</v>
      </c>
      <c r="B53" s="26" t="s">
        <v>36</v>
      </c>
      <c r="C53" s="26" t="s">
        <v>37</v>
      </c>
      <c r="D53" s="26" t="s">
        <v>823</v>
      </c>
      <c r="E53" s="26" t="s">
        <v>4</v>
      </c>
    </row>
    <row r="54" customFormat="false" ht="13.2" hidden="false" customHeight="false" outlineLevel="0" collapsed="false">
      <c r="A54" s="56" t="s">
        <v>1158</v>
      </c>
      <c r="B54" s="37" t="s">
        <v>259</v>
      </c>
      <c r="C54" s="37" t="s">
        <v>44</v>
      </c>
      <c r="D54" s="37" t="s">
        <v>1159</v>
      </c>
      <c r="E54" s="1" t="s">
        <v>1160</v>
      </c>
    </row>
  </sheetData>
  <mergeCells count="19"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R5"/>
    <mergeCell ref="A8:R8"/>
    <mergeCell ref="A11:R11"/>
    <mergeCell ref="A14:R14"/>
    <mergeCell ref="A17:R17"/>
    <mergeCell ref="A20:R2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1" width="28.56"/>
    <col collapsed="false" customWidth="true" hidden="false" outlineLevel="0" max="2" min="2" style="2" width="24"/>
    <col collapsed="false" customWidth="true" hidden="false" outlineLevel="0" max="3" min="3" style="2" width="7.56"/>
    <col collapsed="false" customWidth="true" hidden="false" outlineLevel="0" max="4" min="4" style="2" width="6.56"/>
    <col collapsed="false" customWidth="true" hidden="false" outlineLevel="0" max="5" min="5" style="3" width="17"/>
    <col collapsed="false" customWidth="true" hidden="false" outlineLevel="0" max="6" min="6" style="3" width="14.78"/>
    <col collapsed="false" customWidth="true" hidden="false" outlineLevel="0" max="10" min="7" style="2" width="5.55"/>
    <col collapsed="false" customWidth="true" hidden="false" outlineLevel="0" max="11" min="11" style="4" width="8"/>
    <col collapsed="false" customWidth="true" hidden="false" outlineLevel="0" max="12" min="12" style="4" width="10"/>
    <col collapsed="false" customWidth="false" hidden="false" outlineLevel="0" max="1024" min="13" style="4" width="9.11"/>
  </cols>
  <sheetData>
    <row r="1" customFormat="false" ht="28.95" hidden="false" customHeight="true" outlineLevel="0" collapsed="false">
      <c r="A1" s="5" t="s">
        <v>63</v>
      </c>
      <c r="B1" s="5"/>
      <c r="C1" s="5"/>
      <c r="D1" s="5"/>
      <c r="E1" s="5"/>
      <c r="F1" s="5"/>
      <c r="G1" s="5"/>
      <c r="H1" s="5"/>
      <c r="I1" s="5"/>
      <c r="J1" s="5"/>
    </row>
    <row r="2" customFormat="false" ht="61.9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s="11" customFormat="true" ht="12.75" hidden="false" customHeight="true" outlineLevel="0" collapsed="false">
      <c r="A3" s="6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10"/>
      <c r="I3" s="10"/>
      <c r="J3" s="10"/>
      <c r="K3" s="11" t="s">
        <v>8</v>
      </c>
    </row>
    <row r="4" s="11" customFormat="true" ht="23.25" hidden="false" customHeight="true" outlineLevel="0" collapsed="false">
      <c r="A4" s="6"/>
      <c r="B4" s="7"/>
      <c r="C4" s="7"/>
      <c r="D4" s="7"/>
      <c r="E4" s="7"/>
      <c r="F4" s="9"/>
      <c r="G4" s="12" t="n">
        <v>1</v>
      </c>
      <c r="H4" s="12" t="n">
        <v>2</v>
      </c>
      <c r="I4" s="12" t="n">
        <v>3</v>
      </c>
      <c r="J4" s="12" t="n">
        <v>4</v>
      </c>
    </row>
    <row r="5" s="2" customFormat="true" ht="15.6" hidden="false" customHeight="false" outlineLevel="0" collapsed="false">
      <c r="A5" s="13" t="s">
        <v>47</v>
      </c>
      <c r="B5" s="13"/>
      <c r="C5" s="13"/>
      <c r="D5" s="13"/>
      <c r="E5" s="13"/>
      <c r="F5" s="13"/>
      <c r="G5" s="13"/>
      <c r="H5" s="13"/>
      <c r="I5" s="13"/>
      <c r="J5" s="13"/>
    </row>
    <row r="6" s="2" customFormat="true" ht="13.2" hidden="false" customHeight="false" outlineLevel="0" collapsed="false">
      <c r="A6" s="14" t="s">
        <v>64</v>
      </c>
      <c r="B6" s="15" t="s">
        <v>65</v>
      </c>
      <c r="C6" s="15" t="s">
        <v>66</v>
      </c>
      <c r="D6" s="15" t="str">
        <f aca="false">"0,7297"</f>
        <v>0,7297</v>
      </c>
      <c r="E6" s="16" t="s">
        <v>13</v>
      </c>
      <c r="F6" s="16" t="s">
        <v>14</v>
      </c>
      <c r="G6" s="15" t="s">
        <v>67</v>
      </c>
      <c r="H6" s="15" t="s">
        <v>68</v>
      </c>
      <c r="I6" s="18" t="s">
        <v>69</v>
      </c>
      <c r="J6" s="18"/>
      <c r="K6" s="15" t="s">
        <v>70</v>
      </c>
      <c r="L6" s="15" t="s">
        <v>71</v>
      </c>
      <c r="M6" s="15"/>
    </row>
    <row r="7" s="2" customFormat="true" ht="13.2" hidden="false" customHeight="false" outlineLevel="0" collapsed="false">
      <c r="A7" s="1"/>
      <c r="E7" s="3"/>
      <c r="F7" s="3"/>
    </row>
    <row r="8" customFormat="false" ht="15.6" hidden="false" customHeight="false" outlineLevel="0" collapsed="false">
      <c r="A8" s="17" t="s">
        <v>9</v>
      </c>
      <c r="B8" s="17"/>
      <c r="C8" s="17"/>
      <c r="D8" s="17"/>
      <c r="E8" s="17"/>
      <c r="F8" s="17"/>
      <c r="G8" s="17"/>
      <c r="H8" s="17"/>
      <c r="I8" s="17"/>
      <c r="J8" s="17"/>
    </row>
    <row r="9" customFormat="false" ht="13.2" hidden="false" customHeight="false" outlineLevel="0" collapsed="false">
      <c r="A9" s="14" t="s">
        <v>10</v>
      </c>
      <c r="B9" s="15" t="s">
        <v>11</v>
      </c>
      <c r="C9" s="15" t="s">
        <v>12</v>
      </c>
      <c r="D9" s="15" t="str">
        <f aca="false">"0,6805"</f>
        <v>0,6805</v>
      </c>
      <c r="E9" s="16" t="s">
        <v>13</v>
      </c>
      <c r="F9" s="16" t="s">
        <v>14</v>
      </c>
      <c r="G9" s="15" t="s">
        <v>72</v>
      </c>
      <c r="H9" s="15" t="s">
        <v>68</v>
      </c>
      <c r="I9" s="15" t="s">
        <v>69</v>
      </c>
      <c r="J9" s="18" t="s">
        <v>73</v>
      </c>
      <c r="K9" s="19" t="str">
        <f aca="false">"120,0"</f>
        <v>120,0</v>
      </c>
      <c r="L9" s="19" t="str">
        <f aca="false">"116,0474"</f>
        <v>116,0474</v>
      </c>
      <c r="M9" s="19"/>
    </row>
    <row r="11" customFormat="false" ht="15.6" hidden="false" customHeight="false" outlineLevel="0" collapsed="false">
      <c r="A11" s="17" t="s">
        <v>74</v>
      </c>
      <c r="B11" s="17"/>
      <c r="C11" s="17"/>
      <c r="D11" s="17"/>
      <c r="E11" s="17"/>
      <c r="F11" s="17"/>
      <c r="G11" s="17"/>
      <c r="H11" s="17"/>
      <c r="I11" s="17"/>
      <c r="J11" s="17"/>
    </row>
    <row r="12" customFormat="false" ht="13.2" hidden="false" customHeight="false" outlineLevel="0" collapsed="false">
      <c r="A12" s="14" t="s">
        <v>75</v>
      </c>
      <c r="B12" s="15" t="s">
        <v>76</v>
      </c>
      <c r="C12" s="15" t="s">
        <v>77</v>
      </c>
      <c r="D12" s="15" t="str">
        <f aca="false">"0,6177"</f>
        <v>0,6177</v>
      </c>
      <c r="E12" s="16" t="s">
        <v>13</v>
      </c>
      <c r="F12" s="16" t="s">
        <v>78</v>
      </c>
      <c r="G12" s="15" t="s">
        <v>73</v>
      </c>
      <c r="H12" s="15" t="s">
        <v>79</v>
      </c>
      <c r="I12" s="15" t="s">
        <v>80</v>
      </c>
      <c r="J12" s="18" t="s">
        <v>81</v>
      </c>
      <c r="K12" s="19" t="str">
        <f aca="false">"150,0"</f>
        <v>150,0</v>
      </c>
      <c r="L12" s="19" t="str">
        <f aca="false">"92,6550"</f>
        <v>92,6550</v>
      </c>
      <c r="M12" s="19"/>
    </row>
    <row r="14" customFormat="false" ht="15.6" hidden="false" customHeight="false" outlineLevel="0" collapsed="false">
      <c r="A14" s="17" t="s">
        <v>82</v>
      </c>
      <c r="B14" s="17"/>
      <c r="C14" s="17"/>
      <c r="D14" s="17"/>
      <c r="E14" s="17"/>
      <c r="F14" s="17"/>
      <c r="G14" s="17"/>
      <c r="H14" s="17"/>
      <c r="I14" s="17"/>
      <c r="J14" s="17"/>
    </row>
    <row r="15" customFormat="false" ht="13.2" hidden="false" customHeight="false" outlineLevel="0" collapsed="false">
      <c r="A15" s="14" t="s">
        <v>83</v>
      </c>
      <c r="B15" s="15" t="s">
        <v>84</v>
      </c>
      <c r="C15" s="15" t="s">
        <v>85</v>
      </c>
      <c r="D15" s="15" t="str">
        <f aca="false">"0,5952"</f>
        <v>0,5952</v>
      </c>
      <c r="E15" s="16" t="s">
        <v>13</v>
      </c>
      <c r="F15" s="16" t="s">
        <v>25</v>
      </c>
      <c r="G15" s="15" t="s">
        <v>80</v>
      </c>
      <c r="H15" s="18" t="s">
        <v>81</v>
      </c>
      <c r="I15" s="18"/>
      <c r="J15" s="18"/>
      <c r="K15" s="19" t="str">
        <f aca="false">"150,0"</f>
        <v>150,0</v>
      </c>
      <c r="L15" s="19" t="str">
        <f aca="false">"89,2800"</f>
        <v>89,2800</v>
      </c>
      <c r="M15" s="19"/>
    </row>
    <row r="17" customFormat="false" ht="15.6" hidden="false" customHeight="false" outlineLevel="0" collapsed="false">
      <c r="A17" s="17" t="s">
        <v>21</v>
      </c>
      <c r="B17" s="17"/>
      <c r="C17" s="17"/>
      <c r="D17" s="17"/>
      <c r="E17" s="17"/>
      <c r="F17" s="17"/>
      <c r="G17" s="17"/>
      <c r="H17" s="17"/>
      <c r="I17" s="17"/>
      <c r="J17" s="17"/>
    </row>
    <row r="18" customFormat="false" ht="13.2" hidden="false" customHeight="false" outlineLevel="0" collapsed="false">
      <c r="A18" s="14" t="s">
        <v>86</v>
      </c>
      <c r="B18" s="15" t="s">
        <v>87</v>
      </c>
      <c r="C18" s="15" t="s">
        <v>88</v>
      </c>
      <c r="D18" s="15" t="str">
        <f aca="false">"0,5571"</f>
        <v>0,5571</v>
      </c>
      <c r="E18" s="16" t="s">
        <v>13</v>
      </c>
      <c r="F18" s="16" t="s">
        <v>89</v>
      </c>
      <c r="G18" s="15" t="s">
        <v>81</v>
      </c>
      <c r="H18" s="15" t="s">
        <v>90</v>
      </c>
      <c r="I18" s="18" t="s">
        <v>91</v>
      </c>
      <c r="J18" s="18"/>
      <c r="K18" s="19" t="str">
        <f aca="false">"170,0"</f>
        <v>170,0</v>
      </c>
      <c r="L18" s="19" t="str">
        <f aca="false">"94,7070"</f>
        <v>94,7070</v>
      </c>
      <c r="M18" s="19"/>
    </row>
    <row r="20" customFormat="false" ht="15" hidden="false" customHeight="false" outlineLevel="0" collapsed="false">
      <c r="E20" s="20" t="s">
        <v>27</v>
      </c>
    </row>
    <row r="21" customFormat="false" ht="15" hidden="false" customHeight="false" outlineLevel="0" collapsed="false">
      <c r="E21" s="20" t="s">
        <v>28</v>
      </c>
    </row>
    <row r="22" customFormat="false" ht="15" hidden="false" customHeight="false" outlineLevel="0" collapsed="false">
      <c r="E22" s="20" t="s">
        <v>29</v>
      </c>
    </row>
    <row r="23" customFormat="false" ht="13.2" hidden="false" customHeight="false" outlineLevel="0" collapsed="false">
      <c r="E23" s="3" t="s">
        <v>30</v>
      </c>
    </row>
    <row r="24" customFormat="false" ht="13.2" hidden="false" customHeight="false" outlineLevel="0" collapsed="false">
      <c r="E24" s="3" t="s">
        <v>31</v>
      </c>
    </row>
    <row r="25" customFormat="false" ht="13.2" hidden="false" customHeight="false" outlineLevel="0" collapsed="false">
      <c r="E25" s="3" t="s">
        <v>32</v>
      </c>
    </row>
    <row r="28" customFormat="false" ht="17.4" hidden="false" customHeight="false" outlineLevel="0" collapsed="false">
      <c r="A28" s="21" t="s">
        <v>33</v>
      </c>
      <c r="B28" s="22"/>
    </row>
    <row r="29" customFormat="false" ht="15.6" hidden="false" customHeight="false" outlineLevel="0" collapsed="false">
      <c r="A29" s="23" t="s">
        <v>34</v>
      </c>
      <c r="B29" s="17"/>
    </row>
    <row r="30" customFormat="false" ht="14.4" hidden="false" customHeight="false" outlineLevel="0" collapsed="false">
      <c r="A30" s="24"/>
      <c r="B30" s="25" t="s">
        <v>59</v>
      </c>
    </row>
    <row r="31" customFormat="false" ht="13.8" hidden="false" customHeight="false" outlineLevel="0" collapsed="false">
      <c r="A31" s="26" t="s">
        <v>1</v>
      </c>
      <c r="B31" s="26" t="s">
        <v>36</v>
      </c>
      <c r="C31" s="26" t="s">
        <v>37</v>
      </c>
      <c r="D31" s="26" t="s">
        <v>38</v>
      </c>
      <c r="E31" s="26" t="s">
        <v>4</v>
      </c>
    </row>
    <row r="32" customFormat="false" ht="13.2" hidden="false" customHeight="false" outlineLevel="0" collapsed="false">
      <c r="A32" s="27" t="s">
        <v>92</v>
      </c>
      <c r="B32" s="2" t="s">
        <v>59</v>
      </c>
      <c r="C32" s="2" t="s">
        <v>44</v>
      </c>
      <c r="D32" s="2" t="s">
        <v>90</v>
      </c>
      <c r="E32" s="1" t="s">
        <v>93</v>
      </c>
    </row>
    <row r="33" customFormat="false" ht="13.2" hidden="false" customHeight="false" outlineLevel="0" collapsed="false">
      <c r="A33" s="27" t="s">
        <v>94</v>
      </c>
      <c r="B33" s="2" t="s">
        <v>59</v>
      </c>
      <c r="C33" s="2" t="s">
        <v>95</v>
      </c>
      <c r="D33" s="2" t="s">
        <v>80</v>
      </c>
      <c r="E33" s="1" t="s">
        <v>96</v>
      </c>
    </row>
    <row r="34" customFormat="false" ht="13.2" hidden="false" customHeight="false" outlineLevel="0" collapsed="false">
      <c r="A34" s="27" t="s">
        <v>97</v>
      </c>
      <c r="B34" s="2" t="s">
        <v>59</v>
      </c>
      <c r="C34" s="2" t="s">
        <v>98</v>
      </c>
      <c r="D34" s="2" t="s">
        <v>80</v>
      </c>
      <c r="E34" s="1" t="s">
        <v>99</v>
      </c>
    </row>
    <row r="36" customFormat="false" ht="14.4" hidden="false" customHeight="false" outlineLevel="0" collapsed="false">
      <c r="A36" s="24"/>
      <c r="B36" s="25" t="s">
        <v>35</v>
      </c>
    </row>
    <row r="37" customFormat="false" ht="13.8" hidden="false" customHeight="false" outlineLevel="0" collapsed="false">
      <c r="A37" s="26" t="s">
        <v>1</v>
      </c>
      <c r="B37" s="26" t="s">
        <v>36</v>
      </c>
      <c r="C37" s="26" t="s">
        <v>37</v>
      </c>
      <c r="D37" s="26" t="s">
        <v>38</v>
      </c>
      <c r="E37" s="26" t="s">
        <v>4</v>
      </c>
    </row>
    <row r="38" customFormat="false" ht="13.2" hidden="false" customHeight="false" outlineLevel="0" collapsed="false">
      <c r="A38" s="27" t="s">
        <v>39</v>
      </c>
      <c r="B38" s="2" t="s">
        <v>40</v>
      </c>
      <c r="C38" s="2" t="s">
        <v>41</v>
      </c>
      <c r="D38" s="2" t="s">
        <v>69</v>
      </c>
      <c r="E38" s="1" t="s">
        <v>100</v>
      </c>
    </row>
    <row r="39" customFormat="false" ht="13.2" hidden="false" customHeight="false" outlineLevel="0" collapsed="false">
      <c r="A39" s="27" t="s">
        <v>101</v>
      </c>
      <c r="B39" s="2" t="s">
        <v>40</v>
      </c>
      <c r="C39" s="2" t="s">
        <v>61</v>
      </c>
      <c r="D39" s="2" t="s">
        <v>68</v>
      </c>
      <c r="E39" s="1" t="s">
        <v>102</v>
      </c>
    </row>
  </sheetData>
  <mergeCells count="13">
    <mergeCell ref="A1:J2"/>
    <mergeCell ref="A3:A4"/>
    <mergeCell ref="B3:B4"/>
    <mergeCell ref="C3:C4"/>
    <mergeCell ref="D3:D4"/>
    <mergeCell ref="E3:E4"/>
    <mergeCell ref="F3:F4"/>
    <mergeCell ref="G3:J3"/>
    <mergeCell ref="A5:J5"/>
    <mergeCell ref="A8:J8"/>
    <mergeCell ref="A11:J11"/>
    <mergeCell ref="A14:J14"/>
    <mergeCell ref="A17:J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1" width="28.56"/>
    <col collapsed="false" customWidth="true" hidden="false" outlineLevel="0" max="2" min="2" style="2" width="24"/>
    <col collapsed="false" customWidth="true" hidden="false" outlineLevel="0" max="3" min="3" style="2" width="7.56"/>
    <col collapsed="false" customWidth="true" hidden="false" outlineLevel="0" max="4" min="4" style="2" width="6.56"/>
    <col collapsed="false" customWidth="true" hidden="false" outlineLevel="0" max="5" min="5" style="3" width="17"/>
    <col collapsed="false" customWidth="true" hidden="false" outlineLevel="0" max="6" min="6" style="3" width="14.78"/>
    <col collapsed="false" customWidth="true" hidden="false" outlineLevel="0" max="10" min="7" style="2" width="4.56"/>
    <col collapsed="false" customWidth="true" hidden="false" outlineLevel="0" max="11" min="11" style="4" width="7"/>
    <col collapsed="false" customWidth="true" hidden="false" outlineLevel="0" max="12" min="12" style="4" width="10"/>
    <col collapsed="false" customWidth="false" hidden="false" outlineLevel="0" max="1024" min="13" style="4" width="9.11"/>
  </cols>
  <sheetData>
    <row r="1" customFormat="false" ht="28.95" hidden="false" customHeight="true" outlineLevel="0" collapsed="false">
      <c r="A1" s="5" t="s">
        <v>103</v>
      </c>
      <c r="B1" s="5"/>
      <c r="C1" s="5"/>
      <c r="D1" s="5"/>
      <c r="E1" s="5"/>
      <c r="F1" s="5"/>
      <c r="G1" s="5"/>
      <c r="H1" s="5"/>
      <c r="I1" s="5"/>
      <c r="J1" s="5"/>
    </row>
    <row r="2" customFormat="false" ht="61.95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</row>
    <row r="3" s="11" customFormat="true" ht="12.75" hidden="false" customHeight="true" outlineLevel="0" collapsed="false">
      <c r="A3" s="6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10"/>
      <c r="I3" s="10"/>
      <c r="J3" s="10"/>
      <c r="K3" s="11" t="s">
        <v>8</v>
      </c>
    </row>
    <row r="4" s="11" customFormat="true" ht="23.25" hidden="false" customHeight="true" outlineLevel="0" collapsed="false">
      <c r="A4" s="6"/>
      <c r="B4" s="7"/>
      <c r="C4" s="7"/>
      <c r="D4" s="7"/>
      <c r="E4" s="7"/>
      <c r="F4" s="9"/>
      <c r="G4" s="12" t="n">
        <v>1</v>
      </c>
      <c r="H4" s="12" t="n">
        <v>2</v>
      </c>
      <c r="I4" s="12" t="n">
        <v>3</v>
      </c>
      <c r="J4" s="12" t="n">
        <v>4</v>
      </c>
    </row>
    <row r="5" s="2" customFormat="true" ht="15.6" hidden="false" customHeight="false" outlineLevel="0" collapsed="false">
      <c r="A5" s="13" t="s">
        <v>47</v>
      </c>
      <c r="B5" s="13"/>
      <c r="C5" s="13"/>
      <c r="D5" s="13"/>
      <c r="E5" s="13"/>
      <c r="F5" s="13"/>
      <c r="G5" s="13"/>
      <c r="H5" s="13"/>
      <c r="I5" s="13"/>
      <c r="J5" s="13"/>
    </row>
    <row r="6" s="2" customFormat="true" ht="13.2" hidden="false" customHeight="false" outlineLevel="0" collapsed="false">
      <c r="A6" s="14" t="s">
        <v>48</v>
      </c>
      <c r="B6" s="15" t="s">
        <v>49</v>
      </c>
      <c r="C6" s="15" t="s">
        <v>50</v>
      </c>
      <c r="D6" s="15" t="str">
        <f aca="false">"0,9113"</f>
        <v>0,9113</v>
      </c>
      <c r="E6" s="16" t="s">
        <v>13</v>
      </c>
      <c r="F6" s="16" t="s">
        <v>51</v>
      </c>
      <c r="G6" s="15" t="s">
        <v>104</v>
      </c>
      <c r="H6" s="15" t="s">
        <v>105</v>
      </c>
      <c r="I6" s="15" t="s">
        <v>106</v>
      </c>
      <c r="J6" s="15" t="s">
        <v>107</v>
      </c>
      <c r="K6" s="15" t="s">
        <v>108</v>
      </c>
      <c r="L6" s="15" t="s">
        <v>109</v>
      </c>
      <c r="M6" s="15"/>
    </row>
    <row r="7" s="2" customFormat="true" ht="13.2" hidden="false" customHeight="false" outlineLevel="0" collapsed="false">
      <c r="A7" s="1"/>
      <c r="E7" s="3"/>
      <c r="F7" s="3"/>
    </row>
    <row r="8" customFormat="false" ht="15.6" hidden="false" customHeight="false" outlineLevel="0" collapsed="false">
      <c r="A8" s="17" t="s">
        <v>9</v>
      </c>
      <c r="B8" s="17"/>
      <c r="C8" s="17"/>
      <c r="D8" s="17"/>
      <c r="E8" s="17"/>
      <c r="F8" s="17"/>
      <c r="G8" s="17"/>
      <c r="H8" s="17"/>
      <c r="I8" s="17"/>
      <c r="J8" s="17"/>
    </row>
    <row r="9" customFormat="false" ht="13.2" hidden="false" customHeight="false" outlineLevel="0" collapsed="false">
      <c r="A9" s="14" t="s">
        <v>10</v>
      </c>
      <c r="B9" s="15" t="s">
        <v>11</v>
      </c>
      <c r="C9" s="15" t="s">
        <v>12</v>
      </c>
      <c r="D9" s="15" t="str">
        <f aca="false">"0,6805"</f>
        <v>0,6805</v>
      </c>
      <c r="E9" s="16" t="s">
        <v>13</v>
      </c>
      <c r="F9" s="16" t="s">
        <v>14</v>
      </c>
      <c r="G9" s="15" t="s">
        <v>110</v>
      </c>
      <c r="H9" s="15" t="s">
        <v>111</v>
      </c>
      <c r="I9" s="15" t="s">
        <v>112</v>
      </c>
      <c r="J9" s="18" t="s">
        <v>113</v>
      </c>
      <c r="K9" s="19" t="str">
        <f aca="false">"58,0"</f>
        <v>58,0</v>
      </c>
      <c r="L9" s="19" t="str">
        <f aca="false">"56,0896"</f>
        <v>56,0896</v>
      </c>
      <c r="M9" s="19"/>
    </row>
    <row r="11" customFormat="false" ht="15.6" hidden="false" customHeight="false" outlineLevel="0" collapsed="false">
      <c r="A11" s="17" t="s">
        <v>21</v>
      </c>
      <c r="B11" s="17"/>
      <c r="C11" s="17"/>
      <c r="D11" s="17"/>
      <c r="E11" s="17"/>
      <c r="F11" s="17"/>
      <c r="G11" s="17"/>
      <c r="H11" s="17"/>
      <c r="I11" s="17"/>
      <c r="J11" s="17"/>
    </row>
    <row r="12" customFormat="false" ht="13.2" hidden="false" customHeight="false" outlineLevel="0" collapsed="false">
      <c r="A12" s="28" t="s">
        <v>114</v>
      </c>
      <c r="B12" s="29" t="s">
        <v>115</v>
      </c>
      <c r="C12" s="29" t="s">
        <v>116</v>
      </c>
      <c r="D12" s="29" t="str">
        <f aca="false">"0,5559"</f>
        <v>0,5559</v>
      </c>
      <c r="E12" s="30" t="s">
        <v>13</v>
      </c>
      <c r="F12" s="30" t="s">
        <v>117</v>
      </c>
      <c r="G12" s="29" t="s">
        <v>118</v>
      </c>
      <c r="H12" s="29" t="s">
        <v>111</v>
      </c>
      <c r="I12" s="29" t="s">
        <v>112</v>
      </c>
      <c r="J12" s="29" t="s">
        <v>113</v>
      </c>
      <c r="K12" s="31" t="str">
        <f aca="false">"63,0"</f>
        <v>63,0</v>
      </c>
      <c r="L12" s="31" t="str">
        <f aca="false">"35,0186"</f>
        <v>35,0186</v>
      </c>
      <c r="M12" s="31"/>
    </row>
    <row r="13" customFormat="false" ht="13.2" hidden="false" customHeight="false" outlineLevel="0" collapsed="false">
      <c r="A13" s="32" t="s">
        <v>114</v>
      </c>
      <c r="B13" s="33" t="s">
        <v>119</v>
      </c>
      <c r="C13" s="33" t="s">
        <v>116</v>
      </c>
      <c r="D13" s="33" t="str">
        <f aca="false">"0,5559"</f>
        <v>0,5559</v>
      </c>
      <c r="E13" s="34" t="s">
        <v>13</v>
      </c>
      <c r="F13" s="34" t="s">
        <v>117</v>
      </c>
      <c r="G13" s="33" t="s">
        <v>118</v>
      </c>
      <c r="H13" s="33" t="s">
        <v>111</v>
      </c>
      <c r="I13" s="33" t="s">
        <v>112</v>
      </c>
      <c r="J13" s="33" t="s">
        <v>113</v>
      </c>
      <c r="K13" s="35" t="str">
        <f aca="false">"63,0"</f>
        <v>63,0</v>
      </c>
      <c r="L13" s="35" t="str">
        <f aca="false">"42,8977"</f>
        <v>42,8977</v>
      </c>
      <c r="M13" s="35"/>
    </row>
    <row r="15" customFormat="false" ht="15" hidden="false" customHeight="false" outlineLevel="0" collapsed="false">
      <c r="E15" s="20" t="s">
        <v>27</v>
      </c>
    </row>
    <row r="16" customFormat="false" ht="15" hidden="false" customHeight="false" outlineLevel="0" collapsed="false">
      <c r="E16" s="20" t="s">
        <v>28</v>
      </c>
    </row>
    <row r="17" customFormat="false" ht="15" hidden="false" customHeight="false" outlineLevel="0" collapsed="false">
      <c r="E17" s="20" t="s">
        <v>29</v>
      </c>
    </row>
    <row r="18" customFormat="false" ht="13.2" hidden="false" customHeight="false" outlineLevel="0" collapsed="false">
      <c r="E18" s="3" t="s">
        <v>30</v>
      </c>
    </row>
    <row r="19" customFormat="false" ht="13.2" hidden="false" customHeight="false" outlineLevel="0" collapsed="false">
      <c r="E19" s="3" t="s">
        <v>31</v>
      </c>
    </row>
    <row r="20" customFormat="false" ht="13.2" hidden="false" customHeight="false" outlineLevel="0" collapsed="false">
      <c r="E20" s="3" t="s">
        <v>32</v>
      </c>
    </row>
    <row r="23" customFormat="false" ht="17.4" hidden="false" customHeight="false" outlineLevel="0" collapsed="false">
      <c r="A23" s="21" t="s">
        <v>33</v>
      </c>
      <c r="B23" s="22"/>
    </row>
    <row r="24" customFormat="false" ht="15.6" hidden="false" customHeight="false" outlineLevel="0" collapsed="false">
      <c r="A24" s="23" t="s">
        <v>58</v>
      </c>
      <c r="B24" s="17"/>
    </row>
    <row r="25" customFormat="false" ht="14.4" hidden="false" customHeight="false" outlineLevel="0" collapsed="false">
      <c r="A25" s="24"/>
      <c r="B25" s="25" t="s">
        <v>59</v>
      </c>
    </row>
    <row r="26" customFormat="false" ht="13.8" hidden="false" customHeight="false" outlineLevel="0" collapsed="false">
      <c r="A26" s="26" t="s">
        <v>1</v>
      </c>
      <c r="B26" s="26" t="s">
        <v>36</v>
      </c>
      <c r="C26" s="26" t="s">
        <v>37</v>
      </c>
      <c r="D26" s="26" t="s">
        <v>38</v>
      </c>
      <c r="E26" s="26" t="s">
        <v>4</v>
      </c>
    </row>
    <row r="27" customFormat="false" ht="13.2" hidden="false" customHeight="false" outlineLevel="0" collapsed="false">
      <c r="A27" s="27" t="s">
        <v>60</v>
      </c>
      <c r="B27" s="2" t="s">
        <v>59</v>
      </c>
      <c r="C27" s="2" t="s">
        <v>61</v>
      </c>
      <c r="D27" s="2" t="s">
        <v>107</v>
      </c>
      <c r="E27" s="1" t="s">
        <v>120</v>
      </c>
    </row>
    <row r="30" customFormat="false" ht="15.6" hidden="false" customHeight="false" outlineLevel="0" collapsed="false">
      <c r="A30" s="23" t="s">
        <v>34</v>
      </c>
      <c r="B30" s="17"/>
    </row>
    <row r="31" customFormat="false" ht="14.4" hidden="false" customHeight="false" outlineLevel="0" collapsed="false">
      <c r="A31" s="24"/>
      <c r="B31" s="25" t="s">
        <v>59</v>
      </c>
    </row>
    <row r="32" customFormat="false" ht="13.8" hidden="false" customHeight="false" outlineLevel="0" collapsed="false">
      <c r="A32" s="26" t="s">
        <v>1</v>
      </c>
      <c r="B32" s="26" t="s">
        <v>36</v>
      </c>
      <c r="C32" s="26" t="s">
        <v>37</v>
      </c>
      <c r="D32" s="26" t="s">
        <v>38</v>
      </c>
      <c r="E32" s="26" t="s">
        <v>4</v>
      </c>
    </row>
    <row r="33" customFormat="false" ht="13.2" hidden="false" customHeight="false" outlineLevel="0" collapsed="false">
      <c r="A33" s="27" t="s">
        <v>121</v>
      </c>
      <c r="B33" s="2" t="s">
        <v>59</v>
      </c>
      <c r="C33" s="2" t="s">
        <v>44</v>
      </c>
      <c r="D33" s="2" t="s">
        <v>113</v>
      </c>
      <c r="E33" s="1" t="s">
        <v>122</v>
      </c>
    </row>
    <row r="35" customFormat="false" ht="14.4" hidden="false" customHeight="false" outlineLevel="0" collapsed="false">
      <c r="A35" s="24"/>
      <c r="B35" s="25" t="s">
        <v>35</v>
      </c>
    </row>
    <row r="36" customFormat="false" ht="13.8" hidden="false" customHeight="false" outlineLevel="0" collapsed="false">
      <c r="A36" s="26" t="s">
        <v>1</v>
      </c>
      <c r="B36" s="26" t="s">
        <v>36</v>
      </c>
      <c r="C36" s="26" t="s">
        <v>37</v>
      </c>
      <c r="D36" s="26" t="s">
        <v>38</v>
      </c>
      <c r="E36" s="26" t="s">
        <v>4</v>
      </c>
    </row>
    <row r="37" customFormat="false" ht="13.2" hidden="false" customHeight="false" outlineLevel="0" collapsed="false">
      <c r="A37" s="27" t="s">
        <v>39</v>
      </c>
      <c r="B37" s="2" t="s">
        <v>40</v>
      </c>
      <c r="C37" s="2" t="s">
        <v>41</v>
      </c>
      <c r="D37" s="2" t="s">
        <v>112</v>
      </c>
      <c r="E37" s="1" t="s">
        <v>123</v>
      </c>
    </row>
    <row r="38" customFormat="false" ht="13.2" hidden="false" customHeight="false" outlineLevel="0" collapsed="false">
      <c r="A38" s="27" t="s">
        <v>121</v>
      </c>
      <c r="B38" s="2" t="s">
        <v>40</v>
      </c>
      <c r="C38" s="2" t="s">
        <v>44</v>
      </c>
      <c r="D38" s="2" t="s">
        <v>113</v>
      </c>
      <c r="E38" s="1" t="s">
        <v>124</v>
      </c>
    </row>
  </sheetData>
  <mergeCells count="11">
    <mergeCell ref="A1:J2"/>
    <mergeCell ref="A3:A4"/>
    <mergeCell ref="B3:B4"/>
    <mergeCell ref="C3:C4"/>
    <mergeCell ref="D3:D4"/>
    <mergeCell ref="E3:E4"/>
    <mergeCell ref="F3:F4"/>
    <mergeCell ref="G3:J3"/>
    <mergeCell ref="A5:J5"/>
    <mergeCell ref="A8:J8"/>
    <mergeCell ref="A11:J11"/>
  </mergeCells>
  <printOptions headings="false" gridLines="false" gridLinesSet="true" horizontalCentered="false" verticalCentered="false"/>
  <pageMargins left="0.196527777777778" right="0.472222222222222" top="0.433333333333333" bottom="0.472916666666667" header="0.511805555555555" footer="0.511805555555555"/>
  <pageSetup paperSize="1" scale="100" firstPageNumber="0" fitToWidth="1" fitToHeight="1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&amp;R&amp;D&amp;T&amp;P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19.11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4.78"/>
    <col collapsed="false" customWidth="true" hidden="false" outlineLevel="0" max="9" min="7" style="37" width="4.56"/>
    <col collapsed="false" customWidth="true" hidden="false" outlineLevel="0" max="10" min="10" style="37" width="4.78"/>
    <col collapsed="false" customWidth="true" hidden="false" outlineLevel="0" max="11" min="11" style="1" width="5.78"/>
    <col collapsed="false" customWidth="true" hidden="false" outlineLevel="0" max="12" min="12" style="38" width="7.56"/>
    <col collapsed="false" customWidth="true" hidden="false" outlineLevel="0" max="13" min="13" style="36" width="7.11"/>
    <col collapsed="false" customWidth="false" hidden="false" outlineLevel="0" max="1024" min="14" style="39" width="9.11"/>
  </cols>
  <sheetData>
    <row r="1" s="41" customFormat="true" ht="28.95" hidden="false" customHeight="true" outlineLevel="0" collapsed="false">
      <c r="A1" s="40" t="s">
        <v>125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127</v>
      </c>
      <c r="H3" s="45"/>
      <c r="I3" s="45"/>
      <c r="J3" s="45"/>
      <c r="K3" s="44" t="s">
        <v>8</v>
      </c>
      <c r="L3" s="44" t="s">
        <v>128</v>
      </c>
      <c r="M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4"/>
      <c r="L4" s="44"/>
      <c r="M4" s="46"/>
    </row>
    <row r="5" s="37" customFormat="true" ht="15.6" hidden="false" customHeight="false" outlineLevel="0" collapsed="false">
      <c r="A5" s="13" t="s">
        <v>131</v>
      </c>
      <c r="B5" s="13"/>
      <c r="C5" s="13"/>
      <c r="D5" s="13"/>
      <c r="E5" s="13"/>
      <c r="F5" s="13"/>
      <c r="G5" s="13"/>
      <c r="H5" s="13"/>
      <c r="I5" s="13"/>
      <c r="J5" s="13"/>
      <c r="K5" s="1"/>
      <c r="L5" s="38"/>
      <c r="M5" s="36"/>
    </row>
    <row r="6" s="37" customFormat="true" ht="13.2" hidden="false" customHeight="false" outlineLevel="0" collapsed="false">
      <c r="A6" s="16" t="s">
        <v>48</v>
      </c>
      <c r="B6" s="15" t="s">
        <v>49</v>
      </c>
      <c r="C6" s="15" t="s">
        <v>50</v>
      </c>
      <c r="D6" s="15" t="str">
        <f aca="false">"0,9113"</f>
        <v>0,9113</v>
      </c>
      <c r="E6" s="16" t="s">
        <v>13</v>
      </c>
      <c r="F6" s="16" t="s">
        <v>51</v>
      </c>
      <c r="G6" s="15" t="s">
        <v>132</v>
      </c>
      <c r="H6" s="15" t="s">
        <v>133</v>
      </c>
      <c r="I6" s="15" t="s">
        <v>134</v>
      </c>
      <c r="J6" s="18"/>
      <c r="K6" s="14" t="str">
        <f aca="false">"25,0"</f>
        <v>25,0</v>
      </c>
      <c r="L6" s="48" t="str">
        <f aca="false">"22,7825"</f>
        <v>22,7825</v>
      </c>
      <c r="M6" s="16"/>
    </row>
    <row r="7" s="37" customFormat="true" ht="13.2" hidden="false" customHeight="false" outlineLevel="0" collapsed="false">
      <c r="A7" s="36"/>
      <c r="E7" s="36"/>
      <c r="F7" s="36"/>
      <c r="K7" s="1"/>
      <c r="L7" s="38"/>
      <c r="M7" s="36"/>
    </row>
    <row r="8" customFormat="false" ht="15.6" hidden="false" customHeight="false" outlineLevel="0" collapsed="false">
      <c r="A8" s="17" t="s">
        <v>74</v>
      </c>
      <c r="B8" s="17"/>
      <c r="C8" s="17"/>
      <c r="D8" s="17"/>
      <c r="E8" s="17"/>
      <c r="F8" s="17"/>
      <c r="G8" s="17"/>
      <c r="H8" s="17"/>
      <c r="I8" s="17"/>
      <c r="J8" s="17"/>
    </row>
    <row r="9" customFormat="false" ht="13.2" hidden="false" customHeight="false" outlineLevel="0" collapsed="false">
      <c r="A9" s="30" t="s">
        <v>135</v>
      </c>
      <c r="B9" s="29" t="s">
        <v>136</v>
      </c>
      <c r="C9" s="29" t="s">
        <v>137</v>
      </c>
      <c r="D9" s="29" t="str">
        <f aca="false">"0,6169"</f>
        <v>0,6169</v>
      </c>
      <c r="E9" s="30" t="s">
        <v>13</v>
      </c>
      <c r="F9" s="30" t="s">
        <v>25</v>
      </c>
      <c r="G9" s="29" t="s">
        <v>138</v>
      </c>
      <c r="H9" s="49" t="s">
        <v>26</v>
      </c>
      <c r="I9" s="49" t="s">
        <v>26</v>
      </c>
      <c r="J9" s="49"/>
      <c r="K9" s="28" t="str">
        <f aca="false">"75,0"</f>
        <v>75,0</v>
      </c>
      <c r="L9" s="50" t="str">
        <f aca="false">"46,2638"</f>
        <v>46,2638</v>
      </c>
      <c r="M9" s="30"/>
    </row>
    <row r="10" customFormat="false" ht="13.2" hidden="false" customHeight="false" outlineLevel="0" collapsed="false">
      <c r="A10" s="34" t="s">
        <v>139</v>
      </c>
      <c r="B10" s="33" t="s">
        <v>140</v>
      </c>
      <c r="C10" s="33" t="s">
        <v>141</v>
      </c>
      <c r="D10" s="33" t="str">
        <f aca="false">"0,6157"</f>
        <v>0,6157</v>
      </c>
      <c r="E10" s="34" t="s">
        <v>13</v>
      </c>
      <c r="F10" s="34" t="s">
        <v>142</v>
      </c>
      <c r="G10" s="33" t="s">
        <v>17</v>
      </c>
      <c r="H10" s="33" t="s">
        <v>143</v>
      </c>
      <c r="I10" s="51" t="s">
        <v>138</v>
      </c>
      <c r="J10" s="51"/>
      <c r="K10" s="32" t="str">
        <f aca="false">"67,5"</f>
        <v>67,5</v>
      </c>
      <c r="L10" s="52" t="str">
        <f aca="false">"41,5598"</f>
        <v>41,5598</v>
      </c>
      <c r="M10" s="34"/>
    </row>
    <row r="12" customFormat="false" ht="15.6" hidden="false" customHeight="false" outlineLevel="0" collapsed="false">
      <c r="A12" s="17" t="s">
        <v>144</v>
      </c>
      <c r="B12" s="17"/>
      <c r="C12" s="17"/>
      <c r="D12" s="17"/>
      <c r="E12" s="17"/>
      <c r="F12" s="17"/>
      <c r="G12" s="17"/>
      <c r="H12" s="17"/>
      <c r="I12" s="17"/>
      <c r="J12" s="17"/>
    </row>
    <row r="13" customFormat="false" ht="13.2" hidden="false" customHeight="false" outlineLevel="0" collapsed="false">
      <c r="A13" s="16" t="s">
        <v>145</v>
      </c>
      <c r="B13" s="15" t="s">
        <v>146</v>
      </c>
      <c r="C13" s="15" t="s">
        <v>147</v>
      </c>
      <c r="D13" s="15" t="str">
        <f aca="false">"0,5769"</f>
        <v>0,5769</v>
      </c>
      <c r="E13" s="16" t="s">
        <v>13</v>
      </c>
      <c r="F13" s="16" t="s">
        <v>148</v>
      </c>
      <c r="G13" s="15" t="s">
        <v>17</v>
      </c>
      <c r="H13" s="15" t="s">
        <v>149</v>
      </c>
      <c r="I13" s="18" t="s">
        <v>150</v>
      </c>
      <c r="J13" s="18"/>
      <c r="K13" s="14" t="str">
        <f aca="false">"65,0"</f>
        <v>65,0</v>
      </c>
      <c r="L13" s="48" t="str">
        <f aca="false">"37,4985"</f>
        <v>37,4985</v>
      </c>
      <c r="M13" s="16"/>
    </row>
    <row r="15" customFormat="false" ht="15" hidden="false" customHeight="false" outlineLevel="0" collapsed="false">
      <c r="E15" s="20" t="s">
        <v>27</v>
      </c>
    </row>
    <row r="16" customFormat="false" ht="15" hidden="false" customHeight="false" outlineLevel="0" collapsed="false">
      <c r="E16" s="20" t="s">
        <v>28</v>
      </c>
    </row>
    <row r="17" customFormat="false" ht="15" hidden="false" customHeight="false" outlineLevel="0" collapsed="false">
      <c r="E17" s="20" t="s">
        <v>29</v>
      </c>
    </row>
    <row r="18" customFormat="false" ht="13.2" hidden="false" customHeight="false" outlineLevel="0" collapsed="false">
      <c r="E18" s="36" t="s">
        <v>30</v>
      </c>
    </row>
    <row r="19" customFormat="false" ht="13.2" hidden="false" customHeight="false" outlineLevel="0" collapsed="false">
      <c r="E19" s="36" t="s">
        <v>31</v>
      </c>
    </row>
    <row r="20" customFormat="false" ht="13.2" hidden="false" customHeight="false" outlineLevel="0" collapsed="false">
      <c r="E20" s="36" t="s">
        <v>32</v>
      </c>
    </row>
    <row r="23" customFormat="false" ht="17.4" hidden="false" customHeight="false" outlineLevel="0" collapsed="false">
      <c r="A23" s="53" t="s">
        <v>33</v>
      </c>
      <c r="B23" s="22"/>
    </row>
    <row r="24" customFormat="false" ht="15.6" hidden="false" customHeight="false" outlineLevel="0" collapsed="false">
      <c r="A24" s="54" t="s">
        <v>58</v>
      </c>
      <c r="B24" s="17"/>
    </row>
    <row r="25" customFormat="false" ht="14.4" hidden="false" customHeight="false" outlineLevel="0" collapsed="false">
      <c r="A25" s="55"/>
      <c r="B25" s="25" t="s">
        <v>59</v>
      </c>
    </row>
    <row r="26" customFormat="false" ht="13.8" hidden="false" customHeight="false" outlineLevel="0" collapsed="false">
      <c r="A26" s="26" t="s">
        <v>1</v>
      </c>
      <c r="B26" s="26" t="s">
        <v>36</v>
      </c>
      <c r="C26" s="26" t="s">
        <v>37</v>
      </c>
      <c r="D26" s="26" t="s">
        <v>38</v>
      </c>
      <c r="E26" s="26" t="s">
        <v>4</v>
      </c>
    </row>
    <row r="27" customFormat="false" ht="13.2" hidden="false" customHeight="false" outlineLevel="0" collapsed="false">
      <c r="A27" s="56" t="s">
        <v>60</v>
      </c>
      <c r="B27" s="37" t="s">
        <v>59</v>
      </c>
      <c r="C27" s="37" t="s">
        <v>151</v>
      </c>
      <c r="D27" s="37" t="s">
        <v>134</v>
      </c>
      <c r="E27" s="1" t="s">
        <v>152</v>
      </c>
    </row>
    <row r="30" customFormat="false" ht="15.6" hidden="false" customHeight="false" outlineLevel="0" collapsed="false">
      <c r="A30" s="54" t="s">
        <v>34</v>
      </c>
      <c r="B30" s="17"/>
    </row>
    <row r="31" customFormat="false" ht="14.4" hidden="false" customHeight="false" outlineLevel="0" collapsed="false">
      <c r="A31" s="55"/>
      <c r="B31" s="25" t="s">
        <v>59</v>
      </c>
    </row>
    <row r="32" customFormat="false" ht="13.8" hidden="false" customHeight="false" outlineLevel="0" collapsed="false">
      <c r="A32" s="26" t="s">
        <v>1</v>
      </c>
      <c r="B32" s="26" t="s">
        <v>36</v>
      </c>
      <c r="C32" s="26" t="s">
        <v>37</v>
      </c>
      <c r="D32" s="26" t="s">
        <v>38</v>
      </c>
      <c r="E32" s="26" t="s">
        <v>4</v>
      </c>
    </row>
    <row r="33" customFormat="false" ht="13.2" hidden="false" customHeight="false" outlineLevel="0" collapsed="false">
      <c r="A33" s="56" t="s">
        <v>153</v>
      </c>
      <c r="B33" s="37" t="s">
        <v>59</v>
      </c>
      <c r="C33" s="37" t="s">
        <v>95</v>
      </c>
      <c r="D33" s="37" t="s">
        <v>138</v>
      </c>
      <c r="E33" s="1" t="s">
        <v>154</v>
      </c>
    </row>
    <row r="34" customFormat="false" ht="13.2" hidden="false" customHeight="false" outlineLevel="0" collapsed="false">
      <c r="A34" s="56" t="s">
        <v>155</v>
      </c>
      <c r="B34" s="37" t="s">
        <v>59</v>
      </c>
      <c r="C34" s="37" t="s">
        <v>95</v>
      </c>
      <c r="D34" s="37" t="s">
        <v>143</v>
      </c>
      <c r="E34" s="1" t="s">
        <v>156</v>
      </c>
    </row>
    <row r="35" customFormat="false" ht="13.2" hidden="false" customHeight="false" outlineLevel="0" collapsed="false">
      <c r="A35" s="56" t="s">
        <v>157</v>
      </c>
      <c r="B35" s="37" t="s">
        <v>59</v>
      </c>
      <c r="C35" s="37" t="s">
        <v>158</v>
      </c>
      <c r="D35" s="37" t="s">
        <v>149</v>
      </c>
      <c r="E35" s="1" t="s">
        <v>159</v>
      </c>
    </row>
  </sheetData>
  <mergeCells count="14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A8:J8"/>
    <mergeCell ref="A12:J1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6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6.56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6.33"/>
    <col collapsed="false" customWidth="true" hidden="false" outlineLevel="0" max="9" min="7" style="37" width="4.56"/>
    <col collapsed="false" customWidth="true" hidden="false" outlineLevel="0" max="10" min="10" style="37" width="4.78"/>
    <col collapsed="false" customWidth="true" hidden="false" outlineLevel="0" max="11" min="11" style="1" width="5.78"/>
    <col collapsed="false" customWidth="true" hidden="false" outlineLevel="0" max="12" min="12" style="38" width="7.56"/>
    <col collapsed="false" customWidth="true" hidden="false" outlineLevel="0" max="13" min="13" style="36" width="7.11"/>
    <col collapsed="false" customWidth="false" hidden="false" outlineLevel="0" max="1024" min="14" style="39" width="9.11"/>
  </cols>
  <sheetData>
    <row r="1" s="41" customFormat="true" ht="28.95" hidden="false" customHeight="true" outlineLevel="0" collapsed="false">
      <c r="A1" s="40" t="s">
        <v>160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127</v>
      </c>
      <c r="H3" s="45"/>
      <c r="I3" s="45"/>
      <c r="J3" s="45"/>
      <c r="K3" s="44" t="s">
        <v>8</v>
      </c>
      <c r="L3" s="44" t="s">
        <v>128</v>
      </c>
      <c r="M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4"/>
      <c r="L4" s="44"/>
      <c r="M4" s="46"/>
    </row>
    <row r="5" s="37" customFormat="true" ht="15.6" hidden="false" customHeight="false" outlineLevel="0" collapsed="false">
      <c r="A5" s="13" t="s">
        <v>131</v>
      </c>
      <c r="B5" s="13"/>
      <c r="C5" s="13"/>
      <c r="D5" s="13"/>
      <c r="E5" s="13"/>
      <c r="F5" s="13"/>
      <c r="G5" s="13"/>
      <c r="H5" s="13"/>
      <c r="I5" s="13"/>
      <c r="J5" s="13"/>
      <c r="K5" s="1"/>
      <c r="L5" s="38"/>
      <c r="M5" s="36"/>
    </row>
    <row r="6" s="37" customFormat="true" ht="13.2" hidden="false" customHeight="false" outlineLevel="0" collapsed="false">
      <c r="A6" s="16" t="s">
        <v>161</v>
      </c>
      <c r="B6" s="15" t="s">
        <v>162</v>
      </c>
      <c r="C6" s="15" t="s">
        <v>163</v>
      </c>
      <c r="D6" s="15" t="str">
        <f aca="false">"0,9392"</f>
        <v>0,9392</v>
      </c>
      <c r="E6" s="16" t="s">
        <v>164</v>
      </c>
      <c r="F6" s="16" t="s">
        <v>165</v>
      </c>
      <c r="G6" s="15" t="s">
        <v>134</v>
      </c>
      <c r="H6" s="15" t="s">
        <v>166</v>
      </c>
      <c r="I6" s="18" t="s">
        <v>167</v>
      </c>
      <c r="J6" s="18"/>
      <c r="K6" s="14" t="str">
        <f aca="false">"30,0"</f>
        <v>30,0</v>
      </c>
      <c r="L6" s="48" t="str">
        <f aca="false">"28,1760"</f>
        <v>28,1760</v>
      </c>
      <c r="M6" s="16"/>
    </row>
    <row r="7" s="37" customFormat="true" ht="13.2" hidden="false" customHeight="false" outlineLevel="0" collapsed="false">
      <c r="A7" s="36"/>
      <c r="E7" s="36"/>
      <c r="F7" s="36"/>
      <c r="K7" s="1"/>
      <c r="L7" s="38"/>
      <c r="M7" s="36"/>
    </row>
    <row r="8" customFormat="false" ht="15.6" hidden="false" customHeight="false" outlineLevel="0" collapsed="false">
      <c r="A8" s="17" t="s">
        <v>131</v>
      </c>
      <c r="B8" s="17"/>
      <c r="C8" s="17"/>
      <c r="D8" s="17"/>
      <c r="E8" s="17"/>
      <c r="F8" s="17"/>
      <c r="G8" s="17"/>
      <c r="H8" s="17"/>
      <c r="I8" s="17"/>
      <c r="J8" s="17"/>
    </row>
    <row r="9" customFormat="false" ht="13.2" hidden="false" customHeight="false" outlineLevel="0" collapsed="false">
      <c r="A9" s="16" t="s">
        <v>168</v>
      </c>
      <c r="B9" s="15" t="s">
        <v>169</v>
      </c>
      <c r="C9" s="15" t="s">
        <v>170</v>
      </c>
      <c r="D9" s="15" t="str">
        <f aca="false">"0,7494"</f>
        <v>0,7494</v>
      </c>
      <c r="E9" s="16" t="s">
        <v>13</v>
      </c>
      <c r="F9" s="16" t="s">
        <v>171</v>
      </c>
      <c r="G9" s="18" t="s">
        <v>16</v>
      </c>
      <c r="H9" s="18" t="s">
        <v>172</v>
      </c>
      <c r="I9" s="18" t="s">
        <v>172</v>
      </c>
      <c r="J9" s="18"/>
      <c r="K9" s="14" t="str">
        <f aca="false">"0.00"</f>
        <v>0.00</v>
      </c>
      <c r="L9" s="48" t="str">
        <f aca="false">"0,0000"</f>
        <v>0,0000</v>
      </c>
      <c r="M9" s="16"/>
    </row>
    <row r="11" customFormat="false" ht="15.6" hidden="false" customHeight="false" outlineLevel="0" collapsed="false">
      <c r="A11" s="17" t="s">
        <v>173</v>
      </c>
      <c r="B11" s="17"/>
      <c r="C11" s="17"/>
      <c r="D11" s="17"/>
      <c r="E11" s="17"/>
      <c r="F11" s="17"/>
      <c r="G11" s="17"/>
      <c r="H11" s="17"/>
      <c r="I11" s="17"/>
      <c r="J11" s="17"/>
    </row>
    <row r="12" customFormat="false" ht="13.2" hidden="false" customHeight="false" outlineLevel="0" collapsed="false">
      <c r="A12" s="30" t="s">
        <v>174</v>
      </c>
      <c r="B12" s="29" t="s">
        <v>175</v>
      </c>
      <c r="C12" s="29" t="s">
        <v>176</v>
      </c>
      <c r="D12" s="29" t="str">
        <f aca="false">"0,6990"</f>
        <v>0,6990</v>
      </c>
      <c r="E12" s="30" t="s">
        <v>13</v>
      </c>
      <c r="F12" s="30" t="s">
        <v>25</v>
      </c>
      <c r="G12" s="29" t="s">
        <v>177</v>
      </c>
      <c r="H12" s="29" t="s">
        <v>178</v>
      </c>
      <c r="I12" s="49" t="s">
        <v>17</v>
      </c>
      <c r="J12" s="49"/>
      <c r="K12" s="28" t="str">
        <f aca="false">"57,5"</f>
        <v>57,5</v>
      </c>
      <c r="L12" s="50" t="str">
        <f aca="false">"40,1925"</f>
        <v>40,1925</v>
      </c>
      <c r="M12" s="30"/>
    </row>
    <row r="13" customFormat="false" ht="13.2" hidden="false" customHeight="false" outlineLevel="0" collapsed="false">
      <c r="A13" s="57" t="s">
        <v>179</v>
      </c>
      <c r="B13" s="58" t="s">
        <v>180</v>
      </c>
      <c r="C13" s="58" t="s">
        <v>181</v>
      </c>
      <c r="D13" s="58" t="str">
        <f aca="false">"0,6940"</f>
        <v>0,6940</v>
      </c>
      <c r="E13" s="57" t="s">
        <v>13</v>
      </c>
      <c r="F13" s="57" t="s">
        <v>182</v>
      </c>
      <c r="G13" s="58" t="s">
        <v>16</v>
      </c>
      <c r="H13" s="59" t="s">
        <v>178</v>
      </c>
      <c r="I13" s="59" t="s">
        <v>178</v>
      </c>
      <c r="J13" s="59"/>
      <c r="K13" s="60" t="str">
        <f aca="false">"50,0"</f>
        <v>50,0</v>
      </c>
      <c r="L13" s="61" t="str">
        <f aca="false">"34,7000"</f>
        <v>34,7000</v>
      </c>
      <c r="M13" s="57"/>
    </row>
    <row r="14" customFormat="false" ht="13.2" hidden="false" customHeight="false" outlineLevel="0" collapsed="false">
      <c r="A14" s="34" t="s">
        <v>183</v>
      </c>
      <c r="B14" s="33" t="s">
        <v>184</v>
      </c>
      <c r="C14" s="33" t="s">
        <v>185</v>
      </c>
      <c r="D14" s="33" t="str">
        <f aca="false">"0,7383"</f>
        <v>0,7383</v>
      </c>
      <c r="E14" s="34" t="s">
        <v>13</v>
      </c>
      <c r="F14" s="34" t="s">
        <v>186</v>
      </c>
      <c r="G14" s="51" t="s">
        <v>16</v>
      </c>
      <c r="H14" s="51" t="s">
        <v>16</v>
      </c>
      <c r="I14" s="51" t="s">
        <v>16</v>
      </c>
      <c r="J14" s="51"/>
      <c r="K14" s="32" t="str">
        <f aca="false">"0.00"</f>
        <v>0.00</v>
      </c>
      <c r="L14" s="52" t="str">
        <f aca="false">"0,0000"</f>
        <v>0,0000</v>
      </c>
      <c r="M14" s="34"/>
    </row>
    <row r="16" customFormat="false" ht="15.6" hidden="false" customHeight="false" outlineLevel="0" collapsed="false">
      <c r="A16" s="17" t="s">
        <v>187</v>
      </c>
      <c r="B16" s="17"/>
      <c r="C16" s="17"/>
      <c r="D16" s="17"/>
      <c r="E16" s="17"/>
      <c r="F16" s="17"/>
      <c r="G16" s="17"/>
      <c r="H16" s="17"/>
      <c r="I16" s="17"/>
      <c r="J16" s="17"/>
    </row>
    <row r="17" customFormat="false" ht="13.2" hidden="false" customHeight="false" outlineLevel="0" collapsed="false">
      <c r="A17" s="16" t="s">
        <v>188</v>
      </c>
      <c r="B17" s="15" t="s">
        <v>189</v>
      </c>
      <c r="C17" s="15" t="s">
        <v>190</v>
      </c>
      <c r="D17" s="15" t="str">
        <f aca="false">"0,6573"</f>
        <v>0,6573</v>
      </c>
      <c r="E17" s="16" t="s">
        <v>13</v>
      </c>
      <c r="F17" s="16" t="s">
        <v>171</v>
      </c>
      <c r="G17" s="15" t="s">
        <v>191</v>
      </c>
      <c r="H17" s="15" t="s">
        <v>18</v>
      </c>
      <c r="I17" s="18"/>
      <c r="J17" s="18"/>
      <c r="K17" s="14" t="str">
        <f aca="false">"70,0"</f>
        <v>70,0</v>
      </c>
      <c r="L17" s="48" t="str">
        <f aca="false">"46,0110"</f>
        <v>46,0110</v>
      </c>
      <c r="M17" s="16"/>
    </row>
    <row r="19" customFormat="false" ht="15.6" hidden="false" customHeight="false" outlineLevel="0" collapsed="false">
      <c r="A19" s="17" t="s">
        <v>74</v>
      </c>
      <c r="B19" s="17"/>
      <c r="C19" s="17"/>
      <c r="D19" s="17"/>
      <c r="E19" s="17"/>
      <c r="F19" s="17"/>
      <c r="G19" s="17"/>
      <c r="H19" s="17"/>
      <c r="I19" s="17"/>
      <c r="J19" s="17"/>
    </row>
    <row r="20" customFormat="false" ht="13.2" hidden="false" customHeight="false" outlineLevel="0" collapsed="false">
      <c r="A20" s="30" t="s">
        <v>192</v>
      </c>
      <c r="B20" s="29" t="s">
        <v>193</v>
      </c>
      <c r="C20" s="29" t="s">
        <v>194</v>
      </c>
      <c r="D20" s="29" t="str">
        <f aca="false">"0,6340"</f>
        <v>0,6340</v>
      </c>
      <c r="E20" s="30" t="s">
        <v>13</v>
      </c>
      <c r="F20" s="30" t="s">
        <v>195</v>
      </c>
      <c r="G20" s="29" t="s">
        <v>17</v>
      </c>
      <c r="H20" s="29" t="s">
        <v>149</v>
      </c>
      <c r="I20" s="49" t="s">
        <v>143</v>
      </c>
      <c r="J20" s="49"/>
      <c r="K20" s="28" t="str">
        <f aca="false">"65,0"</f>
        <v>65,0</v>
      </c>
      <c r="L20" s="50" t="str">
        <f aca="false">"41,2100"</f>
        <v>41,2100</v>
      </c>
      <c r="M20" s="30"/>
    </row>
    <row r="21" customFormat="false" ht="13.2" hidden="false" customHeight="false" outlineLevel="0" collapsed="false">
      <c r="A21" s="57" t="s">
        <v>196</v>
      </c>
      <c r="B21" s="58" t="s">
        <v>197</v>
      </c>
      <c r="C21" s="58" t="s">
        <v>198</v>
      </c>
      <c r="D21" s="58" t="str">
        <f aca="false">"0,6317"</f>
        <v>0,6317</v>
      </c>
      <c r="E21" s="57" t="s">
        <v>13</v>
      </c>
      <c r="F21" s="57" t="s">
        <v>199</v>
      </c>
      <c r="G21" s="58" t="s">
        <v>16</v>
      </c>
      <c r="H21" s="58" t="s">
        <v>177</v>
      </c>
      <c r="I21" s="59" t="s">
        <v>17</v>
      </c>
      <c r="J21" s="59"/>
      <c r="K21" s="60" t="str">
        <f aca="false">"55,0"</f>
        <v>55,0</v>
      </c>
      <c r="L21" s="61" t="str">
        <f aca="false">"34,7435"</f>
        <v>34,7435</v>
      </c>
      <c r="M21" s="57"/>
    </row>
    <row r="22" customFormat="false" ht="13.2" hidden="false" customHeight="false" outlineLevel="0" collapsed="false">
      <c r="A22" s="57" t="s">
        <v>200</v>
      </c>
      <c r="B22" s="58" t="s">
        <v>201</v>
      </c>
      <c r="C22" s="58" t="s">
        <v>202</v>
      </c>
      <c r="D22" s="58" t="str">
        <f aca="false">"0,6273"</f>
        <v>0,6273</v>
      </c>
      <c r="E22" s="57" t="s">
        <v>13</v>
      </c>
      <c r="F22" s="57" t="s">
        <v>25</v>
      </c>
      <c r="G22" s="58" t="s">
        <v>16</v>
      </c>
      <c r="H22" s="58" t="s">
        <v>177</v>
      </c>
      <c r="I22" s="59" t="s">
        <v>17</v>
      </c>
      <c r="J22" s="59"/>
      <c r="K22" s="60" t="str">
        <f aca="false">"55,0"</f>
        <v>55,0</v>
      </c>
      <c r="L22" s="61" t="str">
        <f aca="false">"34,4988"</f>
        <v>34,4988</v>
      </c>
      <c r="M22" s="57"/>
    </row>
    <row r="23" customFormat="false" ht="13.2" hidden="false" customHeight="false" outlineLevel="0" collapsed="false">
      <c r="A23" s="34" t="s">
        <v>203</v>
      </c>
      <c r="B23" s="33" t="s">
        <v>204</v>
      </c>
      <c r="C23" s="33" t="s">
        <v>205</v>
      </c>
      <c r="D23" s="33" t="str">
        <f aca="false">"0,6269"</f>
        <v>0,6269</v>
      </c>
      <c r="E23" s="34" t="s">
        <v>13</v>
      </c>
      <c r="F23" s="34" t="s">
        <v>25</v>
      </c>
      <c r="G23" s="33" t="s">
        <v>206</v>
      </c>
      <c r="H23" s="33" t="s">
        <v>16</v>
      </c>
      <c r="I23" s="33" t="s">
        <v>177</v>
      </c>
      <c r="J23" s="51"/>
      <c r="K23" s="32" t="str">
        <f aca="false">"55,0"</f>
        <v>55,0</v>
      </c>
      <c r="L23" s="52" t="str">
        <f aca="false">"37,3038"</f>
        <v>37,3038</v>
      </c>
      <c r="M23" s="34"/>
    </row>
    <row r="25" customFormat="false" ht="15.6" hidden="false" customHeight="false" outlineLevel="0" collapsed="false">
      <c r="A25" s="17" t="s">
        <v>82</v>
      </c>
      <c r="B25" s="17"/>
      <c r="C25" s="17"/>
      <c r="D25" s="17"/>
      <c r="E25" s="17"/>
      <c r="F25" s="17"/>
      <c r="G25" s="17"/>
      <c r="H25" s="17"/>
      <c r="I25" s="17"/>
      <c r="J25" s="17"/>
    </row>
    <row r="26" customFormat="false" ht="13.2" hidden="false" customHeight="false" outlineLevel="0" collapsed="false">
      <c r="A26" s="16" t="s">
        <v>207</v>
      </c>
      <c r="B26" s="15" t="s">
        <v>208</v>
      </c>
      <c r="C26" s="15" t="s">
        <v>209</v>
      </c>
      <c r="D26" s="15" t="str">
        <f aca="false">"0,5889"</f>
        <v>0,5889</v>
      </c>
      <c r="E26" s="16" t="s">
        <v>13</v>
      </c>
      <c r="F26" s="16" t="s">
        <v>210</v>
      </c>
      <c r="G26" s="15" t="s">
        <v>149</v>
      </c>
      <c r="H26" s="15" t="s">
        <v>18</v>
      </c>
      <c r="I26" s="18" t="s">
        <v>211</v>
      </c>
      <c r="J26" s="18"/>
      <c r="K26" s="14" t="str">
        <f aca="false">"70,0"</f>
        <v>70,0</v>
      </c>
      <c r="L26" s="48" t="str">
        <f aca="false">"41,2195"</f>
        <v>41,2195</v>
      </c>
      <c r="M26" s="16"/>
    </row>
    <row r="28" customFormat="false" ht="15.6" hidden="false" customHeight="false" outlineLevel="0" collapsed="false">
      <c r="A28" s="17" t="s">
        <v>144</v>
      </c>
      <c r="B28" s="17"/>
      <c r="C28" s="17"/>
      <c r="D28" s="17"/>
      <c r="E28" s="17"/>
      <c r="F28" s="17"/>
      <c r="G28" s="17"/>
      <c r="H28" s="17"/>
      <c r="I28" s="17"/>
      <c r="J28" s="17"/>
    </row>
    <row r="29" customFormat="false" ht="13.2" hidden="false" customHeight="false" outlineLevel="0" collapsed="false">
      <c r="A29" s="30" t="s">
        <v>212</v>
      </c>
      <c r="B29" s="29" t="s">
        <v>213</v>
      </c>
      <c r="C29" s="29" t="s">
        <v>214</v>
      </c>
      <c r="D29" s="29" t="str">
        <f aca="false">"0,5735"</f>
        <v>0,5735</v>
      </c>
      <c r="E29" s="30" t="s">
        <v>13</v>
      </c>
      <c r="F29" s="30" t="s">
        <v>25</v>
      </c>
      <c r="G29" s="29" t="s">
        <v>191</v>
      </c>
      <c r="H29" s="29" t="s">
        <v>149</v>
      </c>
      <c r="I29" s="49" t="s">
        <v>211</v>
      </c>
      <c r="J29" s="49"/>
      <c r="K29" s="28" t="str">
        <f aca="false">"65,0"</f>
        <v>65,0</v>
      </c>
      <c r="L29" s="50" t="str">
        <f aca="false">"37,2807"</f>
        <v>37,2807</v>
      </c>
      <c r="M29" s="30"/>
    </row>
    <row r="30" customFormat="false" ht="13.2" hidden="false" customHeight="false" outlineLevel="0" collapsed="false">
      <c r="A30" s="34" t="s">
        <v>215</v>
      </c>
      <c r="B30" s="33" t="s">
        <v>216</v>
      </c>
      <c r="C30" s="33" t="s">
        <v>217</v>
      </c>
      <c r="D30" s="33" t="str">
        <f aca="false">"0,5718"</f>
        <v>0,5718</v>
      </c>
      <c r="E30" s="34" t="s">
        <v>13</v>
      </c>
      <c r="F30" s="34" t="s">
        <v>218</v>
      </c>
      <c r="G30" s="33" t="s">
        <v>16</v>
      </c>
      <c r="H30" s="51" t="s">
        <v>177</v>
      </c>
      <c r="I30" s="51" t="s">
        <v>177</v>
      </c>
      <c r="J30" s="51"/>
      <c r="K30" s="32" t="str">
        <f aca="false">"50,0"</f>
        <v>50,0</v>
      </c>
      <c r="L30" s="52" t="str">
        <f aca="false">"36,9097"</f>
        <v>36,9097</v>
      </c>
      <c r="M30" s="34"/>
    </row>
    <row r="32" customFormat="false" ht="15.6" hidden="false" customHeight="false" outlineLevel="0" collapsed="false">
      <c r="A32" s="17" t="s">
        <v>21</v>
      </c>
      <c r="B32" s="17"/>
      <c r="C32" s="17"/>
      <c r="D32" s="17"/>
      <c r="E32" s="17"/>
      <c r="F32" s="17"/>
      <c r="G32" s="17"/>
      <c r="H32" s="17"/>
      <c r="I32" s="17"/>
      <c r="J32" s="17"/>
    </row>
    <row r="33" customFormat="false" ht="13.2" hidden="false" customHeight="false" outlineLevel="0" collapsed="false">
      <c r="A33" s="16" t="s">
        <v>219</v>
      </c>
      <c r="B33" s="15" t="s">
        <v>220</v>
      </c>
      <c r="C33" s="15" t="s">
        <v>221</v>
      </c>
      <c r="D33" s="15" t="str">
        <f aca="false">"0,5598"</f>
        <v>0,5598</v>
      </c>
      <c r="E33" s="16" t="s">
        <v>13</v>
      </c>
      <c r="F33" s="16" t="s">
        <v>218</v>
      </c>
      <c r="G33" s="15" t="s">
        <v>17</v>
      </c>
      <c r="H33" s="15" t="s">
        <v>149</v>
      </c>
      <c r="I33" s="18" t="s">
        <v>18</v>
      </c>
      <c r="J33" s="18"/>
      <c r="K33" s="14" t="str">
        <f aca="false">"65,0"</f>
        <v>65,0</v>
      </c>
      <c r="L33" s="48" t="str">
        <f aca="false">"36,3838"</f>
        <v>36,3838</v>
      </c>
      <c r="M33" s="16"/>
    </row>
    <row r="35" customFormat="false" ht="15" hidden="false" customHeight="false" outlineLevel="0" collapsed="false">
      <c r="E35" s="20" t="s">
        <v>27</v>
      </c>
    </row>
    <row r="36" customFormat="false" ht="15" hidden="false" customHeight="false" outlineLevel="0" collapsed="false">
      <c r="E36" s="20" t="s">
        <v>28</v>
      </c>
    </row>
    <row r="37" customFormat="false" ht="15" hidden="false" customHeight="false" outlineLevel="0" collapsed="false">
      <c r="E37" s="20" t="s">
        <v>29</v>
      </c>
    </row>
    <row r="38" customFormat="false" ht="13.2" hidden="false" customHeight="false" outlineLevel="0" collapsed="false">
      <c r="E38" s="36" t="s">
        <v>30</v>
      </c>
    </row>
    <row r="39" customFormat="false" ht="13.2" hidden="false" customHeight="false" outlineLevel="0" collapsed="false">
      <c r="E39" s="36" t="s">
        <v>31</v>
      </c>
    </row>
    <row r="40" customFormat="false" ht="13.2" hidden="false" customHeight="false" outlineLevel="0" collapsed="false">
      <c r="E40" s="36" t="s">
        <v>32</v>
      </c>
    </row>
    <row r="43" customFormat="false" ht="17.4" hidden="false" customHeight="false" outlineLevel="0" collapsed="false">
      <c r="A43" s="53" t="s">
        <v>33</v>
      </c>
      <c r="B43" s="22"/>
    </row>
    <row r="44" customFormat="false" ht="15.6" hidden="false" customHeight="false" outlineLevel="0" collapsed="false">
      <c r="A44" s="54" t="s">
        <v>58</v>
      </c>
      <c r="B44" s="17"/>
    </row>
    <row r="45" customFormat="false" ht="14.4" hidden="false" customHeight="false" outlineLevel="0" collapsed="false">
      <c r="A45" s="55"/>
      <c r="B45" s="25" t="s">
        <v>59</v>
      </c>
    </row>
    <row r="46" customFormat="false" ht="13.8" hidden="false" customHeight="false" outlineLevel="0" collapsed="false">
      <c r="A46" s="26" t="s">
        <v>1</v>
      </c>
      <c r="B46" s="26" t="s">
        <v>36</v>
      </c>
      <c r="C46" s="26" t="s">
        <v>37</v>
      </c>
      <c r="D46" s="26" t="s">
        <v>38</v>
      </c>
      <c r="E46" s="26" t="s">
        <v>4</v>
      </c>
    </row>
    <row r="47" customFormat="false" ht="13.2" hidden="false" customHeight="false" outlineLevel="0" collapsed="false">
      <c r="A47" s="56" t="s">
        <v>222</v>
      </c>
      <c r="B47" s="37" t="s">
        <v>59</v>
      </c>
      <c r="C47" s="37" t="s">
        <v>151</v>
      </c>
      <c r="D47" s="37" t="s">
        <v>166</v>
      </c>
      <c r="E47" s="1" t="s">
        <v>223</v>
      </c>
    </row>
    <row r="50" customFormat="false" ht="15.6" hidden="false" customHeight="false" outlineLevel="0" collapsed="false">
      <c r="A50" s="54" t="s">
        <v>34</v>
      </c>
      <c r="B50" s="17"/>
    </row>
    <row r="51" customFormat="false" ht="14.4" hidden="false" customHeight="false" outlineLevel="0" collapsed="false">
      <c r="A51" s="55"/>
      <c r="B51" s="25" t="s">
        <v>59</v>
      </c>
    </row>
    <row r="52" customFormat="false" ht="13.8" hidden="false" customHeight="false" outlineLevel="0" collapsed="false">
      <c r="A52" s="26" t="s">
        <v>1</v>
      </c>
      <c r="B52" s="26" t="s">
        <v>36</v>
      </c>
      <c r="C52" s="26" t="s">
        <v>37</v>
      </c>
      <c r="D52" s="26" t="s">
        <v>38</v>
      </c>
      <c r="E52" s="26" t="s">
        <v>4</v>
      </c>
    </row>
    <row r="53" customFormat="false" ht="13.2" hidden="false" customHeight="false" outlineLevel="0" collapsed="false">
      <c r="A53" s="56" t="s">
        <v>224</v>
      </c>
      <c r="B53" s="37" t="s">
        <v>59</v>
      </c>
      <c r="C53" s="37" t="s">
        <v>225</v>
      </c>
      <c r="D53" s="37" t="s">
        <v>18</v>
      </c>
      <c r="E53" s="1" t="s">
        <v>226</v>
      </c>
    </row>
    <row r="54" customFormat="false" ht="13.2" hidden="false" customHeight="false" outlineLevel="0" collapsed="false">
      <c r="A54" s="56" t="s">
        <v>227</v>
      </c>
      <c r="B54" s="37" t="s">
        <v>59</v>
      </c>
      <c r="C54" s="37" t="s">
        <v>98</v>
      </c>
      <c r="D54" s="37" t="s">
        <v>18</v>
      </c>
      <c r="E54" s="1" t="s">
        <v>228</v>
      </c>
    </row>
    <row r="55" customFormat="false" ht="13.2" hidden="false" customHeight="false" outlineLevel="0" collapsed="false">
      <c r="A55" s="56" t="s">
        <v>229</v>
      </c>
      <c r="B55" s="37" t="s">
        <v>59</v>
      </c>
      <c r="C55" s="37" t="s">
        <v>95</v>
      </c>
      <c r="D55" s="37" t="s">
        <v>149</v>
      </c>
      <c r="E55" s="1" t="s">
        <v>230</v>
      </c>
    </row>
    <row r="56" customFormat="false" ht="13.2" hidden="false" customHeight="false" outlineLevel="0" collapsed="false">
      <c r="A56" s="56" t="s">
        <v>231</v>
      </c>
      <c r="B56" s="37" t="s">
        <v>59</v>
      </c>
      <c r="C56" s="37" t="s">
        <v>232</v>
      </c>
      <c r="D56" s="37" t="s">
        <v>178</v>
      </c>
      <c r="E56" s="1" t="s">
        <v>233</v>
      </c>
    </row>
    <row r="57" customFormat="false" ht="13.2" hidden="false" customHeight="false" outlineLevel="0" collapsed="false">
      <c r="A57" s="56" t="s">
        <v>234</v>
      </c>
      <c r="B57" s="37" t="s">
        <v>59</v>
      </c>
      <c r="C57" s="37" t="s">
        <v>158</v>
      </c>
      <c r="D57" s="37" t="s">
        <v>149</v>
      </c>
      <c r="E57" s="1" t="s">
        <v>235</v>
      </c>
    </row>
    <row r="58" customFormat="false" ht="13.2" hidden="false" customHeight="false" outlineLevel="0" collapsed="false">
      <c r="A58" s="56" t="s">
        <v>236</v>
      </c>
      <c r="B58" s="37" t="s">
        <v>59</v>
      </c>
      <c r="C58" s="37" t="s">
        <v>44</v>
      </c>
      <c r="D58" s="37" t="s">
        <v>149</v>
      </c>
      <c r="E58" s="1" t="s">
        <v>237</v>
      </c>
    </row>
    <row r="59" customFormat="false" ht="13.2" hidden="false" customHeight="false" outlineLevel="0" collapsed="false">
      <c r="A59" s="56" t="s">
        <v>238</v>
      </c>
      <c r="B59" s="37" t="s">
        <v>59</v>
      </c>
      <c r="C59" s="37" t="s">
        <v>95</v>
      </c>
      <c r="D59" s="37" t="s">
        <v>177</v>
      </c>
      <c r="E59" s="1" t="s">
        <v>239</v>
      </c>
    </row>
    <row r="60" customFormat="false" ht="13.2" hidden="false" customHeight="false" outlineLevel="0" collapsed="false">
      <c r="A60" s="56" t="s">
        <v>240</v>
      </c>
      <c r="B60" s="37" t="s">
        <v>59</v>
      </c>
      <c r="C60" s="37" t="s">
        <v>232</v>
      </c>
      <c r="D60" s="37" t="s">
        <v>16</v>
      </c>
      <c r="E60" s="1" t="s">
        <v>241</v>
      </c>
    </row>
    <row r="61" customFormat="false" ht="13.2" hidden="false" customHeight="false" outlineLevel="0" collapsed="false">
      <c r="A61" s="56" t="s">
        <v>242</v>
      </c>
      <c r="B61" s="37" t="s">
        <v>59</v>
      </c>
      <c r="C61" s="37" t="s">
        <v>95</v>
      </c>
      <c r="D61" s="37" t="s">
        <v>177</v>
      </c>
      <c r="E61" s="1" t="s">
        <v>243</v>
      </c>
    </row>
    <row r="63" customFormat="false" ht="14.4" hidden="false" customHeight="false" outlineLevel="0" collapsed="false">
      <c r="A63" s="55"/>
      <c r="B63" s="25" t="s">
        <v>244</v>
      </c>
    </row>
    <row r="64" customFormat="false" ht="13.8" hidden="false" customHeight="false" outlineLevel="0" collapsed="false">
      <c r="A64" s="26" t="s">
        <v>1</v>
      </c>
      <c r="B64" s="26" t="s">
        <v>36</v>
      </c>
      <c r="C64" s="26" t="s">
        <v>37</v>
      </c>
      <c r="D64" s="26" t="s">
        <v>38</v>
      </c>
      <c r="E64" s="26" t="s">
        <v>4</v>
      </c>
    </row>
    <row r="65" customFormat="false" ht="13.2" hidden="false" customHeight="false" outlineLevel="0" collapsed="false">
      <c r="A65" s="56" t="s">
        <v>245</v>
      </c>
      <c r="B65" s="37" t="s">
        <v>246</v>
      </c>
      <c r="C65" s="37" t="s">
        <v>95</v>
      </c>
      <c r="D65" s="37" t="s">
        <v>177</v>
      </c>
      <c r="E65" s="1" t="s">
        <v>247</v>
      </c>
    </row>
    <row r="66" customFormat="false" ht="13.2" hidden="false" customHeight="false" outlineLevel="0" collapsed="false">
      <c r="A66" s="56" t="s">
        <v>248</v>
      </c>
      <c r="B66" s="37" t="s">
        <v>249</v>
      </c>
      <c r="C66" s="37" t="s">
        <v>158</v>
      </c>
      <c r="D66" s="37" t="s">
        <v>16</v>
      </c>
      <c r="E66" s="1" t="s">
        <v>250</v>
      </c>
    </row>
  </sheetData>
  <mergeCells count="19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A8:J8"/>
    <mergeCell ref="A11:J11"/>
    <mergeCell ref="A16:J16"/>
    <mergeCell ref="A19:J19"/>
    <mergeCell ref="A25:J25"/>
    <mergeCell ref="A28:J28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6.56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8.66"/>
    <col collapsed="false" customWidth="true" hidden="false" outlineLevel="0" max="9" min="7" style="37" width="5.55"/>
    <col collapsed="false" customWidth="true" hidden="false" outlineLevel="0" max="10" min="10" style="37" width="4.78"/>
    <col collapsed="false" customWidth="true" hidden="false" outlineLevel="0" max="11" min="11" style="1" width="5.78"/>
    <col collapsed="false" customWidth="true" hidden="false" outlineLevel="0" max="12" min="12" style="38" width="8.56"/>
    <col collapsed="false" customWidth="true" hidden="false" outlineLevel="0" max="13" min="13" style="36" width="7.11"/>
    <col collapsed="false" customWidth="false" hidden="false" outlineLevel="0" max="1024" min="14" style="39" width="9.11"/>
  </cols>
  <sheetData>
    <row r="1" s="41" customFormat="true" ht="28.95" hidden="false" customHeight="true" outlineLevel="0" collapsed="false">
      <c r="A1" s="40" t="s">
        <v>251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252</v>
      </c>
      <c r="H3" s="45"/>
      <c r="I3" s="45"/>
      <c r="J3" s="45"/>
      <c r="K3" s="44" t="s">
        <v>8</v>
      </c>
      <c r="L3" s="44" t="s">
        <v>128</v>
      </c>
      <c r="M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4"/>
      <c r="L4" s="44"/>
      <c r="M4" s="46"/>
    </row>
    <row r="5" s="37" customFormat="true" ht="15.6" hidden="false" customHeight="false" outlineLevel="0" collapsed="false">
      <c r="A5" s="13" t="s">
        <v>173</v>
      </c>
      <c r="B5" s="13"/>
      <c r="C5" s="13"/>
      <c r="D5" s="13"/>
      <c r="E5" s="13"/>
      <c r="F5" s="13"/>
      <c r="G5" s="13"/>
      <c r="H5" s="13"/>
      <c r="I5" s="13"/>
      <c r="J5" s="13"/>
      <c r="K5" s="1"/>
      <c r="L5" s="38"/>
      <c r="M5" s="36"/>
    </row>
    <row r="6" s="37" customFormat="true" ht="13.2" hidden="false" customHeight="false" outlineLevel="0" collapsed="false">
      <c r="A6" s="16" t="s">
        <v>253</v>
      </c>
      <c r="B6" s="15" t="s">
        <v>254</v>
      </c>
      <c r="C6" s="15" t="s">
        <v>255</v>
      </c>
      <c r="D6" s="15" t="str">
        <f aca="false">"0,7095"</f>
        <v>0,7095</v>
      </c>
      <c r="E6" s="16" t="s">
        <v>13</v>
      </c>
      <c r="F6" s="16" t="s">
        <v>256</v>
      </c>
      <c r="G6" s="15" t="s">
        <v>79</v>
      </c>
      <c r="H6" s="15" t="s">
        <v>81</v>
      </c>
      <c r="I6" s="15" t="s">
        <v>257</v>
      </c>
      <c r="J6" s="18"/>
      <c r="K6" s="14" t="str">
        <f aca="false">"185,0"</f>
        <v>185,0</v>
      </c>
      <c r="L6" s="48" t="str">
        <f aca="false">"136,8919"</f>
        <v>136,8919</v>
      </c>
      <c r="M6" s="16"/>
    </row>
    <row r="7" s="37" customFormat="true" ht="13.2" hidden="false" customHeight="false" outlineLevel="0" collapsed="false">
      <c r="A7" s="36"/>
      <c r="E7" s="36"/>
      <c r="F7" s="36"/>
      <c r="K7" s="1"/>
      <c r="L7" s="38"/>
      <c r="M7" s="36"/>
    </row>
    <row r="8" customFormat="false" ht="15" hidden="false" customHeight="false" outlineLevel="0" collapsed="false">
      <c r="E8" s="20" t="s">
        <v>27</v>
      </c>
    </row>
    <row r="9" customFormat="false" ht="15" hidden="false" customHeight="false" outlineLevel="0" collapsed="false">
      <c r="E9" s="20" t="s">
        <v>28</v>
      </c>
    </row>
    <row r="10" customFormat="false" ht="15" hidden="false" customHeight="false" outlineLevel="0" collapsed="false">
      <c r="E10" s="20" t="s">
        <v>29</v>
      </c>
    </row>
    <row r="11" customFormat="false" ht="13.2" hidden="false" customHeight="false" outlineLevel="0" collapsed="false">
      <c r="E11" s="36" t="s">
        <v>30</v>
      </c>
    </row>
    <row r="12" customFormat="false" ht="13.2" hidden="false" customHeight="false" outlineLevel="0" collapsed="false">
      <c r="E12" s="36" t="s">
        <v>31</v>
      </c>
    </row>
    <row r="13" customFormat="false" ht="13.2" hidden="false" customHeight="false" outlineLevel="0" collapsed="false">
      <c r="E13" s="36" t="s">
        <v>32</v>
      </c>
    </row>
    <row r="16" customFormat="false" ht="17.4" hidden="false" customHeight="false" outlineLevel="0" collapsed="false">
      <c r="A16" s="53" t="s">
        <v>33</v>
      </c>
      <c r="B16" s="22"/>
    </row>
    <row r="17" customFormat="false" ht="15.6" hidden="false" customHeight="false" outlineLevel="0" collapsed="false">
      <c r="A17" s="54" t="s">
        <v>34</v>
      </c>
      <c r="B17" s="17"/>
    </row>
    <row r="18" customFormat="false" ht="14.4" hidden="false" customHeight="false" outlineLevel="0" collapsed="false">
      <c r="A18" s="55"/>
      <c r="B18" s="25" t="s">
        <v>244</v>
      </c>
    </row>
    <row r="19" customFormat="false" ht="13.8" hidden="false" customHeight="false" outlineLevel="0" collapsed="false">
      <c r="A19" s="26" t="s">
        <v>1</v>
      </c>
      <c r="B19" s="26" t="s">
        <v>36</v>
      </c>
      <c r="C19" s="26" t="s">
        <v>37</v>
      </c>
      <c r="D19" s="26" t="s">
        <v>38</v>
      </c>
      <c r="E19" s="26" t="s">
        <v>4</v>
      </c>
    </row>
    <row r="20" customFormat="false" ht="13.2" hidden="false" customHeight="false" outlineLevel="0" collapsed="false">
      <c r="A20" s="56" t="s">
        <v>258</v>
      </c>
      <c r="B20" s="37" t="s">
        <v>259</v>
      </c>
      <c r="C20" s="37" t="s">
        <v>232</v>
      </c>
      <c r="D20" s="37" t="s">
        <v>257</v>
      </c>
      <c r="E20" s="1" t="s">
        <v>260</v>
      </c>
    </row>
  </sheetData>
  <mergeCells count="12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J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9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6.56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7.78"/>
    <col collapsed="false" customWidth="true" hidden="false" outlineLevel="0" max="9" min="7" style="37" width="5.55"/>
    <col collapsed="false" customWidth="true" hidden="false" outlineLevel="0" max="10" min="10" style="37" width="4.78"/>
    <col collapsed="false" customWidth="true" hidden="false" outlineLevel="0" max="11" min="11" style="1" width="5.78"/>
    <col collapsed="false" customWidth="true" hidden="false" outlineLevel="0" max="12" min="12" style="38" width="8.56"/>
    <col collapsed="false" customWidth="true" hidden="false" outlineLevel="0" max="13" min="13" style="36" width="16.44"/>
    <col collapsed="false" customWidth="false" hidden="false" outlineLevel="0" max="1024" min="14" style="39" width="9.11"/>
  </cols>
  <sheetData>
    <row r="1" s="41" customFormat="true" ht="28.95" hidden="false" customHeight="true" outlineLevel="0" collapsed="false">
      <c r="A1" s="40" t="s">
        <v>261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252</v>
      </c>
      <c r="H3" s="45"/>
      <c r="I3" s="45"/>
      <c r="J3" s="45"/>
      <c r="K3" s="44" t="s">
        <v>8</v>
      </c>
      <c r="L3" s="44" t="s">
        <v>128</v>
      </c>
      <c r="M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4"/>
      <c r="L4" s="44"/>
      <c r="M4" s="46"/>
    </row>
    <row r="5" s="37" customFormat="true" ht="15.6" hidden="false" customHeight="false" outlineLevel="0" collapsed="false">
      <c r="A5" s="13" t="s">
        <v>262</v>
      </c>
      <c r="B5" s="13"/>
      <c r="C5" s="13"/>
      <c r="D5" s="13"/>
      <c r="E5" s="13"/>
      <c r="F5" s="13"/>
      <c r="G5" s="13"/>
      <c r="H5" s="13"/>
      <c r="I5" s="13"/>
      <c r="J5" s="13"/>
      <c r="K5" s="1"/>
      <c r="L5" s="38"/>
      <c r="M5" s="36"/>
    </row>
    <row r="6" s="37" customFormat="true" ht="13.2" hidden="false" customHeight="false" outlineLevel="0" collapsed="false">
      <c r="A6" s="30" t="s">
        <v>263</v>
      </c>
      <c r="B6" s="29" t="s">
        <v>264</v>
      </c>
      <c r="C6" s="29" t="s">
        <v>265</v>
      </c>
      <c r="D6" s="29" t="str">
        <f aca="false">"1,0591"</f>
        <v>1,0591</v>
      </c>
      <c r="E6" s="30" t="s">
        <v>266</v>
      </c>
      <c r="F6" s="30" t="s">
        <v>267</v>
      </c>
      <c r="G6" s="29" t="s">
        <v>150</v>
      </c>
      <c r="H6" s="29" t="s">
        <v>268</v>
      </c>
      <c r="I6" s="29" t="s">
        <v>269</v>
      </c>
      <c r="J6" s="49"/>
      <c r="K6" s="28" t="str">
        <f aca="false">"105,0"</f>
        <v>105,0</v>
      </c>
      <c r="L6" s="50" t="str">
        <f aca="false">"111,2055"</f>
        <v>111,2055</v>
      </c>
      <c r="M6" s="30"/>
    </row>
    <row r="7" s="37" customFormat="true" ht="13.2" hidden="false" customHeight="false" outlineLevel="0" collapsed="false">
      <c r="A7" s="57" t="s">
        <v>270</v>
      </c>
      <c r="B7" s="58" t="s">
        <v>271</v>
      </c>
      <c r="C7" s="58" t="s">
        <v>272</v>
      </c>
      <c r="D7" s="58" t="str">
        <f aca="false">"1,0653"</f>
        <v>1,0653</v>
      </c>
      <c r="E7" s="57" t="s">
        <v>13</v>
      </c>
      <c r="F7" s="57" t="s">
        <v>25</v>
      </c>
      <c r="G7" s="58" t="s">
        <v>269</v>
      </c>
      <c r="H7" s="58" t="s">
        <v>273</v>
      </c>
      <c r="I7" s="58" t="s">
        <v>68</v>
      </c>
      <c r="J7" s="59"/>
      <c r="K7" s="60" t="str">
        <f aca="false">"110,0"</f>
        <v>110,0</v>
      </c>
      <c r="L7" s="61" t="str">
        <f aca="false">"117,1830"</f>
        <v>117,1830</v>
      </c>
      <c r="M7" s="57" t="s">
        <v>274</v>
      </c>
    </row>
    <row r="8" customFormat="false" ht="13.2" hidden="false" customHeight="false" outlineLevel="0" collapsed="false">
      <c r="A8" s="57" t="s">
        <v>275</v>
      </c>
      <c r="B8" s="58" t="s">
        <v>276</v>
      </c>
      <c r="C8" s="58" t="s">
        <v>277</v>
      </c>
      <c r="D8" s="58" t="str">
        <f aca="false">"1,0606"</f>
        <v>1,0606</v>
      </c>
      <c r="E8" s="57" t="s">
        <v>13</v>
      </c>
      <c r="F8" s="57" t="s">
        <v>25</v>
      </c>
      <c r="G8" s="58" t="s">
        <v>278</v>
      </c>
      <c r="H8" s="58" t="s">
        <v>150</v>
      </c>
      <c r="I8" s="58" t="s">
        <v>269</v>
      </c>
      <c r="J8" s="59"/>
      <c r="K8" s="60" t="str">
        <f aca="false">"105,0"</f>
        <v>105,0</v>
      </c>
      <c r="L8" s="61" t="str">
        <f aca="false">"111,3630"</f>
        <v>111,3630</v>
      </c>
      <c r="M8" s="57"/>
    </row>
    <row r="9" customFormat="false" ht="13.2" hidden="false" customHeight="false" outlineLevel="0" collapsed="false">
      <c r="A9" s="34" t="s">
        <v>279</v>
      </c>
      <c r="B9" s="33" t="s">
        <v>280</v>
      </c>
      <c r="C9" s="33" t="s">
        <v>265</v>
      </c>
      <c r="D9" s="33" t="str">
        <f aca="false">"1,0591"</f>
        <v>1,0591</v>
      </c>
      <c r="E9" s="34" t="s">
        <v>266</v>
      </c>
      <c r="F9" s="34" t="s">
        <v>25</v>
      </c>
      <c r="G9" s="33" t="s">
        <v>26</v>
      </c>
      <c r="H9" s="33" t="s">
        <v>278</v>
      </c>
      <c r="I9" s="33" t="s">
        <v>72</v>
      </c>
      <c r="J9" s="51"/>
      <c r="K9" s="32" t="str">
        <f aca="false">"90,0"</f>
        <v>90,0</v>
      </c>
      <c r="L9" s="52" t="str">
        <f aca="false">"95,3190"</f>
        <v>95,3190</v>
      </c>
      <c r="M9" s="34"/>
    </row>
    <row r="11" customFormat="false" ht="15.6" hidden="false" customHeight="false" outlineLevel="0" collapsed="false">
      <c r="A11" s="17" t="s">
        <v>281</v>
      </c>
      <c r="B11" s="17"/>
      <c r="C11" s="17"/>
      <c r="D11" s="17"/>
      <c r="E11" s="17"/>
      <c r="F11" s="17"/>
      <c r="G11" s="17"/>
      <c r="H11" s="17"/>
      <c r="I11" s="17"/>
      <c r="J11" s="17"/>
    </row>
    <row r="12" customFormat="false" ht="13.2" hidden="false" customHeight="false" outlineLevel="0" collapsed="false">
      <c r="A12" s="16" t="s">
        <v>282</v>
      </c>
      <c r="B12" s="15" t="s">
        <v>283</v>
      </c>
      <c r="C12" s="15" t="s">
        <v>284</v>
      </c>
      <c r="D12" s="15" t="str">
        <f aca="false">"1,0120"</f>
        <v>1,0120</v>
      </c>
      <c r="E12" s="16" t="s">
        <v>13</v>
      </c>
      <c r="F12" s="16" t="s">
        <v>285</v>
      </c>
      <c r="G12" s="15" t="s">
        <v>67</v>
      </c>
      <c r="H12" s="15" t="s">
        <v>68</v>
      </c>
      <c r="I12" s="15" t="s">
        <v>69</v>
      </c>
      <c r="J12" s="18"/>
      <c r="K12" s="14" t="str">
        <f aca="false">"120,0"</f>
        <v>120,0</v>
      </c>
      <c r="L12" s="48" t="str">
        <f aca="false">"121,4400"</f>
        <v>121,4400</v>
      </c>
      <c r="M12" s="16"/>
    </row>
    <row r="14" customFormat="false" ht="15.6" hidden="false" customHeight="false" outlineLevel="0" collapsed="false">
      <c r="A14" s="17" t="s">
        <v>286</v>
      </c>
      <c r="B14" s="17"/>
      <c r="C14" s="17"/>
      <c r="D14" s="17"/>
      <c r="E14" s="17"/>
      <c r="F14" s="17"/>
      <c r="G14" s="17"/>
      <c r="H14" s="17"/>
      <c r="I14" s="17"/>
      <c r="J14" s="17"/>
    </row>
    <row r="15" customFormat="false" ht="13.2" hidden="false" customHeight="false" outlineLevel="0" collapsed="false">
      <c r="A15" s="16" t="s">
        <v>287</v>
      </c>
      <c r="B15" s="15" t="s">
        <v>288</v>
      </c>
      <c r="C15" s="15" t="s">
        <v>289</v>
      </c>
      <c r="D15" s="15" t="str">
        <f aca="false">"1,0239"</f>
        <v>1,0239</v>
      </c>
      <c r="E15" s="16" t="s">
        <v>13</v>
      </c>
      <c r="F15" s="16" t="s">
        <v>25</v>
      </c>
      <c r="G15" s="15" t="s">
        <v>149</v>
      </c>
      <c r="H15" s="15" t="s">
        <v>211</v>
      </c>
      <c r="I15" s="15" t="s">
        <v>290</v>
      </c>
      <c r="J15" s="18"/>
      <c r="K15" s="14" t="str">
        <f aca="false">"77,5"</f>
        <v>77,5</v>
      </c>
      <c r="L15" s="48" t="str">
        <f aca="false">"79,3523"</f>
        <v>79,3523</v>
      </c>
      <c r="M15" s="16"/>
    </row>
    <row r="17" customFormat="false" ht="15.6" hidden="false" customHeight="false" outlineLevel="0" collapsed="false">
      <c r="A17" s="17" t="s">
        <v>281</v>
      </c>
      <c r="B17" s="17"/>
      <c r="C17" s="17"/>
      <c r="D17" s="17"/>
      <c r="E17" s="17"/>
      <c r="F17" s="17"/>
      <c r="G17" s="17"/>
      <c r="H17" s="17"/>
      <c r="I17" s="17"/>
      <c r="J17" s="17"/>
    </row>
    <row r="18" customFormat="false" ht="13.2" hidden="false" customHeight="false" outlineLevel="0" collapsed="false">
      <c r="A18" s="16" t="s">
        <v>291</v>
      </c>
      <c r="B18" s="15" t="s">
        <v>292</v>
      </c>
      <c r="C18" s="15" t="s">
        <v>293</v>
      </c>
      <c r="D18" s="15" t="str">
        <f aca="false">"0,8495"</f>
        <v>0,8495</v>
      </c>
      <c r="E18" s="16" t="s">
        <v>13</v>
      </c>
      <c r="F18" s="16" t="s">
        <v>294</v>
      </c>
      <c r="G18" s="15" t="s">
        <v>257</v>
      </c>
      <c r="H18" s="15" t="s">
        <v>295</v>
      </c>
      <c r="I18" s="18" t="s">
        <v>296</v>
      </c>
      <c r="J18" s="18"/>
      <c r="K18" s="14" t="str">
        <f aca="false">"200,0"</f>
        <v>200,0</v>
      </c>
      <c r="L18" s="48" t="str">
        <f aca="false">"169,9000"</f>
        <v>169,9000</v>
      </c>
      <c r="M18" s="16"/>
    </row>
    <row r="20" customFormat="false" ht="15.6" hidden="false" customHeight="false" outlineLevel="0" collapsed="false">
      <c r="A20" s="17" t="s">
        <v>131</v>
      </c>
      <c r="B20" s="17"/>
      <c r="C20" s="17"/>
      <c r="D20" s="17"/>
      <c r="E20" s="17"/>
      <c r="F20" s="17"/>
      <c r="G20" s="17"/>
      <c r="H20" s="17"/>
      <c r="I20" s="17"/>
      <c r="J20" s="17"/>
    </row>
    <row r="21" customFormat="false" ht="13.2" hidden="false" customHeight="false" outlineLevel="0" collapsed="false">
      <c r="A21" s="16" t="s">
        <v>297</v>
      </c>
      <c r="B21" s="15" t="s">
        <v>298</v>
      </c>
      <c r="C21" s="15" t="s">
        <v>299</v>
      </c>
      <c r="D21" s="15" t="str">
        <f aca="false">"0,8061"</f>
        <v>0,8061</v>
      </c>
      <c r="E21" s="16" t="s">
        <v>13</v>
      </c>
      <c r="F21" s="16" t="s">
        <v>300</v>
      </c>
      <c r="G21" s="15" t="s">
        <v>301</v>
      </c>
      <c r="H21" s="18" t="s">
        <v>302</v>
      </c>
      <c r="I21" s="18" t="s">
        <v>302</v>
      </c>
      <c r="J21" s="18"/>
      <c r="K21" s="14" t="str">
        <f aca="false">"195,0"</f>
        <v>195,0</v>
      </c>
      <c r="L21" s="48" t="str">
        <f aca="false">"157,1798"</f>
        <v>157,1798</v>
      </c>
      <c r="M21" s="16"/>
    </row>
    <row r="23" customFormat="false" ht="15.6" hidden="false" customHeight="false" outlineLevel="0" collapsed="false">
      <c r="A23" s="17" t="s">
        <v>173</v>
      </c>
      <c r="B23" s="17"/>
      <c r="C23" s="17"/>
      <c r="D23" s="17"/>
      <c r="E23" s="17"/>
      <c r="F23" s="17"/>
      <c r="G23" s="17"/>
      <c r="H23" s="17"/>
      <c r="I23" s="17"/>
      <c r="J23" s="17"/>
    </row>
    <row r="24" customFormat="false" ht="13.2" hidden="false" customHeight="false" outlineLevel="0" collapsed="false">
      <c r="A24" s="30" t="s">
        <v>303</v>
      </c>
      <c r="B24" s="29" t="s">
        <v>304</v>
      </c>
      <c r="C24" s="29" t="s">
        <v>305</v>
      </c>
      <c r="D24" s="29" t="str">
        <f aca="false">"0,6934"</f>
        <v>0,6934</v>
      </c>
      <c r="E24" s="30" t="s">
        <v>13</v>
      </c>
      <c r="F24" s="30" t="s">
        <v>25</v>
      </c>
      <c r="G24" s="29" t="s">
        <v>306</v>
      </c>
      <c r="H24" s="29" t="s">
        <v>307</v>
      </c>
      <c r="I24" s="49" t="s">
        <v>308</v>
      </c>
      <c r="J24" s="49"/>
      <c r="K24" s="28" t="str">
        <f aca="false">"260,0"</f>
        <v>260,0</v>
      </c>
      <c r="L24" s="50" t="str">
        <f aca="false">"180,2710"</f>
        <v>180,2710</v>
      </c>
      <c r="M24" s="30"/>
    </row>
    <row r="25" customFormat="false" ht="13.2" hidden="false" customHeight="false" outlineLevel="0" collapsed="false">
      <c r="A25" s="57" t="s">
        <v>179</v>
      </c>
      <c r="B25" s="58" t="s">
        <v>180</v>
      </c>
      <c r="C25" s="58" t="s">
        <v>181</v>
      </c>
      <c r="D25" s="58" t="str">
        <f aca="false">"0,6940"</f>
        <v>0,6940</v>
      </c>
      <c r="E25" s="57" t="s">
        <v>13</v>
      </c>
      <c r="F25" s="57" t="s">
        <v>182</v>
      </c>
      <c r="G25" s="59" t="s">
        <v>309</v>
      </c>
      <c r="H25" s="59" t="s">
        <v>309</v>
      </c>
      <c r="I25" s="58" t="s">
        <v>309</v>
      </c>
      <c r="J25" s="59"/>
      <c r="K25" s="60" t="str">
        <f aca="false">"155,0"</f>
        <v>155,0</v>
      </c>
      <c r="L25" s="61" t="str">
        <f aca="false">"107,5700"</f>
        <v>107,5700</v>
      </c>
      <c r="M25" s="57"/>
    </row>
    <row r="26" customFormat="false" ht="13.2" hidden="false" customHeight="false" outlineLevel="0" collapsed="false">
      <c r="A26" s="57" t="s">
        <v>310</v>
      </c>
      <c r="B26" s="58" t="s">
        <v>311</v>
      </c>
      <c r="C26" s="58" t="s">
        <v>312</v>
      </c>
      <c r="D26" s="58" t="str">
        <f aca="false">"0,6885"</f>
        <v>0,6885</v>
      </c>
      <c r="E26" s="57" t="s">
        <v>13</v>
      </c>
      <c r="F26" s="57" t="s">
        <v>313</v>
      </c>
      <c r="G26" s="59" t="s">
        <v>314</v>
      </c>
      <c r="H26" s="59" t="s">
        <v>314</v>
      </c>
      <c r="I26" s="59" t="s">
        <v>314</v>
      </c>
      <c r="J26" s="59"/>
      <c r="K26" s="60" t="str">
        <f aca="false">"0.00"</f>
        <v>0.00</v>
      </c>
      <c r="L26" s="61" t="str">
        <f aca="false">"0,0000"</f>
        <v>0,0000</v>
      </c>
      <c r="M26" s="57"/>
    </row>
    <row r="27" customFormat="false" ht="13.2" hidden="false" customHeight="false" outlineLevel="0" collapsed="false">
      <c r="A27" s="34" t="s">
        <v>315</v>
      </c>
      <c r="B27" s="33" t="s">
        <v>316</v>
      </c>
      <c r="C27" s="33" t="s">
        <v>317</v>
      </c>
      <c r="D27" s="33" t="str">
        <f aca="false">"0,7064"</f>
        <v>0,7064</v>
      </c>
      <c r="E27" s="34" t="s">
        <v>13</v>
      </c>
      <c r="F27" s="34" t="s">
        <v>318</v>
      </c>
      <c r="G27" s="33" t="s">
        <v>68</v>
      </c>
      <c r="H27" s="33" t="s">
        <v>69</v>
      </c>
      <c r="I27" s="33" t="s">
        <v>73</v>
      </c>
      <c r="J27" s="51"/>
      <c r="K27" s="32" t="str">
        <f aca="false">"130,0"</f>
        <v>130,0</v>
      </c>
      <c r="L27" s="52" t="str">
        <f aca="false">"114,4227"</f>
        <v>114,4227</v>
      </c>
      <c r="M27" s="34"/>
    </row>
    <row r="29" customFormat="false" ht="15.6" hidden="false" customHeight="false" outlineLevel="0" collapsed="false">
      <c r="A29" s="17" t="s">
        <v>187</v>
      </c>
      <c r="B29" s="17"/>
      <c r="C29" s="17"/>
      <c r="D29" s="17"/>
      <c r="E29" s="17"/>
      <c r="F29" s="17"/>
      <c r="G29" s="17"/>
      <c r="H29" s="17"/>
      <c r="I29" s="17"/>
      <c r="J29" s="17"/>
    </row>
    <row r="30" customFormat="false" ht="13.2" hidden="false" customHeight="false" outlineLevel="0" collapsed="false">
      <c r="A30" s="30" t="s">
        <v>319</v>
      </c>
      <c r="B30" s="29" t="s">
        <v>320</v>
      </c>
      <c r="C30" s="29" t="s">
        <v>321</v>
      </c>
      <c r="D30" s="29" t="str">
        <f aca="false">"0,6513"</f>
        <v>0,6513</v>
      </c>
      <c r="E30" s="30" t="s">
        <v>13</v>
      </c>
      <c r="F30" s="30" t="s">
        <v>25</v>
      </c>
      <c r="G30" s="29" t="s">
        <v>322</v>
      </c>
      <c r="H30" s="29" t="s">
        <v>73</v>
      </c>
      <c r="I30" s="49" t="s">
        <v>323</v>
      </c>
      <c r="J30" s="49"/>
      <c r="K30" s="28" t="str">
        <f aca="false">"130,0"</f>
        <v>130,0</v>
      </c>
      <c r="L30" s="50" t="str">
        <f aca="false">"84,6690"</f>
        <v>84,6690</v>
      </c>
      <c r="M30" s="30"/>
    </row>
    <row r="31" customFormat="false" ht="13.2" hidden="false" customHeight="false" outlineLevel="0" collapsed="false">
      <c r="A31" s="57" t="s">
        <v>324</v>
      </c>
      <c r="B31" s="58" t="s">
        <v>325</v>
      </c>
      <c r="C31" s="58" t="s">
        <v>326</v>
      </c>
      <c r="D31" s="58" t="str">
        <f aca="false">"0,6540"</f>
        <v>0,6540</v>
      </c>
      <c r="E31" s="57" t="s">
        <v>13</v>
      </c>
      <c r="F31" s="57" t="s">
        <v>327</v>
      </c>
      <c r="G31" s="58" t="s">
        <v>80</v>
      </c>
      <c r="H31" s="58" t="s">
        <v>328</v>
      </c>
      <c r="I31" s="58" t="s">
        <v>90</v>
      </c>
      <c r="J31" s="59"/>
      <c r="K31" s="60" t="str">
        <f aca="false">"170,0"</f>
        <v>170,0</v>
      </c>
      <c r="L31" s="61" t="str">
        <f aca="false">"111,1800"</f>
        <v>111,1800</v>
      </c>
      <c r="M31" s="57"/>
    </row>
    <row r="32" customFormat="false" ht="13.2" hidden="false" customHeight="false" outlineLevel="0" collapsed="false">
      <c r="A32" s="57" t="s">
        <v>329</v>
      </c>
      <c r="B32" s="58" t="s">
        <v>330</v>
      </c>
      <c r="C32" s="58" t="s">
        <v>331</v>
      </c>
      <c r="D32" s="58" t="str">
        <f aca="false">"0,6561"</f>
        <v>0,6561</v>
      </c>
      <c r="E32" s="57" t="s">
        <v>13</v>
      </c>
      <c r="F32" s="57" t="s">
        <v>25</v>
      </c>
      <c r="G32" s="58" t="s">
        <v>332</v>
      </c>
      <c r="H32" s="58" t="s">
        <v>80</v>
      </c>
      <c r="I32" s="58" t="s">
        <v>333</v>
      </c>
      <c r="J32" s="59"/>
      <c r="K32" s="60" t="str">
        <f aca="false">"162,5"</f>
        <v>162,5</v>
      </c>
      <c r="L32" s="61" t="str">
        <f aca="false">"106,6244"</f>
        <v>106,6244</v>
      </c>
      <c r="M32" s="57"/>
    </row>
    <row r="33" customFormat="false" ht="13.2" hidden="false" customHeight="false" outlineLevel="0" collapsed="false">
      <c r="A33" s="34" t="s">
        <v>334</v>
      </c>
      <c r="B33" s="33" t="s">
        <v>335</v>
      </c>
      <c r="C33" s="33" t="s">
        <v>336</v>
      </c>
      <c r="D33" s="33" t="str">
        <f aca="false">"0,6852"</f>
        <v>0,6852</v>
      </c>
      <c r="E33" s="34" t="s">
        <v>13</v>
      </c>
      <c r="F33" s="34" t="s">
        <v>337</v>
      </c>
      <c r="G33" s="33" t="s">
        <v>295</v>
      </c>
      <c r="H33" s="33" t="s">
        <v>338</v>
      </c>
      <c r="I33" s="33" t="s">
        <v>339</v>
      </c>
      <c r="J33" s="51"/>
      <c r="K33" s="32" t="str">
        <f aca="false">"215,0"</f>
        <v>215,0</v>
      </c>
      <c r="L33" s="52" t="str">
        <f aca="false">"209,3236"</f>
        <v>209,3236</v>
      </c>
      <c r="M33" s="34"/>
    </row>
    <row r="35" customFormat="false" ht="15.6" hidden="false" customHeight="false" outlineLevel="0" collapsed="false">
      <c r="A35" s="17" t="s">
        <v>74</v>
      </c>
      <c r="B35" s="17"/>
      <c r="C35" s="17"/>
      <c r="D35" s="17"/>
      <c r="E35" s="17"/>
      <c r="F35" s="17"/>
      <c r="G35" s="17"/>
      <c r="H35" s="17"/>
      <c r="I35" s="17"/>
      <c r="J35" s="17"/>
    </row>
    <row r="36" customFormat="false" ht="13.2" hidden="false" customHeight="false" outlineLevel="0" collapsed="false">
      <c r="A36" s="30" t="s">
        <v>340</v>
      </c>
      <c r="B36" s="29" t="s">
        <v>341</v>
      </c>
      <c r="C36" s="29" t="s">
        <v>342</v>
      </c>
      <c r="D36" s="29" t="str">
        <f aca="false">"0,6192"</f>
        <v>0,6192</v>
      </c>
      <c r="E36" s="30" t="s">
        <v>343</v>
      </c>
      <c r="F36" s="30" t="s">
        <v>25</v>
      </c>
      <c r="G36" s="29" t="s">
        <v>295</v>
      </c>
      <c r="H36" s="29" t="s">
        <v>344</v>
      </c>
      <c r="I36" s="49" t="s">
        <v>345</v>
      </c>
      <c r="J36" s="49"/>
      <c r="K36" s="28" t="str">
        <f aca="false">"222,5"</f>
        <v>222,5</v>
      </c>
      <c r="L36" s="50" t="str">
        <f aca="false">"137,7831"</f>
        <v>137,7831</v>
      </c>
      <c r="M36" s="30"/>
    </row>
    <row r="37" customFormat="false" ht="13.2" hidden="false" customHeight="false" outlineLevel="0" collapsed="false">
      <c r="A37" s="34" t="s">
        <v>346</v>
      </c>
      <c r="B37" s="33" t="s">
        <v>347</v>
      </c>
      <c r="C37" s="33" t="s">
        <v>348</v>
      </c>
      <c r="D37" s="33" t="str">
        <f aca="false">"0,6184"</f>
        <v>0,6184</v>
      </c>
      <c r="E37" s="34" t="s">
        <v>13</v>
      </c>
      <c r="F37" s="34" t="s">
        <v>349</v>
      </c>
      <c r="G37" s="33" t="s">
        <v>350</v>
      </c>
      <c r="H37" s="33" t="s">
        <v>338</v>
      </c>
      <c r="I37" s="51" t="s">
        <v>344</v>
      </c>
      <c r="J37" s="51"/>
      <c r="K37" s="32" t="str">
        <f aca="false">"210,0"</f>
        <v>210,0</v>
      </c>
      <c r="L37" s="52" t="str">
        <f aca="false">"129,8745"</f>
        <v>129,8745</v>
      </c>
      <c r="M37" s="34"/>
    </row>
    <row r="39" customFormat="false" ht="15.6" hidden="false" customHeight="false" outlineLevel="0" collapsed="false">
      <c r="A39" s="17" t="s">
        <v>82</v>
      </c>
      <c r="B39" s="17"/>
      <c r="C39" s="17"/>
      <c r="D39" s="17"/>
      <c r="E39" s="17"/>
      <c r="F39" s="17"/>
      <c r="G39" s="17"/>
      <c r="H39" s="17"/>
      <c r="I39" s="17"/>
      <c r="J39" s="17"/>
    </row>
    <row r="40" customFormat="false" ht="13.2" hidden="false" customHeight="false" outlineLevel="0" collapsed="false">
      <c r="A40" s="30" t="s">
        <v>351</v>
      </c>
      <c r="B40" s="29" t="s">
        <v>352</v>
      </c>
      <c r="C40" s="29" t="s">
        <v>353</v>
      </c>
      <c r="D40" s="29" t="str">
        <f aca="false">"0,5894"</f>
        <v>0,5894</v>
      </c>
      <c r="E40" s="30" t="s">
        <v>13</v>
      </c>
      <c r="F40" s="30" t="s">
        <v>354</v>
      </c>
      <c r="G40" s="49" t="s">
        <v>355</v>
      </c>
      <c r="H40" s="29" t="s">
        <v>355</v>
      </c>
      <c r="I40" s="29" t="s">
        <v>356</v>
      </c>
      <c r="J40" s="49"/>
      <c r="K40" s="28" t="str">
        <f aca="false">"260,0"</f>
        <v>260,0</v>
      </c>
      <c r="L40" s="50" t="str">
        <f aca="false">"153,2440"</f>
        <v>153,2440</v>
      </c>
      <c r="M40" s="30"/>
    </row>
    <row r="41" customFormat="false" ht="13.2" hidden="false" customHeight="false" outlineLevel="0" collapsed="false">
      <c r="A41" s="34" t="s">
        <v>357</v>
      </c>
      <c r="B41" s="33" t="s">
        <v>358</v>
      </c>
      <c r="C41" s="33" t="s">
        <v>359</v>
      </c>
      <c r="D41" s="33" t="str">
        <f aca="false">"0,5914"</f>
        <v>0,5914</v>
      </c>
      <c r="E41" s="34" t="s">
        <v>13</v>
      </c>
      <c r="F41" s="34" t="s">
        <v>25</v>
      </c>
      <c r="G41" s="33" t="s">
        <v>257</v>
      </c>
      <c r="H41" s="33" t="s">
        <v>301</v>
      </c>
      <c r="I41" s="51" t="s">
        <v>302</v>
      </c>
      <c r="J41" s="51"/>
      <c r="K41" s="32" t="str">
        <f aca="false">"195,0"</f>
        <v>195,0</v>
      </c>
      <c r="L41" s="52" t="str">
        <f aca="false">"116,4762"</f>
        <v>116,4762</v>
      </c>
      <c r="M41" s="34" t="s">
        <v>360</v>
      </c>
    </row>
    <row r="43" customFormat="false" ht="15.6" hidden="false" customHeight="false" outlineLevel="0" collapsed="false">
      <c r="A43" s="17" t="s">
        <v>21</v>
      </c>
      <c r="B43" s="17"/>
      <c r="C43" s="17"/>
      <c r="D43" s="17"/>
      <c r="E43" s="17"/>
      <c r="F43" s="17"/>
      <c r="G43" s="17"/>
      <c r="H43" s="17"/>
      <c r="I43" s="17"/>
      <c r="J43" s="17"/>
    </row>
    <row r="44" customFormat="false" ht="13.2" hidden="false" customHeight="false" outlineLevel="0" collapsed="false">
      <c r="A44" s="16" t="s">
        <v>22</v>
      </c>
      <c r="B44" s="15" t="s">
        <v>361</v>
      </c>
      <c r="C44" s="15" t="s">
        <v>24</v>
      </c>
      <c r="D44" s="15" t="str">
        <f aca="false">"0,5466"</f>
        <v>0,5466</v>
      </c>
      <c r="E44" s="16" t="s">
        <v>13</v>
      </c>
      <c r="F44" s="16" t="s">
        <v>25</v>
      </c>
      <c r="G44" s="15" t="s">
        <v>91</v>
      </c>
      <c r="H44" s="15" t="s">
        <v>350</v>
      </c>
      <c r="I44" s="15" t="s">
        <v>295</v>
      </c>
      <c r="J44" s="18"/>
      <c r="K44" s="14" t="str">
        <f aca="false">"200,0"</f>
        <v>200,0</v>
      </c>
      <c r="L44" s="48" t="str">
        <f aca="false">"161,7936"</f>
        <v>161,7936</v>
      </c>
      <c r="M44" s="16"/>
    </row>
    <row r="46" customFormat="false" ht="15" hidden="false" customHeight="false" outlineLevel="0" collapsed="false">
      <c r="E46" s="20" t="s">
        <v>27</v>
      </c>
    </row>
    <row r="47" customFormat="false" ht="15" hidden="false" customHeight="false" outlineLevel="0" collapsed="false">
      <c r="E47" s="20" t="s">
        <v>28</v>
      </c>
    </row>
    <row r="48" customFormat="false" ht="15" hidden="false" customHeight="false" outlineLevel="0" collapsed="false">
      <c r="E48" s="20" t="s">
        <v>29</v>
      </c>
    </row>
    <row r="49" customFormat="false" ht="13.2" hidden="false" customHeight="false" outlineLevel="0" collapsed="false">
      <c r="E49" s="36" t="s">
        <v>30</v>
      </c>
    </row>
    <row r="50" customFormat="false" ht="13.2" hidden="false" customHeight="false" outlineLevel="0" collapsed="false">
      <c r="E50" s="36" t="s">
        <v>31</v>
      </c>
    </row>
    <row r="51" customFormat="false" ht="13.2" hidden="false" customHeight="false" outlineLevel="0" collapsed="false">
      <c r="E51" s="36" t="s">
        <v>32</v>
      </c>
    </row>
    <row r="54" customFormat="false" ht="17.4" hidden="false" customHeight="false" outlineLevel="0" collapsed="false">
      <c r="A54" s="53" t="s">
        <v>33</v>
      </c>
      <c r="B54" s="22"/>
    </row>
    <row r="55" customFormat="false" ht="15.6" hidden="false" customHeight="false" outlineLevel="0" collapsed="false">
      <c r="A55" s="54" t="s">
        <v>58</v>
      </c>
      <c r="B55" s="17"/>
    </row>
    <row r="56" customFormat="false" ht="14.4" hidden="false" customHeight="false" outlineLevel="0" collapsed="false">
      <c r="A56" s="55"/>
      <c r="B56" s="25" t="s">
        <v>362</v>
      </c>
    </row>
    <row r="57" customFormat="false" ht="13.8" hidden="false" customHeight="false" outlineLevel="0" collapsed="false">
      <c r="A57" s="26" t="s">
        <v>1</v>
      </c>
      <c r="B57" s="26" t="s">
        <v>36</v>
      </c>
      <c r="C57" s="26" t="s">
        <v>37</v>
      </c>
      <c r="D57" s="26" t="s">
        <v>38</v>
      </c>
      <c r="E57" s="26" t="s">
        <v>4</v>
      </c>
    </row>
    <row r="58" customFormat="false" ht="13.2" hidden="false" customHeight="false" outlineLevel="0" collapsed="false">
      <c r="A58" s="56" t="s">
        <v>363</v>
      </c>
      <c r="B58" s="37" t="s">
        <v>364</v>
      </c>
      <c r="C58" s="37" t="s">
        <v>365</v>
      </c>
      <c r="D58" s="37" t="s">
        <v>269</v>
      </c>
      <c r="E58" s="1" t="s">
        <v>366</v>
      </c>
    </row>
    <row r="60" customFormat="false" ht="14.4" hidden="false" customHeight="false" outlineLevel="0" collapsed="false">
      <c r="A60" s="55"/>
      <c r="B60" s="25" t="s">
        <v>59</v>
      </c>
    </row>
    <row r="61" customFormat="false" ht="13.8" hidden="false" customHeight="false" outlineLevel="0" collapsed="false">
      <c r="A61" s="26" t="s">
        <v>1</v>
      </c>
      <c r="B61" s="26" t="s">
        <v>36</v>
      </c>
      <c r="C61" s="26" t="s">
        <v>37</v>
      </c>
      <c r="D61" s="26" t="s">
        <v>38</v>
      </c>
      <c r="E61" s="26" t="s">
        <v>4</v>
      </c>
    </row>
    <row r="62" customFormat="false" ht="13.2" hidden="false" customHeight="false" outlineLevel="0" collapsed="false">
      <c r="A62" s="56" t="s">
        <v>367</v>
      </c>
      <c r="B62" s="37" t="s">
        <v>59</v>
      </c>
      <c r="C62" s="37" t="s">
        <v>368</v>
      </c>
      <c r="D62" s="37" t="s">
        <v>69</v>
      </c>
      <c r="E62" s="1" t="s">
        <v>369</v>
      </c>
    </row>
    <row r="63" customFormat="false" ht="13.2" hidden="false" customHeight="false" outlineLevel="0" collapsed="false">
      <c r="A63" s="56" t="s">
        <v>370</v>
      </c>
      <c r="B63" s="37" t="s">
        <v>59</v>
      </c>
      <c r="C63" s="37" t="s">
        <v>365</v>
      </c>
      <c r="D63" s="37" t="s">
        <v>68</v>
      </c>
      <c r="E63" s="1" t="s">
        <v>371</v>
      </c>
    </row>
    <row r="64" customFormat="false" ht="13.2" hidden="false" customHeight="false" outlineLevel="0" collapsed="false">
      <c r="A64" s="56" t="s">
        <v>372</v>
      </c>
      <c r="B64" s="37" t="s">
        <v>59</v>
      </c>
      <c r="C64" s="37" t="s">
        <v>365</v>
      </c>
      <c r="D64" s="37" t="s">
        <v>269</v>
      </c>
      <c r="E64" s="1" t="s">
        <v>373</v>
      </c>
    </row>
    <row r="65" customFormat="false" ht="13.2" hidden="false" customHeight="false" outlineLevel="0" collapsed="false">
      <c r="A65" s="56" t="s">
        <v>374</v>
      </c>
      <c r="B65" s="37" t="s">
        <v>59</v>
      </c>
      <c r="C65" s="37" t="s">
        <v>365</v>
      </c>
      <c r="D65" s="37" t="s">
        <v>72</v>
      </c>
      <c r="E65" s="1" t="s">
        <v>375</v>
      </c>
    </row>
    <row r="68" customFormat="false" ht="15.6" hidden="false" customHeight="false" outlineLevel="0" collapsed="false">
      <c r="A68" s="54" t="s">
        <v>34</v>
      </c>
      <c r="B68" s="17"/>
    </row>
    <row r="69" customFormat="false" ht="14.4" hidden="false" customHeight="false" outlineLevel="0" collapsed="false">
      <c r="A69" s="55"/>
      <c r="B69" s="25" t="s">
        <v>376</v>
      </c>
    </row>
    <row r="70" customFormat="false" ht="13.8" hidden="false" customHeight="false" outlineLevel="0" collapsed="false">
      <c r="A70" s="26" t="s">
        <v>1</v>
      </c>
      <c r="B70" s="26" t="s">
        <v>36</v>
      </c>
      <c r="C70" s="26" t="s">
        <v>37</v>
      </c>
      <c r="D70" s="26" t="s">
        <v>38</v>
      </c>
      <c r="E70" s="26" t="s">
        <v>4</v>
      </c>
    </row>
    <row r="71" customFormat="false" ht="13.2" hidden="false" customHeight="false" outlineLevel="0" collapsed="false">
      <c r="A71" s="56" t="s">
        <v>377</v>
      </c>
      <c r="B71" s="37" t="s">
        <v>378</v>
      </c>
      <c r="C71" s="37" t="s">
        <v>225</v>
      </c>
      <c r="D71" s="37" t="s">
        <v>73</v>
      </c>
      <c r="E71" s="1" t="s">
        <v>379</v>
      </c>
    </row>
    <row r="72" customFormat="false" ht="13.2" hidden="false" customHeight="false" outlineLevel="0" collapsed="false">
      <c r="A72" s="56" t="s">
        <v>380</v>
      </c>
      <c r="B72" s="37" t="s">
        <v>381</v>
      </c>
      <c r="C72" s="37" t="s">
        <v>382</v>
      </c>
      <c r="D72" s="37" t="s">
        <v>290</v>
      </c>
      <c r="E72" s="1" t="s">
        <v>383</v>
      </c>
    </row>
    <row r="74" customFormat="false" ht="14.4" hidden="false" customHeight="false" outlineLevel="0" collapsed="false">
      <c r="A74" s="55"/>
      <c r="B74" s="25" t="s">
        <v>362</v>
      </c>
    </row>
    <row r="75" customFormat="false" ht="13.8" hidden="false" customHeight="false" outlineLevel="0" collapsed="false">
      <c r="A75" s="26" t="s">
        <v>1</v>
      </c>
      <c r="B75" s="26" t="s">
        <v>36</v>
      </c>
      <c r="C75" s="26" t="s">
        <v>37</v>
      </c>
      <c r="D75" s="26" t="s">
        <v>38</v>
      </c>
      <c r="E75" s="26" t="s">
        <v>4</v>
      </c>
    </row>
    <row r="76" customFormat="false" ht="13.2" hidden="false" customHeight="false" outlineLevel="0" collapsed="false">
      <c r="A76" s="56" t="s">
        <v>384</v>
      </c>
      <c r="B76" s="37" t="s">
        <v>364</v>
      </c>
      <c r="C76" s="37" t="s">
        <v>225</v>
      </c>
      <c r="D76" s="37" t="s">
        <v>90</v>
      </c>
      <c r="E76" s="1" t="s">
        <v>385</v>
      </c>
    </row>
    <row r="78" customFormat="false" ht="14.4" hidden="false" customHeight="false" outlineLevel="0" collapsed="false">
      <c r="A78" s="55"/>
      <c r="B78" s="25" t="s">
        <v>59</v>
      </c>
    </row>
    <row r="79" customFormat="false" ht="13.8" hidden="false" customHeight="false" outlineLevel="0" collapsed="false">
      <c r="A79" s="26" t="s">
        <v>1</v>
      </c>
      <c r="B79" s="26" t="s">
        <v>36</v>
      </c>
      <c r="C79" s="26" t="s">
        <v>37</v>
      </c>
      <c r="D79" s="26" t="s">
        <v>38</v>
      </c>
      <c r="E79" s="26" t="s">
        <v>4</v>
      </c>
    </row>
    <row r="80" customFormat="false" ht="13.2" hidden="false" customHeight="false" outlineLevel="0" collapsed="false">
      <c r="A80" s="56" t="s">
        <v>386</v>
      </c>
      <c r="B80" s="37" t="s">
        <v>59</v>
      </c>
      <c r="C80" s="37" t="s">
        <v>232</v>
      </c>
      <c r="D80" s="37" t="s">
        <v>356</v>
      </c>
      <c r="E80" s="1" t="s">
        <v>387</v>
      </c>
    </row>
    <row r="81" customFormat="false" ht="13.2" hidden="false" customHeight="false" outlineLevel="0" collapsed="false">
      <c r="A81" s="56" t="s">
        <v>388</v>
      </c>
      <c r="B81" s="37" t="s">
        <v>59</v>
      </c>
      <c r="C81" s="37" t="s">
        <v>368</v>
      </c>
      <c r="D81" s="37" t="s">
        <v>295</v>
      </c>
      <c r="E81" s="1" t="s">
        <v>389</v>
      </c>
    </row>
    <row r="82" customFormat="false" ht="13.2" hidden="false" customHeight="false" outlineLevel="0" collapsed="false">
      <c r="A82" s="56" t="s">
        <v>390</v>
      </c>
      <c r="B82" s="37" t="s">
        <v>59</v>
      </c>
      <c r="C82" s="37" t="s">
        <v>151</v>
      </c>
      <c r="D82" s="37" t="s">
        <v>301</v>
      </c>
      <c r="E82" s="1" t="s">
        <v>391</v>
      </c>
    </row>
    <row r="83" customFormat="false" ht="13.2" hidden="false" customHeight="false" outlineLevel="0" collapsed="false">
      <c r="A83" s="56" t="s">
        <v>392</v>
      </c>
      <c r="B83" s="37" t="s">
        <v>59</v>
      </c>
      <c r="C83" s="37" t="s">
        <v>98</v>
      </c>
      <c r="D83" s="37" t="s">
        <v>356</v>
      </c>
      <c r="E83" s="1" t="s">
        <v>393</v>
      </c>
    </row>
    <row r="84" customFormat="false" ht="13.2" hidden="false" customHeight="false" outlineLevel="0" collapsed="false">
      <c r="A84" s="56" t="s">
        <v>394</v>
      </c>
      <c r="B84" s="37" t="s">
        <v>59</v>
      </c>
      <c r="C84" s="37" t="s">
        <v>95</v>
      </c>
      <c r="D84" s="37" t="s">
        <v>344</v>
      </c>
      <c r="E84" s="1" t="s">
        <v>395</v>
      </c>
    </row>
    <row r="85" customFormat="false" ht="13.2" hidden="false" customHeight="false" outlineLevel="0" collapsed="false">
      <c r="A85" s="56" t="s">
        <v>396</v>
      </c>
      <c r="B85" s="37" t="s">
        <v>59</v>
      </c>
      <c r="C85" s="37" t="s">
        <v>95</v>
      </c>
      <c r="D85" s="37" t="s">
        <v>338</v>
      </c>
      <c r="E85" s="1" t="s">
        <v>397</v>
      </c>
    </row>
    <row r="86" customFormat="false" ht="13.2" hidden="false" customHeight="false" outlineLevel="0" collapsed="false">
      <c r="A86" s="56" t="s">
        <v>240</v>
      </c>
      <c r="B86" s="37" t="s">
        <v>59</v>
      </c>
      <c r="C86" s="37" t="s">
        <v>232</v>
      </c>
      <c r="D86" s="37" t="s">
        <v>309</v>
      </c>
      <c r="E86" s="1" t="s">
        <v>398</v>
      </c>
    </row>
    <row r="87" customFormat="false" ht="13.2" hidden="false" customHeight="false" outlineLevel="0" collapsed="false">
      <c r="A87" s="56" t="s">
        <v>399</v>
      </c>
      <c r="B87" s="37" t="s">
        <v>59</v>
      </c>
      <c r="C87" s="37" t="s">
        <v>225</v>
      </c>
      <c r="D87" s="37" t="s">
        <v>333</v>
      </c>
      <c r="E87" s="1" t="s">
        <v>400</v>
      </c>
    </row>
    <row r="89" customFormat="false" ht="14.4" hidden="false" customHeight="false" outlineLevel="0" collapsed="false">
      <c r="A89" s="55"/>
      <c r="B89" s="25" t="s">
        <v>244</v>
      </c>
    </row>
    <row r="90" customFormat="false" ht="13.8" hidden="false" customHeight="false" outlineLevel="0" collapsed="false">
      <c r="A90" s="26" t="s">
        <v>1</v>
      </c>
      <c r="B90" s="26" t="s">
        <v>36</v>
      </c>
      <c r="C90" s="26" t="s">
        <v>37</v>
      </c>
      <c r="D90" s="26" t="s">
        <v>38</v>
      </c>
      <c r="E90" s="26" t="s">
        <v>4</v>
      </c>
    </row>
    <row r="91" customFormat="false" ht="13.2" hidden="false" customHeight="false" outlineLevel="0" collapsed="false">
      <c r="A91" s="56" t="s">
        <v>401</v>
      </c>
      <c r="B91" s="37" t="s">
        <v>402</v>
      </c>
      <c r="C91" s="37" t="s">
        <v>225</v>
      </c>
      <c r="D91" s="37" t="s">
        <v>339</v>
      </c>
      <c r="E91" s="1" t="s">
        <v>403</v>
      </c>
    </row>
    <row r="92" customFormat="false" ht="13.2" hidden="false" customHeight="false" outlineLevel="0" collapsed="false">
      <c r="A92" s="56" t="s">
        <v>43</v>
      </c>
      <c r="B92" s="37" t="s">
        <v>404</v>
      </c>
      <c r="C92" s="37" t="s">
        <v>44</v>
      </c>
      <c r="D92" s="37" t="s">
        <v>295</v>
      </c>
      <c r="E92" s="1" t="s">
        <v>405</v>
      </c>
    </row>
    <row r="93" customFormat="false" ht="13.2" hidden="false" customHeight="false" outlineLevel="0" collapsed="false">
      <c r="A93" s="56" t="s">
        <v>406</v>
      </c>
      <c r="B93" s="37" t="s">
        <v>259</v>
      </c>
      <c r="C93" s="37" t="s">
        <v>98</v>
      </c>
      <c r="D93" s="37" t="s">
        <v>301</v>
      </c>
      <c r="E93" s="1" t="s">
        <v>407</v>
      </c>
    </row>
    <row r="94" customFormat="false" ht="13.2" hidden="false" customHeight="false" outlineLevel="0" collapsed="false">
      <c r="A94" s="56" t="s">
        <v>408</v>
      </c>
      <c r="B94" s="37" t="s">
        <v>249</v>
      </c>
      <c r="C94" s="37" t="s">
        <v>232</v>
      </c>
      <c r="D94" s="37" t="s">
        <v>73</v>
      </c>
      <c r="E94" s="1" t="s">
        <v>409</v>
      </c>
    </row>
  </sheetData>
  <mergeCells count="21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A11:J11"/>
    <mergeCell ref="A14:J14"/>
    <mergeCell ref="A17:J17"/>
    <mergeCell ref="A20:J20"/>
    <mergeCell ref="A23:J23"/>
    <mergeCell ref="A29:J29"/>
    <mergeCell ref="A35:J35"/>
    <mergeCell ref="A39:J39"/>
    <mergeCell ref="A43:J4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3.2" zeroHeight="false" outlineLevelRow="0" outlineLevelCol="0"/>
  <cols>
    <col collapsed="false" customWidth="true" hidden="false" outlineLevel="0" max="1" min="1" style="36" width="24.88"/>
    <col collapsed="false" customWidth="true" hidden="false" outlineLevel="0" max="2" min="2" style="37" width="26.56"/>
    <col collapsed="false" customWidth="true" hidden="false" outlineLevel="0" max="3" min="3" style="37" width="7.56"/>
    <col collapsed="false" customWidth="true" hidden="false" outlineLevel="0" max="4" min="4" style="37" width="6.56"/>
    <col collapsed="false" customWidth="true" hidden="false" outlineLevel="0" max="5" min="5" style="36" width="17"/>
    <col collapsed="false" customWidth="true" hidden="false" outlineLevel="0" max="6" min="6" style="36" width="14.78"/>
    <col collapsed="false" customWidth="true" hidden="false" outlineLevel="0" max="8" min="7" style="37" width="5.55"/>
    <col collapsed="false" customWidth="true" hidden="false" outlineLevel="0" max="9" min="9" style="37" width="2.11"/>
    <col collapsed="false" customWidth="true" hidden="false" outlineLevel="0" max="10" min="10" style="37" width="4.78"/>
    <col collapsed="false" customWidth="true" hidden="false" outlineLevel="0" max="11" min="11" style="1" width="5.78"/>
    <col collapsed="false" customWidth="true" hidden="false" outlineLevel="0" max="12" min="12" style="38" width="8.56"/>
    <col collapsed="false" customWidth="true" hidden="false" outlineLevel="0" max="13" min="13" style="36" width="7.11"/>
    <col collapsed="false" customWidth="false" hidden="false" outlineLevel="0" max="1024" min="14" style="39" width="9.11"/>
  </cols>
  <sheetData>
    <row r="1" s="41" customFormat="true" ht="28.95" hidden="false" customHeight="true" outlineLevel="0" collapsed="false">
      <c r="A1" s="40" t="s">
        <v>410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="41" customFormat="true" ht="61.95" hidden="false" customHeight="true" outlineLevel="0" collapsed="false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11" customFormat="true" ht="12.75" hidden="false" customHeight="true" outlineLevel="0" collapsed="false">
      <c r="A3" s="42" t="s">
        <v>1</v>
      </c>
      <c r="B3" s="43" t="s">
        <v>126</v>
      </c>
      <c r="C3" s="43" t="s">
        <v>3</v>
      </c>
      <c r="D3" s="44" t="s">
        <v>4</v>
      </c>
      <c r="E3" s="44" t="s">
        <v>5</v>
      </c>
      <c r="F3" s="44" t="s">
        <v>6</v>
      </c>
      <c r="G3" s="45" t="s">
        <v>252</v>
      </c>
      <c r="H3" s="45"/>
      <c r="I3" s="45"/>
      <c r="J3" s="45"/>
      <c r="K3" s="44" t="s">
        <v>8</v>
      </c>
      <c r="L3" s="44" t="s">
        <v>128</v>
      </c>
      <c r="M3" s="46" t="s">
        <v>129</v>
      </c>
    </row>
    <row r="4" s="11" customFormat="true" ht="23.25" hidden="false" customHeight="true" outlineLevel="0" collapsed="false">
      <c r="A4" s="42"/>
      <c r="B4" s="43"/>
      <c r="C4" s="43"/>
      <c r="D4" s="43"/>
      <c r="E4" s="43"/>
      <c r="F4" s="43"/>
      <c r="G4" s="47" t="n">
        <v>1</v>
      </c>
      <c r="H4" s="47" t="n">
        <v>2</v>
      </c>
      <c r="I4" s="47" t="n">
        <v>3</v>
      </c>
      <c r="J4" s="47" t="s">
        <v>130</v>
      </c>
      <c r="K4" s="44"/>
      <c r="L4" s="44"/>
      <c r="M4" s="46"/>
    </row>
    <row r="5" s="37" customFormat="true" ht="15.6" hidden="false" customHeight="false" outlineLevel="0" collapsed="false">
      <c r="A5" s="13" t="s">
        <v>74</v>
      </c>
      <c r="B5" s="13"/>
      <c r="C5" s="13"/>
      <c r="D5" s="13"/>
      <c r="E5" s="13"/>
      <c r="F5" s="13"/>
      <c r="G5" s="13"/>
      <c r="H5" s="13"/>
      <c r="I5" s="13"/>
      <c r="J5" s="13"/>
      <c r="K5" s="1"/>
      <c r="L5" s="38"/>
      <c r="M5" s="36"/>
    </row>
    <row r="6" s="37" customFormat="true" ht="13.2" hidden="false" customHeight="false" outlineLevel="0" collapsed="false">
      <c r="A6" s="30" t="s">
        <v>411</v>
      </c>
      <c r="B6" s="29" t="s">
        <v>412</v>
      </c>
      <c r="C6" s="29" t="s">
        <v>342</v>
      </c>
      <c r="D6" s="29" t="str">
        <f aca="false">"0,6192"</f>
        <v>0,6192</v>
      </c>
      <c r="E6" s="30" t="s">
        <v>13</v>
      </c>
      <c r="F6" s="30" t="s">
        <v>413</v>
      </c>
      <c r="G6" s="29" t="s">
        <v>295</v>
      </c>
      <c r="H6" s="29" t="s">
        <v>314</v>
      </c>
      <c r="I6" s="49"/>
      <c r="J6" s="49"/>
      <c r="K6" s="28" t="str">
        <f aca="false">"220,0"</f>
        <v>220,0</v>
      </c>
      <c r="L6" s="50" t="str">
        <f aca="false">"136,2350"</f>
        <v>136,2350</v>
      </c>
      <c r="M6" s="30"/>
    </row>
    <row r="7" s="37" customFormat="true" ht="13.2" hidden="false" customHeight="false" outlineLevel="0" collapsed="false">
      <c r="A7" s="34" t="s">
        <v>411</v>
      </c>
      <c r="B7" s="33" t="s">
        <v>414</v>
      </c>
      <c r="C7" s="33" t="s">
        <v>342</v>
      </c>
      <c r="D7" s="33" t="str">
        <f aca="false">"0,6192"</f>
        <v>0,6192</v>
      </c>
      <c r="E7" s="34" t="s">
        <v>13</v>
      </c>
      <c r="F7" s="34" t="s">
        <v>413</v>
      </c>
      <c r="G7" s="33" t="s">
        <v>295</v>
      </c>
      <c r="H7" s="33" t="s">
        <v>314</v>
      </c>
      <c r="I7" s="51"/>
      <c r="J7" s="51"/>
      <c r="K7" s="32" t="str">
        <f aca="false">"220,0"</f>
        <v>220,0</v>
      </c>
      <c r="L7" s="52" t="str">
        <f aca="false">"140,4583"</f>
        <v>140,4583</v>
      </c>
      <c r="M7" s="34"/>
    </row>
    <row r="9" customFormat="false" ht="15" hidden="false" customHeight="false" outlineLevel="0" collapsed="false">
      <c r="E9" s="20" t="s">
        <v>27</v>
      </c>
    </row>
    <row r="10" customFormat="false" ht="15" hidden="false" customHeight="false" outlineLevel="0" collapsed="false">
      <c r="E10" s="20" t="s">
        <v>28</v>
      </c>
    </row>
    <row r="11" customFormat="false" ht="15" hidden="false" customHeight="false" outlineLevel="0" collapsed="false">
      <c r="E11" s="20" t="s">
        <v>29</v>
      </c>
    </row>
    <row r="12" customFormat="false" ht="13.2" hidden="false" customHeight="false" outlineLevel="0" collapsed="false">
      <c r="E12" s="36" t="s">
        <v>30</v>
      </c>
    </row>
    <row r="13" customFormat="false" ht="13.2" hidden="false" customHeight="false" outlineLevel="0" collapsed="false">
      <c r="E13" s="36" t="s">
        <v>31</v>
      </c>
    </row>
    <row r="14" customFormat="false" ht="13.2" hidden="false" customHeight="false" outlineLevel="0" collapsed="false">
      <c r="E14" s="36" t="s">
        <v>32</v>
      </c>
    </row>
    <row r="17" customFormat="false" ht="17.4" hidden="false" customHeight="false" outlineLevel="0" collapsed="false">
      <c r="A17" s="53" t="s">
        <v>33</v>
      </c>
      <c r="B17" s="22"/>
    </row>
    <row r="18" customFormat="false" ht="15.6" hidden="false" customHeight="false" outlineLevel="0" collapsed="false">
      <c r="A18" s="54" t="s">
        <v>34</v>
      </c>
      <c r="B18" s="17"/>
    </row>
    <row r="19" customFormat="false" ht="14.4" hidden="false" customHeight="false" outlineLevel="0" collapsed="false">
      <c r="A19" s="55"/>
      <c r="B19" s="25" t="s">
        <v>59</v>
      </c>
    </row>
    <row r="20" customFormat="false" ht="13.8" hidden="false" customHeight="false" outlineLevel="0" collapsed="false">
      <c r="A20" s="26" t="s">
        <v>1</v>
      </c>
      <c r="B20" s="26" t="s">
        <v>36</v>
      </c>
      <c r="C20" s="26" t="s">
        <v>37</v>
      </c>
      <c r="D20" s="26" t="s">
        <v>38</v>
      </c>
      <c r="E20" s="26" t="s">
        <v>4</v>
      </c>
    </row>
    <row r="21" customFormat="false" ht="13.2" hidden="false" customHeight="false" outlineLevel="0" collapsed="false">
      <c r="A21" s="56" t="s">
        <v>415</v>
      </c>
      <c r="B21" s="37" t="s">
        <v>59</v>
      </c>
      <c r="C21" s="37" t="s">
        <v>95</v>
      </c>
      <c r="D21" s="37" t="s">
        <v>314</v>
      </c>
      <c r="E21" s="1" t="s">
        <v>416</v>
      </c>
    </row>
    <row r="23" customFormat="false" ht="14.4" hidden="false" customHeight="false" outlineLevel="0" collapsed="false">
      <c r="A23" s="55"/>
      <c r="B23" s="25" t="s">
        <v>244</v>
      </c>
    </row>
    <row r="24" customFormat="false" ht="13.8" hidden="false" customHeight="false" outlineLevel="0" collapsed="false">
      <c r="A24" s="26" t="s">
        <v>1</v>
      </c>
      <c r="B24" s="26" t="s">
        <v>36</v>
      </c>
      <c r="C24" s="26" t="s">
        <v>37</v>
      </c>
      <c r="D24" s="26" t="s">
        <v>38</v>
      </c>
      <c r="E24" s="26" t="s">
        <v>4</v>
      </c>
    </row>
    <row r="25" customFormat="false" ht="13.2" hidden="false" customHeight="false" outlineLevel="0" collapsed="false">
      <c r="A25" s="56" t="s">
        <v>415</v>
      </c>
      <c r="B25" s="37" t="s">
        <v>259</v>
      </c>
      <c r="C25" s="37" t="s">
        <v>95</v>
      </c>
      <c r="D25" s="37" t="s">
        <v>314</v>
      </c>
      <c r="E25" s="1" t="s">
        <v>417</v>
      </c>
    </row>
  </sheetData>
  <mergeCells count="12"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J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2002-06-16T13:36:44Z</dcterms:created>
  <dc:creator>Tomchin</dc:creator>
  <dc:description/>
  <dc:language>ru-RU</dc:language>
  <cp:lastModifiedBy/>
  <cp:lastPrinted>2008-02-22T21:19:54Z</cp:lastPrinted>
  <dcterms:modified xsi:type="dcterms:W3CDTF">2020-12-30T20:24:02Z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