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" documentId="11_61E20D633D58E33CD5D62CC16B76DFB964162177" xr6:coauthVersionLast="46" xr6:coauthVersionMax="46" xr10:uidLastSave="{D317E7D9-4162-4262-A4B8-5A8E88693F5A}"/>
  <bookViews>
    <workbookView xWindow="870" yWindow="435" windowWidth="23895" windowHeight="9210" tabRatio="1000" xr2:uid="{00000000-000D-0000-FFFF-FFFF00000000}"/>
  </bookViews>
  <sheets>
    <sheet name="AWPC pl raw" sheetId="13" r:id="rId1"/>
    <sheet name="AWPC cl pl" sheetId="14" r:id="rId2"/>
    <sheet name="AWPC pl sp" sheetId="15" r:id="rId3"/>
    <sheet name="AWPC bprawdis" sheetId="30" r:id="rId4"/>
    <sheet name="AWPC bp raw" sheetId="16" r:id="rId5"/>
    <sheet name="AWPC bpsoft" sheetId="19" r:id="rId6"/>
    <sheet name="AWPC dlraw" sheetId="22" r:id="rId7"/>
    <sheet name="WPC cl pl" sheetId="7" r:id="rId8"/>
    <sheet name="WPC pl raw" sheetId="6" r:id="rId9"/>
    <sheet name="WPC plsoft" sheetId="5" r:id="rId10"/>
    <sheet name="WPC bp raw" sheetId="9" r:id="rId11"/>
    <sheet name="WPC dlraw" sheetId="20" r:id="rId12"/>
    <sheet name="WPC dl" sheetId="21" r:id="rId13"/>
    <sheet name="WPC bpsoft" sheetId="11" r:id="rId14"/>
    <sheet name="AGPC sq raw" sheetId="29" r:id="rId15"/>
  </sheets>
  <definedNames>
    <definedName name="_xlnm._FilterDatabase" localSheetId="9" hidden="1">'WPC plsoft'!$A$1:$Q$3</definedName>
  </definedNames>
  <calcPr calcId="191029" refMode="R1C1"/>
</workbook>
</file>

<file path=xl/calcChain.xml><?xml version="1.0" encoding="utf-8"?>
<calcChain xmlns="http://schemas.openxmlformats.org/spreadsheetml/2006/main">
  <c r="J6" i="30" l="1"/>
  <c r="I6" i="30"/>
  <c r="J12" i="29"/>
  <c r="I12" i="29"/>
  <c r="J9" i="29"/>
  <c r="I9" i="29"/>
  <c r="J6" i="29"/>
  <c r="I6" i="29"/>
  <c r="J44" i="22"/>
  <c r="I44" i="22"/>
  <c r="J41" i="22"/>
  <c r="I41" i="22"/>
  <c r="J40" i="22"/>
  <c r="I40" i="22"/>
  <c r="J37" i="22"/>
  <c r="I37" i="22"/>
  <c r="J36" i="22"/>
  <c r="I36" i="22"/>
  <c r="J35" i="22"/>
  <c r="I35" i="22"/>
  <c r="J32" i="22"/>
  <c r="I32" i="22"/>
  <c r="J31" i="22"/>
  <c r="I31" i="22"/>
  <c r="J30" i="22"/>
  <c r="I30" i="22"/>
  <c r="J27" i="22"/>
  <c r="I27" i="22"/>
  <c r="J24" i="22"/>
  <c r="I24" i="22"/>
  <c r="J21" i="22"/>
  <c r="I21" i="22"/>
  <c r="J18" i="22"/>
  <c r="I18" i="22"/>
  <c r="J15" i="22"/>
  <c r="I15" i="22"/>
  <c r="J12" i="22"/>
  <c r="I12" i="22"/>
  <c r="J9" i="22"/>
  <c r="I9" i="22"/>
  <c r="J6" i="22"/>
  <c r="I6" i="22"/>
  <c r="J7" i="21"/>
  <c r="I7" i="21"/>
  <c r="J6" i="21"/>
  <c r="I6" i="21"/>
  <c r="J9" i="20"/>
  <c r="I9" i="20"/>
  <c r="J6" i="20"/>
  <c r="I6" i="20"/>
  <c r="J19" i="19"/>
  <c r="I19" i="19"/>
  <c r="J16" i="19"/>
  <c r="I16" i="19"/>
  <c r="J13" i="19"/>
  <c r="I13" i="19"/>
  <c r="J10" i="19"/>
  <c r="I10" i="19"/>
  <c r="J9" i="19"/>
  <c r="I9" i="19"/>
  <c r="J6" i="19"/>
  <c r="I6" i="19"/>
  <c r="J56" i="16"/>
  <c r="I56" i="16"/>
  <c r="J55" i="16"/>
  <c r="I55" i="16"/>
  <c r="J52" i="16"/>
  <c r="I52" i="16"/>
  <c r="J51" i="16"/>
  <c r="I51" i="16"/>
  <c r="J50" i="16"/>
  <c r="I50" i="16"/>
  <c r="J49" i="16"/>
  <c r="I49" i="16"/>
  <c r="J48" i="16"/>
  <c r="I48" i="16"/>
  <c r="J47" i="16"/>
  <c r="I47" i="16"/>
  <c r="J44" i="16"/>
  <c r="I44" i="16"/>
  <c r="J41" i="16"/>
  <c r="I41" i="16"/>
  <c r="J40" i="16"/>
  <c r="I40" i="16"/>
  <c r="J39" i="16"/>
  <c r="I39" i="16"/>
  <c r="J38" i="16"/>
  <c r="I38" i="16"/>
  <c r="J37" i="16"/>
  <c r="I37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6" i="16"/>
  <c r="I26" i="16"/>
  <c r="J25" i="16"/>
  <c r="I25" i="16"/>
  <c r="J24" i="16"/>
  <c r="I24" i="16"/>
  <c r="J21" i="16"/>
  <c r="I21" i="16"/>
  <c r="J20" i="16"/>
  <c r="I20" i="16"/>
  <c r="J17" i="16"/>
  <c r="I17" i="16"/>
  <c r="J14" i="16"/>
  <c r="I14" i="16"/>
  <c r="J11" i="16"/>
  <c r="I11" i="16"/>
  <c r="J10" i="16"/>
  <c r="I10" i="16"/>
  <c r="J7" i="16"/>
  <c r="I7" i="16"/>
  <c r="J6" i="16"/>
  <c r="I6" i="16"/>
  <c r="R6" i="15"/>
  <c r="Q6" i="15"/>
  <c r="R22" i="14"/>
  <c r="Q22" i="14"/>
  <c r="R19" i="14"/>
  <c r="Q19" i="14"/>
  <c r="R16" i="14"/>
  <c r="Q16" i="14"/>
  <c r="R15" i="14"/>
  <c r="Q15" i="14"/>
  <c r="R12" i="14"/>
  <c r="Q12" i="14"/>
  <c r="R9" i="14"/>
  <c r="Q9" i="14"/>
  <c r="R6" i="14"/>
  <c r="Q6" i="14"/>
  <c r="R13" i="13"/>
  <c r="Q13" i="13"/>
  <c r="R10" i="13"/>
  <c r="Q10" i="13"/>
  <c r="R7" i="13"/>
  <c r="Q7" i="13"/>
  <c r="R6" i="13"/>
  <c r="Q6" i="13"/>
  <c r="J19" i="11"/>
  <c r="I19" i="11"/>
  <c r="J16" i="11"/>
  <c r="I16" i="11"/>
  <c r="J13" i="11"/>
  <c r="I13" i="11"/>
  <c r="J10" i="11"/>
  <c r="I10" i="11"/>
  <c r="J7" i="11"/>
  <c r="I7" i="11"/>
  <c r="J6" i="11"/>
  <c r="I6" i="11"/>
  <c r="J19" i="9"/>
  <c r="I19" i="9"/>
  <c r="J18" i="9"/>
  <c r="I18" i="9"/>
  <c r="J15" i="9"/>
  <c r="I15" i="9"/>
  <c r="J14" i="9"/>
  <c r="I14" i="9"/>
  <c r="J13" i="9"/>
  <c r="I13" i="9"/>
  <c r="J10" i="9"/>
  <c r="I10" i="9"/>
  <c r="J9" i="9"/>
  <c r="I9" i="9"/>
  <c r="J6" i="9"/>
  <c r="I6" i="9"/>
  <c r="R18" i="7"/>
  <c r="Q18" i="7"/>
  <c r="R17" i="7"/>
  <c r="Q17" i="7"/>
  <c r="R14" i="7"/>
  <c r="Q14" i="7"/>
  <c r="R11" i="7"/>
  <c r="Q11" i="7"/>
  <c r="R10" i="7"/>
  <c r="Q10" i="7"/>
  <c r="R7" i="7"/>
  <c r="Q7" i="7"/>
  <c r="R6" i="7"/>
  <c r="Q6" i="7"/>
  <c r="R9" i="6"/>
  <c r="Q9" i="6"/>
  <c r="R6" i="6"/>
  <c r="Q6" i="6"/>
  <c r="R6" i="5"/>
  <c r="Q6" i="5"/>
</calcChain>
</file>

<file path=xl/sharedStrings.xml><?xml version="1.0" encoding="utf-8"?>
<sst xmlns="http://schemas.openxmlformats.org/spreadsheetml/2006/main" count="1134" uniqueCount="403">
  <si>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</si>
  <si>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</si>
  <si>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</si>
  <si>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</si>
  <si>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</si>
  <si>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</si>
  <si>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</si>
  <si>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</si>
  <si>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Чемпионат СНГ
WPC пауэрлифтинг в софт экипировке
Хабаровск/Хабаровский край 19 декабря 2020 г.</t>
  </si>
  <si>
    <t>Приседание</t>
  </si>
  <si>
    <t>Жим лёжа</t>
  </si>
  <si>
    <t>Становая тяга</t>
  </si>
  <si>
    <t>ВЕСОВАЯ КАТЕГОРИЯ   100</t>
  </si>
  <si>
    <t>-. Ивасенко Алексей</t>
  </si>
  <si>
    <t>Открытая (25.06.1993)/27</t>
  </si>
  <si>
    <t>99,20</t>
  </si>
  <si>
    <t xml:space="preserve">Хабаровск/Хабаровский край </t>
  </si>
  <si>
    <t>250,0</t>
  </si>
  <si>
    <t>265,0</t>
  </si>
  <si>
    <t>280,0</t>
  </si>
  <si>
    <t>270,0</t>
  </si>
  <si>
    <t xml:space="preserve"> </t>
  </si>
  <si>
    <t>Чемпионат СНГ
WPC пауэрлифтинг без экипировки
Хабаровск/Хабаровский край 19 декабря 2020 г.</t>
  </si>
  <si>
    <t>ВЕСОВАЯ КАТЕГОРИЯ   90</t>
  </si>
  <si>
    <t>1. Балабин Денис</t>
  </si>
  <si>
    <t>Открытая (06.11.1978)/42</t>
  </si>
  <si>
    <t>89,10</t>
  </si>
  <si>
    <t xml:space="preserve">Южно-Сахалинск/Сахалинская область </t>
  </si>
  <si>
    <t>200,0</t>
  </si>
  <si>
    <t>210,0</t>
  </si>
  <si>
    <t>220,0</t>
  </si>
  <si>
    <t>135,0</t>
  </si>
  <si>
    <t>142,5</t>
  </si>
  <si>
    <t>145,0</t>
  </si>
  <si>
    <t>240,0</t>
  </si>
  <si>
    <t>260,0</t>
  </si>
  <si>
    <t xml:space="preserve">Смирнов Дмитрий </t>
  </si>
  <si>
    <t>1. Рупасов Дмитрий</t>
  </si>
  <si>
    <t>Открытая (18.10.1991)/29</t>
  </si>
  <si>
    <t>99,70</t>
  </si>
  <si>
    <t>225,0</t>
  </si>
  <si>
    <t>160,0</t>
  </si>
  <si>
    <t>170,0</t>
  </si>
  <si>
    <t>177,5</t>
  </si>
  <si>
    <t>Чемпионат СНГ
WPC классичесический пауэрлифтинг
Хабаровск/Хабаровский край 19 декабря 2020 г.</t>
  </si>
  <si>
    <t>ВЕСОВАЯ КАТЕГОРИЯ   82.5</t>
  </si>
  <si>
    <t>-. Раевский Александр</t>
  </si>
  <si>
    <t>Открытая (20.07.1983)/37</t>
  </si>
  <si>
    <t>79,20</t>
  </si>
  <si>
    <t>255,0</t>
  </si>
  <si>
    <t>1. Ким Дэк</t>
  </si>
  <si>
    <t>Ветераны 65 - 69 (15.04.1954)/66</t>
  </si>
  <si>
    <t>76,20</t>
  </si>
  <si>
    <t xml:space="preserve">Холмск/Сахалинская область </t>
  </si>
  <si>
    <t>130,0</t>
  </si>
  <si>
    <t>140,0</t>
  </si>
  <si>
    <t>150,0</t>
  </si>
  <si>
    <t>70,0</t>
  </si>
  <si>
    <t>75,0</t>
  </si>
  <si>
    <t>80,0</t>
  </si>
  <si>
    <t>1. Степанюк Евгений</t>
  </si>
  <si>
    <t>Открытая (14.06.1993)/27</t>
  </si>
  <si>
    <t>88,00</t>
  </si>
  <si>
    <t>230,0</t>
  </si>
  <si>
    <t>245,0</t>
  </si>
  <si>
    <t>155,0</t>
  </si>
  <si>
    <t>165,0</t>
  </si>
  <si>
    <t>2. Никифоров Артур</t>
  </si>
  <si>
    <t>Открытая (22.05.1994)/26</t>
  </si>
  <si>
    <t>89,20</t>
  </si>
  <si>
    <t>180,0</t>
  </si>
  <si>
    <t>85,0</t>
  </si>
  <si>
    <t>95,0</t>
  </si>
  <si>
    <t>105,0</t>
  </si>
  <si>
    <t xml:space="preserve">Еременко Александр </t>
  </si>
  <si>
    <t>ВЕСОВАЯ КАТЕГОРИЯ   110</t>
  </si>
  <si>
    <t>1. Камкин Даниил</t>
  </si>
  <si>
    <t>Открытая (19.08.1991)/29</t>
  </si>
  <si>
    <t>106,60</t>
  </si>
  <si>
    <t>340,0</t>
  </si>
  <si>
    <t>360,0</t>
  </si>
  <si>
    <t>175,0</t>
  </si>
  <si>
    <t>300,0</t>
  </si>
  <si>
    <t>310,0</t>
  </si>
  <si>
    <t xml:space="preserve">Дедюля Валентин </t>
  </si>
  <si>
    <t>ВЕСОВАЯ КАТЕГОРИЯ   125</t>
  </si>
  <si>
    <t>1. Широков Михаил</t>
  </si>
  <si>
    <t>Юниоры 20 - 23 (03.06.1999)/21</t>
  </si>
  <si>
    <t>113,20</t>
  </si>
  <si>
    <t xml:space="preserve">Чернышевск/Забайкальский край </t>
  </si>
  <si>
    <t>320,0</t>
  </si>
  <si>
    <t>325,0</t>
  </si>
  <si>
    <t>190,0</t>
  </si>
  <si>
    <t>205,0</t>
  </si>
  <si>
    <t>350,0</t>
  </si>
  <si>
    <t>Открытая (03.06.1999)/21</t>
  </si>
  <si>
    <t>Чемпионат СНГ
WPC жим лежа без экипировки
Хабаровск/Хабаровский край 19 декабря 2020 г.</t>
  </si>
  <si>
    <t>ВЕСОВАЯ КАТЕГОРИЯ   60</t>
  </si>
  <si>
    <t>1. Колисниченко Алексей</t>
  </si>
  <si>
    <t>Открытая (14.07.1994)/26</t>
  </si>
  <si>
    <t>57,80</t>
  </si>
  <si>
    <t>1. Коняхин Иван</t>
  </si>
  <si>
    <t>Открытая (13.04.1974)/46</t>
  </si>
  <si>
    <t>78,50</t>
  </si>
  <si>
    <t xml:space="preserve">Находка/Приморский край </t>
  </si>
  <si>
    <t>Ветераны 45 - 49 (13.04.1974)/46</t>
  </si>
  <si>
    <t>1. Култашов Сергей</t>
  </si>
  <si>
    <t>Открытая (11.05.1979)/41</t>
  </si>
  <si>
    <t>86,45</t>
  </si>
  <si>
    <t>2. Кулешов Алексей</t>
  </si>
  <si>
    <t>Открытая (01.01.1980)/40</t>
  </si>
  <si>
    <t>88,60</t>
  </si>
  <si>
    <t xml:space="preserve">Корсаков/Сахалинская область </t>
  </si>
  <si>
    <t>195,0</t>
  </si>
  <si>
    <t>1. Кулешов Алексей</t>
  </si>
  <si>
    <t>Ветераны 40 - 44 (01.01.1980)/40</t>
  </si>
  <si>
    <t>1. Яупов Олег</t>
  </si>
  <si>
    <t>Открытая (26.11.1980)/40</t>
  </si>
  <si>
    <t>107,60</t>
  </si>
  <si>
    <t>227,5</t>
  </si>
  <si>
    <t>232,5</t>
  </si>
  <si>
    <t>Ветераны 40 - 44 (26.11.1980)/40</t>
  </si>
  <si>
    <t>Результат</t>
  </si>
  <si>
    <t>Чемпионат СНГ
WPC жим лежа в стандартной софт экипировке
Хабаровск/Хабаровский край 19 декабря 2020 г.</t>
  </si>
  <si>
    <t>ВЕСОВАЯ КАТЕГОРИЯ   75</t>
  </si>
  <si>
    <t>1. Семенов Константин</t>
  </si>
  <si>
    <t>Открытая (24.08.1964)/56</t>
  </si>
  <si>
    <t>73,40</t>
  </si>
  <si>
    <t>Ветераны 55 - 59 (24.08.1964)/56</t>
  </si>
  <si>
    <t>1. Васильев Сергей</t>
  </si>
  <si>
    <t>Открытая (17.08.1991)/29</t>
  </si>
  <si>
    <t>89,80</t>
  </si>
  <si>
    <t>292,5</t>
  </si>
  <si>
    <t>307,5</t>
  </si>
  <si>
    <t xml:space="preserve">Щур Андрей </t>
  </si>
  <si>
    <t>1. Ивасенко Алексей</t>
  </si>
  <si>
    <t>1. Хочибоев Хуршед</t>
  </si>
  <si>
    <t>Открытая (13.09.1983)/37</t>
  </si>
  <si>
    <t>105,90</t>
  </si>
  <si>
    <t>1. Садиков Аскарджон</t>
  </si>
  <si>
    <t>Открытая (08.09.1992)/28</t>
  </si>
  <si>
    <t>119,60</t>
  </si>
  <si>
    <t>Чемпионат СНГ
AWPC пауэрлифтинг без экипировки
Хабаровск/Хабаровский край 19 декабря 2020 г.</t>
  </si>
  <si>
    <t>1. Амельченко Илья</t>
  </si>
  <si>
    <t>Юноши 16 - 17 (21.09.2003)/17</t>
  </si>
  <si>
    <t>77,10</t>
  </si>
  <si>
    <t xml:space="preserve">Свободный/Амурская область </t>
  </si>
  <si>
    <t>77,5</t>
  </si>
  <si>
    <t>90,0</t>
  </si>
  <si>
    <t>182,5</t>
  </si>
  <si>
    <t xml:space="preserve">Еленский </t>
  </si>
  <si>
    <t>1. Мирошниченко Михаил</t>
  </si>
  <si>
    <t>Юниоры 20 - 23 (16.11.2000)/20</t>
  </si>
  <si>
    <t>80,60</t>
  </si>
  <si>
    <t>125,0</t>
  </si>
  <si>
    <t>100,0</t>
  </si>
  <si>
    <t>1. Чорноус Владимир</t>
  </si>
  <si>
    <t>Ветераны 70 - 74 (15.09.1948)/72</t>
  </si>
  <si>
    <t>89,00</t>
  </si>
  <si>
    <t>120,0</t>
  </si>
  <si>
    <t xml:space="preserve">Захаров Иван </t>
  </si>
  <si>
    <t>1. Черепанов Владимир</t>
  </si>
  <si>
    <t>Юноши 16 - 17 (21.10.2003)/17</t>
  </si>
  <si>
    <t>103,50</t>
  </si>
  <si>
    <t>115,0</t>
  </si>
  <si>
    <t>122,5</t>
  </si>
  <si>
    <t>Чемпионат СНГ
AWPC классичесический пауэрлифтинг
Хабаровск/Хабаровский край 19 декабря 2020 г.</t>
  </si>
  <si>
    <t>ВЕСОВАЯ КАТЕГОРИЯ   56</t>
  </si>
  <si>
    <t>1. Кравцова Ирина</t>
  </si>
  <si>
    <t>Открытая (24.11.1998)/22</t>
  </si>
  <si>
    <t>55,50</t>
  </si>
  <si>
    <t>1. Мазур Альвина</t>
  </si>
  <si>
    <t>Открытая (17.03.1995)/25</t>
  </si>
  <si>
    <t>59,40</t>
  </si>
  <si>
    <t>50,0</t>
  </si>
  <si>
    <t>55,0</t>
  </si>
  <si>
    <t>57,5</t>
  </si>
  <si>
    <t>132,5</t>
  </si>
  <si>
    <t>1. Румянцев Григорий</t>
  </si>
  <si>
    <t>Открытая (14.02.1996)/24</t>
  </si>
  <si>
    <t>74,70</t>
  </si>
  <si>
    <t>110,0</t>
  </si>
  <si>
    <t>117,5</t>
  </si>
  <si>
    <t xml:space="preserve">Камкин Даниил </t>
  </si>
  <si>
    <t>1. Клименков Артем</t>
  </si>
  <si>
    <t>Юноши 16 - 17 (11.08.2004)/16</t>
  </si>
  <si>
    <t>86,60</t>
  </si>
  <si>
    <t>185,0</t>
  </si>
  <si>
    <t>1. Якубович Артем</t>
  </si>
  <si>
    <t>Открытая (28.08.1995)/25</t>
  </si>
  <si>
    <t>88,40</t>
  </si>
  <si>
    <t>187,5</t>
  </si>
  <si>
    <t>1. Микаелян Петр</t>
  </si>
  <si>
    <t>Юниоры 20 - 23 (02.06.2000)/20</t>
  </si>
  <si>
    <t>97,30</t>
  </si>
  <si>
    <t>ВЕСОВАЯ КАТЕГОРИЯ   140</t>
  </si>
  <si>
    <t>1. Сергиенко Сергей</t>
  </si>
  <si>
    <t>Ветераны 60 - 64 (23.07.1956)/64</t>
  </si>
  <si>
    <t>126,30</t>
  </si>
  <si>
    <t xml:space="preserve">Анива/Сахалинская область </t>
  </si>
  <si>
    <t>112,5</t>
  </si>
  <si>
    <t>Чемпионат СНГ
AWPC пауэрлифтинг в однослойной экипировке
Хабаровск/Хабаровский край 19 декабря 2020 г.</t>
  </si>
  <si>
    <t>1. Мароченко Любовь</t>
  </si>
  <si>
    <t>Открытая (11.02.1996)/24</t>
  </si>
  <si>
    <t>92,5</t>
  </si>
  <si>
    <t>172,5</t>
  </si>
  <si>
    <t>Чемпионат СНГ
AWPC жим лежа без экипировки
Хабаровск/Хабаровский край 19 декабря 2020 г.</t>
  </si>
  <si>
    <t>1. Петрова Светлана</t>
  </si>
  <si>
    <t>Девушки 16 - 17 (15.12.2003)/17</t>
  </si>
  <si>
    <t>54,40</t>
  </si>
  <si>
    <t>35,0</t>
  </si>
  <si>
    <t>1. Иноземцева Анастасия</t>
  </si>
  <si>
    <t>Юниорки 20 - 23 (28.04.1997)/23</t>
  </si>
  <si>
    <t>55,10</t>
  </si>
  <si>
    <t>1. Фирсова Екатерина</t>
  </si>
  <si>
    <t>Девушки 16 - 17 (04.03.2003)/17</t>
  </si>
  <si>
    <t>59,30</t>
  </si>
  <si>
    <t>45,0</t>
  </si>
  <si>
    <t>52,5</t>
  </si>
  <si>
    <t xml:space="preserve">Самоделкин </t>
  </si>
  <si>
    <t>-. Кузнецова Ирина</t>
  </si>
  <si>
    <t>Ветераны 40 - 44 (24.12.1978)/41</t>
  </si>
  <si>
    <t>58,90</t>
  </si>
  <si>
    <t>62,5</t>
  </si>
  <si>
    <t>65,0</t>
  </si>
  <si>
    <t>67,5</t>
  </si>
  <si>
    <t xml:space="preserve">Щур </t>
  </si>
  <si>
    <t>1. Тютерева Юлия</t>
  </si>
  <si>
    <t>Открытая (16.06.1980)/40</t>
  </si>
  <si>
    <t>74,10</t>
  </si>
  <si>
    <t>107,5</t>
  </si>
  <si>
    <t>1. Суслова Ксения</t>
  </si>
  <si>
    <t>Открытая (08.06.1993)/27</t>
  </si>
  <si>
    <t>89,30</t>
  </si>
  <si>
    <t>ВЕСОВАЯ КАТЕГОРИЯ   67.5</t>
  </si>
  <si>
    <t>1. Демин Дмитрий</t>
  </si>
  <si>
    <t>Открытая (21.07.1994)/26</t>
  </si>
  <si>
    <t>66,80</t>
  </si>
  <si>
    <t>102,5</t>
  </si>
  <si>
    <t>2. Калашницын Антон</t>
  </si>
  <si>
    <t>Открытая (13.09.1980)/40</t>
  </si>
  <si>
    <t>66,20</t>
  </si>
  <si>
    <t xml:space="preserve">Благовещенка/Алтайский край </t>
  </si>
  <si>
    <t>1. Песцов Дмитрий</t>
  </si>
  <si>
    <t>Юноши 18 - 19 (05.06.2002)/18</t>
  </si>
  <si>
    <t>74,20</t>
  </si>
  <si>
    <t xml:space="preserve">Паско Роман </t>
  </si>
  <si>
    <t>1. Маскалев Артем</t>
  </si>
  <si>
    <t>Открытая (21.07.1995)/25</t>
  </si>
  <si>
    <t>75,00</t>
  </si>
  <si>
    <t>127,5</t>
  </si>
  <si>
    <t>2. Спиридонов Сергей</t>
  </si>
  <si>
    <t>Открытая (11.08.1985)/35</t>
  </si>
  <si>
    <t>72,50</t>
  </si>
  <si>
    <t>1. Еленский Андрей</t>
  </si>
  <si>
    <t>Открытая (29.10.1972)/48</t>
  </si>
  <si>
    <t>80,00</t>
  </si>
  <si>
    <t>137,5</t>
  </si>
  <si>
    <t xml:space="preserve">Самостоятельно </t>
  </si>
  <si>
    <t>2. Глазов Кирилл</t>
  </si>
  <si>
    <t>Открытая (10.04.1992)/28</t>
  </si>
  <si>
    <t>80,30</t>
  </si>
  <si>
    <t>3. Ковганов Александр</t>
  </si>
  <si>
    <t>Открытая (23.12.1994)/25</t>
  </si>
  <si>
    <t>79,00</t>
  </si>
  <si>
    <t xml:space="preserve">Далишнев Илья </t>
  </si>
  <si>
    <t>4. Терехов Алексей</t>
  </si>
  <si>
    <t>Открытая (02.05.1981)/39</t>
  </si>
  <si>
    <t>81,70</t>
  </si>
  <si>
    <t>Ветераны 45 - 49 (29.10.1972)/48</t>
  </si>
  <si>
    <t>1. Крикунов Юрий</t>
  </si>
  <si>
    <t>Ветераны 60 - 64 (25.05.1957)/63</t>
  </si>
  <si>
    <t>76,40</t>
  </si>
  <si>
    <t xml:space="preserve">Владивосток/Приморский край </t>
  </si>
  <si>
    <t xml:space="preserve">Шишков Сергей </t>
  </si>
  <si>
    <t>Открытая (05.10.1997)/23</t>
  </si>
  <si>
    <t>88,80</t>
  </si>
  <si>
    <t xml:space="preserve">Мусиенко Егор </t>
  </si>
  <si>
    <t>2. Стрельников Владимир</t>
  </si>
  <si>
    <t>Открытая (09.10.1974)/46</t>
  </si>
  <si>
    <t>84,40</t>
  </si>
  <si>
    <t>3. Ким Евгений</t>
  </si>
  <si>
    <t>Открытая (23.01.1989)/31</t>
  </si>
  <si>
    <t>86,50</t>
  </si>
  <si>
    <t>152,5</t>
  </si>
  <si>
    <t>157,5</t>
  </si>
  <si>
    <t>4. Егорчев Тимофей</t>
  </si>
  <si>
    <t>Открытая (20.07.1971)/49</t>
  </si>
  <si>
    <t>84,90</t>
  </si>
  <si>
    <t>1. Егорчев Тимофей</t>
  </si>
  <si>
    <t>Ветераны 45 - 49 (20.07.1971)/49</t>
  </si>
  <si>
    <t>1. Кравченко Виталий</t>
  </si>
  <si>
    <t>Открытая (16.05.1982)/38</t>
  </si>
  <si>
    <t>98,10</t>
  </si>
  <si>
    <t xml:space="preserve">Благовещенск/Амурская область </t>
  </si>
  <si>
    <t xml:space="preserve">Тен Вячеслав </t>
  </si>
  <si>
    <t>1. Самоделкин Андрей</t>
  </si>
  <si>
    <t>Открытая (26.01.1974)/46</t>
  </si>
  <si>
    <t>110,00</t>
  </si>
  <si>
    <t>2. Хлонь Алексей</t>
  </si>
  <si>
    <t>Открытая (28.07.1976)/44</t>
  </si>
  <si>
    <t>109,70</t>
  </si>
  <si>
    <t xml:space="preserve">Понуров Валерий </t>
  </si>
  <si>
    <t>3. Вовчинский Сергей</t>
  </si>
  <si>
    <t>Открытая (09.05.1992)/28</t>
  </si>
  <si>
    <t>107,40</t>
  </si>
  <si>
    <t xml:space="preserve">Сергиенко Сергей </t>
  </si>
  <si>
    <t>4. Дорофеев Николай</t>
  </si>
  <si>
    <t>Открытая (04.01.1986)/34</t>
  </si>
  <si>
    <t>109,50</t>
  </si>
  <si>
    <t>147,5</t>
  </si>
  <si>
    <t>1. Хлонь Алексей</t>
  </si>
  <si>
    <t>Ветераны 40 - 44 (28.07.1976)/44</t>
  </si>
  <si>
    <t>Ветераны 45 - 49 (26.01.1974)/46</t>
  </si>
  <si>
    <t>1. Люксин Альберт</t>
  </si>
  <si>
    <t>Открытая (06.05.1971)/49</t>
  </si>
  <si>
    <t>137,90</t>
  </si>
  <si>
    <t xml:space="preserve">Биробиджан/Еврейская автономная область </t>
  </si>
  <si>
    <t>215,0</t>
  </si>
  <si>
    <t>Ветераны 45 - 49 (06.05.1971)/49</t>
  </si>
  <si>
    <t>Чемпионат СНГ
AWPC жим лежа в стандартной софт экипировке
Хабаровск/Хабаровский край 19 декабря 2020 г.</t>
  </si>
  <si>
    <t>ВЕСОВАЯ КАТЕГОРИЯ   52</t>
  </si>
  <si>
    <t>1. Шапошников Кирилл</t>
  </si>
  <si>
    <t>Юниоры 20 - 23 (21.10.1998)/22</t>
  </si>
  <si>
    <t>50,40</t>
  </si>
  <si>
    <t>1. Щур Андрей</t>
  </si>
  <si>
    <t>Открытая (04.06.1973)/47</t>
  </si>
  <si>
    <t>74,90</t>
  </si>
  <si>
    <t>Ветераны 45 - 49 (04.06.1973)/47</t>
  </si>
  <si>
    <t>1. Мустафаев Эльмин</t>
  </si>
  <si>
    <t>Открытая (01.09.1992)/28</t>
  </si>
  <si>
    <t>81,80</t>
  </si>
  <si>
    <t xml:space="preserve">Агабабян </t>
  </si>
  <si>
    <t>1. Жигалин Александр</t>
  </si>
  <si>
    <t>Открытая (09.09.1994)/26</t>
  </si>
  <si>
    <t>87,10</t>
  </si>
  <si>
    <t>1. Посаженников Денис</t>
  </si>
  <si>
    <t>Ветераны 40 - 44 (20.11.1977)/43</t>
  </si>
  <si>
    <t>98,30</t>
  </si>
  <si>
    <t xml:space="preserve">Биробиджан/Еврейская АО </t>
  </si>
  <si>
    <t xml:space="preserve">Колюхов Андрей </t>
  </si>
  <si>
    <t>Чемпионат СНГ
WPC тяга становая без экипировки
Хабаровск/Хабаровский край 19 декабря 2020 г.</t>
  </si>
  <si>
    <t>1. Назимов Роман</t>
  </si>
  <si>
    <t>Открытая (06.03.1991)/29</t>
  </si>
  <si>
    <t>90,00</t>
  </si>
  <si>
    <t>285,0</t>
  </si>
  <si>
    <t>1. Корчагин Дмитрий</t>
  </si>
  <si>
    <t>Ветераны 45 - 49 (14.08.1972)/48</t>
  </si>
  <si>
    <t>96,50</t>
  </si>
  <si>
    <t xml:space="preserve">Комсомольск-на-Амуре/Хабаровский край </t>
  </si>
  <si>
    <t>Чемпионат СНГ
WPC тяга становая в однослойной экипировке
Хабаровск/Хабаровский край 19 декабря 2020 г.</t>
  </si>
  <si>
    <t>Чемпионат СНГ
AWPC тяга становая без экипировки
Хабаровск/Хабаровский край 19 декабря 2020 г.</t>
  </si>
  <si>
    <t>ВЕСОВАЯ КАТЕГОРИЯ   44</t>
  </si>
  <si>
    <t>1. Шумейко Алена</t>
  </si>
  <si>
    <t>Открытая (26.05.1990)/30</t>
  </si>
  <si>
    <t>40,70</t>
  </si>
  <si>
    <t>ВЕСОВАЯ КАТЕГОРИЯ   48</t>
  </si>
  <si>
    <t>1. Терентьева Наталья</t>
  </si>
  <si>
    <t>Открытая (20.09.1985)/35</t>
  </si>
  <si>
    <t>47,90</t>
  </si>
  <si>
    <t>1. Марченко Мария</t>
  </si>
  <si>
    <t>Открытая (25.04.1986)/34</t>
  </si>
  <si>
    <t>51,00</t>
  </si>
  <si>
    <t xml:space="preserve">Попов Иван </t>
  </si>
  <si>
    <t>1. Грибунова Мария</t>
  </si>
  <si>
    <t>Открытая (06.03.1981)/39</t>
  </si>
  <si>
    <t>67,40</t>
  </si>
  <si>
    <t>1. Сошникова Татьяна</t>
  </si>
  <si>
    <t>Открытая (18.06.1987)/33</t>
  </si>
  <si>
    <t>73,70</t>
  </si>
  <si>
    <t>1. Андрияко Данил</t>
  </si>
  <si>
    <t>Юноши 18 - 19 (04.09.2001)/19</t>
  </si>
  <si>
    <t>66,10</t>
  </si>
  <si>
    <t xml:space="preserve">Адер Евгений </t>
  </si>
  <si>
    <t>1. Спиридонов Сергей</t>
  </si>
  <si>
    <t>237,5</t>
  </si>
  <si>
    <t>2. Аврамич Артем</t>
  </si>
  <si>
    <t>Открытая (02.06.1991)/29</t>
  </si>
  <si>
    <t>202,5</t>
  </si>
  <si>
    <t>3. Маскалев Артем</t>
  </si>
  <si>
    <t>69,75</t>
  </si>
  <si>
    <t>1. Штоколов Александр</t>
  </si>
  <si>
    <t>Открытая (22.09.1984)/36</t>
  </si>
  <si>
    <t>1. Колюхов Андрей</t>
  </si>
  <si>
    <t>Ветераны 40 - 44 (25.04.1979)/41</t>
  </si>
  <si>
    <t>82,40</t>
  </si>
  <si>
    <t>212,5</t>
  </si>
  <si>
    <t>1. Брюханов Никита</t>
  </si>
  <si>
    <t>Юноши 13 - 15 (27.04.2006)/14</t>
  </si>
  <si>
    <t xml:space="preserve">Самоделкин Андрей </t>
  </si>
  <si>
    <t>1. Рыбалка Юрий</t>
  </si>
  <si>
    <t>Открытая (27.06.1991)/29</t>
  </si>
  <si>
    <t>Чемпионат СНГ GPC-присед
AGPC raw присед
Хабаровск/Хабаровский край 19 декабря 2020 г.</t>
  </si>
  <si>
    <t>1. Королькова Анна</t>
  </si>
  <si>
    <t>Открытая (07.02.1986)/34</t>
  </si>
  <si>
    <t>45,50</t>
  </si>
  <si>
    <t>1. Спицына Елизавета</t>
  </si>
  <si>
    <t>Открытая (07.03.2000)/20</t>
  </si>
  <si>
    <t>77,90</t>
  </si>
  <si>
    <t>Чемпионат СНГ ПОДА
AWPC жим лежа без экипировки
Хабаровск/Хабаровский край 19 декабря 2020 г.</t>
  </si>
  <si>
    <t>1. Хадаев Кирилл</t>
  </si>
  <si>
    <t>Юноши 16 - 17 (27.11.2003)/17</t>
  </si>
  <si>
    <t>69,80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</si>
</sst>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5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3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28.140625" style="4" bestFit="1" customWidth="1"/>
    <col min="5" max="7" width="5.5703125" style="3" customWidth="1"/>
    <col min="8" max="8" width="4.5703125" style="3" customWidth="1"/>
    <col min="9" max="11" width="5.5703125" style="3" customWidth="1"/>
    <col min="12" max="12" width="4.5703125" style="3" customWidth="1"/>
    <col min="13" max="15" width="5.5703125" style="3" customWidth="1"/>
    <col min="16" max="16" width="4.5703125" style="3" customWidth="1"/>
    <col min="17" max="17" width="7.7109375" style="9" bestFit="1" customWidth="1"/>
    <col min="18" max="18" width="8.5703125" style="2" bestFit="1" customWidth="1"/>
    <col min="19" max="19" width="13.42578125" style="4" bestFit="1" customWidth="1"/>
    <col min="20" max="16384" width="9.140625" style="3"/>
  </cols>
  <sheetData>
    <row r="1" spans="1:19" s="2" customFormat="1" ht="28.9" customHeight="1" x14ac:dyDescent="0.2">
      <c r="A1" s="41" t="s">
        <v>142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45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12" t="s">
        <v>143</v>
      </c>
      <c r="B6" s="12" t="s">
        <v>144</v>
      </c>
      <c r="C6" s="12" t="s">
        <v>145</v>
      </c>
      <c r="D6" s="12" t="s">
        <v>146</v>
      </c>
      <c r="E6" s="14" t="s">
        <v>54</v>
      </c>
      <c r="F6" s="14" t="s">
        <v>55</v>
      </c>
      <c r="G6" s="14" t="s">
        <v>56</v>
      </c>
      <c r="H6" s="13"/>
      <c r="I6" s="14" t="s">
        <v>147</v>
      </c>
      <c r="J6" s="14" t="s">
        <v>71</v>
      </c>
      <c r="K6" s="13" t="s">
        <v>148</v>
      </c>
      <c r="L6" s="13"/>
      <c r="M6" s="14" t="s">
        <v>66</v>
      </c>
      <c r="N6" s="14" t="s">
        <v>81</v>
      </c>
      <c r="O6" s="13" t="s">
        <v>149</v>
      </c>
      <c r="P6" s="13"/>
      <c r="Q6" s="18" t="str">
        <f>"410,0"</f>
        <v>410,0</v>
      </c>
      <c r="R6" s="19" t="str">
        <f>"276,7090"</f>
        <v>276,7090</v>
      </c>
      <c r="S6" s="12" t="s">
        <v>150</v>
      </c>
    </row>
    <row r="7" spans="1:19" x14ac:dyDescent="0.2">
      <c r="A7" s="15" t="s">
        <v>151</v>
      </c>
      <c r="B7" s="15" t="s">
        <v>152</v>
      </c>
      <c r="C7" s="15" t="s">
        <v>153</v>
      </c>
      <c r="D7" s="15" t="s">
        <v>146</v>
      </c>
      <c r="E7" s="17" t="s">
        <v>154</v>
      </c>
      <c r="F7" s="16" t="s">
        <v>154</v>
      </c>
      <c r="G7" s="17" t="s">
        <v>31</v>
      </c>
      <c r="H7" s="17"/>
      <c r="I7" s="17" t="s">
        <v>72</v>
      </c>
      <c r="J7" s="16" t="s">
        <v>72</v>
      </c>
      <c r="K7" s="16" t="s">
        <v>155</v>
      </c>
      <c r="L7" s="17"/>
      <c r="M7" s="16" t="s">
        <v>42</v>
      </c>
      <c r="N7" s="17" t="s">
        <v>70</v>
      </c>
      <c r="O7" s="17"/>
      <c r="P7" s="17"/>
      <c r="Q7" s="20" t="str">
        <f>"395,0"</f>
        <v>395,0</v>
      </c>
      <c r="R7" s="21" t="str">
        <f>"258,5275"</f>
        <v>258,5275</v>
      </c>
      <c r="S7" s="15" t="s">
        <v>21</v>
      </c>
    </row>
    <row r="9" spans="1:19" ht="15" x14ac:dyDescent="0.2">
      <c r="A9" s="42" t="s">
        <v>23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9" x14ac:dyDescent="0.2">
      <c r="A10" s="6" t="s">
        <v>156</v>
      </c>
      <c r="B10" s="6" t="s">
        <v>157</v>
      </c>
      <c r="C10" s="6" t="s">
        <v>158</v>
      </c>
      <c r="D10" s="6" t="s">
        <v>16</v>
      </c>
      <c r="E10" s="8" t="s">
        <v>59</v>
      </c>
      <c r="F10" s="8" t="s">
        <v>59</v>
      </c>
      <c r="G10" s="7" t="s">
        <v>59</v>
      </c>
      <c r="H10" s="8"/>
      <c r="I10" s="7" t="s">
        <v>57</v>
      </c>
      <c r="J10" s="7" t="s">
        <v>59</v>
      </c>
      <c r="K10" s="8" t="s">
        <v>148</v>
      </c>
      <c r="L10" s="8"/>
      <c r="M10" s="7" t="s">
        <v>59</v>
      </c>
      <c r="N10" s="7" t="s">
        <v>155</v>
      </c>
      <c r="O10" s="7" t="s">
        <v>159</v>
      </c>
      <c r="P10" s="8"/>
      <c r="Q10" s="10" t="str">
        <f>"280,0"</f>
        <v>280,0</v>
      </c>
      <c r="R10" s="11" t="str">
        <f>"296,1763"</f>
        <v>296,1763</v>
      </c>
      <c r="S10" s="6" t="s">
        <v>160</v>
      </c>
    </row>
    <row r="12" spans="1:19" ht="15" x14ac:dyDescent="0.2">
      <c r="A12" s="42" t="s">
        <v>75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9" x14ac:dyDescent="0.2">
      <c r="A13" s="6" t="s">
        <v>161</v>
      </c>
      <c r="B13" s="6" t="s">
        <v>162</v>
      </c>
      <c r="C13" s="6" t="s">
        <v>163</v>
      </c>
      <c r="D13" s="6" t="s">
        <v>146</v>
      </c>
      <c r="E13" s="7" t="s">
        <v>56</v>
      </c>
      <c r="F13" s="7" t="s">
        <v>41</v>
      </c>
      <c r="G13" s="7" t="s">
        <v>42</v>
      </c>
      <c r="H13" s="8"/>
      <c r="I13" s="7" t="s">
        <v>164</v>
      </c>
      <c r="J13" s="7" t="s">
        <v>165</v>
      </c>
      <c r="K13" s="8" t="s">
        <v>54</v>
      </c>
      <c r="L13" s="8"/>
      <c r="M13" s="7" t="s">
        <v>54</v>
      </c>
      <c r="N13" s="7" t="s">
        <v>55</v>
      </c>
      <c r="O13" s="7" t="s">
        <v>56</v>
      </c>
      <c r="P13" s="8"/>
      <c r="Q13" s="10" t="str">
        <f>"442,5"</f>
        <v>442,5</v>
      </c>
      <c r="R13" s="11" t="str">
        <f>"253,7959"</f>
        <v>253,7959</v>
      </c>
      <c r="S13" s="6" t="s">
        <v>150</v>
      </c>
    </row>
  </sheetData>
  <mergeCells count="14">
    <mergeCell ref="A1:S2"/>
    <mergeCell ref="A3:A4"/>
    <mergeCell ref="B3:B4"/>
    <mergeCell ref="C3:C4"/>
    <mergeCell ref="D3:D4"/>
    <mergeCell ref="E3:H3"/>
    <mergeCell ref="I3:L3"/>
    <mergeCell ref="M3:P3"/>
    <mergeCell ref="A9:P9"/>
    <mergeCell ref="A12:P12"/>
    <mergeCell ref="Q3:Q4"/>
    <mergeCell ref="R3:R4"/>
    <mergeCell ref="S3:S4"/>
    <mergeCell ref="A5:P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5">
    <pageSetUpPr fitToPage="1"/>
  </sheetPr>
  <dimension ref="A1:S6"/>
  <sheetViews>
    <sheetView workbookViewId="0">
      <selection activeCell="A33" sqref="A33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26.85546875" style="4" bestFit="1" customWidth="1"/>
    <col min="5" max="7" width="5.5703125" style="3" customWidth="1"/>
    <col min="8" max="8" width="4.5703125" style="3" customWidth="1"/>
    <col min="9" max="11" width="5.5703125" style="3" customWidth="1"/>
    <col min="12" max="12" width="4.5703125" style="3" customWidth="1"/>
    <col min="13" max="13" width="5.5703125" style="3" customWidth="1"/>
    <col min="14" max="15" width="2.140625" style="3" customWidth="1"/>
    <col min="16" max="16" width="4.5703125" style="3" customWidth="1"/>
    <col min="17" max="17" width="7.7109375" style="9" bestFit="1" customWidth="1"/>
    <col min="18" max="18" width="6.5703125" style="2" bestFit="1" customWidth="1"/>
    <col min="19" max="19" width="8.28515625" style="4" bestFit="1" customWidth="1"/>
    <col min="20" max="16384" width="9.140625" style="3"/>
  </cols>
  <sheetData>
    <row r="1" spans="1:19" s="2" customFormat="1" ht="28.9" customHeight="1" x14ac:dyDescent="0.2">
      <c r="A1" s="41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6" t="s">
        <v>13</v>
      </c>
      <c r="B6" s="6" t="s">
        <v>14</v>
      </c>
      <c r="C6" s="6" t="s">
        <v>15</v>
      </c>
      <c r="D6" s="6" t="s">
        <v>16</v>
      </c>
      <c r="E6" s="7" t="s">
        <v>17</v>
      </c>
      <c r="F6" s="7" t="s">
        <v>18</v>
      </c>
      <c r="G6" s="8" t="s">
        <v>19</v>
      </c>
      <c r="H6" s="8"/>
      <c r="I6" s="8" t="s">
        <v>20</v>
      </c>
      <c r="J6" s="8" t="s">
        <v>20</v>
      </c>
      <c r="K6" s="8" t="s">
        <v>20</v>
      </c>
      <c r="L6" s="8"/>
      <c r="M6" s="8" t="s">
        <v>17</v>
      </c>
      <c r="N6" s="8"/>
      <c r="O6" s="8"/>
      <c r="P6" s="8"/>
      <c r="Q6" s="10" t="str">
        <f>"0.00"</f>
        <v>0.00</v>
      </c>
      <c r="R6" s="11" t="str">
        <f>"0,0000"</f>
        <v>0,0000</v>
      </c>
      <c r="S6" s="6" t="s">
        <v>21</v>
      </c>
    </row>
  </sheetData>
  <mergeCells count="12">
    <mergeCell ref="A5:P5"/>
    <mergeCell ref="Q3:Q4"/>
    <mergeCell ref="R3:R4"/>
    <mergeCell ref="A1:S2"/>
    <mergeCell ref="E3:H3"/>
    <mergeCell ref="I3:L3"/>
    <mergeCell ref="M3:P3"/>
    <mergeCell ref="A3:A4"/>
    <mergeCell ref="B3:B4"/>
    <mergeCell ref="C3:C4"/>
    <mergeCell ref="S3:S4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9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29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2" customFormat="1" ht="28.9" customHeight="1" x14ac:dyDescent="0.2">
      <c r="A1" s="41" t="s">
        <v>96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10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97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98</v>
      </c>
      <c r="B6" s="6" t="s">
        <v>99</v>
      </c>
      <c r="C6" s="6" t="s">
        <v>100</v>
      </c>
      <c r="D6" s="6" t="s">
        <v>16</v>
      </c>
      <c r="E6" s="7" t="s">
        <v>55</v>
      </c>
      <c r="F6" s="8" t="s">
        <v>33</v>
      </c>
      <c r="G6" s="8" t="s">
        <v>33</v>
      </c>
      <c r="H6" s="8"/>
      <c r="I6" s="10" t="str">
        <f>"140,0"</f>
        <v>140,0</v>
      </c>
      <c r="J6" s="11" t="str">
        <f>"120,9810"</f>
        <v>120,9810</v>
      </c>
      <c r="K6" s="6" t="s">
        <v>21</v>
      </c>
    </row>
    <row r="8" spans="1:11" ht="15" x14ac:dyDescent="0.2">
      <c r="A8" s="42" t="s">
        <v>45</v>
      </c>
      <c r="B8" s="43"/>
      <c r="C8" s="43"/>
      <c r="D8" s="43"/>
      <c r="E8" s="43"/>
      <c r="F8" s="43"/>
      <c r="G8" s="43"/>
      <c r="H8" s="43"/>
    </row>
    <row r="9" spans="1:11" x14ac:dyDescent="0.2">
      <c r="A9" s="12" t="s">
        <v>101</v>
      </c>
      <c r="B9" s="12" t="s">
        <v>102</v>
      </c>
      <c r="C9" s="12" t="s">
        <v>103</v>
      </c>
      <c r="D9" s="12" t="s">
        <v>104</v>
      </c>
      <c r="E9" s="13" t="s">
        <v>56</v>
      </c>
      <c r="F9" s="14" t="s">
        <v>65</v>
      </c>
      <c r="G9" s="14" t="s">
        <v>41</v>
      </c>
      <c r="H9" s="13"/>
      <c r="I9" s="18" t="str">
        <f>"160,0"</f>
        <v>160,0</v>
      </c>
      <c r="J9" s="19" t="str">
        <f>"106,6240"</f>
        <v>106,6240</v>
      </c>
      <c r="K9" s="12" t="s">
        <v>21</v>
      </c>
    </row>
    <row r="10" spans="1:11" x14ac:dyDescent="0.2">
      <c r="A10" s="15" t="s">
        <v>101</v>
      </c>
      <c r="B10" s="15" t="s">
        <v>105</v>
      </c>
      <c r="C10" s="15" t="s">
        <v>103</v>
      </c>
      <c r="D10" s="15" t="s">
        <v>104</v>
      </c>
      <c r="E10" s="17" t="s">
        <v>56</v>
      </c>
      <c r="F10" s="16" t="s">
        <v>65</v>
      </c>
      <c r="G10" s="16" t="s">
        <v>41</v>
      </c>
      <c r="H10" s="17"/>
      <c r="I10" s="20" t="str">
        <f>"160,0"</f>
        <v>160,0</v>
      </c>
      <c r="J10" s="21" t="str">
        <f>"113,8744"</f>
        <v>113,8744</v>
      </c>
      <c r="K10" s="15" t="s">
        <v>21</v>
      </c>
    </row>
    <row r="12" spans="1:11" ht="15" x14ac:dyDescent="0.2">
      <c r="A12" s="42" t="s">
        <v>23</v>
      </c>
      <c r="B12" s="43"/>
      <c r="C12" s="43"/>
      <c r="D12" s="43"/>
      <c r="E12" s="43"/>
      <c r="F12" s="43"/>
      <c r="G12" s="43"/>
      <c r="H12" s="43"/>
    </row>
    <row r="13" spans="1:11" x14ac:dyDescent="0.2">
      <c r="A13" s="12" t="s">
        <v>106</v>
      </c>
      <c r="B13" s="12" t="s">
        <v>107</v>
      </c>
      <c r="C13" s="12" t="s">
        <v>108</v>
      </c>
      <c r="D13" s="12" t="s">
        <v>16</v>
      </c>
      <c r="E13" s="14" t="s">
        <v>92</v>
      </c>
      <c r="F13" s="14" t="s">
        <v>28</v>
      </c>
      <c r="G13" s="13" t="s">
        <v>29</v>
      </c>
      <c r="H13" s="13"/>
      <c r="I13" s="18" t="str">
        <f>"200,0"</f>
        <v>200,0</v>
      </c>
      <c r="J13" s="19" t="str">
        <f>"125,2300"</f>
        <v>125,2300</v>
      </c>
      <c r="K13" s="12" t="s">
        <v>21</v>
      </c>
    </row>
    <row r="14" spans="1:11" x14ac:dyDescent="0.2">
      <c r="A14" s="22" t="s">
        <v>109</v>
      </c>
      <c r="B14" s="22" t="s">
        <v>110</v>
      </c>
      <c r="C14" s="22" t="s">
        <v>111</v>
      </c>
      <c r="D14" s="22" t="s">
        <v>112</v>
      </c>
      <c r="E14" s="24" t="s">
        <v>70</v>
      </c>
      <c r="F14" s="24" t="s">
        <v>92</v>
      </c>
      <c r="G14" s="24" t="s">
        <v>113</v>
      </c>
      <c r="H14" s="23"/>
      <c r="I14" s="25" t="str">
        <f>"195,0"</f>
        <v>195,0</v>
      </c>
      <c r="J14" s="26" t="str">
        <f>"120,3735"</f>
        <v>120,3735</v>
      </c>
      <c r="K14" s="22" t="s">
        <v>21</v>
      </c>
    </row>
    <row r="15" spans="1:11" x14ac:dyDescent="0.2">
      <c r="A15" s="15" t="s">
        <v>114</v>
      </c>
      <c r="B15" s="15" t="s">
        <v>115</v>
      </c>
      <c r="C15" s="15" t="s">
        <v>111</v>
      </c>
      <c r="D15" s="15" t="s">
        <v>112</v>
      </c>
      <c r="E15" s="16" t="s">
        <v>70</v>
      </c>
      <c r="F15" s="16" t="s">
        <v>92</v>
      </c>
      <c r="G15" s="16" t="s">
        <v>113</v>
      </c>
      <c r="H15" s="17"/>
      <c r="I15" s="20" t="str">
        <f>"195,0"</f>
        <v>195,0</v>
      </c>
      <c r="J15" s="21" t="str">
        <f>"120,3735"</f>
        <v>120,3735</v>
      </c>
      <c r="K15" s="15" t="s">
        <v>21</v>
      </c>
    </row>
    <row r="17" spans="1:11" ht="15" x14ac:dyDescent="0.2">
      <c r="A17" s="42" t="s">
        <v>75</v>
      </c>
      <c r="B17" s="43"/>
      <c r="C17" s="43"/>
      <c r="D17" s="43"/>
      <c r="E17" s="43"/>
      <c r="F17" s="43"/>
      <c r="G17" s="43"/>
      <c r="H17" s="43"/>
    </row>
    <row r="18" spans="1:11" x14ac:dyDescent="0.2">
      <c r="A18" s="12" t="s">
        <v>116</v>
      </c>
      <c r="B18" s="12" t="s">
        <v>117</v>
      </c>
      <c r="C18" s="12" t="s">
        <v>118</v>
      </c>
      <c r="D18" s="12" t="s">
        <v>16</v>
      </c>
      <c r="E18" s="14" t="s">
        <v>30</v>
      </c>
      <c r="F18" s="14" t="s">
        <v>119</v>
      </c>
      <c r="G18" s="13" t="s">
        <v>120</v>
      </c>
      <c r="H18" s="13"/>
      <c r="I18" s="18" t="str">
        <f>"227,5"</f>
        <v>227,5</v>
      </c>
      <c r="J18" s="19" t="str">
        <f>"128,7878"</f>
        <v>128,7878</v>
      </c>
      <c r="K18" s="12" t="s">
        <v>21</v>
      </c>
    </row>
    <row r="19" spans="1:11" x14ac:dyDescent="0.2">
      <c r="A19" s="15" t="s">
        <v>116</v>
      </c>
      <c r="B19" s="15" t="s">
        <v>121</v>
      </c>
      <c r="C19" s="15" t="s">
        <v>118</v>
      </c>
      <c r="D19" s="15" t="s">
        <v>16</v>
      </c>
      <c r="E19" s="16" t="s">
        <v>30</v>
      </c>
      <c r="F19" s="16" t="s">
        <v>119</v>
      </c>
      <c r="G19" s="17" t="s">
        <v>120</v>
      </c>
      <c r="H19" s="17"/>
      <c r="I19" s="20" t="str">
        <f>"227,5"</f>
        <v>227,5</v>
      </c>
      <c r="J19" s="21" t="str">
        <f>"128,7878"</f>
        <v>128,7878</v>
      </c>
      <c r="K19" s="15" t="s">
        <v>21</v>
      </c>
    </row>
  </sheetData>
  <mergeCells count="13">
    <mergeCell ref="K3:K4"/>
    <mergeCell ref="A5:H5"/>
    <mergeCell ref="A1:K2"/>
    <mergeCell ref="A3:A4"/>
    <mergeCell ref="B3:B4"/>
    <mergeCell ref="C3:C4"/>
    <mergeCell ref="D3:D4"/>
    <mergeCell ref="E3:H3"/>
    <mergeCell ref="A8:H8"/>
    <mergeCell ref="A12:H12"/>
    <mergeCell ref="A17:H17"/>
    <mergeCell ref="I3:I4"/>
    <mergeCell ref="J3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38.4257812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2" customFormat="1" ht="28.9" customHeight="1" x14ac:dyDescent="0.2">
      <c r="A1" s="41" t="s">
        <v>341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11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23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342</v>
      </c>
      <c r="B6" s="6" t="s">
        <v>343</v>
      </c>
      <c r="C6" s="6" t="s">
        <v>344</v>
      </c>
      <c r="D6" s="6" t="s">
        <v>16</v>
      </c>
      <c r="E6" s="7" t="s">
        <v>20</v>
      </c>
      <c r="F6" s="7" t="s">
        <v>345</v>
      </c>
      <c r="G6" s="8" t="s">
        <v>82</v>
      </c>
      <c r="H6" s="8"/>
      <c r="I6" s="10" t="str">
        <f>"285,0"</f>
        <v>285,0</v>
      </c>
      <c r="J6" s="11" t="str">
        <f>"174,3773"</f>
        <v>174,3773</v>
      </c>
      <c r="K6" s="6" t="s">
        <v>21</v>
      </c>
    </row>
    <row r="8" spans="1:11" ht="15" x14ac:dyDescent="0.2">
      <c r="A8" s="42" t="s">
        <v>12</v>
      </c>
      <c r="B8" s="43"/>
      <c r="C8" s="43"/>
      <c r="D8" s="43"/>
      <c r="E8" s="43"/>
      <c r="F8" s="43"/>
      <c r="G8" s="43"/>
      <c r="H8" s="43"/>
    </row>
    <row r="9" spans="1:11" x14ac:dyDescent="0.2">
      <c r="A9" s="6" t="s">
        <v>346</v>
      </c>
      <c r="B9" s="6" t="s">
        <v>347</v>
      </c>
      <c r="C9" s="6" t="s">
        <v>348</v>
      </c>
      <c r="D9" s="6" t="s">
        <v>349</v>
      </c>
      <c r="E9" s="8" t="s">
        <v>20</v>
      </c>
      <c r="F9" s="7" t="s">
        <v>20</v>
      </c>
      <c r="G9" s="8" t="s">
        <v>19</v>
      </c>
      <c r="H9" s="8"/>
      <c r="I9" s="10" t="str">
        <f>"270,0"</f>
        <v>270,0</v>
      </c>
      <c r="J9" s="11" t="str">
        <f>"174,9002"</f>
        <v>174,9002</v>
      </c>
      <c r="K9" s="6" t="s">
        <v>21</v>
      </c>
    </row>
  </sheetData>
  <mergeCells count="11">
    <mergeCell ref="A1:K2"/>
    <mergeCell ref="A3:A4"/>
    <mergeCell ref="B3:B4"/>
    <mergeCell ref="C3:C4"/>
    <mergeCell ref="D3:D4"/>
    <mergeCell ref="E3:H3"/>
    <mergeCell ref="A8:H8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30.5703125" style="4" bestFit="1" customWidth="1"/>
    <col min="5" max="6" width="5.5703125" style="3" customWidth="1"/>
    <col min="7" max="7" width="2.1406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2" customFormat="1" ht="28.9" customHeight="1" x14ac:dyDescent="0.2">
      <c r="A1" s="41" t="s">
        <v>350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11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124</v>
      </c>
      <c r="B5" s="40"/>
      <c r="C5" s="40"/>
      <c r="D5" s="40"/>
      <c r="E5" s="40"/>
      <c r="F5" s="40"/>
      <c r="G5" s="40"/>
      <c r="H5" s="40"/>
    </row>
    <row r="6" spans="1:11" x14ac:dyDescent="0.2">
      <c r="A6" s="12" t="s">
        <v>125</v>
      </c>
      <c r="B6" s="12" t="s">
        <v>126</v>
      </c>
      <c r="C6" s="12" t="s">
        <v>127</v>
      </c>
      <c r="D6" s="12" t="s">
        <v>89</v>
      </c>
      <c r="E6" s="14" t="s">
        <v>66</v>
      </c>
      <c r="F6" s="14" t="s">
        <v>81</v>
      </c>
      <c r="G6" s="13"/>
      <c r="H6" s="13"/>
      <c r="I6" s="18" t="str">
        <f>"175,0"</f>
        <v>175,0</v>
      </c>
      <c r="J6" s="19" t="str">
        <f>"122,4563"</f>
        <v>122,4563</v>
      </c>
      <c r="K6" s="12" t="s">
        <v>21</v>
      </c>
    </row>
    <row r="7" spans="1:11" x14ac:dyDescent="0.2">
      <c r="A7" s="15" t="s">
        <v>125</v>
      </c>
      <c r="B7" s="15" t="s">
        <v>128</v>
      </c>
      <c r="C7" s="15" t="s">
        <v>127</v>
      </c>
      <c r="D7" s="15" t="s">
        <v>89</v>
      </c>
      <c r="E7" s="16" t="s">
        <v>66</v>
      </c>
      <c r="F7" s="16" t="s">
        <v>81</v>
      </c>
      <c r="G7" s="17"/>
      <c r="H7" s="17"/>
      <c r="I7" s="20" t="str">
        <f>"175,0"</f>
        <v>175,0</v>
      </c>
      <c r="J7" s="21" t="str">
        <f>"152,5805"</f>
        <v>152,5805</v>
      </c>
      <c r="K7" s="15" t="s">
        <v>21</v>
      </c>
    </row>
  </sheetData>
  <mergeCells count="10"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9"/>
  <sheetViews>
    <sheetView topLeftCell="A2"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30.570312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12.140625" style="4" bestFit="1" customWidth="1"/>
    <col min="12" max="16384" width="9.140625" style="3"/>
  </cols>
  <sheetData>
    <row r="1" spans="1:11" s="2" customFormat="1" ht="28.9" customHeight="1" x14ac:dyDescent="0.2">
      <c r="A1" s="41" t="s">
        <v>123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10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124</v>
      </c>
      <c r="B5" s="40"/>
      <c r="C5" s="40"/>
      <c r="D5" s="40"/>
      <c r="E5" s="40"/>
      <c r="F5" s="40"/>
      <c r="G5" s="40"/>
      <c r="H5" s="40"/>
    </row>
    <row r="6" spans="1:11" x14ac:dyDescent="0.2">
      <c r="A6" s="12" t="s">
        <v>125</v>
      </c>
      <c r="B6" s="12" t="s">
        <v>126</v>
      </c>
      <c r="C6" s="12" t="s">
        <v>127</v>
      </c>
      <c r="D6" s="12" t="s">
        <v>89</v>
      </c>
      <c r="E6" s="13" t="s">
        <v>66</v>
      </c>
      <c r="F6" s="13" t="s">
        <v>66</v>
      </c>
      <c r="G6" s="14" t="s">
        <v>66</v>
      </c>
      <c r="H6" s="13"/>
      <c r="I6" s="18" t="str">
        <f>"165,0"</f>
        <v>165,0</v>
      </c>
      <c r="J6" s="19" t="str">
        <f>"115,4588"</f>
        <v>115,4588</v>
      </c>
      <c r="K6" s="12" t="s">
        <v>21</v>
      </c>
    </row>
    <row r="7" spans="1:11" x14ac:dyDescent="0.2">
      <c r="A7" s="15" t="s">
        <v>125</v>
      </c>
      <c r="B7" s="15" t="s">
        <v>128</v>
      </c>
      <c r="C7" s="15" t="s">
        <v>127</v>
      </c>
      <c r="D7" s="15" t="s">
        <v>89</v>
      </c>
      <c r="E7" s="17" t="s">
        <v>66</v>
      </c>
      <c r="F7" s="17" t="s">
        <v>66</v>
      </c>
      <c r="G7" s="16" t="s">
        <v>66</v>
      </c>
      <c r="H7" s="17"/>
      <c r="I7" s="20" t="str">
        <f>"165,0"</f>
        <v>165,0</v>
      </c>
      <c r="J7" s="21" t="str">
        <f>"143,8616"</f>
        <v>143,8616</v>
      </c>
      <c r="K7" s="15" t="s">
        <v>21</v>
      </c>
    </row>
    <row r="9" spans="1:11" ht="15" x14ac:dyDescent="0.2">
      <c r="A9" s="42" t="s">
        <v>23</v>
      </c>
      <c r="B9" s="43"/>
      <c r="C9" s="43"/>
      <c r="D9" s="43"/>
      <c r="E9" s="43"/>
      <c r="F9" s="43"/>
      <c r="G9" s="43"/>
      <c r="H9" s="43"/>
    </row>
    <row r="10" spans="1:11" x14ac:dyDescent="0.2">
      <c r="A10" s="6" t="s">
        <v>129</v>
      </c>
      <c r="B10" s="6" t="s">
        <v>130</v>
      </c>
      <c r="C10" s="6" t="s">
        <v>131</v>
      </c>
      <c r="D10" s="6" t="s">
        <v>16</v>
      </c>
      <c r="E10" s="8" t="s">
        <v>132</v>
      </c>
      <c r="F10" s="7" t="s">
        <v>132</v>
      </c>
      <c r="G10" s="8" t="s">
        <v>133</v>
      </c>
      <c r="H10" s="8"/>
      <c r="I10" s="10" t="str">
        <f>"292,5"</f>
        <v>292,5</v>
      </c>
      <c r="J10" s="11" t="str">
        <f>"179,1855"</f>
        <v>179,1855</v>
      </c>
      <c r="K10" s="6" t="s">
        <v>134</v>
      </c>
    </row>
    <row r="12" spans="1:11" ht="15" x14ac:dyDescent="0.2">
      <c r="A12" s="42" t="s">
        <v>12</v>
      </c>
      <c r="B12" s="43"/>
      <c r="C12" s="43"/>
      <c r="D12" s="43"/>
      <c r="E12" s="43"/>
      <c r="F12" s="43"/>
      <c r="G12" s="43"/>
      <c r="H12" s="43"/>
    </row>
    <row r="13" spans="1:11" x14ac:dyDescent="0.2">
      <c r="A13" s="6" t="s">
        <v>135</v>
      </c>
      <c r="B13" s="6" t="s">
        <v>14</v>
      </c>
      <c r="C13" s="6" t="s">
        <v>15</v>
      </c>
      <c r="D13" s="6" t="s">
        <v>16</v>
      </c>
      <c r="E13" s="7" t="s">
        <v>17</v>
      </c>
      <c r="F13" s="8" t="s">
        <v>20</v>
      </c>
      <c r="G13" s="8" t="s">
        <v>20</v>
      </c>
      <c r="H13" s="8"/>
      <c r="I13" s="10" t="str">
        <f>"250,0"</f>
        <v>250,0</v>
      </c>
      <c r="J13" s="11" t="str">
        <f>"145,8250"</f>
        <v>145,8250</v>
      </c>
      <c r="K13" s="6" t="s">
        <v>21</v>
      </c>
    </row>
    <row r="15" spans="1:11" ht="15" x14ac:dyDescent="0.2">
      <c r="A15" s="42" t="s">
        <v>75</v>
      </c>
      <c r="B15" s="43"/>
      <c r="C15" s="43"/>
      <c r="D15" s="43"/>
      <c r="E15" s="43"/>
      <c r="F15" s="43"/>
      <c r="G15" s="43"/>
      <c r="H15" s="43"/>
    </row>
    <row r="16" spans="1:11" x14ac:dyDescent="0.2">
      <c r="A16" s="6" t="s">
        <v>136</v>
      </c>
      <c r="B16" s="6" t="s">
        <v>137</v>
      </c>
      <c r="C16" s="6" t="s">
        <v>138</v>
      </c>
      <c r="D16" s="6" t="s">
        <v>16</v>
      </c>
      <c r="E16" s="8" t="s">
        <v>19</v>
      </c>
      <c r="F16" s="7" t="s">
        <v>19</v>
      </c>
      <c r="G16" s="7" t="s">
        <v>82</v>
      </c>
      <c r="H16" s="8"/>
      <c r="I16" s="10" t="str">
        <f>"300,0"</f>
        <v>300,0</v>
      </c>
      <c r="J16" s="11" t="str">
        <f>"170,7000"</f>
        <v>170,7000</v>
      </c>
      <c r="K16" s="6" t="s">
        <v>21</v>
      </c>
    </row>
    <row r="18" spans="1:11" ht="15" x14ac:dyDescent="0.2">
      <c r="A18" s="42" t="s">
        <v>85</v>
      </c>
      <c r="B18" s="43"/>
      <c r="C18" s="43"/>
      <c r="D18" s="43"/>
      <c r="E18" s="43"/>
      <c r="F18" s="43"/>
      <c r="G18" s="43"/>
      <c r="H18" s="43"/>
    </row>
    <row r="19" spans="1:11" x14ac:dyDescent="0.2">
      <c r="A19" s="6" t="s">
        <v>139</v>
      </c>
      <c r="B19" s="6" t="s">
        <v>140</v>
      </c>
      <c r="C19" s="6" t="s">
        <v>141</v>
      </c>
      <c r="D19" s="6" t="s">
        <v>16</v>
      </c>
      <c r="E19" s="7" t="s">
        <v>70</v>
      </c>
      <c r="F19" s="7" t="s">
        <v>28</v>
      </c>
      <c r="G19" s="7" t="s">
        <v>30</v>
      </c>
      <c r="H19" s="8"/>
      <c r="I19" s="10" t="str">
        <f>"220,0"</f>
        <v>220,0</v>
      </c>
      <c r="J19" s="11" t="str">
        <f>"121,3080"</f>
        <v>121,3080</v>
      </c>
      <c r="K19" s="6" t="s">
        <v>21</v>
      </c>
    </row>
  </sheetData>
  <mergeCells count="14">
    <mergeCell ref="J3:J4"/>
    <mergeCell ref="K3:K4"/>
    <mergeCell ref="A5:H5"/>
    <mergeCell ref="A1:K2"/>
    <mergeCell ref="A3:A4"/>
    <mergeCell ref="B3:B4"/>
    <mergeCell ref="C3:C4"/>
    <mergeCell ref="D3:D4"/>
    <mergeCell ref="E3:H3"/>
    <mergeCell ref="A9:H9"/>
    <mergeCell ref="A12:H12"/>
    <mergeCell ref="A15:H15"/>
    <mergeCell ref="A18:H18"/>
    <mergeCell ref="I3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26.8554687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2" customFormat="1" ht="28.9" customHeight="1" x14ac:dyDescent="0.2">
      <c r="A1" s="41" t="s">
        <v>392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356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393</v>
      </c>
      <c r="B6" s="6" t="s">
        <v>394</v>
      </c>
      <c r="C6" s="6" t="s">
        <v>395</v>
      </c>
      <c r="D6" s="6" t="s">
        <v>16</v>
      </c>
      <c r="E6" s="8" t="s">
        <v>57</v>
      </c>
      <c r="F6" s="7" t="s">
        <v>57</v>
      </c>
      <c r="G6" s="7" t="s">
        <v>58</v>
      </c>
      <c r="H6" s="8"/>
      <c r="I6" s="10" t="str">
        <f>"75,0"</f>
        <v>75,0</v>
      </c>
      <c r="J6" s="11" t="str">
        <f>"187,5000"</f>
        <v>187,5000</v>
      </c>
      <c r="K6" s="6" t="s">
        <v>21</v>
      </c>
    </row>
    <row r="8" spans="1:11" ht="15" x14ac:dyDescent="0.2">
      <c r="A8" s="42" t="s">
        <v>124</v>
      </c>
      <c r="B8" s="43"/>
      <c r="C8" s="43"/>
      <c r="D8" s="43"/>
      <c r="E8" s="43"/>
      <c r="F8" s="43"/>
      <c r="G8" s="43"/>
      <c r="H8" s="43"/>
    </row>
    <row r="9" spans="1:11" x14ac:dyDescent="0.2">
      <c r="A9" s="6" t="s">
        <v>367</v>
      </c>
      <c r="B9" s="6" t="s">
        <v>368</v>
      </c>
      <c r="C9" s="6" t="s">
        <v>369</v>
      </c>
      <c r="D9" s="6" t="s">
        <v>16</v>
      </c>
      <c r="E9" s="7" t="s">
        <v>154</v>
      </c>
      <c r="F9" s="7" t="s">
        <v>31</v>
      </c>
      <c r="G9" s="8"/>
      <c r="H9" s="8"/>
      <c r="I9" s="10" t="str">
        <f>"135,0"</f>
        <v>135,0</v>
      </c>
      <c r="J9" s="11" t="str">
        <f>"210,4110"</f>
        <v>210,4110</v>
      </c>
      <c r="K9" s="6" t="s">
        <v>21</v>
      </c>
    </row>
    <row r="11" spans="1:11" ht="15" x14ac:dyDescent="0.2">
      <c r="A11" s="42" t="s">
        <v>45</v>
      </c>
      <c r="B11" s="43"/>
      <c r="C11" s="43"/>
      <c r="D11" s="43"/>
      <c r="E11" s="43"/>
      <c r="F11" s="43"/>
      <c r="G11" s="43"/>
      <c r="H11" s="43"/>
    </row>
    <row r="12" spans="1:11" x14ac:dyDescent="0.2">
      <c r="A12" s="6" t="s">
        <v>396</v>
      </c>
      <c r="B12" s="6" t="s">
        <v>397</v>
      </c>
      <c r="C12" s="6" t="s">
        <v>398</v>
      </c>
      <c r="D12" s="6" t="s">
        <v>16</v>
      </c>
      <c r="E12" s="7" t="s">
        <v>181</v>
      </c>
      <c r="F12" s="8" t="s">
        <v>54</v>
      </c>
      <c r="G12" s="8" t="s">
        <v>54</v>
      </c>
      <c r="H12" s="8"/>
      <c r="I12" s="10" t="str">
        <f>"110,0"</f>
        <v>110,0</v>
      </c>
      <c r="J12" s="11" t="str">
        <f>"166,7380"</f>
        <v>166,7380</v>
      </c>
      <c r="K12" s="6" t="s">
        <v>21</v>
      </c>
    </row>
  </sheetData>
  <mergeCells count="12">
    <mergeCell ref="A1:K2"/>
    <mergeCell ref="A3:A4"/>
    <mergeCell ref="B3:B4"/>
    <mergeCell ref="C3:C4"/>
    <mergeCell ref="D3:D4"/>
    <mergeCell ref="E3:H3"/>
    <mergeCell ref="A8:H8"/>
    <mergeCell ref="A11:H11"/>
    <mergeCell ref="I3:I4"/>
    <mergeCell ref="J3:J4"/>
    <mergeCell ref="K3:K4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2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28.140625" style="4" bestFit="1" customWidth="1"/>
    <col min="5" max="7" width="5.5703125" style="3" customWidth="1"/>
    <col min="8" max="8" width="4.5703125" style="3" customWidth="1"/>
    <col min="9" max="11" width="5.5703125" style="3" customWidth="1"/>
    <col min="12" max="12" width="4.5703125" style="3" customWidth="1"/>
    <col min="13" max="15" width="5.5703125" style="3" customWidth="1"/>
    <col min="16" max="16" width="4.5703125" style="3" customWidth="1"/>
    <col min="17" max="17" width="7.7109375" style="9" bestFit="1" customWidth="1"/>
    <col min="18" max="18" width="8.5703125" style="2" bestFit="1" customWidth="1"/>
    <col min="19" max="19" width="19.7109375" style="4" bestFit="1" customWidth="1"/>
    <col min="20" max="16384" width="9.140625" style="3"/>
  </cols>
  <sheetData>
    <row r="1" spans="1:19" s="2" customFormat="1" ht="28.9" customHeight="1" x14ac:dyDescent="0.2">
      <c r="A1" s="41" t="s">
        <v>166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167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6" t="s">
        <v>168</v>
      </c>
      <c r="B6" s="6" t="s">
        <v>169</v>
      </c>
      <c r="C6" s="6" t="s">
        <v>170</v>
      </c>
      <c r="D6" s="6" t="s">
        <v>16</v>
      </c>
      <c r="E6" s="7" t="s">
        <v>41</v>
      </c>
      <c r="F6" s="7" t="s">
        <v>66</v>
      </c>
      <c r="G6" s="7" t="s">
        <v>42</v>
      </c>
      <c r="H6" s="8"/>
      <c r="I6" s="7" t="s">
        <v>58</v>
      </c>
      <c r="J6" s="7" t="s">
        <v>59</v>
      </c>
      <c r="K6" s="7" t="s">
        <v>71</v>
      </c>
      <c r="L6" s="8"/>
      <c r="M6" s="7" t="s">
        <v>54</v>
      </c>
      <c r="N6" s="7" t="s">
        <v>55</v>
      </c>
      <c r="O6" s="7" t="s">
        <v>33</v>
      </c>
      <c r="P6" s="8"/>
      <c r="Q6" s="10" t="str">
        <f>"400,0"</f>
        <v>400,0</v>
      </c>
      <c r="R6" s="11" t="str">
        <f>"420,5600"</f>
        <v>420,5600</v>
      </c>
      <c r="S6" s="6" t="s">
        <v>21</v>
      </c>
    </row>
    <row r="8" spans="1:19" ht="15" x14ac:dyDescent="0.2">
      <c r="A8" s="42" t="s">
        <v>97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9" x14ac:dyDescent="0.2">
      <c r="A9" s="6" t="s">
        <v>171</v>
      </c>
      <c r="B9" s="6" t="s">
        <v>172</v>
      </c>
      <c r="C9" s="6" t="s">
        <v>173</v>
      </c>
      <c r="D9" s="6" t="s">
        <v>16</v>
      </c>
      <c r="E9" s="8" t="s">
        <v>154</v>
      </c>
      <c r="F9" s="8" t="s">
        <v>154</v>
      </c>
      <c r="G9" s="7" t="s">
        <v>154</v>
      </c>
      <c r="H9" s="8"/>
      <c r="I9" s="7" t="s">
        <v>174</v>
      </c>
      <c r="J9" s="7" t="s">
        <v>175</v>
      </c>
      <c r="K9" s="7" t="s">
        <v>176</v>
      </c>
      <c r="L9" s="8"/>
      <c r="M9" s="7" t="s">
        <v>164</v>
      </c>
      <c r="N9" s="7" t="s">
        <v>54</v>
      </c>
      <c r="O9" s="8" t="s">
        <v>177</v>
      </c>
      <c r="P9" s="8"/>
      <c r="Q9" s="10" t="str">
        <f>"312,5"</f>
        <v>312,5</v>
      </c>
      <c r="R9" s="11" t="str">
        <f>"311,1250"</f>
        <v>311,1250</v>
      </c>
      <c r="S9" s="6" t="s">
        <v>21</v>
      </c>
    </row>
    <row r="11" spans="1:19" ht="15" x14ac:dyDescent="0.2">
      <c r="A11" s="42" t="s">
        <v>124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9" x14ac:dyDescent="0.2">
      <c r="A12" s="6" t="s">
        <v>178</v>
      </c>
      <c r="B12" s="6" t="s">
        <v>179</v>
      </c>
      <c r="C12" s="6" t="s">
        <v>180</v>
      </c>
      <c r="D12" s="6" t="s">
        <v>16</v>
      </c>
      <c r="E12" s="8" t="s">
        <v>42</v>
      </c>
      <c r="F12" s="7" t="s">
        <v>42</v>
      </c>
      <c r="G12" s="8" t="s">
        <v>92</v>
      </c>
      <c r="H12" s="8"/>
      <c r="I12" s="7" t="s">
        <v>181</v>
      </c>
      <c r="J12" s="8" t="s">
        <v>182</v>
      </c>
      <c r="K12" s="8" t="s">
        <v>182</v>
      </c>
      <c r="L12" s="8"/>
      <c r="M12" s="7" t="s">
        <v>81</v>
      </c>
      <c r="N12" s="7" t="s">
        <v>92</v>
      </c>
      <c r="O12" s="7" t="s">
        <v>28</v>
      </c>
      <c r="P12" s="8"/>
      <c r="Q12" s="10" t="str">
        <f>"480,0"</f>
        <v>480,0</v>
      </c>
      <c r="R12" s="11" t="str">
        <f>"331,4880"</f>
        <v>331,4880</v>
      </c>
      <c r="S12" s="6" t="s">
        <v>183</v>
      </c>
    </row>
    <row r="14" spans="1:19" ht="15" x14ac:dyDescent="0.2">
      <c r="A14" s="42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9" x14ac:dyDescent="0.2">
      <c r="A15" s="12" t="s">
        <v>184</v>
      </c>
      <c r="B15" s="12" t="s">
        <v>185</v>
      </c>
      <c r="C15" s="12" t="s">
        <v>186</v>
      </c>
      <c r="D15" s="12" t="s">
        <v>146</v>
      </c>
      <c r="E15" s="14" t="s">
        <v>42</v>
      </c>
      <c r="F15" s="13" t="s">
        <v>70</v>
      </c>
      <c r="G15" s="13" t="s">
        <v>70</v>
      </c>
      <c r="H15" s="13"/>
      <c r="I15" s="14" t="s">
        <v>181</v>
      </c>
      <c r="J15" s="13" t="s">
        <v>164</v>
      </c>
      <c r="K15" s="13" t="s">
        <v>164</v>
      </c>
      <c r="L15" s="13"/>
      <c r="M15" s="14" t="s">
        <v>81</v>
      </c>
      <c r="N15" s="14" t="s">
        <v>187</v>
      </c>
      <c r="O15" s="14" t="s">
        <v>92</v>
      </c>
      <c r="P15" s="13"/>
      <c r="Q15" s="18" t="str">
        <f>"470,0"</f>
        <v>470,0</v>
      </c>
      <c r="R15" s="19" t="str">
        <f>"293,9850"</f>
        <v>293,9850</v>
      </c>
      <c r="S15" s="12" t="s">
        <v>150</v>
      </c>
    </row>
    <row r="16" spans="1:19" x14ac:dyDescent="0.2">
      <c r="A16" s="15" t="s">
        <v>188</v>
      </c>
      <c r="B16" s="15" t="s">
        <v>189</v>
      </c>
      <c r="C16" s="15" t="s">
        <v>190</v>
      </c>
      <c r="D16" s="15" t="s">
        <v>16</v>
      </c>
      <c r="E16" s="16" t="s">
        <v>42</v>
      </c>
      <c r="F16" s="17" t="s">
        <v>92</v>
      </c>
      <c r="G16" s="17" t="s">
        <v>92</v>
      </c>
      <c r="H16" s="17"/>
      <c r="I16" s="16" t="s">
        <v>73</v>
      </c>
      <c r="J16" s="17" t="s">
        <v>164</v>
      </c>
      <c r="K16" s="17" t="s">
        <v>164</v>
      </c>
      <c r="L16" s="17"/>
      <c r="M16" s="16" t="s">
        <v>41</v>
      </c>
      <c r="N16" s="16" t="s">
        <v>70</v>
      </c>
      <c r="O16" s="17" t="s">
        <v>191</v>
      </c>
      <c r="P16" s="17"/>
      <c r="Q16" s="20" t="str">
        <f>"455,0"</f>
        <v>455,0</v>
      </c>
      <c r="R16" s="21" t="str">
        <f>"281,2355"</f>
        <v>281,2355</v>
      </c>
      <c r="S16" s="15" t="s">
        <v>74</v>
      </c>
    </row>
    <row r="18" spans="1:19" ht="15" x14ac:dyDescent="0.2">
      <c r="A18" s="42" t="s">
        <v>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9" x14ac:dyDescent="0.2">
      <c r="A19" s="6" t="s">
        <v>192</v>
      </c>
      <c r="B19" s="6" t="s">
        <v>193</v>
      </c>
      <c r="C19" s="6" t="s">
        <v>194</v>
      </c>
      <c r="D19" s="6" t="s">
        <v>16</v>
      </c>
      <c r="E19" s="7" t="s">
        <v>92</v>
      </c>
      <c r="F19" s="7" t="s">
        <v>28</v>
      </c>
      <c r="G19" s="7" t="s">
        <v>93</v>
      </c>
      <c r="H19" s="8"/>
      <c r="I19" s="7" t="s">
        <v>31</v>
      </c>
      <c r="J19" s="7" t="s">
        <v>55</v>
      </c>
      <c r="K19" s="8" t="s">
        <v>33</v>
      </c>
      <c r="L19" s="8"/>
      <c r="M19" s="7" t="s">
        <v>29</v>
      </c>
      <c r="N19" s="7" t="s">
        <v>30</v>
      </c>
      <c r="O19" s="7" t="s">
        <v>63</v>
      </c>
      <c r="P19" s="8"/>
      <c r="Q19" s="10" t="str">
        <f>"575,0"</f>
        <v>575,0</v>
      </c>
      <c r="R19" s="11" t="str">
        <f>"338,2437"</f>
        <v>338,2437</v>
      </c>
      <c r="S19" s="6" t="s">
        <v>21</v>
      </c>
    </row>
    <row r="21" spans="1:19" ht="15" x14ac:dyDescent="0.2">
      <c r="A21" s="42" t="s">
        <v>195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9" x14ac:dyDescent="0.2">
      <c r="A22" s="6" t="s">
        <v>196</v>
      </c>
      <c r="B22" s="6" t="s">
        <v>197</v>
      </c>
      <c r="C22" s="6" t="s">
        <v>198</v>
      </c>
      <c r="D22" s="6" t="s">
        <v>199</v>
      </c>
      <c r="E22" s="7" t="s">
        <v>81</v>
      </c>
      <c r="F22" s="7" t="s">
        <v>92</v>
      </c>
      <c r="G22" s="7" t="s">
        <v>28</v>
      </c>
      <c r="H22" s="8"/>
      <c r="I22" s="7" t="s">
        <v>73</v>
      </c>
      <c r="J22" s="8" t="s">
        <v>200</v>
      </c>
      <c r="K22" s="7" t="s">
        <v>159</v>
      </c>
      <c r="L22" s="8"/>
      <c r="M22" s="7" t="s">
        <v>92</v>
      </c>
      <c r="N22" s="7" t="s">
        <v>28</v>
      </c>
      <c r="O22" s="7" t="s">
        <v>29</v>
      </c>
      <c r="P22" s="8"/>
      <c r="Q22" s="10" t="str">
        <f>"530,0"</f>
        <v>530,0</v>
      </c>
      <c r="R22" s="11" t="str">
        <f>"418,1331"</f>
        <v>418,1331</v>
      </c>
      <c r="S22" s="6" t="s">
        <v>21</v>
      </c>
    </row>
  </sheetData>
  <mergeCells count="17">
    <mergeCell ref="Q3:Q4"/>
    <mergeCell ref="R3:R4"/>
    <mergeCell ref="S3:S4"/>
    <mergeCell ref="A5:P5"/>
    <mergeCell ref="A1:S2"/>
    <mergeCell ref="A3:A4"/>
    <mergeCell ref="B3:B4"/>
    <mergeCell ref="C3:C4"/>
    <mergeCell ref="D3:D4"/>
    <mergeCell ref="E3:H3"/>
    <mergeCell ref="I3:L3"/>
    <mergeCell ref="M3:P3"/>
    <mergeCell ref="A8:P8"/>
    <mergeCell ref="A11:P11"/>
    <mergeCell ref="A14:P14"/>
    <mergeCell ref="A18:P18"/>
    <mergeCell ref="A21:P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28.140625" style="4" bestFit="1" customWidth="1"/>
    <col min="5" max="7" width="5.5703125" style="3" customWidth="1"/>
    <col min="8" max="12" width="4.5703125" style="3" customWidth="1"/>
    <col min="13" max="15" width="5.5703125" style="3" customWidth="1"/>
    <col min="16" max="16" width="4.5703125" style="3" customWidth="1"/>
    <col min="17" max="17" width="7.7109375" style="9" bestFit="1" customWidth="1"/>
    <col min="18" max="18" width="8.5703125" style="2" bestFit="1" customWidth="1"/>
    <col min="19" max="19" width="9.7109375" style="4" bestFit="1" customWidth="1"/>
    <col min="20" max="16384" width="9.140625" style="3"/>
  </cols>
  <sheetData>
    <row r="1" spans="1:19" s="2" customFormat="1" ht="28.9" customHeight="1" x14ac:dyDescent="0.2">
      <c r="A1" s="41" t="s">
        <v>201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97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6" t="s">
        <v>202</v>
      </c>
      <c r="B6" s="6" t="s">
        <v>203</v>
      </c>
      <c r="C6" s="6" t="s">
        <v>173</v>
      </c>
      <c r="D6" s="6" t="s">
        <v>146</v>
      </c>
      <c r="E6" s="7" t="s">
        <v>41</v>
      </c>
      <c r="F6" s="8" t="s">
        <v>66</v>
      </c>
      <c r="G6" s="8" t="s">
        <v>66</v>
      </c>
      <c r="H6" s="8"/>
      <c r="I6" s="7" t="s">
        <v>71</v>
      </c>
      <c r="J6" s="7" t="s">
        <v>148</v>
      </c>
      <c r="K6" s="7" t="s">
        <v>204</v>
      </c>
      <c r="L6" s="8"/>
      <c r="M6" s="7" t="s">
        <v>66</v>
      </c>
      <c r="N6" s="7" t="s">
        <v>42</v>
      </c>
      <c r="O6" s="7" t="s">
        <v>205</v>
      </c>
      <c r="P6" s="8"/>
      <c r="Q6" s="10" t="str">
        <f>"425,0"</f>
        <v>425,0</v>
      </c>
      <c r="R6" s="11" t="str">
        <f>"423,1300"</f>
        <v>423,1300</v>
      </c>
      <c r="S6" s="6" t="s">
        <v>150</v>
      </c>
    </row>
  </sheetData>
  <mergeCells count="12">
    <mergeCell ref="Q3:Q4"/>
    <mergeCell ref="R3:R4"/>
    <mergeCell ref="S3:S4"/>
    <mergeCell ref="A5:P5"/>
    <mergeCell ref="A1:S2"/>
    <mergeCell ref="A3:A4"/>
    <mergeCell ref="B3:B4"/>
    <mergeCell ref="C3:C4"/>
    <mergeCell ref="D3:D4"/>
    <mergeCell ref="E3:H3"/>
    <mergeCell ref="I3:L3"/>
    <mergeCell ref="M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7.7109375" style="4" bestFit="1" customWidth="1"/>
    <col min="3" max="3" width="14.85546875" style="4" bestFit="1" customWidth="1"/>
    <col min="4" max="4" width="26.85546875" style="4" bestFit="1" customWidth="1"/>
    <col min="5" max="8" width="4.5703125" style="3" customWidth="1"/>
    <col min="9" max="9" width="7.7109375" style="9" bestFit="1" customWidth="1"/>
    <col min="10" max="10" width="7.5703125" style="2" bestFit="1" customWidth="1"/>
    <col min="11" max="11" width="13.42578125" style="4" bestFit="1" customWidth="1"/>
    <col min="12" max="16384" width="9.140625" style="3"/>
  </cols>
  <sheetData>
    <row r="1" spans="1:11" s="2" customFormat="1" ht="28.9" customHeight="1" x14ac:dyDescent="0.2">
      <c r="A1" s="41" t="s">
        <v>399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10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124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400</v>
      </c>
      <c r="B6" s="6" t="s">
        <v>401</v>
      </c>
      <c r="C6" s="6" t="s">
        <v>402</v>
      </c>
      <c r="D6" s="6" t="s">
        <v>16</v>
      </c>
      <c r="E6" s="7" t="s">
        <v>58</v>
      </c>
      <c r="F6" s="8" t="s">
        <v>59</v>
      </c>
      <c r="G6" s="8" t="s">
        <v>59</v>
      </c>
      <c r="H6" s="8"/>
      <c r="I6" s="10" t="str">
        <f>"75,0"</f>
        <v>75,0</v>
      </c>
      <c r="J6" s="11" t="str">
        <f>"54,5925"</f>
        <v>54,5925</v>
      </c>
      <c r="K6" s="6" t="s">
        <v>160</v>
      </c>
    </row>
  </sheetData>
  <mergeCells count="10"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56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40.710937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19.7109375" style="4" bestFit="1" customWidth="1"/>
    <col min="12" max="16384" width="9.140625" style="3"/>
  </cols>
  <sheetData>
    <row r="1" spans="1:11" s="2" customFormat="1" ht="28.9" customHeight="1" x14ac:dyDescent="0.2">
      <c r="A1" s="41" t="s">
        <v>206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10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167</v>
      </c>
      <c r="B5" s="40"/>
      <c r="C5" s="40"/>
      <c r="D5" s="40"/>
      <c r="E5" s="40"/>
      <c r="F5" s="40"/>
      <c r="G5" s="40"/>
      <c r="H5" s="40"/>
    </row>
    <row r="6" spans="1:11" x14ac:dyDescent="0.2">
      <c r="A6" s="12" t="s">
        <v>207</v>
      </c>
      <c r="B6" s="12" t="s">
        <v>208</v>
      </c>
      <c r="C6" s="12" t="s">
        <v>209</v>
      </c>
      <c r="D6" s="12" t="s">
        <v>16</v>
      </c>
      <c r="E6" s="13" t="s">
        <v>210</v>
      </c>
      <c r="F6" s="13" t="s">
        <v>210</v>
      </c>
      <c r="G6" s="14" t="s">
        <v>210</v>
      </c>
      <c r="H6" s="13"/>
      <c r="I6" s="18" t="str">
        <f>"35,0"</f>
        <v>35,0</v>
      </c>
      <c r="J6" s="19" t="str">
        <f>"37,3940"</f>
        <v>37,3940</v>
      </c>
      <c r="K6" s="12" t="s">
        <v>21</v>
      </c>
    </row>
    <row r="7" spans="1:11" x14ac:dyDescent="0.2">
      <c r="A7" s="15" t="s">
        <v>211</v>
      </c>
      <c r="B7" s="15" t="s">
        <v>212</v>
      </c>
      <c r="C7" s="15" t="s">
        <v>213</v>
      </c>
      <c r="D7" s="15" t="s">
        <v>16</v>
      </c>
      <c r="E7" s="16" t="s">
        <v>174</v>
      </c>
      <c r="F7" s="17" t="s">
        <v>175</v>
      </c>
      <c r="G7" s="17" t="s">
        <v>175</v>
      </c>
      <c r="H7" s="17"/>
      <c r="I7" s="20" t="str">
        <f>"50,0"</f>
        <v>50,0</v>
      </c>
      <c r="J7" s="21" t="str">
        <f>"52,8750"</f>
        <v>52,8750</v>
      </c>
      <c r="K7" s="15" t="s">
        <v>74</v>
      </c>
    </row>
    <row r="9" spans="1:11" ht="15" x14ac:dyDescent="0.2">
      <c r="A9" s="42" t="s">
        <v>97</v>
      </c>
      <c r="B9" s="43"/>
      <c r="C9" s="43"/>
      <c r="D9" s="43"/>
      <c r="E9" s="43"/>
      <c r="F9" s="43"/>
      <c r="G9" s="43"/>
      <c r="H9" s="43"/>
    </row>
    <row r="10" spans="1:11" x14ac:dyDescent="0.2">
      <c r="A10" s="12" t="s">
        <v>214</v>
      </c>
      <c r="B10" s="12" t="s">
        <v>215</v>
      </c>
      <c r="C10" s="12" t="s">
        <v>216</v>
      </c>
      <c r="D10" s="12" t="s">
        <v>16</v>
      </c>
      <c r="E10" s="14" t="s">
        <v>217</v>
      </c>
      <c r="F10" s="13" t="s">
        <v>174</v>
      </c>
      <c r="G10" s="13" t="s">
        <v>218</v>
      </c>
      <c r="H10" s="13"/>
      <c r="I10" s="18" t="str">
        <f>"45,0"</f>
        <v>45,0</v>
      </c>
      <c r="J10" s="19" t="str">
        <f>"44,8627"</f>
        <v>44,8627</v>
      </c>
      <c r="K10" s="12" t="s">
        <v>219</v>
      </c>
    </row>
    <row r="11" spans="1:11" x14ac:dyDescent="0.2">
      <c r="A11" s="15" t="s">
        <v>220</v>
      </c>
      <c r="B11" s="15" t="s">
        <v>221</v>
      </c>
      <c r="C11" s="15" t="s">
        <v>222</v>
      </c>
      <c r="D11" s="15" t="s">
        <v>146</v>
      </c>
      <c r="E11" s="17" t="s">
        <v>223</v>
      </c>
      <c r="F11" s="17" t="s">
        <v>224</v>
      </c>
      <c r="G11" s="17" t="s">
        <v>225</v>
      </c>
      <c r="H11" s="17"/>
      <c r="I11" s="20" t="str">
        <f>"0.00"</f>
        <v>0.00</v>
      </c>
      <c r="J11" s="21" t="str">
        <f>"0,0000"</f>
        <v>0,0000</v>
      </c>
      <c r="K11" s="15" t="s">
        <v>226</v>
      </c>
    </row>
    <row r="13" spans="1:11" ht="15" x14ac:dyDescent="0.2">
      <c r="A13" s="42" t="s">
        <v>124</v>
      </c>
      <c r="B13" s="43"/>
      <c r="C13" s="43"/>
      <c r="D13" s="43"/>
      <c r="E13" s="43"/>
      <c r="F13" s="43"/>
      <c r="G13" s="43"/>
      <c r="H13" s="43"/>
    </row>
    <row r="14" spans="1:11" x14ac:dyDescent="0.2">
      <c r="A14" s="6" t="s">
        <v>227</v>
      </c>
      <c r="B14" s="6" t="s">
        <v>228</v>
      </c>
      <c r="C14" s="6" t="s">
        <v>229</v>
      </c>
      <c r="D14" s="6" t="s">
        <v>146</v>
      </c>
      <c r="E14" s="7" t="s">
        <v>73</v>
      </c>
      <c r="F14" s="7" t="s">
        <v>230</v>
      </c>
      <c r="G14" s="7" t="s">
        <v>181</v>
      </c>
      <c r="H14" s="8"/>
      <c r="I14" s="10" t="str">
        <f>"110,0"</f>
        <v>110,0</v>
      </c>
      <c r="J14" s="11" t="str">
        <f>"92,7190"</f>
        <v>92,7190</v>
      </c>
      <c r="K14" s="6" t="s">
        <v>150</v>
      </c>
    </row>
    <row r="16" spans="1:11" ht="15" x14ac:dyDescent="0.2">
      <c r="A16" s="42" t="s">
        <v>23</v>
      </c>
      <c r="B16" s="43"/>
      <c r="C16" s="43"/>
      <c r="D16" s="43"/>
      <c r="E16" s="43"/>
      <c r="F16" s="43"/>
      <c r="G16" s="43"/>
      <c r="H16" s="43"/>
    </row>
    <row r="17" spans="1:11" x14ac:dyDescent="0.2">
      <c r="A17" s="6" t="s">
        <v>231</v>
      </c>
      <c r="B17" s="6" t="s">
        <v>232</v>
      </c>
      <c r="C17" s="6" t="s">
        <v>233</v>
      </c>
      <c r="D17" s="6" t="s">
        <v>16</v>
      </c>
      <c r="E17" s="7" t="s">
        <v>57</v>
      </c>
      <c r="F17" s="7" t="s">
        <v>58</v>
      </c>
      <c r="G17" s="8" t="s">
        <v>147</v>
      </c>
      <c r="H17" s="8"/>
      <c r="I17" s="10" t="str">
        <f>"75,0"</f>
        <v>75,0</v>
      </c>
      <c r="J17" s="11" t="str">
        <f>"56,2987"</f>
        <v>56,2987</v>
      </c>
      <c r="K17" s="6" t="s">
        <v>21</v>
      </c>
    </row>
    <row r="19" spans="1:11" ht="15" x14ac:dyDescent="0.2">
      <c r="A19" s="42" t="s">
        <v>234</v>
      </c>
      <c r="B19" s="43"/>
      <c r="C19" s="43"/>
      <c r="D19" s="43"/>
      <c r="E19" s="43"/>
      <c r="F19" s="43"/>
      <c r="G19" s="43"/>
      <c r="H19" s="43"/>
    </row>
    <row r="20" spans="1:11" x14ac:dyDescent="0.2">
      <c r="A20" s="12" t="s">
        <v>235</v>
      </c>
      <c r="B20" s="12" t="s">
        <v>236</v>
      </c>
      <c r="C20" s="12" t="s">
        <v>237</v>
      </c>
      <c r="D20" s="12" t="s">
        <v>146</v>
      </c>
      <c r="E20" s="14" t="s">
        <v>238</v>
      </c>
      <c r="F20" s="14" t="s">
        <v>230</v>
      </c>
      <c r="G20" s="14" t="s">
        <v>200</v>
      </c>
      <c r="H20" s="13"/>
      <c r="I20" s="18" t="str">
        <f>"112,5"</f>
        <v>112,5</v>
      </c>
      <c r="J20" s="19" t="str">
        <f>"84,9488"</f>
        <v>84,9488</v>
      </c>
      <c r="K20" s="12" t="s">
        <v>150</v>
      </c>
    </row>
    <row r="21" spans="1:11" x14ac:dyDescent="0.2">
      <c r="A21" s="15" t="s">
        <v>239</v>
      </c>
      <c r="B21" s="15" t="s">
        <v>240</v>
      </c>
      <c r="C21" s="15" t="s">
        <v>241</v>
      </c>
      <c r="D21" s="15" t="s">
        <v>242</v>
      </c>
      <c r="E21" s="16" t="s">
        <v>148</v>
      </c>
      <c r="F21" s="16" t="s">
        <v>204</v>
      </c>
      <c r="G21" s="17"/>
      <c r="H21" s="17"/>
      <c r="I21" s="20" t="str">
        <f>"92,5"</f>
        <v>92,5</v>
      </c>
      <c r="J21" s="21" t="str">
        <f>"70,3879"</f>
        <v>70,3879</v>
      </c>
      <c r="K21" s="15" t="s">
        <v>21</v>
      </c>
    </row>
    <row r="23" spans="1:11" ht="15" x14ac:dyDescent="0.2">
      <c r="A23" s="42" t="s">
        <v>124</v>
      </c>
      <c r="B23" s="43"/>
      <c r="C23" s="43"/>
      <c r="D23" s="43"/>
      <c r="E23" s="43"/>
      <c r="F23" s="43"/>
      <c r="G23" s="43"/>
      <c r="H23" s="43"/>
    </row>
    <row r="24" spans="1:11" x14ac:dyDescent="0.2">
      <c r="A24" s="12" t="s">
        <v>243</v>
      </c>
      <c r="B24" s="12" t="s">
        <v>244</v>
      </c>
      <c r="C24" s="12" t="s">
        <v>245</v>
      </c>
      <c r="D24" s="12" t="s">
        <v>16</v>
      </c>
      <c r="E24" s="14" t="s">
        <v>73</v>
      </c>
      <c r="F24" s="13" t="s">
        <v>200</v>
      </c>
      <c r="G24" s="14" t="s">
        <v>200</v>
      </c>
      <c r="H24" s="13"/>
      <c r="I24" s="18" t="str">
        <f>"112,5"</f>
        <v>112,5</v>
      </c>
      <c r="J24" s="19" t="str">
        <f>"78,0750"</f>
        <v>78,0750</v>
      </c>
      <c r="K24" s="12" t="s">
        <v>246</v>
      </c>
    </row>
    <row r="25" spans="1:11" x14ac:dyDescent="0.2">
      <c r="A25" s="22" t="s">
        <v>247</v>
      </c>
      <c r="B25" s="22" t="s">
        <v>248</v>
      </c>
      <c r="C25" s="22" t="s">
        <v>249</v>
      </c>
      <c r="D25" s="22" t="s">
        <v>146</v>
      </c>
      <c r="E25" s="24" t="s">
        <v>159</v>
      </c>
      <c r="F25" s="23" t="s">
        <v>250</v>
      </c>
      <c r="G25" s="24" t="s">
        <v>250</v>
      </c>
      <c r="H25" s="23"/>
      <c r="I25" s="25" t="str">
        <f>"127,5"</f>
        <v>127,5</v>
      </c>
      <c r="J25" s="26" t="str">
        <f>"87,7901"</f>
        <v>87,7901</v>
      </c>
      <c r="K25" s="22" t="s">
        <v>21</v>
      </c>
    </row>
    <row r="26" spans="1:11" x14ac:dyDescent="0.2">
      <c r="A26" s="15" t="s">
        <v>251</v>
      </c>
      <c r="B26" s="15" t="s">
        <v>252</v>
      </c>
      <c r="C26" s="15" t="s">
        <v>253</v>
      </c>
      <c r="D26" s="15" t="s">
        <v>16</v>
      </c>
      <c r="E26" s="16" t="s">
        <v>230</v>
      </c>
      <c r="F26" s="17" t="s">
        <v>182</v>
      </c>
      <c r="G26" s="16" t="s">
        <v>182</v>
      </c>
      <c r="H26" s="17"/>
      <c r="I26" s="20" t="str">
        <f>"117,5"</f>
        <v>117,5</v>
      </c>
      <c r="J26" s="21" t="str">
        <f>"83,0020"</f>
        <v>83,0020</v>
      </c>
      <c r="K26" s="15" t="s">
        <v>21</v>
      </c>
    </row>
    <row r="28" spans="1:11" ht="15" x14ac:dyDescent="0.2">
      <c r="A28" s="42" t="s">
        <v>45</v>
      </c>
      <c r="B28" s="43"/>
      <c r="C28" s="43"/>
      <c r="D28" s="43"/>
      <c r="E28" s="43"/>
      <c r="F28" s="43"/>
      <c r="G28" s="43"/>
      <c r="H28" s="43"/>
    </row>
    <row r="29" spans="1:11" x14ac:dyDescent="0.2">
      <c r="A29" s="12" t="s">
        <v>254</v>
      </c>
      <c r="B29" s="12" t="s">
        <v>255</v>
      </c>
      <c r="C29" s="12" t="s">
        <v>256</v>
      </c>
      <c r="D29" s="12" t="s">
        <v>146</v>
      </c>
      <c r="E29" s="14" t="s">
        <v>54</v>
      </c>
      <c r="F29" s="14" t="s">
        <v>257</v>
      </c>
      <c r="G29" s="14" t="s">
        <v>33</v>
      </c>
      <c r="H29" s="13"/>
      <c r="I29" s="18" t="str">
        <f>"145,0"</f>
        <v>145,0</v>
      </c>
      <c r="J29" s="19" t="str">
        <f>"95,3810"</f>
        <v>95,3810</v>
      </c>
      <c r="K29" s="12" t="s">
        <v>258</v>
      </c>
    </row>
    <row r="30" spans="1:11" x14ac:dyDescent="0.2">
      <c r="A30" s="22" t="s">
        <v>259</v>
      </c>
      <c r="B30" s="22" t="s">
        <v>260</v>
      </c>
      <c r="C30" s="22" t="s">
        <v>261</v>
      </c>
      <c r="D30" s="22" t="s">
        <v>16</v>
      </c>
      <c r="E30" s="24" t="s">
        <v>31</v>
      </c>
      <c r="F30" s="24" t="s">
        <v>55</v>
      </c>
      <c r="G30" s="24" t="s">
        <v>33</v>
      </c>
      <c r="H30" s="23"/>
      <c r="I30" s="25" t="str">
        <f>"145,0"</f>
        <v>145,0</v>
      </c>
      <c r="J30" s="26" t="str">
        <f>"95,1417"</f>
        <v>95,1417</v>
      </c>
      <c r="K30" s="22" t="s">
        <v>21</v>
      </c>
    </row>
    <row r="31" spans="1:11" x14ac:dyDescent="0.2">
      <c r="A31" s="22" t="s">
        <v>262</v>
      </c>
      <c r="B31" s="22" t="s">
        <v>263</v>
      </c>
      <c r="C31" s="22" t="s">
        <v>264</v>
      </c>
      <c r="D31" s="22" t="s">
        <v>16</v>
      </c>
      <c r="E31" s="24" t="s">
        <v>54</v>
      </c>
      <c r="F31" s="24" t="s">
        <v>257</v>
      </c>
      <c r="G31" s="23" t="s">
        <v>33</v>
      </c>
      <c r="H31" s="23"/>
      <c r="I31" s="25" t="str">
        <f>"137,5"</f>
        <v>137,5</v>
      </c>
      <c r="J31" s="26" t="str">
        <f>"91,2313"</f>
        <v>91,2313</v>
      </c>
      <c r="K31" s="22" t="s">
        <v>265</v>
      </c>
    </row>
    <row r="32" spans="1:11" x14ac:dyDescent="0.2">
      <c r="A32" s="22" t="s">
        <v>266</v>
      </c>
      <c r="B32" s="22" t="s">
        <v>267</v>
      </c>
      <c r="C32" s="22" t="s">
        <v>268</v>
      </c>
      <c r="D32" s="22" t="s">
        <v>16</v>
      </c>
      <c r="E32" s="24" t="s">
        <v>154</v>
      </c>
      <c r="F32" s="24" t="s">
        <v>31</v>
      </c>
      <c r="G32" s="23" t="s">
        <v>33</v>
      </c>
      <c r="H32" s="23"/>
      <c r="I32" s="25" t="str">
        <f>"135,0"</f>
        <v>135,0</v>
      </c>
      <c r="J32" s="26" t="str">
        <f>"87,5745"</f>
        <v>87,5745</v>
      </c>
      <c r="K32" s="22" t="s">
        <v>219</v>
      </c>
    </row>
    <row r="33" spans="1:11" x14ac:dyDescent="0.2">
      <c r="A33" s="22" t="s">
        <v>254</v>
      </c>
      <c r="B33" s="22" t="s">
        <v>269</v>
      </c>
      <c r="C33" s="22" t="s">
        <v>256</v>
      </c>
      <c r="D33" s="22" t="s">
        <v>146</v>
      </c>
      <c r="E33" s="24" t="s">
        <v>54</v>
      </c>
      <c r="F33" s="24" t="s">
        <v>257</v>
      </c>
      <c r="G33" s="24" t="s">
        <v>33</v>
      </c>
      <c r="H33" s="23"/>
      <c r="I33" s="25" t="str">
        <f>"145,0"</f>
        <v>145,0</v>
      </c>
      <c r="J33" s="26" t="str">
        <f>"104,6330"</f>
        <v>104,6330</v>
      </c>
      <c r="K33" s="22" t="s">
        <v>258</v>
      </c>
    </row>
    <row r="34" spans="1:11" x14ac:dyDescent="0.2">
      <c r="A34" s="15" t="s">
        <v>270</v>
      </c>
      <c r="B34" s="15" t="s">
        <v>271</v>
      </c>
      <c r="C34" s="15" t="s">
        <v>272</v>
      </c>
      <c r="D34" s="15" t="s">
        <v>273</v>
      </c>
      <c r="E34" s="17" t="s">
        <v>71</v>
      </c>
      <c r="F34" s="16" t="s">
        <v>148</v>
      </c>
      <c r="G34" s="16" t="s">
        <v>72</v>
      </c>
      <c r="H34" s="17"/>
      <c r="I34" s="20" t="str">
        <f>"95,0"</f>
        <v>95,0</v>
      </c>
      <c r="J34" s="21" t="str">
        <f>"91,7021"</f>
        <v>91,7021</v>
      </c>
      <c r="K34" s="15" t="s">
        <v>274</v>
      </c>
    </row>
    <row r="36" spans="1:11" ht="15" x14ac:dyDescent="0.2">
      <c r="A36" s="42" t="s">
        <v>23</v>
      </c>
      <c r="B36" s="43"/>
      <c r="C36" s="43"/>
      <c r="D36" s="43"/>
      <c r="E36" s="43"/>
      <c r="F36" s="43"/>
      <c r="G36" s="43"/>
      <c r="H36" s="43"/>
    </row>
    <row r="37" spans="1:11" x14ac:dyDescent="0.2">
      <c r="A37" s="12" t="s">
        <v>129</v>
      </c>
      <c r="B37" s="12" t="s">
        <v>275</v>
      </c>
      <c r="C37" s="12" t="s">
        <v>276</v>
      </c>
      <c r="D37" s="12" t="s">
        <v>16</v>
      </c>
      <c r="E37" s="14" t="s">
        <v>42</v>
      </c>
      <c r="F37" s="14" t="s">
        <v>81</v>
      </c>
      <c r="G37" s="14" t="s">
        <v>70</v>
      </c>
      <c r="H37" s="13"/>
      <c r="I37" s="18" t="str">
        <f>"180,0"</f>
        <v>180,0</v>
      </c>
      <c r="J37" s="19" t="str">
        <f>"110,9610"</f>
        <v>110,9610</v>
      </c>
      <c r="K37" s="12" t="s">
        <v>277</v>
      </c>
    </row>
    <row r="38" spans="1:11" x14ac:dyDescent="0.2">
      <c r="A38" s="22" t="s">
        <v>278</v>
      </c>
      <c r="B38" s="22" t="s">
        <v>279</v>
      </c>
      <c r="C38" s="22" t="s">
        <v>280</v>
      </c>
      <c r="D38" s="22" t="s">
        <v>16</v>
      </c>
      <c r="E38" s="24" t="s">
        <v>65</v>
      </c>
      <c r="F38" s="23" t="s">
        <v>66</v>
      </c>
      <c r="G38" s="24" t="s">
        <v>66</v>
      </c>
      <c r="H38" s="23"/>
      <c r="I38" s="25" t="str">
        <f>"165,0"</f>
        <v>165,0</v>
      </c>
      <c r="J38" s="26" t="str">
        <f>"104,8410"</f>
        <v>104,8410</v>
      </c>
      <c r="K38" s="22" t="s">
        <v>21</v>
      </c>
    </row>
    <row r="39" spans="1:11" x14ac:dyDescent="0.2">
      <c r="A39" s="22" t="s">
        <v>281</v>
      </c>
      <c r="B39" s="22" t="s">
        <v>282</v>
      </c>
      <c r="C39" s="22" t="s">
        <v>283</v>
      </c>
      <c r="D39" s="22" t="s">
        <v>27</v>
      </c>
      <c r="E39" s="24" t="s">
        <v>56</v>
      </c>
      <c r="F39" s="24" t="s">
        <v>284</v>
      </c>
      <c r="G39" s="24" t="s">
        <v>285</v>
      </c>
      <c r="H39" s="23"/>
      <c r="I39" s="25" t="str">
        <f>"157,5"</f>
        <v>157,5</v>
      </c>
      <c r="J39" s="26" t="str">
        <f>"98,5871"</f>
        <v>98,5871</v>
      </c>
      <c r="K39" s="22" t="s">
        <v>21</v>
      </c>
    </row>
    <row r="40" spans="1:11" x14ac:dyDescent="0.2">
      <c r="A40" s="22" t="s">
        <v>286</v>
      </c>
      <c r="B40" s="22" t="s">
        <v>287</v>
      </c>
      <c r="C40" s="22" t="s">
        <v>288</v>
      </c>
      <c r="D40" s="22" t="s">
        <v>146</v>
      </c>
      <c r="E40" s="24" t="s">
        <v>164</v>
      </c>
      <c r="F40" s="24" t="s">
        <v>165</v>
      </c>
      <c r="G40" s="24" t="s">
        <v>250</v>
      </c>
      <c r="H40" s="23"/>
      <c r="I40" s="25" t="str">
        <f>"127,5"</f>
        <v>127,5</v>
      </c>
      <c r="J40" s="26" t="str">
        <f>"80,7202"</f>
        <v>80,7202</v>
      </c>
      <c r="K40" s="22" t="s">
        <v>150</v>
      </c>
    </row>
    <row r="41" spans="1:11" x14ac:dyDescent="0.2">
      <c r="A41" s="15" t="s">
        <v>289</v>
      </c>
      <c r="B41" s="15" t="s">
        <v>290</v>
      </c>
      <c r="C41" s="15" t="s">
        <v>288</v>
      </c>
      <c r="D41" s="15" t="s">
        <v>146</v>
      </c>
      <c r="E41" s="16" t="s">
        <v>164</v>
      </c>
      <c r="F41" s="16" t="s">
        <v>165</v>
      </c>
      <c r="G41" s="16" t="s">
        <v>250</v>
      </c>
      <c r="H41" s="17"/>
      <c r="I41" s="20" t="str">
        <f>"127,5"</f>
        <v>127,5</v>
      </c>
      <c r="J41" s="21" t="str">
        <f>"89,8416"</f>
        <v>89,8416</v>
      </c>
      <c r="K41" s="15" t="s">
        <v>150</v>
      </c>
    </row>
    <row r="43" spans="1:11" ht="15" x14ac:dyDescent="0.2">
      <c r="A43" s="42" t="s">
        <v>12</v>
      </c>
      <c r="B43" s="43"/>
      <c r="C43" s="43"/>
      <c r="D43" s="43"/>
      <c r="E43" s="43"/>
      <c r="F43" s="43"/>
      <c r="G43" s="43"/>
      <c r="H43" s="43"/>
    </row>
    <row r="44" spans="1:11" x14ac:dyDescent="0.2">
      <c r="A44" s="6" t="s">
        <v>291</v>
      </c>
      <c r="B44" s="6" t="s">
        <v>292</v>
      </c>
      <c r="C44" s="6" t="s">
        <v>293</v>
      </c>
      <c r="D44" s="6" t="s">
        <v>294</v>
      </c>
      <c r="E44" s="8" t="s">
        <v>41</v>
      </c>
      <c r="F44" s="8" t="s">
        <v>41</v>
      </c>
      <c r="G44" s="7" t="s">
        <v>41</v>
      </c>
      <c r="H44" s="8"/>
      <c r="I44" s="10" t="str">
        <f>"160,0"</f>
        <v>160,0</v>
      </c>
      <c r="J44" s="11" t="str">
        <f>"93,7840"</f>
        <v>93,7840</v>
      </c>
      <c r="K44" s="6" t="s">
        <v>295</v>
      </c>
    </row>
    <row r="46" spans="1:11" ht="15" x14ac:dyDescent="0.2">
      <c r="A46" s="42" t="s">
        <v>75</v>
      </c>
      <c r="B46" s="43"/>
      <c r="C46" s="43"/>
      <c r="D46" s="43"/>
      <c r="E46" s="43"/>
      <c r="F46" s="43"/>
      <c r="G46" s="43"/>
      <c r="H46" s="43"/>
    </row>
    <row r="47" spans="1:11" x14ac:dyDescent="0.2">
      <c r="A47" s="12" t="s">
        <v>296</v>
      </c>
      <c r="B47" s="12" t="s">
        <v>297</v>
      </c>
      <c r="C47" s="12" t="s">
        <v>298</v>
      </c>
      <c r="D47" s="12" t="s">
        <v>16</v>
      </c>
      <c r="E47" s="14" t="s">
        <v>42</v>
      </c>
      <c r="F47" s="14" t="s">
        <v>43</v>
      </c>
      <c r="G47" s="14" t="s">
        <v>187</v>
      </c>
      <c r="H47" s="13"/>
      <c r="I47" s="18" t="str">
        <f>"185,0"</f>
        <v>185,0</v>
      </c>
      <c r="J47" s="19" t="str">
        <f>"104,0625"</f>
        <v>104,0625</v>
      </c>
      <c r="K47" s="12" t="s">
        <v>258</v>
      </c>
    </row>
    <row r="48" spans="1:11" x14ac:dyDescent="0.2">
      <c r="A48" s="22" t="s">
        <v>299</v>
      </c>
      <c r="B48" s="22" t="s">
        <v>300</v>
      </c>
      <c r="C48" s="22" t="s">
        <v>301</v>
      </c>
      <c r="D48" s="22" t="s">
        <v>16</v>
      </c>
      <c r="E48" s="24" t="s">
        <v>81</v>
      </c>
      <c r="F48" s="24" t="s">
        <v>70</v>
      </c>
      <c r="G48" s="23" t="s">
        <v>187</v>
      </c>
      <c r="H48" s="23"/>
      <c r="I48" s="25" t="str">
        <f>"180,0"</f>
        <v>180,0</v>
      </c>
      <c r="J48" s="26" t="str">
        <f>"101,3220"</f>
        <v>101,3220</v>
      </c>
      <c r="K48" s="22" t="s">
        <v>302</v>
      </c>
    </row>
    <row r="49" spans="1:11" x14ac:dyDescent="0.2">
      <c r="A49" s="22" t="s">
        <v>303</v>
      </c>
      <c r="B49" s="22" t="s">
        <v>304</v>
      </c>
      <c r="C49" s="22" t="s">
        <v>305</v>
      </c>
      <c r="D49" s="22" t="s">
        <v>27</v>
      </c>
      <c r="E49" s="24" t="s">
        <v>42</v>
      </c>
      <c r="F49" s="23" t="s">
        <v>81</v>
      </c>
      <c r="G49" s="23" t="s">
        <v>81</v>
      </c>
      <c r="H49" s="23"/>
      <c r="I49" s="25" t="str">
        <f>"170,0"</f>
        <v>170,0</v>
      </c>
      <c r="J49" s="26" t="str">
        <f>"96,2965"</f>
        <v>96,2965</v>
      </c>
      <c r="K49" s="22" t="s">
        <v>306</v>
      </c>
    </row>
    <row r="50" spans="1:11" x14ac:dyDescent="0.2">
      <c r="A50" s="22" t="s">
        <v>307</v>
      </c>
      <c r="B50" s="22" t="s">
        <v>308</v>
      </c>
      <c r="C50" s="22" t="s">
        <v>309</v>
      </c>
      <c r="D50" s="22" t="s">
        <v>16</v>
      </c>
      <c r="E50" s="24" t="s">
        <v>55</v>
      </c>
      <c r="F50" s="24" t="s">
        <v>310</v>
      </c>
      <c r="G50" s="24" t="s">
        <v>56</v>
      </c>
      <c r="H50" s="23"/>
      <c r="I50" s="25" t="str">
        <f>"150,0"</f>
        <v>150,0</v>
      </c>
      <c r="J50" s="26" t="str">
        <f>"84,4800"</f>
        <v>84,4800</v>
      </c>
      <c r="K50" s="22" t="s">
        <v>21</v>
      </c>
    </row>
    <row r="51" spans="1:11" x14ac:dyDescent="0.2">
      <c r="A51" s="22" t="s">
        <v>311</v>
      </c>
      <c r="B51" s="22" t="s">
        <v>312</v>
      </c>
      <c r="C51" s="22" t="s">
        <v>301</v>
      </c>
      <c r="D51" s="22" t="s">
        <v>16</v>
      </c>
      <c r="E51" s="24" t="s">
        <v>81</v>
      </c>
      <c r="F51" s="24" t="s">
        <v>70</v>
      </c>
      <c r="G51" s="23" t="s">
        <v>187</v>
      </c>
      <c r="H51" s="23"/>
      <c r="I51" s="25" t="str">
        <f>"180,0"</f>
        <v>180,0</v>
      </c>
      <c r="J51" s="26" t="str">
        <f>"105,6788"</f>
        <v>105,6788</v>
      </c>
      <c r="K51" s="22" t="s">
        <v>302</v>
      </c>
    </row>
    <row r="52" spans="1:11" x14ac:dyDescent="0.2">
      <c r="A52" s="15" t="s">
        <v>296</v>
      </c>
      <c r="B52" s="15" t="s">
        <v>313</v>
      </c>
      <c r="C52" s="15" t="s">
        <v>298</v>
      </c>
      <c r="D52" s="15" t="s">
        <v>16</v>
      </c>
      <c r="E52" s="16" t="s">
        <v>42</v>
      </c>
      <c r="F52" s="16" t="s">
        <v>43</v>
      </c>
      <c r="G52" s="16" t="s">
        <v>187</v>
      </c>
      <c r="H52" s="17"/>
      <c r="I52" s="20" t="str">
        <f>"185,0"</f>
        <v>185,0</v>
      </c>
      <c r="J52" s="21" t="str">
        <f>"111,1388"</f>
        <v>111,1388</v>
      </c>
      <c r="K52" s="15" t="s">
        <v>258</v>
      </c>
    </row>
    <row r="54" spans="1:11" ht="15" x14ac:dyDescent="0.2">
      <c r="A54" s="42" t="s">
        <v>195</v>
      </c>
      <c r="B54" s="43"/>
      <c r="C54" s="43"/>
      <c r="D54" s="43"/>
      <c r="E54" s="43"/>
      <c r="F54" s="43"/>
      <c r="G54" s="43"/>
      <c r="H54" s="43"/>
    </row>
    <row r="55" spans="1:11" x14ac:dyDescent="0.2">
      <c r="A55" s="12" t="s">
        <v>314</v>
      </c>
      <c r="B55" s="12" t="s">
        <v>315</v>
      </c>
      <c r="C55" s="12" t="s">
        <v>316</v>
      </c>
      <c r="D55" s="12" t="s">
        <v>317</v>
      </c>
      <c r="E55" s="14" t="s">
        <v>93</v>
      </c>
      <c r="F55" s="14" t="s">
        <v>318</v>
      </c>
      <c r="G55" s="13" t="s">
        <v>30</v>
      </c>
      <c r="H55" s="13"/>
      <c r="I55" s="18" t="str">
        <f>"215,0"</f>
        <v>215,0</v>
      </c>
      <c r="J55" s="19" t="str">
        <f>"114,5896"</f>
        <v>114,5896</v>
      </c>
      <c r="K55" s="12" t="s">
        <v>21</v>
      </c>
    </row>
    <row r="56" spans="1:11" x14ac:dyDescent="0.2">
      <c r="A56" s="15" t="s">
        <v>314</v>
      </c>
      <c r="B56" s="15" t="s">
        <v>319</v>
      </c>
      <c r="C56" s="15" t="s">
        <v>316</v>
      </c>
      <c r="D56" s="15" t="s">
        <v>317</v>
      </c>
      <c r="E56" s="16" t="s">
        <v>93</v>
      </c>
      <c r="F56" s="16" t="s">
        <v>318</v>
      </c>
      <c r="G56" s="17" t="s">
        <v>30</v>
      </c>
      <c r="H56" s="17"/>
      <c r="I56" s="20" t="str">
        <f>"215,0"</f>
        <v>215,0</v>
      </c>
      <c r="J56" s="21" t="str">
        <f>"127,5383"</f>
        <v>127,5383</v>
      </c>
      <c r="K56" s="15" t="s">
        <v>21</v>
      </c>
    </row>
  </sheetData>
  <mergeCells count="20"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H3"/>
    <mergeCell ref="A36:H36"/>
    <mergeCell ref="A43:H43"/>
    <mergeCell ref="A46:H46"/>
    <mergeCell ref="A54:H54"/>
    <mergeCell ref="A9:H9"/>
    <mergeCell ref="A13:H13"/>
    <mergeCell ref="A16:H16"/>
    <mergeCell ref="A19:H19"/>
    <mergeCell ref="A23:H23"/>
    <mergeCell ref="A28:H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9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26.8554687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16" style="4" bestFit="1" customWidth="1"/>
    <col min="12" max="16384" width="9.140625" style="3"/>
  </cols>
  <sheetData>
    <row r="1" spans="1:11" s="2" customFormat="1" ht="28.9" customHeight="1" x14ac:dyDescent="0.2">
      <c r="A1" s="41" t="s">
        <v>320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10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321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322</v>
      </c>
      <c r="B6" s="6" t="s">
        <v>323</v>
      </c>
      <c r="C6" s="6" t="s">
        <v>324</v>
      </c>
      <c r="D6" s="6" t="s">
        <v>16</v>
      </c>
      <c r="E6" s="7" t="s">
        <v>154</v>
      </c>
      <c r="F6" s="8" t="s">
        <v>54</v>
      </c>
      <c r="G6" s="7" t="s">
        <v>54</v>
      </c>
      <c r="H6" s="8"/>
      <c r="I6" s="10" t="str">
        <f>"130,0"</f>
        <v>130,0</v>
      </c>
      <c r="J6" s="11" t="str">
        <f>"130,1040"</f>
        <v>130,1040</v>
      </c>
      <c r="K6" s="6" t="s">
        <v>21</v>
      </c>
    </row>
    <row r="8" spans="1:11" ht="15" x14ac:dyDescent="0.2">
      <c r="A8" s="42" t="s">
        <v>124</v>
      </c>
      <c r="B8" s="43"/>
      <c r="C8" s="43"/>
      <c r="D8" s="43"/>
      <c r="E8" s="43"/>
      <c r="F8" s="43"/>
      <c r="G8" s="43"/>
      <c r="H8" s="43"/>
    </row>
    <row r="9" spans="1:11" x14ac:dyDescent="0.2">
      <c r="A9" s="12" t="s">
        <v>325</v>
      </c>
      <c r="B9" s="12" t="s">
        <v>326</v>
      </c>
      <c r="C9" s="12" t="s">
        <v>327</v>
      </c>
      <c r="D9" s="12" t="s">
        <v>16</v>
      </c>
      <c r="E9" s="14" t="s">
        <v>318</v>
      </c>
      <c r="F9" s="14" t="s">
        <v>40</v>
      </c>
      <c r="G9" s="13" t="s">
        <v>34</v>
      </c>
      <c r="H9" s="13"/>
      <c r="I9" s="18" t="str">
        <f>"225,0"</f>
        <v>225,0</v>
      </c>
      <c r="J9" s="19" t="str">
        <f>"155,0700"</f>
        <v>155,0700</v>
      </c>
      <c r="K9" s="12" t="s">
        <v>21</v>
      </c>
    </row>
    <row r="10" spans="1:11" x14ac:dyDescent="0.2">
      <c r="A10" s="15" t="s">
        <v>325</v>
      </c>
      <c r="B10" s="15" t="s">
        <v>328</v>
      </c>
      <c r="C10" s="15" t="s">
        <v>327</v>
      </c>
      <c r="D10" s="15" t="s">
        <v>16</v>
      </c>
      <c r="E10" s="16" t="s">
        <v>318</v>
      </c>
      <c r="F10" s="16" t="s">
        <v>40</v>
      </c>
      <c r="G10" s="17" t="s">
        <v>34</v>
      </c>
      <c r="H10" s="17"/>
      <c r="I10" s="20" t="str">
        <f>"225,0"</f>
        <v>225,0</v>
      </c>
      <c r="J10" s="21" t="str">
        <f>"167,7857"</f>
        <v>167,7857</v>
      </c>
      <c r="K10" s="15" t="s">
        <v>21</v>
      </c>
    </row>
    <row r="12" spans="1:11" ht="15" x14ac:dyDescent="0.2">
      <c r="A12" s="42" t="s">
        <v>45</v>
      </c>
      <c r="B12" s="43"/>
      <c r="C12" s="43"/>
      <c r="D12" s="43"/>
      <c r="E12" s="43"/>
      <c r="F12" s="43"/>
      <c r="G12" s="43"/>
      <c r="H12" s="43"/>
    </row>
    <row r="13" spans="1:11" x14ac:dyDescent="0.2">
      <c r="A13" s="6" t="s">
        <v>329</v>
      </c>
      <c r="B13" s="6" t="s">
        <v>330</v>
      </c>
      <c r="C13" s="6" t="s">
        <v>331</v>
      </c>
      <c r="D13" s="6" t="s">
        <v>16</v>
      </c>
      <c r="E13" s="7" t="s">
        <v>29</v>
      </c>
      <c r="F13" s="7" t="s">
        <v>63</v>
      </c>
      <c r="G13" s="7" t="s">
        <v>34</v>
      </c>
      <c r="H13" s="8"/>
      <c r="I13" s="10" t="str">
        <f>"240,0"</f>
        <v>240,0</v>
      </c>
      <c r="J13" s="11" t="str">
        <f>"155,5680"</f>
        <v>155,5680</v>
      </c>
      <c r="K13" s="6" t="s">
        <v>332</v>
      </c>
    </row>
    <row r="15" spans="1:11" ht="15" x14ac:dyDescent="0.2">
      <c r="A15" s="42" t="s">
        <v>23</v>
      </c>
      <c r="B15" s="43"/>
      <c r="C15" s="43"/>
      <c r="D15" s="43"/>
      <c r="E15" s="43"/>
      <c r="F15" s="43"/>
      <c r="G15" s="43"/>
      <c r="H15" s="43"/>
    </row>
    <row r="16" spans="1:11" x14ac:dyDescent="0.2">
      <c r="A16" s="6" t="s">
        <v>333</v>
      </c>
      <c r="B16" s="6" t="s">
        <v>334</v>
      </c>
      <c r="C16" s="6" t="s">
        <v>335</v>
      </c>
      <c r="D16" s="6" t="s">
        <v>16</v>
      </c>
      <c r="E16" s="7" t="s">
        <v>54</v>
      </c>
      <c r="F16" s="7" t="s">
        <v>56</v>
      </c>
      <c r="G16" s="7" t="s">
        <v>42</v>
      </c>
      <c r="H16" s="8"/>
      <c r="I16" s="10" t="str">
        <f>"170,0"</f>
        <v>170,0</v>
      </c>
      <c r="J16" s="11" t="str">
        <f>"105,9780"</f>
        <v>105,9780</v>
      </c>
      <c r="K16" s="6" t="s">
        <v>332</v>
      </c>
    </row>
    <row r="18" spans="1:11" ht="15" x14ac:dyDescent="0.2">
      <c r="A18" s="42" t="s">
        <v>12</v>
      </c>
      <c r="B18" s="43"/>
      <c r="C18" s="43"/>
      <c r="D18" s="43"/>
      <c r="E18" s="43"/>
      <c r="F18" s="43"/>
      <c r="G18" s="43"/>
      <c r="H18" s="43"/>
    </row>
    <row r="19" spans="1:11" x14ac:dyDescent="0.2">
      <c r="A19" s="6" t="s">
        <v>336</v>
      </c>
      <c r="B19" s="6" t="s">
        <v>337</v>
      </c>
      <c r="C19" s="6" t="s">
        <v>338</v>
      </c>
      <c r="D19" s="6" t="s">
        <v>339</v>
      </c>
      <c r="E19" s="7" t="s">
        <v>28</v>
      </c>
      <c r="F19" s="7" t="s">
        <v>29</v>
      </c>
      <c r="G19" s="8"/>
      <c r="H19" s="8"/>
      <c r="I19" s="10" t="str">
        <f>"210,0"</f>
        <v>210,0</v>
      </c>
      <c r="J19" s="11" t="str">
        <f>"126,7883"</f>
        <v>126,7883</v>
      </c>
      <c r="K19" s="6" t="s">
        <v>340</v>
      </c>
    </row>
  </sheetData>
  <mergeCells count="14">
    <mergeCell ref="J3:J4"/>
    <mergeCell ref="K3:K4"/>
    <mergeCell ref="A5:H5"/>
    <mergeCell ref="A1:K2"/>
    <mergeCell ref="A3:A4"/>
    <mergeCell ref="B3:B4"/>
    <mergeCell ref="C3:C4"/>
    <mergeCell ref="D3:D4"/>
    <mergeCell ref="E3:H3"/>
    <mergeCell ref="A8:H8"/>
    <mergeCell ref="A12:H12"/>
    <mergeCell ref="A15:H15"/>
    <mergeCell ref="A18:H18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topLeftCell="A10"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38.42578125" style="4" bestFit="1" customWidth="1"/>
    <col min="5" max="7" width="5.5703125" style="3" customWidth="1"/>
    <col min="8" max="8" width="4.5703125" style="3" customWidth="1"/>
    <col min="9" max="9" width="7.7109375" style="9" bestFit="1" customWidth="1"/>
    <col min="10" max="10" width="8.5703125" style="2" bestFit="1" customWidth="1"/>
    <col min="11" max="11" width="19.28515625" style="4" bestFit="1" customWidth="1"/>
    <col min="12" max="16384" width="9.140625" style="3"/>
  </cols>
  <sheetData>
    <row r="1" spans="1:11" s="2" customFormat="1" ht="28.9" customHeight="1" x14ac:dyDescent="0.2">
      <c r="A1" s="41" t="s">
        <v>351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11</v>
      </c>
      <c r="F3" s="27"/>
      <c r="G3" s="27"/>
      <c r="H3" s="27"/>
      <c r="I3" s="27" t="s">
        <v>122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38"/>
      <c r="J4" s="38"/>
      <c r="K4" s="29"/>
    </row>
    <row r="5" spans="1:11" ht="15" x14ac:dyDescent="0.2">
      <c r="A5" s="39" t="s">
        <v>352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353</v>
      </c>
      <c r="B6" s="6" t="s">
        <v>354</v>
      </c>
      <c r="C6" s="6" t="s">
        <v>355</v>
      </c>
      <c r="D6" s="6" t="s">
        <v>16</v>
      </c>
      <c r="E6" s="7" t="s">
        <v>164</v>
      </c>
      <c r="F6" s="7" t="s">
        <v>250</v>
      </c>
      <c r="G6" s="8" t="s">
        <v>177</v>
      </c>
      <c r="H6" s="8"/>
      <c r="I6" s="10" t="str">
        <f>"127,5"</f>
        <v>127,5</v>
      </c>
      <c r="J6" s="11" t="str">
        <f>"169,3582"</f>
        <v>169,3582</v>
      </c>
      <c r="K6" s="6" t="s">
        <v>21</v>
      </c>
    </row>
    <row r="8" spans="1:11" ht="15" x14ac:dyDescent="0.2">
      <c r="A8" s="42" t="s">
        <v>356</v>
      </c>
      <c r="B8" s="43"/>
      <c r="C8" s="43"/>
      <c r="D8" s="43"/>
      <c r="E8" s="43"/>
      <c r="F8" s="43"/>
      <c r="G8" s="43"/>
      <c r="H8" s="43"/>
    </row>
    <row r="9" spans="1:11" x14ac:dyDescent="0.2">
      <c r="A9" s="6" t="s">
        <v>357</v>
      </c>
      <c r="B9" s="6" t="s">
        <v>358</v>
      </c>
      <c r="C9" s="6" t="s">
        <v>359</v>
      </c>
      <c r="D9" s="6" t="s">
        <v>16</v>
      </c>
      <c r="E9" s="7" t="s">
        <v>71</v>
      </c>
      <c r="F9" s="7" t="s">
        <v>204</v>
      </c>
      <c r="G9" s="8" t="s">
        <v>72</v>
      </c>
      <c r="H9" s="8"/>
      <c r="I9" s="10" t="str">
        <f>"92,5"</f>
        <v>92,5</v>
      </c>
      <c r="J9" s="11" t="str">
        <f>"109,2332"</f>
        <v>109,2332</v>
      </c>
      <c r="K9" s="6" t="s">
        <v>84</v>
      </c>
    </row>
    <row r="11" spans="1:11" ht="15" x14ac:dyDescent="0.2">
      <c r="A11" s="42" t="s">
        <v>321</v>
      </c>
      <c r="B11" s="43"/>
      <c r="C11" s="43"/>
      <c r="D11" s="43"/>
      <c r="E11" s="43"/>
      <c r="F11" s="43"/>
      <c r="G11" s="43"/>
      <c r="H11" s="43"/>
    </row>
    <row r="12" spans="1:11" x14ac:dyDescent="0.2">
      <c r="A12" s="6" t="s">
        <v>360</v>
      </c>
      <c r="B12" s="6" t="s">
        <v>361</v>
      </c>
      <c r="C12" s="6" t="s">
        <v>362</v>
      </c>
      <c r="D12" s="6" t="s">
        <v>16</v>
      </c>
      <c r="E12" s="7" t="s">
        <v>73</v>
      </c>
      <c r="F12" s="8" t="s">
        <v>181</v>
      </c>
      <c r="G12" s="8" t="s">
        <v>164</v>
      </c>
      <c r="H12" s="8"/>
      <c r="I12" s="10" t="str">
        <f>"105,0"</f>
        <v>105,0</v>
      </c>
      <c r="J12" s="11" t="str">
        <f>"118,0935"</f>
        <v>118,0935</v>
      </c>
      <c r="K12" s="6" t="s">
        <v>363</v>
      </c>
    </row>
    <row r="14" spans="1:11" ht="15" x14ac:dyDescent="0.2">
      <c r="A14" s="42" t="s">
        <v>97</v>
      </c>
      <c r="B14" s="43"/>
      <c r="C14" s="43"/>
      <c r="D14" s="43"/>
      <c r="E14" s="43"/>
      <c r="F14" s="43"/>
      <c r="G14" s="43"/>
      <c r="H14" s="43"/>
    </row>
    <row r="15" spans="1:11" x14ac:dyDescent="0.2">
      <c r="A15" s="6" t="s">
        <v>214</v>
      </c>
      <c r="B15" s="6" t="s">
        <v>215</v>
      </c>
      <c r="C15" s="6" t="s">
        <v>216</v>
      </c>
      <c r="D15" s="6" t="s">
        <v>16</v>
      </c>
      <c r="E15" s="8" t="s">
        <v>59</v>
      </c>
      <c r="F15" s="7" t="s">
        <v>59</v>
      </c>
      <c r="G15" s="7" t="s">
        <v>148</v>
      </c>
      <c r="H15" s="8"/>
      <c r="I15" s="10" t="str">
        <f>"90,0"</f>
        <v>90,0</v>
      </c>
      <c r="J15" s="11" t="str">
        <f>"89,7255"</f>
        <v>89,7255</v>
      </c>
      <c r="K15" s="6" t="s">
        <v>219</v>
      </c>
    </row>
    <row r="17" spans="1:11" ht="15" x14ac:dyDescent="0.2">
      <c r="A17" s="42" t="s">
        <v>234</v>
      </c>
      <c r="B17" s="43"/>
      <c r="C17" s="43"/>
      <c r="D17" s="43"/>
      <c r="E17" s="43"/>
      <c r="F17" s="43"/>
      <c r="G17" s="43"/>
      <c r="H17" s="43"/>
    </row>
    <row r="18" spans="1:11" x14ac:dyDescent="0.2">
      <c r="A18" s="6" t="s">
        <v>364</v>
      </c>
      <c r="B18" s="6" t="s">
        <v>365</v>
      </c>
      <c r="C18" s="6" t="s">
        <v>366</v>
      </c>
      <c r="D18" s="6" t="s">
        <v>349</v>
      </c>
      <c r="E18" s="7" t="s">
        <v>155</v>
      </c>
      <c r="F18" s="7" t="s">
        <v>181</v>
      </c>
      <c r="G18" s="7" t="s">
        <v>182</v>
      </c>
      <c r="H18" s="8"/>
      <c r="I18" s="10" t="str">
        <f>"117,5"</f>
        <v>117,5</v>
      </c>
      <c r="J18" s="11" t="str">
        <f>"105,8381"</f>
        <v>105,8381</v>
      </c>
      <c r="K18" s="6" t="s">
        <v>21</v>
      </c>
    </row>
    <row r="20" spans="1:11" ht="15" x14ac:dyDescent="0.2">
      <c r="A20" s="42" t="s">
        <v>124</v>
      </c>
      <c r="B20" s="43"/>
      <c r="C20" s="43"/>
      <c r="D20" s="43"/>
      <c r="E20" s="43"/>
      <c r="F20" s="43"/>
      <c r="G20" s="43"/>
      <c r="H20" s="43"/>
    </row>
    <row r="21" spans="1:11" x14ac:dyDescent="0.2">
      <c r="A21" s="6" t="s">
        <v>367</v>
      </c>
      <c r="B21" s="6" t="s">
        <v>368</v>
      </c>
      <c r="C21" s="6" t="s">
        <v>369</v>
      </c>
      <c r="D21" s="6" t="s">
        <v>16</v>
      </c>
      <c r="E21" s="7" t="s">
        <v>31</v>
      </c>
      <c r="F21" s="7" t="s">
        <v>32</v>
      </c>
      <c r="G21" s="7" t="s">
        <v>310</v>
      </c>
      <c r="H21" s="8"/>
      <c r="I21" s="10" t="str">
        <f>"147,5"</f>
        <v>147,5</v>
      </c>
      <c r="J21" s="11" t="str">
        <f>"124,7924"</f>
        <v>124,7924</v>
      </c>
      <c r="K21" s="6" t="s">
        <v>21</v>
      </c>
    </row>
    <row r="23" spans="1:11" ht="15" x14ac:dyDescent="0.2">
      <c r="A23" s="42" t="s">
        <v>23</v>
      </c>
      <c r="B23" s="43"/>
      <c r="C23" s="43"/>
      <c r="D23" s="43"/>
      <c r="E23" s="43"/>
      <c r="F23" s="43"/>
      <c r="G23" s="43"/>
      <c r="H23" s="43"/>
    </row>
    <row r="24" spans="1:11" x14ac:dyDescent="0.2">
      <c r="A24" s="6" t="s">
        <v>231</v>
      </c>
      <c r="B24" s="6" t="s">
        <v>232</v>
      </c>
      <c r="C24" s="6" t="s">
        <v>233</v>
      </c>
      <c r="D24" s="6" t="s">
        <v>16</v>
      </c>
      <c r="E24" s="7" t="s">
        <v>54</v>
      </c>
      <c r="F24" s="7" t="s">
        <v>65</v>
      </c>
      <c r="G24" s="8" t="s">
        <v>41</v>
      </c>
      <c r="H24" s="8"/>
      <c r="I24" s="10" t="str">
        <f>"155,0"</f>
        <v>155,0</v>
      </c>
      <c r="J24" s="11" t="str">
        <f>"116,3507"</f>
        <v>116,3507</v>
      </c>
      <c r="K24" s="6" t="s">
        <v>21</v>
      </c>
    </row>
    <row r="26" spans="1:11" ht="15" x14ac:dyDescent="0.2">
      <c r="A26" s="42" t="s">
        <v>234</v>
      </c>
      <c r="B26" s="43"/>
      <c r="C26" s="43"/>
      <c r="D26" s="43"/>
      <c r="E26" s="43"/>
      <c r="F26" s="43"/>
      <c r="G26" s="43"/>
      <c r="H26" s="43"/>
    </row>
    <row r="27" spans="1:11" x14ac:dyDescent="0.2">
      <c r="A27" s="6" t="s">
        <v>370</v>
      </c>
      <c r="B27" s="6" t="s">
        <v>371</v>
      </c>
      <c r="C27" s="6" t="s">
        <v>372</v>
      </c>
      <c r="D27" s="6" t="s">
        <v>16</v>
      </c>
      <c r="E27" s="7" t="s">
        <v>66</v>
      </c>
      <c r="F27" s="7" t="s">
        <v>81</v>
      </c>
      <c r="G27" s="7" t="s">
        <v>187</v>
      </c>
      <c r="H27" s="8"/>
      <c r="I27" s="10" t="str">
        <f>"185,0"</f>
        <v>185,0</v>
      </c>
      <c r="J27" s="11" t="str">
        <f>"140,9700"</f>
        <v>140,9700</v>
      </c>
      <c r="K27" s="6" t="s">
        <v>373</v>
      </c>
    </row>
    <row r="29" spans="1:11" ht="15" x14ac:dyDescent="0.2">
      <c r="A29" s="42" t="s">
        <v>124</v>
      </c>
      <c r="B29" s="43"/>
      <c r="C29" s="43"/>
      <c r="D29" s="43"/>
      <c r="E29" s="43"/>
      <c r="F29" s="43"/>
      <c r="G29" s="43"/>
      <c r="H29" s="43"/>
    </row>
    <row r="30" spans="1:11" x14ac:dyDescent="0.2">
      <c r="A30" s="12" t="s">
        <v>374</v>
      </c>
      <c r="B30" s="12" t="s">
        <v>252</v>
      </c>
      <c r="C30" s="12" t="s">
        <v>253</v>
      </c>
      <c r="D30" s="12" t="s">
        <v>16</v>
      </c>
      <c r="E30" s="14" t="s">
        <v>318</v>
      </c>
      <c r="F30" s="14" t="s">
        <v>120</v>
      </c>
      <c r="G30" s="13" t="s">
        <v>375</v>
      </c>
      <c r="H30" s="13"/>
      <c r="I30" s="18" t="str">
        <f>"232,5"</f>
        <v>232,5</v>
      </c>
      <c r="J30" s="19" t="str">
        <f>"164,2380"</f>
        <v>164,2380</v>
      </c>
      <c r="K30" s="12" t="s">
        <v>21</v>
      </c>
    </row>
    <row r="31" spans="1:11" x14ac:dyDescent="0.2">
      <c r="A31" s="22" t="s">
        <v>376</v>
      </c>
      <c r="B31" s="22" t="s">
        <v>377</v>
      </c>
      <c r="C31" s="22" t="s">
        <v>245</v>
      </c>
      <c r="D31" s="22" t="s">
        <v>16</v>
      </c>
      <c r="E31" s="24" t="s">
        <v>92</v>
      </c>
      <c r="F31" s="24" t="s">
        <v>378</v>
      </c>
      <c r="G31" s="23" t="s">
        <v>29</v>
      </c>
      <c r="H31" s="23"/>
      <c r="I31" s="25" t="str">
        <f>"202,5"</f>
        <v>202,5</v>
      </c>
      <c r="J31" s="26" t="str">
        <f>"140,5350"</f>
        <v>140,5350</v>
      </c>
      <c r="K31" s="22" t="s">
        <v>21</v>
      </c>
    </row>
    <row r="32" spans="1:11" x14ac:dyDescent="0.2">
      <c r="A32" s="15" t="s">
        <v>379</v>
      </c>
      <c r="B32" s="15" t="s">
        <v>248</v>
      </c>
      <c r="C32" s="15" t="s">
        <v>380</v>
      </c>
      <c r="D32" s="15" t="s">
        <v>146</v>
      </c>
      <c r="E32" s="16" t="s">
        <v>41</v>
      </c>
      <c r="F32" s="16" t="s">
        <v>42</v>
      </c>
      <c r="G32" s="16" t="s">
        <v>187</v>
      </c>
      <c r="H32" s="17"/>
      <c r="I32" s="20" t="str">
        <f>"185,0"</f>
        <v>185,0</v>
      </c>
      <c r="J32" s="21" t="str">
        <f>"134,7447"</f>
        <v>134,7447</v>
      </c>
      <c r="K32" s="15" t="s">
        <v>21</v>
      </c>
    </row>
    <row r="34" spans="1:11" ht="15" x14ac:dyDescent="0.2">
      <c r="A34" s="42" t="s">
        <v>45</v>
      </c>
      <c r="B34" s="43"/>
      <c r="C34" s="43"/>
      <c r="D34" s="43"/>
      <c r="E34" s="43"/>
      <c r="F34" s="43"/>
      <c r="G34" s="43"/>
      <c r="H34" s="43"/>
    </row>
    <row r="35" spans="1:11" x14ac:dyDescent="0.2">
      <c r="A35" s="12" t="s">
        <v>381</v>
      </c>
      <c r="B35" s="12" t="s">
        <v>382</v>
      </c>
      <c r="C35" s="12" t="s">
        <v>48</v>
      </c>
      <c r="D35" s="12" t="s">
        <v>16</v>
      </c>
      <c r="E35" s="14" t="s">
        <v>55</v>
      </c>
      <c r="F35" s="14" t="s">
        <v>56</v>
      </c>
      <c r="G35" s="14" t="s">
        <v>66</v>
      </c>
      <c r="H35" s="13"/>
      <c r="I35" s="18" t="str">
        <f>"165,0"</f>
        <v>165,0</v>
      </c>
      <c r="J35" s="19" t="str">
        <f>"109,2877"</f>
        <v>109,2877</v>
      </c>
      <c r="K35" s="12" t="s">
        <v>219</v>
      </c>
    </row>
    <row r="36" spans="1:11" x14ac:dyDescent="0.2">
      <c r="A36" s="22" t="s">
        <v>383</v>
      </c>
      <c r="B36" s="22" t="s">
        <v>384</v>
      </c>
      <c r="C36" s="22" t="s">
        <v>385</v>
      </c>
      <c r="D36" s="22" t="s">
        <v>339</v>
      </c>
      <c r="E36" s="24" t="s">
        <v>93</v>
      </c>
      <c r="F36" s="24" t="s">
        <v>386</v>
      </c>
      <c r="G36" s="23"/>
      <c r="H36" s="23"/>
      <c r="I36" s="25" t="str">
        <f>"212,5"</f>
        <v>212,5</v>
      </c>
      <c r="J36" s="26" t="str">
        <f>"138,4546"</f>
        <v>138,4546</v>
      </c>
      <c r="K36" s="22" t="s">
        <v>258</v>
      </c>
    </row>
    <row r="37" spans="1:11" x14ac:dyDescent="0.2">
      <c r="A37" s="15" t="s">
        <v>270</v>
      </c>
      <c r="B37" s="15" t="s">
        <v>271</v>
      </c>
      <c r="C37" s="15" t="s">
        <v>272</v>
      </c>
      <c r="D37" s="15" t="s">
        <v>273</v>
      </c>
      <c r="E37" s="17" t="s">
        <v>159</v>
      </c>
      <c r="F37" s="16" t="s">
        <v>159</v>
      </c>
      <c r="G37" s="16" t="s">
        <v>55</v>
      </c>
      <c r="H37" s="17"/>
      <c r="I37" s="20" t="str">
        <f>"140,0"</f>
        <v>140,0</v>
      </c>
      <c r="J37" s="21" t="str">
        <f>"135,1399"</f>
        <v>135,1399</v>
      </c>
      <c r="K37" s="15" t="s">
        <v>274</v>
      </c>
    </row>
    <row r="39" spans="1:11" ht="15" x14ac:dyDescent="0.2">
      <c r="A39" s="42" t="s">
        <v>23</v>
      </c>
      <c r="B39" s="43"/>
      <c r="C39" s="43"/>
      <c r="D39" s="43"/>
      <c r="E39" s="43"/>
      <c r="F39" s="43"/>
      <c r="G39" s="43"/>
      <c r="H39" s="43"/>
    </row>
    <row r="40" spans="1:11" x14ac:dyDescent="0.2">
      <c r="A40" s="12" t="s">
        <v>387</v>
      </c>
      <c r="B40" s="12" t="s">
        <v>388</v>
      </c>
      <c r="C40" s="12" t="s">
        <v>283</v>
      </c>
      <c r="D40" s="12" t="s">
        <v>16</v>
      </c>
      <c r="E40" s="14" t="s">
        <v>73</v>
      </c>
      <c r="F40" s="14" t="s">
        <v>164</v>
      </c>
      <c r="G40" s="14" t="s">
        <v>54</v>
      </c>
      <c r="H40" s="13"/>
      <c r="I40" s="18" t="str">
        <f>"130,0"</f>
        <v>130,0</v>
      </c>
      <c r="J40" s="19" t="str">
        <f>"81,3735"</f>
        <v>81,3735</v>
      </c>
      <c r="K40" s="12" t="s">
        <v>389</v>
      </c>
    </row>
    <row r="41" spans="1:11" x14ac:dyDescent="0.2">
      <c r="A41" s="15" t="s">
        <v>390</v>
      </c>
      <c r="B41" s="15" t="s">
        <v>391</v>
      </c>
      <c r="C41" s="15" t="s">
        <v>111</v>
      </c>
      <c r="D41" s="15" t="s">
        <v>146</v>
      </c>
      <c r="E41" s="16" t="s">
        <v>49</v>
      </c>
      <c r="F41" s="17" t="s">
        <v>20</v>
      </c>
      <c r="G41" s="16" t="s">
        <v>20</v>
      </c>
      <c r="H41" s="17"/>
      <c r="I41" s="20" t="str">
        <f>"270,0"</f>
        <v>270,0</v>
      </c>
      <c r="J41" s="21" t="str">
        <f>"166,6710"</f>
        <v>166,6710</v>
      </c>
      <c r="K41" s="15" t="s">
        <v>150</v>
      </c>
    </row>
    <row r="43" spans="1:11" ht="15" x14ac:dyDescent="0.2">
      <c r="A43" s="42" t="s">
        <v>195</v>
      </c>
      <c r="B43" s="43"/>
      <c r="C43" s="43"/>
      <c r="D43" s="43"/>
      <c r="E43" s="43"/>
      <c r="F43" s="43"/>
      <c r="G43" s="43"/>
      <c r="H43" s="43"/>
    </row>
    <row r="44" spans="1:11" x14ac:dyDescent="0.2">
      <c r="A44" s="6" t="s">
        <v>196</v>
      </c>
      <c r="B44" s="6" t="s">
        <v>197</v>
      </c>
      <c r="C44" s="6" t="s">
        <v>198</v>
      </c>
      <c r="D44" s="6" t="s">
        <v>199</v>
      </c>
      <c r="E44" s="7" t="s">
        <v>70</v>
      </c>
      <c r="F44" s="8"/>
      <c r="G44" s="8"/>
      <c r="H44" s="8"/>
      <c r="I44" s="10" t="str">
        <f>"180,0"</f>
        <v>180,0</v>
      </c>
      <c r="J44" s="11" t="str">
        <f>"142,0075"</f>
        <v>142,0075</v>
      </c>
      <c r="K44" s="6" t="s">
        <v>21</v>
      </c>
    </row>
  </sheetData>
  <mergeCells count="21">
    <mergeCell ref="A1:K2"/>
    <mergeCell ref="A3:A4"/>
    <mergeCell ref="B3:B4"/>
    <mergeCell ref="C3:C4"/>
    <mergeCell ref="D3:D4"/>
    <mergeCell ref="E3:H3"/>
    <mergeCell ref="A23:H23"/>
    <mergeCell ref="I3:I4"/>
    <mergeCell ref="J3:J4"/>
    <mergeCell ref="K3:K4"/>
    <mergeCell ref="A5:H5"/>
    <mergeCell ref="A8:H8"/>
    <mergeCell ref="A11:H11"/>
    <mergeCell ref="A14:H14"/>
    <mergeCell ref="A17:H17"/>
    <mergeCell ref="A20:H20"/>
    <mergeCell ref="A26:H26"/>
    <mergeCell ref="A29:H29"/>
    <mergeCell ref="A34:H34"/>
    <mergeCell ref="A39:H39"/>
    <mergeCell ref="A43:H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18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30.5703125" style="4" bestFit="1" customWidth="1"/>
    <col min="5" max="7" width="5.5703125" style="3" customWidth="1"/>
    <col min="8" max="8" width="4.5703125" style="3" customWidth="1"/>
    <col min="9" max="11" width="5.5703125" style="3" customWidth="1"/>
    <col min="12" max="12" width="4.5703125" style="3" customWidth="1"/>
    <col min="13" max="15" width="5.5703125" style="3" customWidth="1"/>
    <col min="16" max="16" width="4.5703125" style="3" customWidth="1"/>
    <col min="17" max="17" width="7.7109375" style="9" bestFit="1" customWidth="1"/>
    <col min="18" max="18" width="8.5703125" style="2" bestFit="1" customWidth="1"/>
    <col min="19" max="19" width="19.7109375" style="4" bestFit="1" customWidth="1"/>
    <col min="20" max="16384" width="9.140625" style="3"/>
  </cols>
  <sheetData>
    <row r="1" spans="1:19" s="2" customFormat="1" ht="28.9" customHeight="1" x14ac:dyDescent="0.2">
      <c r="A1" s="41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45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12" t="s">
        <v>46</v>
      </c>
      <c r="B6" s="12" t="s">
        <v>47</v>
      </c>
      <c r="C6" s="12" t="s">
        <v>48</v>
      </c>
      <c r="D6" s="12" t="s">
        <v>16</v>
      </c>
      <c r="E6" s="13" t="s">
        <v>17</v>
      </c>
      <c r="F6" s="13" t="s">
        <v>17</v>
      </c>
      <c r="G6" s="13" t="s">
        <v>17</v>
      </c>
      <c r="H6" s="13"/>
      <c r="I6" s="13" t="s">
        <v>42</v>
      </c>
      <c r="J6" s="13"/>
      <c r="K6" s="13"/>
      <c r="L6" s="13"/>
      <c r="M6" s="13" t="s">
        <v>49</v>
      </c>
      <c r="N6" s="13"/>
      <c r="O6" s="13"/>
      <c r="P6" s="13"/>
      <c r="Q6" s="18" t="str">
        <f>"0.00"</f>
        <v>0.00</v>
      </c>
      <c r="R6" s="19" t="str">
        <f>"0,0000"</f>
        <v>0,0000</v>
      </c>
      <c r="S6" s="12" t="s">
        <v>21</v>
      </c>
    </row>
    <row r="7" spans="1:19" x14ac:dyDescent="0.2">
      <c r="A7" s="15" t="s">
        <v>50</v>
      </c>
      <c r="B7" s="15" t="s">
        <v>51</v>
      </c>
      <c r="C7" s="15" t="s">
        <v>52</v>
      </c>
      <c r="D7" s="15" t="s">
        <v>53</v>
      </c>
      <c r="E7" s="16" t="s">
        <v>54</v>
      </c>
      <c r="F7" s="16" t="s">
        <v>55</v>
      </c>
      <c r="G7" s="16" t="s">
        <v>56</v>
      </c>
      <c r="H7" s="17"/>
      <c r="I7" s="16" t="s">
        <v>57</v>
      </c>
      <c r="J7" s="17" t="s">
        <v>58</v>
      </c>
      <c r="K7" s="16" t="s">
        <v>59</v>
      </c>
      <c r="L7" s="17"/>
      <c r="M7" s="16" t="s">
        <v>55</v>
      </c>
      <c r="N7" s="16" t="s">
        <v>56</v>
      </c>
      <c r="O7" s="16" t="s">
        <v>41</v>
      </c>
      <c r="P7" s="17"/>
      <c r="Q7" s="20" t="str">
        <f>"390,0"</f>
        <v>390,0</v>
      </c>
      <c r="R7" s="21" t="str">
        <f>"401,0413"</f>
        <v>401,0413</v>
      </c>
      <c r="S7" s="15" t="s">
        <v>21</v>
      </c>
    </row>
    <row r="9" spans="1:19" ht="15" x14ac:dyDescent="0.2">
      <c r="A9" s="42" t="s">
        <v>23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9" x14ac:dyDescent="0.2">
      <c r="A10" s="12" t="s">
        <v>60</v>
      </c>
      <c r="B10" s="12" t="s">
        <v>61</v>
      </c>
      <c r="C10" s="12" t="s">
        <v>62</v>
      </c>
      <c r="D10" s="12" t="s">
        <v>16</v>
      </c>
      <c r="E10" s="14" t="s">
        <v>63</v>
      </c>
      <c r="F10" s="14" t="s">
        <v>64</v>
      </c>
      <c r="G10" s="14" t="s">
        <v>35</v>
      </c>
      <c r="H10" s="13"/>
      <c r="I10" s="14" t="s">
        <v>65</v>
      </c>
      <c r="J10" s="14" t="s">
        <v>66</v>
      </c>
      <c r="K10" s="13" t="s">
        <v>42</v>
      </c>
      <c r="L10" s="13"/>
      <c r="M10" s="14" t="s">
        <v>63</v>
      </c>
      <c r="N10" s="14" t="s">
        <v>17</v>
      </c>
      <c r="O10" s="13" t="s">
        <v>20</v>
      </c>
      <c r="P10" s="13"/>
      <c r="Q10" s="18" t="str">
        <f>"675,0"</f>
        <v>675,0</v>
      </c>
      <c r="R10" s="19" t="str">
        <f>"418,2975"</f>
        <v>418,2975</v>
      </c>
      <c r="S10" s="12" t="s">
        <v>21</v>
      </c>
    </row>
    <row r="11" spans="1:19" x14ac:dyDescent="0.2">
      <c r="A11" s="15" t="s">
        <v>67</v>
      </c>
      <c r="B11" s="15" t="s">
        <v>68</v>
      </c>
      <c r="C11" s="15" t="s">
        <v>69</v>
      </c>
      <c r="D11" s="15" t="s">
        <v>16</v>
      </c>
      <c r="E11" s="16" t="s">
        <v>56</v>
      </c>
      <c r="F11" s="17" t="s">
        <v>70</v>
      </c>
      <c r="G11" s="17" t="s">
        <v>70</v>
      </c>
      <c r="H11" s="17"/>
      <c r="I11" s="16" t="s">
        <v>71</v>
      </c>
      <c r="J11" s="16" t="s">
        <v>72</v>
      </c>
      <c r="K11" s="17" t="s">
        <v>73</v>
      </c>
      <c r="L11" s="17"/>
      <c r="M11" s="16" t="s">
        <v>33</v>
      </c>
      <c r="N11" s="17" t="s">
        <v>66</v>
      </c>
      <c r="O11" s="16" t="s">
        <v>42</v>
      </c>
      <c r="P11" s="17"/>
      <c r="Q11" s="20" t="str">
        <f>"415,0"</f>
        <v>415,0</v>
      </c>
      <c r="R11" s="21" t="str">
        <f>"255,1835"</f>
        <v>255,1835</v>
      </c>
      <c r="S11" s="15" t="s">
        <v>74</v>
      </c>
    </row>
    <row r="13" spans="1:19" ht="15" x14ac:dyDescent="0.2">
      <c r="A13" s="42" t="s">
        <v>75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9" x14ac:dyDescent="0.2">
      <c r="A14" s="6" t="s">
        <v>76</v>
      </c>
      <c r="B14" s="6" t="s">
        <v>77</v>
      </c>
      <c r="C14" s="6" t="s">
        <v>78</v>
      </c>
      <c r="D14" s="6" t="s">
        <v>16</v>
      </c>
      <c r="E14" s="7" t="s">
        <v>79</v>
      </c>
      <c r="F14" s="8" t="s">
        <v>80</v>
      </c>
      <c r="G14" s="8" t="s">
        <v>80</v>
      </c>
      <c r="H14" s="8"/>
      <c r="I14" s="7" t="s">
        <v>66</v>
      </c>
      <c r="J14" s="8" t="s">
        <v>81</v>
      </c>
      <c r="K14" s="7" t="s">
        <v>81</v>
      </c>
      <c r="L14" s="8"/>
      <c r="M14" s="7" t="s">
        <v>19</v>
      </c>
      <c r="N14" s="7" t="s">
        <v>82</v>
      </c>
      <c r="O14" s="8" t="s">
        <v>83</v>
      </c>
      <c r="P14" s="8"/>
      <c r="Q14" s="10" t="str">
        <f>"815,0"</f>
        <v>815,0</v>
      </c>
      <c r="R14" s="11" t="str">
        <f>"462,7570"</f>
        <v>462,7570</v>
      </c>
      <c r="S14" s="6" t="s">
        <v>84</v>
      </c>
    </row>
    <row r="16" spans="1:19" ht="15" x14ac:dyDescent="0.2">
      <c r="A16" s="42" t="s">
        <v>85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9" x14ac:dyDescent="0.2">
      <c r="A17" s="12" t="s">
        <v>86</v>
      </c>
      <c r="B17" s="12" t="s">
        <v>87</v>
      </c>
      <c r="C17" s="12" t="s">
        <v>88</v>
      </c>
      <c r="D17" s="12" t="s">
        <v>89</v>
      </c>
      <c r="E17" s="14" t="s">
        <v>83</v>
      </c>
      <c r="F17" s="14" t="s">
        <v>90</v>
      </c>
      <c r="G17" s="14" t="s">
        <v>91</v>
      </c>
      <c r="H17" s="13"/>
      <c r="I17" s="14" t="s">
        <v>92</v>
      </c>
      <c r="J17" s="14" t="s">
        <v>28</v>
      </c>
      <c r="K17" s="14" t="s">
        <v>93</v>
      </c>
      <c r="L17" s="13"/>
      <c r="M17" s="14" t="s">
        <v>94</v>
      </c>
      <c r="N17" s="14" t="s">
        <v>80</v>
      </c>
      <c r="O17" s="13"/>
      <c r="P17" s="13"/>
      <c r="Q17" s="18" t="str">
        <f>"890,0"</f>
        <v>890,0</v>
      </c>
      <c r="R17" s="19" t="str">
        <f>"496,8870"</f>
        <v>496,8870</v>
      </c>
      <c r="S17" s="12" t="s">
        <v>21</v>
      </c>
    </row>
    <row r="18" spans="1:19" x14ac:dyDescent="0.2">
      <c r="A18" s="15" t="s">
        <v>86</v>
      </c>
      <c r="B18" s="15" t="s">
        <v>95</v>
      </c>
      <c r="C18" s="15" t="s">
        <v>88</v>
      </c>
      <c r="D18" s="15" t="s">
        <v>89</v>
      </c>
      <c r="E18" s="16" t="s">
        <v>83</v>
      </c>
      <c r="F18" s="16" t="s">
        <v>90</v>
      </c>
      <c r="G18" s="16" t="s">
        <v>91</v>
      </c>
      <c r="H18" s="17"/>
      <c r="I18" s="16" t="s">
        <v>92</v>
      </c>
      <c r="J18" s="16" t="s">
        <v>28</v>
      </c>
      <c r="K18" s="16" t="s">
        <v>93</v>
      </c>
      <c r="L18" s="17"/>
      <c r="M18" s="16" t="s">
        <v>94</v>
      </c>
      <c r="N18" s="16" t="s">
        <v>80</v>
      </c>
      <c r="O18" s="17"/>
      <c r="P18" s="17"/>
      <c r="Q18" s="20" t="str">
        <f>"890,0"</f>
        <v>890,0</v>
      </c>
      <c r="R18" s="21" t="str">
        <f>"496,8870"</f>
        <v>496,8870</v>
      </c>
      <c r="S18" s="15" t="s">
        <v>21</v>
      </c>
    </row>
  </sheetData>
  <mergeCells count="15">
    <mergeCell ref="S3:S4"/>
    <mergeCell ref="A5:P5"/>
    <mergeCell ref="A1:S2"/>
    <mergeCell ref="A3:A4"/>
    <mergeCell ref="B3:B4"/>
    <mergeCell ref="C3:C4"/>
    <mergeCell ref="D3:D4"/>
    <mergeCell ref="E3:H3"/>
    <mergeCell ref="I3:L3"/>
    <mergeCell ref="M3:P3"/>
    <mergeCell ref="A9:P9"/>
    <mergeCell ref="A13:P13"/>
    <mergeCell ref="A16:P16"/>
    <mergeCell ref="Q3:Q4"/>
    <mergeCell ref="R3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9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36" style="4" bestFit="1" customWidth="1"/>
    <col min="5" max="7" width="5.5703125" style="3" customWidth="1"/>
    <col min="8" max="8" width="4.5703125" style="3" customWidth="1"/>
    <col min="9" max="11" width="5.5703125" style="3" customWidth="1"/>
    <col min="12" max="12" width="4.5703125" style="3" customWidth="1"/>
    <col min="13" max="15" width="5.5703125" style="3" customWidth="1"/>
    <col min="16" max="16" width="4.5703125" style="3" customWidth="1"/>
    <col min="17" max="17" width="7.7109375" style="9" bestFit="1" customWidth="1"/>
    <col min="18" max="18" width="8.5703125" style="2" bestFit="1" customWidth="1"/>
    <col min="19" max="19" width="17.28515625" style="4" bestFit="1" customWidth="1"/>
    <col min="20" max="16384" width="9.140625" style="3"/>
  </cols>
  <sheetData>
    <row r="1" spans="1:19" s="2" customFormat="1" ht="28.9" customHeight="1" x14ac:dyDescent="0.2">
      <c r="A1" s="41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" customFormat="1" ht="61.9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1" customFormat="1" ht="12.75" customHeight="1" x14ac:dyDescent="0.2">
      <c r="A3" s="35" t="s">
        <v>0</v>
      </c>
      <c r="B3" s="37" t="s">
        <v>5</v>
      </c>
      <c r="C3" s="37" t="s">
        <v>7</v>
      </c>
      <c r="D3" s="27" t="s">
        <v>6</v>
      </c>
      <c r="E3" s="27" t="s">
        <v>9</v>
      </c>
      <c r="F3" s="27"/>
      <c r="G3" s="27"/>
      <c r="H3" s="27"/>
      <c r="I3" s="27" t="s">
        <v>10</v>
      </c>
      <c r="J3" s="27"/>
      <c r="K3" s="27"/>
      <c r="L3" s="27"/>
      <c r="M3" s="27" t="s">
        <v>11</v>
      </c>
      <c r="N3" s="27"/>
      <c r="O3" s="27"/>
      <c r="P3" s="27"/>
      <c r="Q3" s="27" t="s">
        <v>1</v>
      </c>
      <c r="R3" s="27" t="s">
        <v>3</v>
      </c>
      <c r="S3" s="28" t="s">
        <v>2</v>
      </c>
    </row>
    <row r="4" spans="1:19" s="1" customFormat="1" ht="21" customHeight="1" thickBot="1" x14ac:dyDescent="0.25">
      <c r="A4" s="36"/>
      <c r="B4" s="38"/>
      <c r="C4" s="38"/>
      <c r="D4" s="38"/>
      <c r="E4" s="5">
        <v>1</v>
      </c>
      <c r="F4" s="5">
        <v>2</v>
      </c>
      <c r="G4" s="5">
        <v>3</v>
      </c>
      <c r="H4" s="5" t="s">
        <v>4</v>
      </c>
      <c r="I4" s="5">
        <v>1</v>
      </c>
      <c r="J4" s="5">
        <v>2</v>
      </c>
      <c r="K4" s="5">
        <v>3</v>
      </c>
      <c r="L4" s="5" t="s">
        <v>4</v>
      </c>
      <c r="M4" s="5">
        <v>1</v>
      </c>
      <c r="N4" s="5">
        <v>2</v>
      </c>
      <c r="O4" s="5">
        <v>3</v>
      </c>
      <c r="P4" s="5" t="s">
        <v>4</v>
      </c>
      <c r="Q4" s="38"/>
      <c r="R4" s="38"/>
      <c r="S4" s="29"/>
    </row>
    <row r="5" spans="1:19" ht="15" x14ac:dyDescent="0.2">
      <c r="A5" s="39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x14ac:dyDescent="0.2">
      <c r="A6" s="6" t="s">
        <v>24</v>
      </c>
      <c r="B6" s="6" t="s">
        <v>25</v>
      </c>
      <c r="C6" s="6" t="s">
        <v>26</v>
      </c>
      <c r="D6" s="6" t="s">
        <v>27</v>
      </c>
      <c r="E6" s="7" t="s">
        <v>28</v>
      </c>
      <c r="F6" s="7" t="s">
        <v>29</v>
      </c>
      <c r="G6" s="8" t="s">
        <v>30</v>
      </c>
      <c r="H6" s="8"/>
      <c r="I6" s="7" t="s">
        <v>31</v>
      </c>
      <c r="J6" s="7" t="s">
        <v>32</v>
      </c>
      <c r="K6" s="7" t="s">
        <v>33</v>
      </c>
      <c r="L6" s="8"/>
      <c r="M6" s="7" t="s">
        <v>34</v>
      </c>
      <c r="N6" s="8" t="s">
        <v>35</v>
      </c>
      <c r="O6" s="8" t="s">
        <v>35</v>
      </c>
      <c r="P6" s="8"/>
      <c r="Q6" s="10" t="str">
        <f>"595,0"</f>
        <v>595,0</v>
      </c>
      <c r="R6" s="11" t="str">
        <f>"366,1035"</f>
        <v>366,1035</v>
      </c>
      <c r="S6" s="6" t="s">
        <v>36</v>
      </c>
    </row>
    <row r="8" spans="1:19" ht="15" x14ac:dyDescent="0.2">
      <c r="A8" s="42" t="s">
        <v>12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9" x14ac:dyDescent="0.2">
      <c r="A9" s="6" t="s">
        <v>37</v>
      </c>
      <c r="B9" s="6" t="s">
        <v>38</v>
      </c>
      <c r="C9" s="6" t="s">
        <v>39</v>
      </c>
      <c r="D9" s="6" t="s">
        <v>16</v>
      </c>
      <c r="E9" s="7" t="s">
        <v>29</v>
      </c>
      <c r="F9" s="8" t="s">
        <v>40</v>
      </c>
      <c r="G9" s="7" t="s">
        <v>40</v>
      </c>
      <c r="H9" s="8"/>
      <c r="I9" s="7" t="s">
        <v>41</v>
      </c>
      <c r="J9" s="7" t="s">
        <v>42</v>
      </c>
      <c r="K9" s="7" t="s">
        <v>43</v>
      </c>
      <c r="L9" s="8"/>
      <c r="M9" s="7" t="s">
        <v>17</v>
      </c>
      <c r="N9" s="8" t="s">
        <v>18</v>
      </c>
      <c r="O9" s="7" t="s">
        <v>18</v>
      </c>
      <c r="P9" s="8"/>
      <c r="Q9" s="10" t="str">
        <f>"667,5"</f>
        <v>667,5</v>
      </c>
      <c r="R9" s="11" t="str">
        <f>"388,5184"</f>
        <v>388,5184</v>
      </c>
      <c r="S9" s="6" t="s">
        <v>21</v>
      </c>
    </row>
  </sheetData>
  <mergeCells count="13">
    <mergeCell ref="A1:S2"/>
    <mergeCell ref="A3:A4"/>
    <mergeCell ref="B3:B4"/>
    <mergeCell ref="C3:C4"/>
    <mergeCell ref="D3:D4"/>
    <mergeCell ref="E3:H3"/>
    <mergeCell ref="I3:L3"/>
    <mergeCell ref="M3:P3"/>
    <mergeCell ref="A8:P8"/>
    <mergeCell ref="Q3:Q4"/>
    <mergeCell ref="R3:R4"/>
    <mergeCell ref="S3:S4"/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AWPC pl raw</vt:lpstr>
      <vt:lpstr>AWPC cl pl</vt:lpstr>
      <vt:lpstr>AWPC pl sp</vt:lpstr>
      <vt:lpstr>AWPC bprawdis</vt:lpstr>
      <vt:lpstr>AWPC bp raw</vt:lpstr>
      <vt:lpstr>AWPC bpsoft</vt:lpstr>
      <vt:lpstr>AWPC dlraw</vt:lpstr>
      <vt:lpstr>WPC cl pl</vt:lpstr>
      <vt:lpstr>WPC pl raw</vt:lpstr>
      <vt:lpstr>WPC plsoft</vt:lpstr>
      <vt:lpstr>WPC bp raw</vt:lpstr>
      <vt:lpstr>WPC dlraw</vt:lpstr>
      <vt:lpstr>WPC dl</vt:lpstr>
      <vt:lpstr>WPC bpsoft</vt:lpstr>
      <vt:lpstr>AGPC sq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2021-01-18T13:32:09Z</dcterms:modified>
</cp:coreProperties>
</file>