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C07356F8-5FF3-7E4D-8B7D-662A1DD7757B}" xr6:coauthVersionLast="45" xr6:coauthVersionMax="45" xr10:uidLastSave="{00000000-0000-0000-0000-000000000000}"/>
  <bookViews>
    <workbookView xWindow="500" yWindow="460" windowWidth="28300" windowHeight="16140" tabRatio="976" firstSheet="10" activeTab="14" xr2:uid="{00000000-000D-0000-FFFF-FFFF00000000}"/>
  </bookViews>
  <sheets>
    <sheet name="WRPF ПЛ без экипировки ДК" sheetId="9" r:id="rId1"/>
    <sheet name="WRPF ПЛ без экипировки" sheetId="8" r:id="rId2"/>
    <sheet name="WRPF ПЛ в бинтах ДК" sheetId="6" r:id="rId3"/>
    <sheet name="WRPF ПЛ в бинтах" sheetId="5" r:id="rId4"/>
    <sheet name="WRPF Двоеборье без экип ДК" sheetId="20" r:id="rId5"/>
    <sheet name="WRPF Двоеборье без экип" sheetId="19" r:id="rId6"/>
    <sheet name="WRPF Жим лежа без экип ДК" sheetId="13" r:id="rId7"/>
    <sheet name="WRPF Жим лежа без экип" sheetId="12" r:id="rId8"/>
    <sheet name="WEPF Жим софт однопетельная ДК" sheetId="14" r:id="rId9"/>
    <sheet name="WEPF Жим софт однопетельная" sheetId="11" r:id="rId10"/>
    <sheet name="WEPF Жим софт многопетельнаяДК" sheetId="16" r:id="rId11"/>
    <sheet name="WEPF Жим софт многопетельная" sheetId="15" r:id="rId12"/>
    <sheet name="WRPF Тяга без экипировки ДК" sheetId="18" r:id="rId13"/>
    <sheet name="WRPF Тяга без экипировки" sheetId="17" r:id="rId14"/>
    <sheet name="WRPF Подъем на бицепс" sheetId="22" r:id="rId15"/>
  </sheets>
  <definedNames>
    <definedName name="_FilterDatabase" localSheetId="3" hidden="1">'WRPF ПЛ в бинтах'!$A$1:$S$3</definedName>
    <definedName name="_FilterDatabase" localSheetId="14" hidden="1">'WRPF Подъем на бицепс'!$A$1:$K$3</definedName>
  </definedNames>
  <calcPr calcId="124519" refMode="R1C1" calcCompleted="0"/>
</workbook>
</file>

<file path=xl/calcChain.xml><?xml version="1.0" encoding="utf-8"?>
<calcChain xmlns="http://schemas.openxmlformats.org/spreadsheetml/2006/main">
  <c r="L32" i="22" l="1"/>
  <c r="K32" i="22"/>
  <c r="L29" i="22"/>
  <c r="K29" i="22"/>
  <c r="L28" i="22"/>
  <c r="K28" i="22"/>
  <c r="L27" i="22"/>
  <c r="K27" i="22"/>
  <c r="L24" i="22"/>
  <c r="K24" i="22"/>
  <c r="L21" i="22"/>
  <c r="L18" i="22"/>
  <c r="K18" i="22"/>
  <c r="L15" i="22"/>
  <c r="K15" i="22"/>
  <c r="L14" i="22"/>
  <c r="K14" i="22"/>
  <c r="L13" i="22"/>
  <c r="K13" i="22"/>
  <c r="L12" i="22"/>
  <c r="K12" i="22"/>
  <c r="L9" i="22"/>
  <c r="K9" i="22"/>
  <c r="L6" i="22"/>
  <c r="K6" i="22"/>
  <c r="P34" i="20"/>
  <c r="O34" i="20"/>
  <c r="P31" i="20"/>
  <c r="O31" i="20"/>
  <c r="P30" i="20"/>
  <c r="O30" i="20"/>
  <c r="P27" i="20"/>
  <c r="O27" i="20"/>
  <c r="P26" i="20"/>
  <c r="O26" i="20"/>
  <c r="P23" i="20"/>
  <c r="O23" i="20"/>
  <c r="P22" i="20"/>
  <c r="O22" i="20"/>
  <c r="P21" i="20"/>
  <c r="O21" i="20"/>
  <c r="P18" i="20"/>
  <c r="O18" i="20"/>
  <c r="P15" i="20"/>
  <c r="O15" i="20"/>
  <c r="P12" i="20"/>
  <c r="O12" i="20"/>
  <c r="P9" i="20"/>
  <c r="O9" i="20"/>
  <c r="P6" i="20"/>
  <c r="O6" i="20"/>
  <c r="P25" i="19"/>
  <c r="O25" i="19"/>
  <c r="P22" i="19"/>
  <c r="O22" i="19"/>
  <c r="P21" i="19"/>
  <c r="O21" i="19"/>
  <c r="P20" i="19"/>
  <c r="O20" i="19"/>
  <c r="P19" i="19"/>
  <c r="O19" i="19"/>
  <c r="P16" i="19"/>
  <c r="O16" i="19"/>
  <c r="P13" i="19"/>
  <c r="O13" i="19"/>
  <c r="P12" i="19"/>
  <c r="O12" i="19"/>
  <c r="P9" i="19"/>
  <c r="O9" i="19"/>
  <c r="P6" i="19"/>
  <c r="O6" i="19"/>
  <c r="L49" i="18"/>
  <c r="K49" i="18"/>
  <c r="L46" i="18"/>
  <c r="K46" i="18"/>
  <c r="L45" i="18"/>
  <c r="K45" i="18"/>
  <c r="L44" i="18"/>
  <c r="L43" i="18"/>
  <c r="K43" i="18"/>
  <c r="L42" i="18"/>
  <c r="K42" i="18"/>
  <c r="L39" i="18"/>
  <c r="K39" i="18"/>
  <c r="L38" i="18"/>
  <c r="L35" i="18"/>
  <c r="K35" i="18"/>
  <c r="L34" i="18"/>
  <c r="K34" i="18"/>
  <c r="L33" i="18"/>
  <c r="K33" i="18"/>
  <c r="L32" i="18"/>
  <c r="K32" i="18"/>
  <c r="L29" i="18"/>
  <c r="K29" i="18"/>
  <c r="L28" i="18"/>
  <c r="K28" i="18"/>
  <c r="L27" i="18"/>
  <c r="K27" i="18"/>
  <c r="L26" i="18"/>
  <c r="K26" i="18"/>
  <c r="L23" i="18"/>
  <c r="K23" i="18"/>
  <c r="L22" i="18"/>
  <c r="K22" i="18"/>
  <c r="L21" i="18"/>
  <c r="K21" i="18"/>
  <c r="L18" i="18"/>
  <c r="K18" i="18"/>
  <c r="L15" i="18"/>
  <c r="K15" i="18"/>
  <c r="L12" i="18"/>
  <c r="K12" i="18"/>
  <c r="L11" i="18"/>
  <c r="K11" i="18"/>
  <c r="L8" i="18"/>
  <c r="K8" i="18"/>
  <c r="L7" i="18"/>
  <c r="K7" i="18"/>
  <c r="L6" i="18"/>
  <c r="K6" i="18"/>
  <c r="L31" i="17"/>
  <c r="K31" i="17"/>
  <c r="L28" i="17"/>
  <c r="K28" i="17"/>
  <c r="L27" i="17"/>
  <c r="K27" i="17"/>
  <c r="L26" i="17"/>
  <c r="K26" i="17"/>
  <c r="L25" i="17"/>
  <c r="K25" i="17"/>
  <c r="L24" i="17"/>
  <c r="K24" i="17"/>
  <c r="L23" i="17"/>
  <c r="K23" i="17"/>
  <c r="L22" i="17"/>
  <c r="K22" i="17"/>
  <c r="L19" i="17"/>
  <c r="K19" i="17"/>
  <c r="L18" i="17"/>
  <c r="K18" i="17"/>
  <c r="L17" i="17"/>
  <c r="K17" i="17"/>
  <c r="L16" i="17"/>
  <c r="K16" i="17"/>
  <c r="L13" i="17"/>
  <c r="K13" i="17"/>
  <c r="L10" i="17"/>
  <c r="K10" i="17"/>
  <c r="L7" i="17"/>
  <c r="K7" i="17"/>
  <c r="L6" i="17"/>
  <c r="K6" i="17"/>
  <c r="L7" i="16"/>
  <c r="K7" i="16"/>
  <c r="L6" i="16"/>
  <c r="K6" i="16"/>
  <c r="L13" i="15"/>
  <c r="K13" i="15"/>
  <c r="L10" i="15"/>
  <c r="K10" i="15"/>
  <c r="L9" i="15"/>
  <c r="K9" i="15"/>
  <c r="L6" i="15"/>
  <c r="K6" i="15"/>
  <c r="L13" i="14"/>
  <c r="K13" i="14"/>
  <c r="L12" i="14"/>
  <c r="K12" i="14"/>
  <c r="L9" i="14"/>
  <c r="K9" i="14"/>
  <c r="L6" i="14"/>
  <c r="K6" i="14"/>
  <c r="L66" i="13"/>
  <c r="K66" i="13"/>
  <c r="L63" i="13"/>
  <c r="K63" i="13"/>
  <c r="L60" i="13"/>
  <c r="K60" i="13"/>
  <c r="L59" i="13"/>
  <c r="K59" i="13"/>
  <c r="L56" i="13"/>
  <c r="K56" i="13"/>
  <c r="L55" i="13"/>
  <c r="K55" i="13"/>
  <c r="L54" i="13"/>
  <c r="K54" i="13"/>
  <c r="L53" i="13"/>
  <c r="K53" i="13"/>
  <c r="L52" i="13"/>
  <c r="K52" i="13"/>
  <c r="L51" i="13"/>
  <c r="K51" i="13"/>
  <c r="L50" i="13"/>
  <c r="K50" i="13"/>
  <c r="L47" i="13"/>
  <c r="K47" i="13"/>
  <c r="L46" i="13"/>
  <c r="K46" i="13"/>
  <c r="L45" i="13"/>
  <c r="L44" i="13"/>
  <c r="K44" i="13"/>
  <c r="L43" i="13"/>
  <c r="K43" i="13"/>
  <c r="L42" i="13"/>
  <c r="K42" i="13"/>
  <c r="L39" i="13"/>
  <c r="L38" i="13"/>
  <c r="K38" i="13"/>
  <c r="L37" i="13"/>
  <c r="K37" i="13"/>
  <c r="L36" i="13"/>
  <c r="K36" i="13"/>
  <c r="L35" i="13"/>
  <c r="K35" i="13"/>
  <c r="L34" i="13"/>
  <c r="K34" i="13"/>
  <c r="L33" i="13"/>
  <c r="K33" i="13"/>
  <c r="L30" i="13"/>
  <c r="K30" i="13"/>
  <c r="L29" i="13"/>
  <c r="L28" i="13"/>
  <c r="L25" i="13"/>
  <c r="K25" i="13"/>
  <c r="L24" i="13"/>
  <c r="K24" i="13"/>
  <c r="L23" i="13"/>
  <c r="K23" i="13"/>
  <c r="L22" i="13"/>
  <c r="K22" i="13"/>
  <c r="L21" i="13"/>
  <c r="K21" i="13"/>
  <c r="L20" i="13"/>
  <c r="K20" i="13"/>
  <c r="L17" i="13"/>
  <c r="K17" i="13"/>
  <c r="L16" i="13"/>
  <c r="K16" i="13"/>
  <c r="L15" i="13"/>
  <c r="K15" i="13"/>
  <c r="L12" i="13"/>
  <c r="K12" i="13"/>
  <c r="L9" i="13"/>
  <c r="K9" i="13"/>
  <c r="L6" i="13"/>
  <c r="K6" i="13"/>
  <c r="L37" i="12"/>
  <c r="L36" i="12"/>
  <c r="K36" i="12"/>
  <c r="L33" i="12"/>
  <c r="L30" i="12"/>
  <c r="K30" i="12"/>
  <c r="L29" i="12"/>
  <c r="K29" i="12"/>
  <c r="L28" i="12"/>
  <c r="K28" i="12"/>
  <c r="L25" i="12"/>
  <c r="K25" i="12"/>
  <c r="L24" i="12"/>
  <c r="K24" i="12"/>
  <c r="L23" i="12"/>
  <c r="K23" i="12"/>
  <c r="L20" i="12"/>
  <c r="L19" i="12"/>
  <c r="K19" i="12"/>
  <c r="L18" i="12"/>
  <c r="K18" i="12"/>
  <c r="L17" i="12"/>
  <c r="K17" i="12"/>
  <c r="L14" i="12"/>
  <c r="L13" i="12"/>
  <c r="K13" i="12"/>
  <c r="L12" i="12"/>
  <c r="K12" i="12"/>
  <c r="L9" i="12"/>
  <c r="K9" i="12"/>
  <c r="L6" i="12"/>
  <c r="K6" i="12"/>
  <c r="L8" i="11"/>
  <c r="K8" i="11"/>
  <c r="L7" i="11"/>
  <c r="K7" i="11"/>
  <c r="L6" i="11"/>
  <c r="K6" i="11"/>
  <c r="T56" i="9"/>
  <c r="S56" i="9"/>
  <c r="T53" i="9"/>
  <c r="S53" i="9"/>
  <c r="T52" i="9"/>
  <c r="S52" i="9"/>
  <c r="T49" i="9"/>
  <c r="S49" i="9"/>
  <c r="T48" i="9"/>
  <c r="S48" i="9"/>
  <c r="T47" i="9"/>
  <c r="S47" i="9"/>
  <c r="T44" i="9"/>
  <c r="S44" i="9"/>
  <c r="T43" i="9"/>
  <c r="S43" i="9"/>
  <c r="T40" i="9"/>
  <c r="S40" i="9"/>
  <c r="T39" i="9"/>
  <c r="S39" i="9"/>
  <c r="T38" i="9"/>
  <c r="S38" i="9"/>
  <c r="T35" i="9"/>
  <c r="S35" i="9"/>
  <c r="T34" i="9"/>
  <c r="S34" i="9"/>
  <c r="T33" i="9"/>
  <c r="S33" i="9"/>
  <c r="T32" i="9"/>
  <c r="S32" i="9"/>
  <c r="T31" i="9"/>
  <c r="S31" i="9"/>
  <c r="T28" i="9"/>
  <c r="S28" i="9"/>
  <c r="T27" i="9"/>
  <c r="S27" i="9"/>
  <c r="T24" i="9"/>
  <c r="S24" i="9"/>
  <c r="T21" i="9"/>
  <c r="T18" i="9"/>
  <c r="S18" i="9"/>
  <c r="T15" i="9"/>
  <c r="S15" i="9"/>
  <c r="T14" i="9"/>
  <c r="S14" i="9"/>
  <c r="T13" i="9"/>
  <c r="S13" i="9"/>
  <c r="T10" i="9"/>
  <c r="S10" i="9"/>
  <c r="T9" i="9"/>
  <c r="S9" i="9"/>
  <c r="T6" i="9"/>
  <c r="S6" i="9"/>
  <c r="T43" i="8"/>
  <c r="S43" i="8"/>
  <c r="T42" i="8"/>
  <c r="S42" i="8"/>
  <c r="T39" i="8"/>
  <c r="S39" i="8"/>
  <c r="T38" i="8"/>
  <c r="S38" i="8"/>
  <c r="T37" i="8"/>
  <c r="T36" i="8"/>
  <c r="S36" i="8"/>
  <c r="T35" i="8"/>
  <c r="S35" i="8"/>
  <c r="T34" i="8"/>
  <c r="S34" i="8"/>
  <c r="T31" i="8"/>
  <c r="S31" i="8"/>
  <c r="T30" i="8"/>
  <c r="S30" i="8"/>
  <c r="T29" i="8"/>
  <c r="S29" i="8"/>
  <c r="T28" i="8"/>
  <c r="S28" i="8"/>
  <c r="T27" i="8"/>
  <c r="S27" i="8"/>
  <c r="T26" i="8"/>
  <c r="S26" i="8"/>
  <c r="T23" i="8"/>
  <c r="S23" i="8"/>
  <c r="T22" i="8"/>
  <c r="S22" i="8"/>
  <c r="T21" i="8"/>
  <c r="S21" i="8"/>
  <c r="T18" i="8"/>
  <c r="S18" i="8"/>
  <c r="T17" i="8"/>
  <c r="S17" i="8"/>
  <c r="T16" i="8"/>
  <c r="S16" i="8"/>
  <c r="T13" i="8"/>
  <c r="S13" i="8"/>
  <c r="T10" i="8"/>
  <c r="S10" i="8"/>
  <c r="T9" i="8"/>
  <c r="S9" i="8"/>
  <c r="T6" i="8"/>
  <c r="S6" i="8"/>
  <c r="T22" i="6"/>
  <c r="S22" i="6"/>
  <c r="T21" i="6"/>
  <c r="S21" i="6"/>
  <c r="T20" i="6"/>
  <c r="S20" i="6"/>
  <c r="T19" i="6"/>
  <c r="S19" i="6"/>
  <c r="T16" i="6"/>
  <c r="S16" i="6"/>
  <c r="T13" i="6"/>
  <c r="S13" i="6"/>
  <c r="T10" i="6"/>
  <c r="S10" i="6"/>
  <c r="T9" i="6"/>
  <c r="S9" i="6"/>
  <c r="T6" i="6"/>
  <c r="S6" i="6"/>
  <c r="T14" i="5"/>
  <c r="S14" i="5"/>
  <c r="T13" i="5"/>
  <c r="S13" i="5"/>
  <c r="T10" i="5"/>
  <c r="S10" i="5"/>
  <c r="T9" i="5"/>
  <c r="T6" i="5"/>
  <c r="S6" i="5"/>
</calcChain>
</file>

<file path=xl/sharedStrings.xml><?xml version="1.0" encoding="utf-8"?>
<sst xmlns="http://schemas.openxmlformats.org/spreadsheetml/2006/main" count="3030" uniqueCount="695">
  <si>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</si>
  <si>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</si>
  <si>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</si>
  <si>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</si>
  <si>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</si>
  <si>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</si>
  <si>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</si>
  <si>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</si>
  <si>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</si>
  <si>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</si>
  <si>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100</t>
  </si>
  <si>
    <t>Мазанаев Керим</t>
  </si>
  <si>
    <t>Открытая (28.02.1982)/38</t>
  </si>
  <si>
    <t>99,60</t>
  </si>
  <si>
    <t>240,0</t>
  </si>
  <si>
    <t>255,0</t>
  </si>
  <si>
    <t>262,5</t>
  </si>
  <si>
    <t>155,0</t>
  </si>
  <si>
    <t>162,5</t>
  </si>
  <si>
    <t>165,0</t>
  </si>
  <si>
    <t>260,0</t>
  </si>
  <si>
    <t>272,5</t>
  </si>
  <si>
    <t>277,5</t>
  </si>
  <si>
    <t xml:space="preserve">Ступников Р. </t>
  </si>
  <si>
    <t>ВЕСОВАЯ КАТЕГОРИЯ   110</t>
  </si>
  <si>
    <t>Веремеенко Дмитрий</t>
  </si>
  <si>
    <t>Открытая (13.04.1986)/34</t>
  </si>
  <si>
    <t>104,80</t>
  </si>
  <si>
    <t>280,0</t>
  </si>
  <si>
    <t>300,0</t>
  </si>
  <si>
    <t>182,5</t>
  </si>
  <si>
    <t xml:space="preserve">Айвазов А. </t>
  </si>
  <si>
    <t>Исабеков Руслан</t>
  </si>
  <si>
    <t>Мастера 40-49 (15.11.1978)/42</t>
  </si>
  <si>
    <t>109,90</t>
  </si>
  <si>
    <t>220,0</t>
  </si>
  <si>
    <t>235,0</t>
  </si>
  <si>
    <t>242,5</t>
  </si>
  <si>
    <t>150,0</t>
  </si>
  <si>
    <t>160,0</t>
  </si>
  <si>
    <t>167,5</t>
  </si>
  <si>
    <t>252,5</t>
  </si>
  <si>
    <t>ВЕСОВАЯ КАТЕГОРИЯ   125</t>
  </si>
  <si>
    <t>Алиев Исамудин</t>
  </si>
  <si>
    <t>Открытая (06.08.1978)/42</t>
  </si>
  <si>
    <t>124,30</t>
  </si>
  <si>
    <t>270,0</t>
  </si>
  <si>
    <t>285,0</t>
  </si>
  <si>
    <t>190,0</t>
  </si>
  <si>
    <t>200,0</t>
  </si>
  <si>
    <t>205,0</t>
  </si>
  <si>
    <t>290,0</t>
  </si>
  <si>
    <t>Мастера 40-49 (06.08.1978)/42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</si>
  <si>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</si>
  <si>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</si>
  <si>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</si>
  <si>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</si>
  <si>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</si>
  <si>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</si>
  <si>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</si>
  <si>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</si>
  <si>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125</t>
  </si>
  <si>
    <t>100</t>
  </si>
  <si>
    <t>110</t>
  </si>
  <si>
    <t>1</t>
  </si>
  <si>
    <t/>
  </si>
  <si>
    <t>-</t>
  </si>
  <si>
    <t>ВЕСОВАЯ КАТЕГОРИЯ   60</t>
  </si>
  <si>
    <t>Кочесокова Алина</t>
  </si>
  <si>
    <t>Открытая (22.09.1987)/33</t>
  </si>
  <si>
    <t>60,00</t>
  </si>
  <si>
    <t>107,5</t>
  </si>
  <si>
    <t>115,0</t>
  </si>
  <si>
    <t>50,0</t>
  </si>
  <si>
    <t>55,0</t>
  </si>
  <si>
    <t>60,0</t>
  </si>
  <si>
    <t>120,0</t>
  </si>
  <si>
    <t>127,5</t>
  </si>
  <si>
    <t>132,5</t>
  </si>
  <si>
    <t xml:space="preserve">Хашпаков М. </t>
  </si>
  <si>
    <t>ВЕСОВАЯ КАТЕГОРИЯ   82.5</t>
  </si>
  <si>
    <t>Бычков Илья</t>
  </si>
  <si>
    <t>Юноши 14-16 (03.08.2004)/16</t>
  </si>
  <si>
    <t>79,50</t>
  </si>
  <si>
    <t>140,0</t>
  </si>
  <si>
    <t>145,0</t>
  </si>
  <si>
    <t>90,0</t>
  </si>
  <si>
    <t>97,5</t>
  </si>
  <si>
    <t>170,0</t>
  </si>
  <si>
    <t>195,0</t>
  </si>
  <si>
    <t>Горбачев Михаил</t>
  </si>
  <si>
    <t>Юноши 14-16 (02.07.2005)/15</t>
  </si>
  <si>
    <t>80,00</t>
  </si>
  <si>
    <t xml:space="preserve">Минеральные Воды/Ставропольский край </t>
  </si>
  <si>
    <t>ВЕСОВАЯ КАТЕГОРИЯ   90</t>
  </si>
  <si>
    <t>Сухоев Никита</t>
  </si>
  <si>
    <t>Юниоры (24.01.2000)/20</t>
  </si>
  <si>
    <t>87,70</t>
  </si>
  <si>
    <t xml:space="preserve">Светлоград/Ставропольский край </t>
  </si>
  <si>
    <t>197,5</t>
  </si>
  <si>
    <t>207,5</t>
  </si>
  <si>
    <t>137,5</t>
  </si>
  <si>
    <t>142,5</t>
  </si>
  <si>
    <t>215,0</t>
  </si>
  <si>
    <t>225,0</t>
  </si>
  <si>
    <t>Пшуков Владислав</t>
  </si>
  <si>
    <t>Юниоры (28.11.2000)/20</t>
  </si>
  <si>
    <t>93,50</t>
  </si>
  <si>
    <t xml:space="preserve">Ессентуки/Ставропольский край </t>
  </si>
  <si>
    <t>180,0</t>
  </si>
  <si>
    <t>125,0</t>
  </si>
  <si>
    <t>185,0</t>
  </si>
  <si>
    <t>Фам Владислав</t>
  </si>
  <si>
    <t>Открытая (01.01.1999)/21</t>
  </si>
  <si>
    <t>104,70</t>
  </si>
  <si>
    <t>135,0</t>
  </si>
  <si>
    <t>245,0</t>
  </si>
  <si>
    <t>267,5</t>
  </si>
  <si>
    <t>282,5</t>
  </si>
  <si>
    <t>Исрапилов Магомедамин</t>
  </si>
  <si>
    <t>Открытая (03.05.1975)/45</t>
  </si>
  <si>
    <t>210,0</t>
  </si>
  <si>
    <t>Пагов Азамат</t>
  </si>
  <si>
    <t>Открытая (10.08.1991)/29</t>
  </si>
  <si>
    <t>107,70</t>
  </si>
  <si>
    <t>212,5</t>
  </si>
  <si>
    <t>227,5</t>
  </si>
  <si>
    <t>Мастера 40-49 (03.05.1975)/45</t>
  </si>
  <si>
    <t xml:space="preserve">Юноши </t>
  </si>
  <si>
    <t xml:space="preserve">Юноши 14-16 </t>
  </si>
  <si>
    <t>82.5</t>
  </si>
  <si>
    <t>90</t>
  </si>
  <si>
    <t>2</t>
  </si>
  <si>
    <t>3</t>
  </si>
  <si>
    <t>ВЕСОВАЯ КАТЕГОРИЯ   52</t>
  </si>
  <si>
    <t>Мусаева Патимат</t>
  </si>
  <si>
    <t>Открытая (22.02.1986)/34</t>
  </si>
  <si>
    <t>52,00</t>
  </si>
  <si>
    <t>80,0</t>
  </si>
  <si>
    <t>85,0</t>
  </si>
  <si>
    <t>87,5</t>
  </si>
  <si>
    <t>45,0</t>
  </si>
  <si>
    <t>47,5</t>
  </si>
  <si>
    <t>95,0</t>
  </si>
  <si>
    <t>105,0</t>
  </si>
  <si>
    <t>110,0</t>
  </si>
  <si>
    <t>ВЕСОВАЯ КАТЕГОРИЯ   75</t>
  </si>
  <si>
    <t>Косенко Екатерина</t>
  </si>
  <si>
    <t>Открытая (24.02.1978)/42</t>
  </si>
  <si>
    <t>73,90</t>
  </si>
  <si>
    <t xml:space="preserve">Армавир/Краснодарский край </t>
  </si>
  <si>
    <t>152,5</t>
  </si>
  <si>
    <t>82,5</t>
  </si>
  <si>
    <t>175,0</t>
  </si>
  <si>
    <t>187,5</t>
  </si>
  <si>
    <t xml:space="preserve">Кашпаров Д. </t>
  </si>
  <si>
    <t>Мастера 40-49 (24.02.1978)/42</t>
  </si>
  <si>
    <t>Меркулов Максим</t>
  </si>
  <si>
    <t>Открытая (07.07.1995)/25</t>
  </si>
  <si>
    <t>73,30</t>
  </si>
  <si>
    <t xml:space="preserve">Георгиевск/Ставропольский край </t>
  </si>
  <si>
    <t>147,5</t>
  </si>
  <si>
    <t>230,0</t>
  </si>
  <si>
    <t>Журавлев Сергей</t>
  </si>
  <si>
    <t>Открытая (10.06.1992)/28</t>
  </si>
  <si>
    <t>82,20</t>
  </si>
  <si>
    <t xml:space="preserve">Кропоткин/Краснодарский край </t>
  </si>
  <si>
    <t>192,5</t>
  </si>
  <si>
    <t>250,0</t>
  </si>
  <si>
    <t>Гусаков Максим</t>
  </si>
  <si>
    <t>Открытая (17.03.1990)/30</t>
  </si>
  <si>
    <t>82,50</t>
  </si>
  <si>
    <t xml:space="preserve">Кисловодск/Ставропольский край </t>
  </si>
  <si>
    <t>287,5</t>
  </si>
  <si>
    <t xml:space="preserve">Перепелицын И. </t>
  </si>
  <si>
    <t>Букачев Владимир</t>
  </si>
  <si>
    <t>Мастера 50-59 (25.07.1967)/53</t>
  </si>
  <si>
    <t>82,40</t>
  </si>
  <si>
    <t xml:space="preserve">Ставрополь/Ставропольский край </t>
  </si>
  <si>
    <t>247,5</t>
  </si>
  <si>
    <t>Бугримов Виталий</t>
  </si>
  <si>
    <t>Открытая (25.08.1993)/27</t>
  </si>
  <si>
    <t>89,50</t>
  </si>
  <si>
    <t>Крастилевский Денис</t>
  </si>
  <si>
    <t>Открытая (07.06.1990)/30</t>
  </si>
  <si>
    <t>89,80</t>
  </si>
  <si>
    <t>Асриян Виталий</t>
  </si>
  <si>
    <t>Открытая (26.11.1988)/32</t>
  </si>
  <si>
    <t>Карагашев Павел</t>
  </si>
  <si>
    <t>Открытая (27.08.1988)/32</t>
  </si>
  <si>
    <t>97,20</t>
  </si>
  <si>
    <t>305,0</t>
  </si>
  <si>
    <t>315,0</t>
  </si>
  <si>
    <t>325,0</t>
  </si>
  <si>
    <t>335,0</t>
  </si>
  <si>
    <t>Салманов Осман</t>
  </si>
  <si>
    <t>Открытая (18.11.1992)/28</t>
  </si>
  <si>
    <t>100,00</t>
  </si>
  <si>
    <t>295,0</t>
  </si>
  <si>
    <t>202,5</t>
  </si>
  <si>
    <t>310,0</t>
  </si>
  <si>
    <t>Исаков Али</t>
  </si>
  <si>
    <t>Открытая (28.07.1989)/31</t>
  </si>
  <si>
    <t>99,70</t>
  </si>
  <si>
    <t>302,5</t>
  </si>
  <si>
    <t>Николайчук Сергей</t>
  </si>
  <si>
    <t>Открытая (26.05.1985)/35</t>
  </si>
  <si>
    <t>99,90</t>
  </si>
  <si>
    <t>Черкасов Дмитрий</t>
  </si>
  <si>
    <t>Открытая (27.02.1992)/28</t>
  </si>
  <si>
    <t>99,00</t>
  </si>
  <si>
    <t>237,5</t>
  </si>
  <si>
    <t>292,5</t>
  </si>
  <si>
    <t>297,5</t>
  </si>
  <si>
    <t>Коротких Александр</t>
  </si>
  <si>
    <t>Открытая (12.08.1990)/30</t>
  </si>
  <si>
    <t>96,00</t>
  </si>
  <si>
    <t xml:space="preserve">Краснодар/Краснодарский край </t>
  </si>
  <si>
    <t>Халатов Александр</t>
  </si>
  <si>
    <t>Открытая (16.07.1981)/39</t>
  </si>
  <si>
    <t>102,90</t>
  </si>
  <si>
    <t>172,5</t>
  </si>
  <si>
    <t>Соболь Андрей</t>
  </si>
  <si>
    <t>Открытая (14.05.1992)/28</t>
  </si>
  <si>
    <t>107,20</t>
  </si>
  <si>
    <t xml:space="preserve">Крымск/Краснодарский край </t>
  </si>
  <si>
    <t>Казачков Вадим</t>
  </si>
  <si>
    <t>Открытая (26.01.1990)/30</t>
  </si>
  <si>
    <t>110,00</t>
  </si>
  <si>
    <t>Идармачев Абдулагид</t>
  </si>
  <si>
    <t>Мастера 40-49 (23.11.1976)/44</t>
  </si>
  <si>
    <t>130,0</t>
  </si>
  <si>
    <t>Ахмедов Расул</t>
  </si>
  <si>
    <t>Открытая (28.02.1979)/41</t>
  </si>
  <si>
    <t>124,40</t>
  </si>
  <si>
    <t>320,0</t>
  </si>
  <si>
    <t>330,0</t>
  </si>
  <si>
    <t>352,5</t>
  </si>
  <si>
    <t>Мастера 40-49 (28.02.1979)/41</t>
  </si>
  <si>
    <t>75</t>
  </si>
  <si>
    <t>825,0</t>
  </si>
  <si>
    <t>508,0350</t>
  </si>
  <si>
    <t>817,5</t>
  </si>
  <si>
    <t>497,5305</t>
  </si>
  <si>
    <t>835,0</t>
  </si>
  <si>
    <t>476,2840</t>
  </si>
  <si>
    <t>4</t>
  </si>
  <si>
    <t>5</t>
  </si>
  <si>
    <t>6</t>
  </si>
  <si>
    <t>Меладзе Екатерина</t>
  </si>
  <si>
    <t>Открытая (24.05.1990)/30</t>
  </si>
  <si>
    <t>51,90</t>
  </si>
  <si>
    <t>100,0</t>
  </si>
  <si>
    <t>65,0</t>
  </si>
  <si>
    <t>67,5</t>
  </si>
  <si>
    <t>ВЕСОВАЯ КАТЕГОРИЯ   56</t>
  </si>
  <si>
    <t>Голуб Виктория</t>
  </si>
  <si>
    <t>Юниорки (08.02.1997)/23</t>
  </si>
  <si>
    <t>54,40</t>
  </si>
  <si>
    <t>40,0</t>
  </si>
  <si>
    <t>52,5</t>
  </si>
  <si>
    <t>Божанова Любовь</t>
  </si>
  <si>
    <t>Открытая (29.06.1991)/29</t>
  </si>
  <si>
    <t>56,00</t>
  </si>
  <si>
    <t>92,5</t>
  </si>
  <si>
    <t>57,5</t>
  </si>
  <si>
    <t>62,5</t>
  </si>
  <si>
    <t>Азарян Карина</t>
  </si>
  <si>
    <t>Открытая (23.10.1989)/31</t>
  </si>
  <si>
    <t xml:space="preserve">Михайловск/Ставропольский край </t>
  </si>
  <si>
    <t>70,0</t>
  </si>
  <si>
    <t xml:space="preserve">Арестов М. </t>
  </si>
  <si>
    <t>Бессмертная Анастасия</t>
  </si>
  <si>
    <t>Открытая (21.03.1989)/31</t>
  </si>
  <si>
    <t>59,00</t>
  </si>
  <si>
    <t>75,0</t>
  </si>
  <si>
    <t>Нагиева Ольга</t>
  </si>
  <si>
    <t>Мастера 40-49 (06.09.1980)/40</t>
  </si>
  <si>
    <t>58,50</t>
  </si>
  <si>
    <t>Горобец Елена</t>
  </si>
  <si>
    <t>Открытая (10.11.1994)/26</t>
  </si>
  <si>
    <t>72,80</t>
  </si>
  <si>
    <t>ВЕСОВАЯ КАТЕГОРИЯ   90+</t>
  </si>
  <si>
    <t>Зубкова Татьяна</t>
  </si>
  <si>
    <t>Открытая (27.06.1985)/35</t>
  </si>
  <si>
    <t>99,50</t>
  </si>
  <si>
    <t xml:space="preserve">Широбоков А. </t>
  </si>
  <si>
    <t>Багов Алим</t>
  </si>
  <si>
    <t>Юноши 14-16 (28.03.2005)/15</t>
  </si>
  <si>
    <t>Османов Умар</t>
  </si>
  <si>
    <t>Юноши 14-16 (31.07.2006)/14</t>
  </si>
  <si>
    <t>77,5</t>
  </si>
  <si>
    <t>Айдаев Магарам</t>
  </si>
  <si>
    <t>Юноши 17-19 (02.10.2003)/17</t>
  </si>
  <si>
    <t>Бинаталиев Шамиль</t>
  </si>
  <si>
    <t>Юноши 14-16 (22.12.2004)/16</t>
  </si>
  <si>
    <t>70,60</t>
  </si>
  <si>
    <t xml:space="preserve">Рамазанов И. </t>
  </si>
  <si>
    <t>Бородин Юрий</t>
  </si>
  <si>
    <t>Юноши 17-19 (07.02.2003)/17</t>
  </si>
  <si>
    <t>74,60</t>
  </si>
  <si>
    <t>112,5</t>
  </si>
  <si>
    <t>117,5</t>
  </si>
  <si>
    <t>Артюхов Владислав</t>
  </si>
  <si>
    <t>Юноши 17-19 (11.08.2003)/17</t>
  </si>
  <si>
    <t>74,00</t>
  </si>
  <si>
    <t xml:space="preserve">Тхамитлоков К. </t>
  </si>
  <si>
    <t>Проценко Никита</t>
  </si>
  <si>
    <t>Юноши 17-19 (12.08.2003)/17</t>
  </si>
  <si>
    <t>73,20</t>
  </si>
  <si>
    <t xml:space="preserve">Будённовск/Ставропольский край </t>
  </si>
  <si>
    <t>157,5</t>
  </si>
  <si>
    <t>Тагибеков Асхаб</t>
  </si>
  <si>
    <t>Открытая (03.10.1990)/30</t>
  </si>
  <si>
    <t>74,40</t>
  </si>
  <si>
    <t>Магомедов Али</t>
  </si>
  <si>
    <t>Юноши 17-19 (14.06.2002)/18</t>
  </si>
  <si>
    <t>80,40</t>
  </si>
  <si>
    <t>Тюрин Сергей</t>
  </si>
  <si>
    <t>Открытая (28.07.2002)/18</t>
  </si>
  <si>
    <t>78,80</t>
  </si>
  <si>
    <t>265,0</t>
  </si>
  <si>
    <t xml:space="preserve">Проценко П. </t>
  </si>
  <si>
    <t>Османов Рамиз</t>
  </si>
  <si>
    <t>Мастера 40-49 (15.06.1976)/44</t>
  </si>
  <si>
    <t>Ковалев Иван</t>
  </si>
  <si>
    <t>Юноши 17-19 (29.04.2003)/17</t>
  </si>
  <si>
    <t>88,70</t>
  </si>
  <si>
    <t>177,5</t>
  </si>
  <si>
    <t>Магомедов Абдулла</t>
  </si>
  <si>
    <t>Открытая (15.02.1992)/28</t>
  </si>
  <si>
    <t>89,90</t>
  </si>
  <si>
    <t xml:space="preserve">Гусейнов Г. </t>
  </si>
  <si>
    <t>Бумагин Ростислав</t>
  </si>
  <si>
    <t>Юноши 14-16 (01.03.2007)/13</t>
  </si>
  <si>
    <t>91,40</t>
  </si>
  <si>
    <t>72,5</t>
  </si>
  <si>
    <t>Атаев Имамутдин</t>
  </si>
  <si>
    <t>Открытая (12.10.1988)/32</t>
  </si>
  <si>
    <t>98,20</t>
  </si>
  <si>
    <t xml:space="preserve">Назиров О. </t>
  </si>
  <si>
    <t>Мирзоев Арсен</t>
  </si>
  <si>
    <t>Мастера 40-49 (31.08.1979)/41</t>
  </si>
  <si>
    <t>Галстян Самвел</t>
  </si>
  <si>
    <t>Открытая (05.12.1987)/33</t>
  </si>
  <si>
    <t>117,00</t>
  </si>
  <si>
    <t xml:space="preserve">Юноши 17-19 </t>
  </si>
  <si>
    <t>457,5</t>
  </si>
  <si>
    <t>327,2040</t>
  </si>
  <si>
    <t>415,0</t>
  </si>
  <si>
    <t>308,9675</t>
  </si>
  <si>
    <t>407,5</t>
  </si>
  <si>
    <t>295,3968</t>
  </si>
  <si>
    <t>Тарасов Александр</t>
  </si>
  <si>
    <t>Мастера 40-49 (28.05.1980)/40</t>
  </si>
  <si>
    <t xml:space="preserve">Результат </t>
  </si>
  <si>
    <t>Результат</t>
  </si>
  <si>
    <t>Цоколов Артём</t>
  </si>
  <si>
    <t>Юноши 14-16 (09.10.2007)/13</t>
  </si>
  <si>
    <t>53,30</t>
  </si>
  <si>
    <t>60,5</t>
  </si>
  <si>
    <t>Рамазанов Ислам</t>
  </si>
  <si>
    <t>Открытая (01.05.1991)/29</t>
  </si>
  <si>
    <t xml:space="preserve">Тултаров Ш. </t>
  </si>
  <si>
    <t>Марфицын Дмитрий</t>
  </si>
  <si>
    <t>Открытая (21.08.1991)/29</t>
  </si>
  <si>
    <t>80,80</t>
  </si>
  <si>
    <t xml:space="preserve">Черкесск/Карачаево-Черкесия </t>
  </si>
  <si>
    <t>Сатаев Анзор</t>
  </si>
  <si>
    <t>Открытая (27.05.1989)/31</t>
  </si>
  <si>
    <t>88,40</t>
  </si>
  <si>
    <t>Гаджиахмедов Заур</t>
  </si>
  <si>
    <t>Открытая (18.10.1984)/36</t>
  </si>
  <si>
    <t>90,00</t>
  </si>
  <si>
    <t>Чагаров Рамазан</t>
  </si>
  <si>
    <t>Открытая (26.05.1994)/26</t>
  </si>
  <si>
    <t>Арутюнов Тигран</t>
  </si>
  <si>
    <t>Открытая (02.07.1993)/27</t>
  </si>
  <si>
    <t>96,10</t>
  </si>
  <si>
    <t xml:space="preserve">Милостной С. </t>
  </si>
  <si>
    <t>Саиев Мухтар</t>
  </si>
  <si>
    <t>Открытая (06.05.1991)/29</t>
  </si>
  <si>
    <t>108,50</t>
  </si>
  <si>
    <t>Рагимов Гаджи</t>
  </si>
  <si>
    <t>Открытая (13.12.1989)/31</t>
  </si>
  <si>
    <t>109,70</t>
  </si>
  <si>
    <t>275,0</t>
  </si>
  <si>
    <t>Леденёв Сергей</t>
  </si>
  <si>
    <t>Открытая (19.10.1988)/32</t>
  </si>
  <si>
    <t>120,40</t>
  </si>
  <si>
    <t xml:space="preserve">Астрахань/Астраханская область </t>
  </si>
  <si>
    <t xml:space="preserve">Дьяконов Д. </t>
  </si>
  <si>
    <t>ВЕСОВАЯ КАТЕГОРИЯ   140</t>
  </si>
  <si>
    <t>Бобряшов Владимир</t>
  </si>
  <si>
    <t>Открытая (22.12.1988)/32</t>
  </si>
  <si>
    <t>139,70</t>
  </si>
  <si>
    <t>Кучур Евгений</t>
  </si>
  <si>
    <t>Открытая (22.01.1982)/38</t>
  </si>
  <si>
    <t>128,30</t>
  </si>
  <si>
    <t>144,9900</t>
  </si>
  <si>
    <t>142,3240</t>
  </si>
  <si>
    <t>138,8850</t>
  </si>
  <si>
    <t>ВЕСОВАЯ КАТЕГОРИЯ   67.5</t>
  </si>
  <si>
    <t>Сидорович Маргарита</t>
  </si>
  <si>
    <t>Открытая (17.07.1991)/29</t>
  </si>
  <si>
    <t>67,10</t>
  </si>
  <si>
    <t>42,5</t>
  </si>
  <si>
    <t>Тищенко Даниил</t>
  </si>
  <si>
    <t>Юноши 14-16 (22.12.2008)/12</t>
  </si>
  <si>
    <t>45,50</t>
  </si>
  <si>
    <t xml:space="preserve">Буденновск/Ставропольский край </t>
  </si>
  <si>
    <t>Чунчуров Ахьяд</t>
  </si>
  <si>
    <t>Юноши 17-19 (22.03.2002)/18</t>
  </si>
  <si>
    <t>66,40</t>
  </si>
  <si>
    <t>102,5</t>
  </si>
  <si>
    <t xml:space="preserve">Алиев И. </t>
  </si>
  <si>
    <t>Сокуров Георгий</t>
  </si>
  <si>
    <t>Юниоры (15.02.2000)/20</t>
  </si>
  <si>
    <t>66,10</t>
  </si>
  <si>
    <t xml:space="preserve">Владикавказ/Северная Осетия - Алания </t>
  </si>
  <si>
    <t>Аммаев Насрулла</t>
  </si>
  <si>
    <t>Мастера 50-59 (18.05.1964)/56</t>
  </si>
  <si>
    <t>66,90</t>
  </si>
  <si>
    <t>Бондаренко Алексей</t>
  </si>
  <si>
    <t>Юноши 14-16 (16.06.2004)/16</t>
  </si>
  <si>
    <t>74,80</t>
  </si>
  <si>
    <t>Махмудов Зелимхан</t>
  </si>
  <si>
    <t>Открытая (21.11.1989)/31</t>
  </si>
  <si>
    <t>75,00</t>
  </si>
  <si>
    <t>Султанов Заур</t>
  </si>
  <si>
    <t>Открытая (26.06.1991)/29</t>
  </si>
  <si>
    <t>73,80</t>
  </si>
  <si>
    <t>Салаев Усман</t>
  </si>
  <si>
    <t>Открытая (13.01.1984)/36</t>
  </si>
  <si>
    <t>Катола Роман</t>
  </si>
  <si>
    <t>Открытая (25.04.1996)/24</t>
  </si>
  <si>
    <t>74,50</t>
  </si>
  <si>
    <t>Шахбанов Раджабали</t>
  </si>
  <si>
    <t>Открытая (29.08.1986)/34</t>
  </si>
  <si>
    <t>Ганжара Алексей</t>
  </si>
  <si>
    <t>Юноши 14-16 (31.03.2004)/16</t>
  </si>
  <si>
    <t>81,20</t>
  </si>
  <si>
    <t>Тюнин Данил</t>
  </si>
  <si>
    <t>Юноши 17-19 (22.06.2001)/19</t>
  </si>
  <si>
    <t>78,30</t>
  </si>
  <si>
    <t>Муссаев Кантемир</t>
  </si>
  <si>
    <t>Открытая (21.05.1981)/39</t>
  </si>
  <si>
    <t>Латышев Данил</t>
  </si>
  <si>
    <t>Юниоры (01.05.1998)/22</t>
  </si>
  <si>
    <t>87,00</t>
  </si>
  <si>
    <t xml:space="preserve">Сукасян А. </t>
  </si>
  <si>
    <t>Баймурадов Рукман</t>
  </si>
  <si>
    <t>Открытая (02.05.1984)/36</t>
  </si>
  <si>
    <t>89,70</t>
  </si>
  <si>
    <t>Левжинский Евгений</t>
  </si>
  <si>
    <t>Открытая (25.01.1992)/28</t>
  </si>
  <si>
    <t>86,70</t>
  </si>
  <si>
    <t>Открытая (01.05.1998)/22</t>
  </si>
  <si>
    <t>Городецкий Никита</t>
  </si>
  <si>
    <t>Открытая (12.02.1994)/26</t>
  </si>
  <si>
    <t>88,00</t>
  </si>
  <si>
    <t>Кошкарев Михаил</t>
  </si>
  <si>
    <t>Открытая (10.01.1995)/25</t>
  </si>
  <si>
    <t>87,30</t>
  </si>
  <si>
    <t>Гасанов Руслан</t>
  </si>
  <si>
    <t>Юниоры (18.08.1998)/22</t>
  </si>
  <si>
    <t>90,50</t>
  </si>
  <si>
    <t xml:space="preserve">Нефтекумск/Ставропольский край </t>
  </si>
  <si>
    <t xml:space="preserve"> </t>
  </si>
  <si>
    <t>Жохов Сергей</t>
  </si>
  <si>
    <t>Открытая (04.03.1987)/33</t>
  </si>
  <si>
    <t>Басов Николай</t>
  </si>
  <si>
    <t>Открытая (30.11.1986)/34</t>
  </si>
  <si>
    <t>Тимощук Владимир</t>
  </si>
  <si>
    <t>Открытая (04.06.1988)/32</t>
  </si>
  <si>
    <t>Мараев Николай</t>
  </si>
  <si>
    <t>Мастера 40-49 (17.08.1980)/40</t>
  </si>
  <si>
    <t>Курбанов Рамазан</t>
  </si>
  <si>
    <t>Мастера 60-69 (09.05.1958)/62</t>
  </si>
  <si>
    <t>94,60</t>
  </si>
  <si>
    <t>Докукин Корней</t>
  </si>
  <si>
    <t>Открытая (04.09.1984)/36</t>
  </si>
  <si>
    <t>106,40</t>
  </si>
  <si>
    <t>Начоев Аскер</t>
  </si>
  <si>
    <t>Открытая (11.11.1982)/38</t>
  </si>
  <si>
    <t>Тедеев Руслан</t>
  </si>
  <si>
    <t>Открытая (11.12.1993)/27</t>
  </si>
  <si>
    <t>108,20</t>
  </si>
  <si>
    <t>Бураков Алексей</t>
  </si>
  <si>
    <t>Открытая (09.09.1994)/26</t>
  </si>
  <si>
    <t>107,80</t>
  </si>
  <si>
    <t xml:space="preserve">Пятигорск/Ставропольский край </t>
  </si>
  <si>
    <t>Горовец Евгений</t>
  </si>
  <si>
    <t>Открытая (16.07.1986)/34</t>
  </si>
  <si>
    <t>109,20</t>
  </si>
  <si>
    <t xml:space="preserve">С. Коноково/Краснодарский край </t>
  </si>
  <si>
    <t>Даньшин Александр</t>
  </si>
  <si>
    <t>Открытая (11.09.1991)/29</t>
  </si>
  <si>
    <t>123,40</t>
  </si>
  <si>
    <t>Асхабалиев Ильяс</t>
  </si>
  <si>
    <t>Открытая (10.06.1984)/36</t>
  </si>
  <si>
    <t>130,00</t>
  </si>
  <si>
    <t>ВЕСОВАЯ КАТЕГОРИЯ   140+</t>
  </si>
  <si>
    <t>Омаров Роман</t>
  </si>
  <si>
    <t>Открытая (15.05.1990)/30</t>
  </si>
  <si>
    <t>153,70</t>
  </si>
  <si>
    <t>130,8560</t>
  </si>
  <si>
    <t>119,1713</t>
  </si>
  <si>
    <t>118,9110</t>
  </si>
  <si>
    <t>Михайленко Сергей</t>
  </si>
  <si>
    <t>Открытая (26.02.1982)/38</t>
  </si>
  <si>
    <t xml:space="preserve">Тарасов А. </t>
  </si>
  <si>
    <t>Элканишвили Георгий</t>
  </si>
  <si>
    <t>Открытая (01.11.1988)/32</t>
  </si>
  <si>
    <t>94,00</t>
  </si>
  <si>
    <t>312,5</t>
  </si>
  <si>
    <t>Бороздин Андрей</t>
  </si>
  <si>
    <t>Мастера 40-49 (02.06.1979)/41</t>
  </si>
  <si>
    <t>122,20</t>
  </si>
  <si>
    <t>Арутюнов Артур</t>
  </si>
  <si>
    <t>Открытая (24.06.1987)/33</t>
  </si>
  <si>
    <t>70,50</t>
  </si>
  <si>
    <t xml:space="preserve">Полтавская/Краснодарский край </t>
  </si>
  <si>
    <t>Нахаев Нариман</t>
  </si>
  <si>
    <t>Открытая (20.08.1994)/26</t>
  </si>
  <si>
    <t xml:space="preserve">Алсултанов А. </t>
  </si>
  <si>
    <t>Киселев Алексей</t>
  </si>
  <si>
    <t>Мастера 40-49 (27.04.1974)/46</t>
  </si>
  <si>
    <t>99,30</t>
  </si>
  <si>
    <t>Айвазов Андрей</t>
  </si>
  <si>
    <t>Открытая (07.11.1982)/38</t>
  </si>
  <si>
    <t>Власов Станислав</t>
  </si>
  <si>
    <t>Открытая (07.07.1967)/53</t>
  </si>
  <si>
    <t>104,20</t>
  </si>
  <si>
    <t>Мастера 50-59 (07.07.1967)/53</t>
  </si>
  <si>
    <t>Ибрагимов Мовсар</t>
  </si>
  <si>
    <t>Открытая (19.05.1992)/28</t>
  </si>
  <si>
    <t>155,00</t>
  </si>
  <si>
    <t>350,0</t>
  </si>
  <si>
    <t>200,9700</t>
  </si>
  <si>
    <t>186,5745</t>
  </si>
  <si>
    <t>140+</t>
  </si>
  <si>
    <t>184,4845</t>
  </si>
  <si>
    <t>Михайленко Анастасия</t>
  </si>
  <si>
    <t>Девушки 14-16 (22.06.2004)/16</t>
  </si>
  <si>
    <t>51,80</t>
  </si>
  <si>
    <t>Котелевская Инна</t>
  </si>
  <si>
    <t>Мастера 40-49 (26.10.1979)/41</t>
  </si>
  <si>
    <t>Мелкумян Виктория</t>
  </si>
  <si>
    <t>Девушки 17-19 (05.02.2001)/19</t>
  </si>
  <si>
    <t>67,00</t>
  </si>
  <si>
    <t>122,5</t>
  </si>
  <si>
    <t>Черкасова Мария</t>
  </si>
  <si>
    <t>Открытая (19.05.1986)/34</t>
  </si>
  <si>
    <t>63,90</t>
  </si>
  <si>
    <t>Абакарова Зухра</t>
  </si>
  <si>
    <t>Открытая (31.10.1984)/36</t>
  </si>
  <si>
    <t>85,80</t>
  </si>
  <si>
    <t>Цацаев Азаматкерей</t>
  </si>
  <si>
    <t>Юниоры (24.12.2000)/20</t>
  </si>
  <si>
    <t>72,90</t>
  </si>
  <si>
    <t>Карданов Астемир</t>
  </si>
  <si>
    <t>Юниоры (12.06.2000)/20</t>
  </si>
  <si>
    <t>Бородинов Георгий</t>
  </si>
  <si>
    <t>Юниоры (24.04.1999)/21</t>
  </si>
  <si>
    <t>79,00</t>
  </si>
  <si>
    <t xml:space="preserve">Огузова Л. </t>
  </si>
  <si>
    <t>Открытая (12.06.2000)/20</t>
  </si>
  <si>
    <t>Микотин Роман</t>
  </si>
  <si>
    <t>Юноши 14-16 (04.08.2004)/16</t>
  </si>
  <si>
    <t>89,60</t>
  </si>
  <si>
    <t>Новиков Николай</t>
  </si>
  <si>
    <t>Мастера 70-79 (21.05.1947)/73</t>
  </si>
  <si>
    <t>86,10</t>
  </si>
  <si>
    <t>Чистяков Богдан</t>
  </si>
  <si>
    <t>Открытая (30.03.1995)/25</t>
  </si>
  <si>
    <t>Гусейнов Гусейн</t>
  </si>
  <si>
    <t>Мастера 50-59 (04.01.1966)/54</t>
  </si>
  <si>
    <t>Корепанов Виталий</t>
  </si>
  <si>
    <t>Открытая (08.04.1993)/27</t>
  </si>
  <si>
    <t>105,30</t>
  </si>
  <si>
    <t xml:space="preserve">Песчанокопское/Ростовская область </t>
  </si>
  <si>
    <t>Козлов Александр</t>
  </si>
  <si>
    <t>Мастера 40-49 (03.01.1980)/40</t>
  </si>
  <si>
    <t>106,20</t>
  </si>
  <si>
    <t>147,3780</t>
  </si>
  <si>
    <t>172,3250</t>
  </si>
  <si>
    <t>156,1950</t>
  </si>
  <si>
    <t>Кашпаров Денис</t>
  </si>
  <si>
    <t>Открытая (27.01.1985)/35</t>
  </si>
  <si>
    <t>132,30</t>
  </si>
  <si>
    <t xml:space="preserve">Невинномысск/Ставропольский край </t>
  </si>
  <si>
    <t>140</t>
  </si>
  <si>
    <t>560,0</t>
  </si>
  <si>
    <t>315,7840</t>
  </si>
  <si>
    <t>505,0</t>
  </si>
  <si>
    <t>297,4450</t>
  </si>
  <si>
    <t>440,0</t>
  </si>
  <si>
    <t>294,7560</t>
  </si>
  <si>
    <t>Гозова Залина</t>
  </si>
  <si>
    <t>Открытая (23.03.1985)/35</t>
  </si>
  <si>
    <t>65,30</t>
  </si>
  <si>
    <t xml:space="preserve">Исламей/Кабардино-Балкария республика </t>
  </si>
  <si>
    <t>30,0</t>
  </si>
  <si>
    <t>35,0</t>
  </si>
  <si>
    <t>Анохин Сергей</t>
  </si>
  <si>
    <t>Юниоры (24.02.2000)/20</t>
  </si>
  <si>
    <t>63,70</t>
  </si>
  <si>
    <t>Сатов Виталий</t>
  </si>
  <si>
    <t>Открытая (23.12.1981)/39</t>
  </si>
  <si>
    <t>80,50</t>
  </si>
  <si>
    <t>Добриков Даниил</t>
  </si>
  <si>
    <t>Юноши 14-16 (17.04.2005)/15</t>
  </si>
  <si>
    <t>Бисиев Бекхан</t>
  </si>
  <si>
    <t>Мастера 40-49 (03.07.1979)/41</t>
  </si>
  <si>
    <t>Подъем на бицепс</t>
  </si>
  <si>
    <t>Сергеева Виктория</t>
  </si>
  <si>
    <t>Открытая (08.12.1982)/38</t>
  </si>
  <si>
    <t>67,40</t>
  </si>
  <si>
    <t>20,0</t>
  </si>
  <si>
    <t>22,5</t>
  </si>
  <si>
    <t>25,0</t>
  </si>
  <si>
    <t>Барков Александр</t>
  </si>
  <si>
    <t>Иванисов Максим</t>
  </si>
  <si>
    <t>71,00</t>
  </si>
  <si>
    <t>Лобанников Евгений</t>
  </si>
  <si>
    <t>Бибулатов Саид-Али</t>
  </si>
  <si>
    <t>Открытая (08.04.1994)/26</t>
  </si>
  <si>
    <t>88,20</t>
  </si>
  <si>
    <t xml:space="preserve">Махачкала/Республика Дагестан  </t>
  </si>
  <si>
    <t>Открытый Кубок Евразии
WRPF любители Силовое двоеборье без экипировки ДК
Ставрополь/Ставропольский край, 26 - 27 декабря 2020 года</t>
  </si>
  <si>
    <t>Открытый Кубок Евразии
WRPF любители Силовое двоеборье без экипировки
Ставрополь/Ставропольский край, 26 - 27 декабря 2020 года</t>
  </si>
  <si>
    <t>Открытый Кубок Евразии
WRPF любители Становая тяга без экипировки ДК
Ставрополь/Ставропольский край, 26 - 27 декабря 2020 года</t>
  </si>
  <si>
    <t>Открытый Кубок Евразии
WRPF любители Становая тяга без экипировки
Ставрополь/Ставропольский край, 26 - 27 декабря 2020 года</t>
  </si>
  <si>
    <t>Открытый Кубок Евразии
WEPF Жим лежа в многопетельной софт экипировке ДК
Ставрополь/Ставропольский край, 26 - 27 декабря 2020 года</t>
  </si>
  <si>
    <t>Открытый Кубок Евразии
WEPF Жим лежа в многопетельной софт экипировке
Ставрополь/Ставропольский край, 26 - 27 декабря 2020 года</t>
  </si>
  <si>
    <t>Открытый Кубок Евразии
WEPF Жим лежа в однопетельной софт экипировке ДК
Ставрополь/Ставропольский край, 26 - 27 декабря 2020 года</t>
  </si>
  <si>
    <t>Открытый Кубок Евразии
WRPF любители Жим лежа без экипировки ДК
Ставрополь/Ставропольский край, 26 - 27 декабря 2020 года</t>
  </si>
  <si>
    <t>Открытый Кубок Евразии
WRPF любители Жим лежа без экипировки
Ставрополь/Ставропольский край, 26 - 27 декабря 2020 года</t>
  </si>
  <si>
    <t>Открытый Кубок Евразии
WEPF Жим лежа в однопетельной софт экипировке
Ставрополь/Ставропольский край, 26 - 27 декабря 2020 года</t>
  </si>
  <si>
    <t>Открытый Кубок Евразии
WRPF любители Пауэрлифтинг без экипировки ДК
Ставрополь/Ставропольский край, 26 - 27 декабря 2020 года</t>
  </si>
  <si>
    <t>Открытый Кубок Евразии
WRPF любители Пауэрлифтинг без экипировки
Ставрополь/Ставропольский край, 26 - 27 декабря 2020 года</t>
  </si>
  <si>
    <t>Открытый Кубок Евразии
WRPF любители Пауэрлифтинг классический в бинтах ДК
Ставрополь/Ставропольский край, 26 - 27 декабря 2020 года</t>
  </si>
  <si>
    <t>Открытый Кубок Евразии
WRPF любители Пауэрлифтинг классический в бинтах
Ставрополь/Ставропольский край, 26 - 27 декабря 2020 года</t>
  </si>
  <si>
    <t>Открытый Кубок Евразии
WRPF Строгий подъем штанги на бицепс
Ставрополь/Ставропольский край, 26 - 27 декабря 2020 года</t>
  </si>
  <si>
    <t>Весовая категория</t>
  </si>
  <si>
    <t xml:space="preserve">Ильченко А. </t>
  </si>
  <si>
    <t xml:space="preserve">Шрамко И. </t>
  </si>
  <si>
    <t xml:space="preserve">Ростов-на-Дону/Ростовская область </t>
  </si>
  <si>
    <t xml:space="preserve">Баксан/ремпублика Кабардино-Балкария </t>
  </si>
  <si>
    <t xml:space="preserve">Дербент/Республика Дагестан </t>
  </si>
  <si>
    <t xml:space="preserve">Баксан/Республика Кабардино-Балкария </t>
  </si>
  <si>
    <t xml:space="preserve">Избербаш/Репсублика Дагестан </t>
  </si>
  <si>
    <t xml:space="preserve">Латышев П. </t>
  </si>
  <si>
    <t xml:space="preserve">Карагашев П. </t>
  </si>
  <si>
    <t xml:space="preserve">Ильясов Г. </t>
  </si>
  <si>
    <t xml:space="preserve">Шалоха А. </t>
  </si>
  <si>
    <t xml:space="preserve">Салманов О. </t>
  </si>
  <si>
    <t xml:space="preserve">Адильсултанов А. </t>
  </si>
  <si>
    <t xml:space="preserve">Грозный/Республика Чечня </t>
  </si>
  <si>
    <t>Сукасян А.</t>
  </si>
  <si>
    <t xml:space="preserve">Даштиев Р. </t>
  </si>
  <si>
    <t xml:space="preserve">Жердев Д. </t>
  </si>
  <si>
    <t xml:space="preserve">Нахаев Н. </t>
  </si>
  <si>
    <t xml:space="preserve">Казакбиев Т. </t>
  </si>
  <si>
    <t xml:space="preserve">Аванесян С. </t>
  </si>
  <si>
    <t xml:space="preserve">Степанян Д. </t>
  </si>
  <si>
    <t xml:space="preserve">Даньшин А. </t>
  </si>
  <si>
    <t xml:space="preserve">Каспийск/Республика Дагестан </t>
  </si>
  <si>
    <t>Песчанокопское/Ростовская область</t>
  </si>
  <si>
    <t xml:space="preserve">Гудермес/Республика Чечня </t>
  </si>
  <si>
    <t xml:space="preserve">Нальчик/Республика Кабардино-Балкария </t>
  </si>
  <si>
    <t xml:space="preserve">Черкесск/Республика Карачаево-Черкесия </t>
  </si>
  <si>
    <t xml:space="preserve">Северное/Ставропольский край </t>
  </si>
  <si>
    <t xml:space="preserve">Цхинвал/Республика Южная Осетия </t>
  </si>
  <si>
    <t xml:space="preserve">Железноводск/Ставропольский край </t>
  </si>
  <si>
    <t xml:space="preserve">Чегем Второй/Республика Кабардино-Балкария </t>
  </si>
  <si>
    <t>Грозный/Республика Чечня</t>
  </si>
  <si>
    <t>Надым/ЯМАО</t>
  </si>
  <si>
    <t>Мастера 40-49 (22.07.1980)/40</t>
  </si>
  <si>
    <t>Юноши 13-19 (12.08.2003)/17</t>
  </si>
  <si>
    <t>Юноши 13-19 (20.08.2003)/17</t>
  </si>
  <si>
    <t>Юниоры 20-23 (23.01.1999)/21</t>
  </si>
  <si>
    <t>№</t>
  </si>
  <si>
    <t xml:space="preserve">
Дата рождения/Возраст</t>
  </si>
  <si>
    <t>Возрастная группа</t>
  </si>
  <si>
    <t>O</t>
  </si>
  <si>
    <t>J</t>
  </si>
  <si>
    <t>M1</t>
  </si>
  <si>
    <t>T1</t>
  </si>
  <si>
    <t>T2</t>
  </si>
  <si>
    <t>M2</t>
  </si>
  <si>
    <t>M3</t>
  </si>
  <si>
    <t>M4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</si>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</sst>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indent="1"/>
    </xf>
    <xf numFmtId="49" fontId="6" fillId="0" borderId="0" xfId="0" applyNumberFormat="1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4"/>
  <dimension ref="A1:U66"/>
  <sheetViews>
    <sheetView topLeftCell="A23" workbookViewId="0">
      <selection activeCell="E57" sqref="E57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8.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30" bestFit="1" customWidth="1"/>
    <col min="20" max="20" width="8.5" style="7" bestFit="1" customWidth="1"/>
    <col min="21" max="21" width="19.1640625" style="6" bestFit="1" customWidth="1"/>
    <col min="22" max="16384" width="9.1640625" style="3"/>
  </cols>
  <sheetData>
    <row r="1" spans="1:21" s="2" customFormat="1" ht="29" customHeight="1">
      <c r="A1" s="59" t="s">
        <v>640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</row>
    <row r="2" spans="1:21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</row>
    <row r="3" spans="1:21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7</v>
      </c>
      <c r="H3" s="71"/>
      <c r="I3" s="71"/>
      <c r="J3" s="71"/>
      <c r="K3" s="71" t="s">
        <v>8</v>
      </c>
      <c r="L3" s="71"/>
      <c r="M3" s="71"/>
      <c r="N3" s="71"/>
      <c r="O3" s="71" t="s">
        <v>9</v>
      </c>
      <c r="P3" s="71"/>
      <c r="Q3" s="71"/>
      <c r="R3" s="71"/>
      <c r="S3" s="72" t="s">
        <v>1</v>
      </c>
      <c r="T3" s="71" t="s">
        <v>3</v>
      </c>
      <c r="U3" s="74" t="s">
        <v>2</v>
      </c>
    </row>
    <row r="4" spans="1:21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70"/>
      <c r="U4" s="75"/>
    </row>
    <row r="5" spans="1:21" ht="16">
      <c r="A5" s="76" t="s">
        <v>134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9" t="s">
        <v>64</v>
      </c>
      <c r="B6" s="8" t="s">
        <v>249</v>
      </c>
      <c r="C6" s="8" t="s">
        <v>250</v>
      </c>
      <c r="D6" s="8" t="s">
        <v>251</v>
      </c>
      <c r="E6" s="8" t="s">
        <v>686</v>
      </c>
      <c r="F6" s="8" t="s">
        <v>178</v>
      </c>
      <c r="G6" s="19" t="s">
        <v>252</v>
      </c>
      <c r="H6" s="20" t="s">
        <v>71</v>
      </c>
      <c r="I6" s="20" t="s">
        <v>71</v>
      </c>
      <c r="J6" s="9"/>
      <c r="K6" s="19" t="s">
        <v>75</v>
      </c>
      <c r="L6" s="19" t="s">
        <v>253</v>
      </c>
      <c r="M6" s="20" t="s">
        <v>254</v>
      </c>
      <c r="N6" s="9"/>
      <c r="O6" s="19" t="s">
        <v>231</v>
      </c>
      <c r="P6" s="19" t="s">
        <v>84</v>
      </c>
      <c r="Q6" s="19" t="s">
        <v>85</v>
      </c>
      <c r="R6" s="9"/>
      <c r="S6" s="31" t="str">
        <f>"310,0"</f>
        <v>310,0</v>
      </c>
      <c r="T6" s="9" t="str">
        <f>"387,0350"</f>
        <v>387,0350</v>
      </c>
      <c r="U6" s="8" t="s">
        <v>23</v>
      </c>
    </row>
    <row r="7" spans="1:21">
      <c r="B7" s="6" t="s">
        <v>65</v>
      </c>
    </row>
    <row r="8" spans="1:21" ht="16">
      <c r="A8" s="80" t="s">
        <v>255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21">
      <c r="A9" s="11" t="s">
        <v>64</v>
      </c>
      <c r="B9" s="10" t="s">
        <v>256</v>
      </c>
      <c r="C9" s="10" t="s">
        <v>257</v>
      </c>
      <c r="D9" s="10" t="s">
        <v>258</v>
      </c>
      <c r="E9" s="10" t="s">
        <v>687</v>
      </c>
      <c r="F9" s="10" t="s">
        <v>217</v>
      </c>
      <c r="G9" s="21" t="s">
        <v>252</v>
      </c>
      <c r="H9" s="21" t="s">
        <v>252</v>
      </c>
      <c r="I9" s="24" t="s">
        <v>252</v>
      </c>
      <c r="J9" s="11"/>
      <c r="K9" s="24" t="s">
        <v>259</v>
      </c>
      <c r="L9" s="24" t="s">
        <v>142</v>
      </c>
      <c r="M9" s="21" t="s">
        <v>260</v>
      </c>
      <c r="N9" s="11"/>
      <c r="O9" s="24" t="s">
        <v>145</v>
      </c>
      <c r="P9" s="24" t="s">
        <v>72</v>
      </c>
      <c r="Q9" s="24" t="s">
        <v>76</v>
      </c>
      <c r="R9" s="11"/>
      <c r="S9" s="32" t="str">
        <f>"267,5"</f>
        <v>267,5</v>
      </c>
      <c r="T9" s="11" t="str">
        <f>"321,9630"</f>
        <v>321,9630</v>
      </c>
      <c r="U9" s="10"/>
    </row>
    <row r="10" spans="1:21">
      <c r="A10" s="13" t="s">
        <v>64</v>
      </c>
      <c r="B10" s="12" t="s">
        <v>261</v>
      </c>
      <c r="C10" s="12" t="s">
        <v>262</v>
      </c>
      <c r="D10" s="12" t="s">
        <v>263</v>
      </c>
      <c r="E10" s="12" t="s">
        <v>686</v>
      </c>
      <c r="F10" s="12" t="s">
        <v>178</v>
      </c>
      <c r="G10" s="22" t="s">
        <v>139</v>
      </c>
      <c r="H10" s="22" t="s">
        <v>264</v>
      </c>
      <c r="I10" s="22" t="s">
        <v>143</v>
      </c>
      <c r="J10" s="13"/>
      <c r="K10" s="22" t="s">
        <v>265</v>
      </c>
      <c r="L10" s="22" t="s">
        <v>266</v>
      </c>
      <c r="M10" s="23" t="s">
        <v>253</v>
      </c>
      <c r="N10" s="13"/>
      <c r="O10" s="22" t="s">
        <v>72</v>
      </c>
      <c r="P10" s="22" t="s">
        <v>110</v>
      </c>
      <c r="Q10" s="22" t="s">
        <v>231</v>
      </c>
      <c r="R10" s="13"/>
      <c r="S10" s="33" t="str">
        <f>"287,5"</f>
        <v>287,5</v>
      </c>
      <c r="T10" s="13" t="str">
        <f>"338,2725"</f>
        <v>338,2725</v>
      </c>
      <c r="U10" s="12" t="s">
        <v>646</v>
      </c>
    </row>
    <row r="11" spans="1:21">
      <c r="B11" s="6" t="s">
        <v>65</v>
      </c>
    </row>
    <row r="12" spans="1:21" ht="16">
      <c r="A12" s="80" t="s">
        <v>67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21">
      <c r="A13" s="11" t="s">
        <v>64</v>
      </c>
      <c r="B13" s="10" t="s">
        <v>267</v>
      </c>
      <c r="C13" s="10" t="s">
        <v>268</v>
      </c>
      <c r="D13" s="10" t="s">
        <v>70</v>
      </c>
      <c r="E13" s="10" t="s">
        <v>686</v>
      </c>
      <c r="F13" s="10" t="s">
        <v>269</v>
      </c>
      <c r="G13" s="24" t="s">
        <v>76</v>
      </c>
      <c r="H13" s="24" t="s">
        <v>77</v>
      </c>
      <c r="I13" s="24" t="s">
        <v>78</v>
      </c>
      <c r="J13" s="11"/>
      <c r="K13" s="24" t="s">
        <v>266</v>
      </c>
      <c r="L13" s="24" t="s">
        <v>254</v>
      </c>
      <c r="M13" s="21" t="s">
        <v>270</v>
      </c>
      <c r="N13" s="11"/>
      <c r="O13" s="24" t="s">
        <v>17</v>
      </c>
      <c r="P13" s="24" t="s">
        <v>88</v>
      </c>
      <c r="Q13" s="24" t="s">
        <v>30</v>
      </c>
      <c r="R13" s="11"/>
      <c r="S13" s="32" t="str">
        <f>"382,5"</f>
        <v>382,5</v>
      </c>
      <c r="T13" s="11" t="str">
        <f>"426,4492"</f>
        <v>426,4492</v>
      </c>
      <c r="U13" s="10" t="s">
        <v>271</v>
      </c>
    </row>
    <row r="14" spans="1:21">
      <c r="A14" s="26" t="s">
        <v>132</v>
      </c>
      <c r="B14" s="25" t="s">
        <v>272</v>
      </c>
      <c r="C14" s="25" t="s">
        <v>273</v>
      </c>
      <c r="D14" s="25" t="s">
        <v>274</v>
      </c>
      <c r="E14" s="25" t="s">
        <v>686</v>
      </c>
      <c r="F14" s="25" t="s">
        <v>150</v>
      </c>
      <c r="G14" s="27" t="s">
        <v>275</v>
      </c>
      <c r="H14" s="27" t="s">
        <v>138</v>
      </c>
      <c r="I14" s="28" t="s">
        <v>139</v>
      </c>
      <c r="J14" s="26"/>
      <c r="K14" s="27" t="s">
        <v>141</v>
      </c>
      <c r="L14" s="28" t="s">
        <v>73</v>
      </c>
      <c r="M14" s="28" t="s">
        <v>74</v>
      </c>
      <c r="N14" s="26"/>
      <c r="O14" s="27" t="s">
        <v>252</v>
      </c>
      <c r="P14" s="27" t="s">
        <v>145</v>
      </c>
      <c r="Q14" s="27" t="s">
        <v>72</v>
      </c>
      <c r="R14" s="26"/>
      <c r="S14" s="34" t="str">
        <f>"240,0"</f>
        <v>240,0</v>
      </c>
      <c r="T14" s="26" t="str">
        <f>"271,0800"</f>
        <v>271,0800</v>
      </c>
      <c r="U14" s="25"/>
    </row>
    <row r="15" spans="1:21">
      <c r="A15" s="13" t="s">
        <v>64</v>
      </c>
      <c r="B15" s="12" t="s">
        <v>276</v>
      </c>
      <c r="C15" s="12" t="s">
        <v>277</v>
      </c>
      <c r="D15" s="12" t="s">
        <v>278</v>
      </c>
      <c r="E15" s="12" t="s">
        <v>688</v>
      </c>
      <c r="F15" s="12" t="s">
        <v>648</v>
      </c>
      <c r="G15" s="22" t="s">
        <v>270</v>
      </c>
      <c r="H15" s="22" t="s">
        <v>138</v>
      </c>
      <c r="I15" s="13"/>
      <c r="J15" s="13"/>
      <c r="K15" s="23" t="s">
        <v>142</v>
      </c>
      <c r="L15" s="22" t="s">
        <v>142</v>
      </c>
      <c r="M15" s="22" t="s">
        <v>73</v>
      </c>
      <c r="N15" s="13"/>
      <c r="O15" s="22" t="s">
        <v>86</v>
      </c>
      <c r="P15" s="22" t="s">
        <v>252</v>
      </c>
      <c r="Q15" s="13"/>
      <c r="R15" s="13"/>
      <c r="S15" s="33" t="str">
        <f>"230,0"</f>
        <v>230,0</v>
      </c>
      <c r="T15" s="13" t="str">
        <f>"261,5330"</f>
        <v>261,5330</v>
      </c>
      <c r="U15" s="12"/>
    </row>
    <row r="16" spans="1:21">
      <c r="B16" s="6" t="s">
        <v>65</v>
      </c>
    </row>
    <row r="17" spans="1:21" ht="16">
      <c r="A17" s="80" t="s">
        <v>146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spans="1:21">
      <c r="A18" s="9" t="s">
        <v>64</v>
      </c>
      <c r="B18" s="8" t="s">
        <v>279</v>
      </c>
      <c r="C18" s="8" t="s">
        <v>280</v>
      </c>
      <c r="D18" s="8" t="s">
        <v>281</v>
      </c>
      <c r="E18" s="8" t="s">
        <v>686</v>
      </c>
      <c r="F18" s="8" t="s">
        <v>93</v>
      </c>
      <c r="G18" s="20" t="s">
        <v>72</v>
      </c>
      <c r="H18" s="19" t="s">
        <v>72</v>
      </c>
      <c r="I18" s="19" t="s">
        <v>76</v>
      </c>
      <c r="J18" s="9"/>
      <c r="K18" s="19" t="s">
        <v>270</v>
      </c>
      <c r="L18" s="20" t="s">
        <v>275</v>
      </c>
      <c r="M18" s="19" t="s">
        <v>275</v>
      </c>
      <c r="N18" s="9"/>
      <c r="O18" s="19" t="s">
        <v>111</v>
      </c>
      <c r="P18" s="20" t="s">
        <v>167</v>
      </c>
      <c r="Q18" s="20" t="s">
        <v>167</v>
      </c>
      <c r="R18" s="9"/>
      <c r="S18" s="31" t="str">
        <f>"380,0"</f>
        <v>380,0</v>
      </c>
      <c r="T18" s="9" t="str">
        <f>"368,1820"</f>
        <v>368,1820</v>
      </c>
      <c r="U18" s="8" t="s">
        <v>31</v>
      </c>
    </row>
    <row r="19" spans="1:21">
      <c r="B19" s="6" t="s">
        <v>65</v>
      </c>
    </row>
    <row r="20" spans="1:21" ht="16">
      <c r="A20" s="80" t="s">
        <v>282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spans="1:21">
      <c r="A21" s="9" t="s">
        <v>66</v>
      </c>
      <c r="B21" s="8" t="s">
        <v>283</v>
      </c>
      <c r="C21" s="8" t="s">
        <v>284</v>
      </c>
      <c r="D21" s="8" t="s">
        <v>285</v>
      </c>
      <c r="E21" s="8" t="s">
        <v>686</v>
      </c>
      <c r="F21" s="8" t="s">
        <v>178</v>
      </c>
      <c r="G21" s="20" t="s">
        <v>86</v>
      </c>
      <c r="H21" s="20" t="s">
        <v>86</v>
      </c>
      <c r="I21" s="20" t="s">
        <v>86</v>
      </c>
      <c r="J21" s="9"/>
      <c r="K21" s="20"/>
      <c r="L21" s="9"/>
      <c r="M21" s="9"/>
      <c r="N21" s="9"/>
      <c r="O21" s="20"/>
      <c r="P21" s="9"/>
      <c r="Q21" s="9"/>
      <c r="R21" s="9"/>
      <c r="S21" s="31">
        <v>0</v>
      </c>
      <c r="T21" s="9" t="str">
        <f>"0,0000"</f>
        <v>0,0000</v>
      </c>
      <c r="U21" s="8" t="s">
        <v>286</v>
      </c>
    </row>
    <row r="22" spans="1:21">
      <c r="B22" s="6" t="s">
        <v>65</v>
      </c>
    </row>
    <row r="23" spans="1:21" ht="16">
      <c r="A23" s="80" t="s">
        <v>255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spans="1:21">
      <c r="A24" s="9" t="s">
        <v>64</v>
      </c>
      <c r="B24" s="8" t="s">
        <v>287</v>
      </c>
      <c r="C24" s="8" t="s">
        <v>288</v>
      </c>
      <c r="D24" s="8" t="s">
        <v>263</v>
      </c>
      <c r="E24" s="8" t="s">
        <v>689</v>
      </c>
      <c r="F24" s="8" t="s">
        <v>649</v>
      </c>
      <c r="G24" s="20" t="s">
        <v>138</v>
      </c>
      <c r="H24" s="19" t="s">
        <v>138</v>
      </c>
      <c r="I24" s="19" t="s">
        <v>86</v>
      </c>
      <c r="J24" s="9"/>
      <c r="K24" s="19" t="s">
        <v>74</v>
      </c>
      <c r="L24" s="19" t="s">
        <v>266</v>
      </c>
      <c r="M24" s="20" t="s">
        <v>253</v>
      </c>
      <c r="N24" s="9"/>
      <c r="O24" s="19" t="s">
        <v>145</v>
      </c>
      <c r="P24" s="19" t="s">
        <v>76</v>
      </c>
      <c r="Q24" s="19" t="s">
        <v>110</v>
      </c>
      <c r="R24" s="9"/>
      <c r="S24" s="31" t="str">
        <f>"277,5"</f>
        <v>277,5</v>
      </c>
      <c r="T24" s="9" t="str">
        <f>"252,6083"</f>
        <v>252,6083</v>
      </c>
      <c r="U24" s="8" t="s">
        <v>306</v>
      </c>
    </row>
    <row r="25" spans="1:21">
      <c r="B25" s="6" t="s">
        <v>65</v>
      </c>
    </row>
    <row r="26" spans="1:21" ht="16">
      <c r="A26" s="80" t="s">
        <v>67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21">
      <c r="A27" s="11" t="s">
        <v>64</v>
      </c>
      <c r="B27" s="10" t="s">
        <v>289</v>
      </c>
      <c r="C27" s="10" t="s">
        <v>290</v>
      </c>
      <c r="D27" s="10" t="s">
        <v>70</v>
      </c>
      <c r="E27" s="10" t="s">
        <v>689</v>
      </c>
      <c r="F27" s="10" t="s">
        <v>650</v>
      </c>
      <c r="G27" s="24" t="s">
        <v>138</v>
      </c>
      <c r="H27" s="24" t="s">
        <v>143</v>
      </c>
      <c r="I27" s="24" t="s">
        <v>144</v>
      </c>
      <c r="J27" s="11"/>
      <c r="K27" s="24" t="s">
        <v>75</v>
      </c>
      <c r="L27" s="24" t="s">
        <v>270</v>
      </c>
      <c r="M27" s="21" t="s">
        <v>291</v>
      </c>
      <c r="N27" s="11"/>
      <c r="O27" s="24" t="s">
        <v>252</v>
      </c>
      <c r="P27" s="24" t="s">
        <v>145</v>
      </c>
      <c r="Q27" s="24" t="s">
        <v>76</v>
      </c>
      <c r="R27" s="11"/>
      <c r="S27" s="32" t="str">
        <f>"295,0"</f>
        <v>295,0</v>
      </c>
      <c r="T27" s="11" t="str">
        <f>"251,6055"</f>
        <v>251,6055</v>
      </c>
      <c r="U27" s="10" t="s">
        <v>297</v>
      </c>
    </row>
    <row r="28" spans="1:21">
      <c r="A28" s="13" t="s">
        <v>64</v>
      </c>
      <c r="B28" s="12" t="s">
        <v>292</v>
      </c>
      <c r="C28" s="12" t="s">
        <v>293</v>
      </c>
      <c r="D28" s="12" t="s">
        <v>70</v>
      </c>
      <c r="E28" s="12" t="s">
        <v>690</v>
      </c>
      <c r="F28" s="12" t="s">
        <v>650</v>
      </c>
      <c r="G28" s="23" t="s">
        <v>252</v>
      </c>
      <c r="H28" s="22" t="s">
        <v>252</v>
      </c>
      <c r="I28" s="22" t="s">
        <v>72</v>
      </c>
      <c r="J28" s="13"/>
      <c r="K28" s="22" t="s">
        <v>270</v>
      </c>
      <c r="L28" s="23" t="s">
        <v>291</v>
      </c>
      <c r="M28" s="23" t="s">
        <v>291</v>
      </c>
      <c r="N28" s="13"/>
      <c r="O28" s="22" t="s">
        <v>144</v>
      </c>
      <c r="P28" s="22" t="s">
        <v>72</v>
      </c>
      <c r="Q28" s="22" t="s">
        <v>110</v>
      </c>
      <c r="R28" s="13"/>
      <c r="S28" s="33" t="str">
        <f>"310,0"</f>
        <v>310,0</v>
      </c>
      <c r="T28" s="13" t="str">
        <f>"264,3990"</f>
        <v>264,3990</v>
      </c>
      <c r="U28" s="12" t="s">
        <v>297</v>
      </c>
    </row>
    <row r="29" spans="1:21">
      <c r="B29" s="6" t="s">
        <v>65</v>
      </c>
    </row>
    <row r="30" spans="1:21" ht="16">
      <c r="A30" s="80" t="s">
        <v>146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</row>
    <row r="31" spans="1:21">
      <c r="A31" s="11" t="s">
        <v>64</v>
      </c>
      <c r="B31" s="10" t="s">
        <v>294</v>
      </c>
      <c r="C31" s="10" t="s">
        <v>295</v>
      </c>
      <c r="D31" s="10" t="s">
        <v>296</v>
      </c>
      <c r="E31" s="10" t="s">
        <v>689</v>
      </c>
      <c r="F31" s="10" t="s">
        <v>650</v>
      </c>
      <c r="G31" s="21" t="s">
        <v>38</v>
      </c>
      <c r="H31" s="24" t="s">
        <v>38</v>
      </c>
      <c r="I31" s="21" t="s">
        <v>19</v>
      </c>
      <c r="J31" s="11"/>
      <c r="K31" s="21" t="s">
        <v>86</v>
      </c>
      <c r="L31" s="24" t="s">
        <v>86</v>
      </c>
      <c r="M31" s="21" t="s">
        <v>144</v>
      </c>
      <c r="N31" s="11"/>
      <c r="O31" s="24" t="s">
        <v>17</v>
      </c>
      <c r="P31" s="24" t="s">
        <v>19</v>
      </c>
      <c r="Q31" s="24" t="s">
        <v>153</v>
      </c>
      <c r="R31" s="11"/>
      <c r="S31" s="32" t="str">
        <f>"415,0"</f>
        <v>415,0</v>
      </c>
      <c r="T31" s="11" t="str">
        <f>"308,9675"</f>
        <v>308,9675</v>
      </c>
      <c r="U31" s="10" t="s">
        <v>297</v>
      </c>
    </row>
    <row r="32" spans="1:21">
      <c r="A32" s="26" t="s">
        <v>64</v>
      </c>
      <c r="B32" s="25" t="s">
        <v>298</v>
      </c>
      <c r="C32" s="25" t="s">
        <v>299</v>
      </c>
      <c r="D32" s="25" t="s">
        <v>300</v>
      </c>
      <c r="E32" s="25" t="s">
        <v>690</v>
      </c>
      <c r="F32" s="25" t="s">
        <v>178</v>
      </c>
      <c r="G32" s="28" t="s">
        <v>115</v>
      </c>
      <c r="H32" s="27" t="s">
        <v>115</v>
      </c>
      <c r="I32" s="27" t="s">
        <v>102</v>
      </c>
      <c r="J32" s="26"/>
      <c r="K32" s="27" t="s">
        <v>144</v>
      </c>
      <c r="L32" s="27" t="s">
        <v>301</v>
      </c>
      <c r="M32" s="27" t="s">
        <v>302</v>
      </c>
      <c r="N32" s="26"/>
      <c r="O32" s="27" t="s">
        <v>109</v>
      </c>
      <c r="P32" s="27" t="s">
        <v>99</v>
      </c>
      <c r="Q32" s="28" t="s">
        <v>100</v>
      </c>
      <c r="R32" s="26"/>
      <c r="S32" s="34" t="str">
        <f>"457,5"</f>
        <v>457,5</v>
      </c>
      <c r="T32" s="26" t="str">
        <f>"327,2040"</f>
        <v>327,2040</v>
      </c>
      <c r="U32" s="25"/>
    </row>
    <row r="33" spans="1:21">
      <c r="A33" s="26" t="s">
        <v>132</v>
      </c>
      <c r="B33" s="25" t="s">
        <v>303</v>
      </c>
      <c r="C33" s="25" t="s">
        <v>304</v>
      </c>
      <c r="D33" s="25" t="s">
        <v>305</v>
      </c>
      <c r="E33" s="25" t="s">
        <v>690</v>
      </c>
      <c r="F33" s="25" t="s">
        <v>651</v>
      </c>
      <c r="G33" s="27" t="s">
        <v>231</v>
      </c>
      <c r="H33" s="27" t="s">
        <v>84</v>
      </c>
      <c r="I33" s="28" t="s">
        <v>85</v>
      </c>
      <c r="J33" s="26"/>
      <c r="K33" s="27" t="s">
        <v>138</v>
      </c>
      <c r="L33" s="27" t="s">
        <v>86</v>
      </c>
      <c r="M33" s="28" t="s">
        <v>264</v>
      </c>
      <c r="N33" s="26"/>
      <c r="O33" s="27" t="s">
        <v>38</v>
      </c>
      <c r="P33" s="27" t="s">
        <v>19</v>
      </c>
      <c r="Q33" s="27" t="s">
        <v>109</v>
      </c>
      <c r="R33" s="26"/>
      <c r="S33" s="34" t="str">
        <f>"410,0"</f>
        <v>410,0</v>
      </c>
      <c r="T33" s="26" t="str">
        <f>"294,9130"</f>
        <v>294,9130</v>
      </c>
      <c r="U33" s="25" t="s">
        <v>306</v>
      </c>
    </row>
    <row r="34" spans="1:21">
      <c r="A34" s="26" t="s">
        <v>133</v>
      </c>
      <c r="B34" s="25" t="s">
        <v>307</v>
      </c>
      <c r="C34" s="25" t="s">
        <v>308</v>
      </c>
      <c r="D34" s="25" t="s">
        <v>309</v>
      </c>
      <c r="E34" s="25" t="s">
        <v>690</v>
      </c>
      <c r="F34" s="25" t="s">
        <v>310</v>
      </c>
      <c r="G34" s="27" t="s">
        <v>231</v>
      </c>
      <c r="H34" s="27" t="s">
        <v>85</v>
      </c>
      <c r="I34" s="28" t="s">
        <v>311</v>
      </c>
      <c r="J34" s="26"/>
      <c r="K34" s="28" t="s">
        <v>144</v>
      </c>
      <c r="L34" s="27" t="s">
        <v>144</v>
      </c>
      <c r="M34" s="27" t="s">
        <v>71</v>
      </c>
      <c r="N34" s="26"/>
      <c r="O34" s="27" t="s">
        <v>84</v>
      </c>
      <c r="P34" s="27" t="s">
        <v>17</v>
      </c>
      <c r="Q34" s="28" t="s">
        <v>18</v>
      </c>
      <c r="R34" s="26"/>
      <c r="S34" s="34" t="str">
        <f>"407,5"</f>
        <v>407,5</v>
      </c>
      <c r="T34" s="26" t="str">
        <f>"295,3968"</f>
        <v>295,3968</v>
      </c>
      <c r="U34" s="25" t="s">
        <v>647</v>
      </c>
    </row>
    <row r="35" spans="1:21">
      <c r="A35" s="13" t="s">
        <v>64</v>
      </c>
      <c r="B35" s="12" t="s">
        <v>312</v>
      </c>
      <c r="C35" s="12" t="s">
        <v>313</v>
      </c>
      <c r="D35" s="12" t="s">
        <v>314</v>
      </c>
      <c r="E35" s="12" t="s">
        <v>686</v>
      </c>
      <c r="F35" s="12" t="s">
        <v>650</v>
      </c>
      <c r="G35" s="22" t="s">
        <v>88</v>
      </c>
      <c r="H35" s="23" t="s">
        <v>48</v>
      </c>
      <c r="I35" s="22" t="s">
        <v>89</v>
      </c>
      <c r="J35" s="13"/>
      <c r="K35" s="22" t="s">
        <v>72</v>
      </c>
      <c r="L35" s="22" t="s">
        <v>110</v>
      </c>
      <c r="M35" s="22" t="s">
        <v>231</v>
      </c>
      <c r="N35" s="13"/>
      <c r="O35" s="22" t="s">
        <v>88</v>
      </c>
      <c r="P35" s="22" t="s">
        <v>109</v>
      </c>
      <c r="Q35" s="22" t="s">
        <v>89</v>
      </c>
      <c r="R35" s="13"/>
      <c r="S35" s="33" t="str">
        <f>"520,0"</f>
        <v>520,0</v>
      </c>
      <c r="T35" s="13" t="str">
        <f>"372,6320"</f>
        <v>372,6320</v>
      </c>
      <c r="U35" s="12" t="s">
        <v>297</v>
      </c>
    </row>
    <row r="36" spans="1:21">
      <c r="B36" s="6" t="s">
        <v>65</v>
      </c>
    </row>
    <row r="37" spans="1:21" ht="16">
      <c r="A37" s="80" t="s">
        <v>80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</row>
    <row r="38" spans="1:21">
      <c r="A38" s="11" t="s">
        <v>64</v>
      </c>
      <c r="B38" s="10" t="s">
        <v>315</v>
      </c>
      <c r="C38" s="10" t="s">
        <v>316</v>
      </c>
      <c r="D38" s="10" t="s">
        <v>317</v>
      </c>
      <c r="E38" s="10" t="s">
        <v>690</v>
      </c>
      <c r="F38" s="10" t="s">
        <v>651</v>
      </c>
      <c r="G38" s="24" t="s">
        <v>76</v>
      </c>
      <c r="H38" s="24" t="s">
        <v>231</v>
      </c>
      <c r="I38" s="21" t="s">
        <v>84</v>
      </c>
      <c r="J38" s="11"/>
      <c r="K38" s="24" t="s">
        <v>139</v>
      </c>
      <c r="L38" s="24" t="s">
        <v>86</v>
      </c>
      <c r="M38" s="24" t="s">
        <v>143</v>
      </c>
      <c r="N38" s="11"/>
      <c r="O38" s="24" t="s">
        <v>38</v>
      </c>
      <c r="P38" s="24" t="s">
        <v>39</v>
      </c>
      <c r="Q38" s="21" t="s">
        <v>88</v>
      </c>
      <c r="R38" s="11"/>
      <c r="S38" s="32" t="str">
        <f>"385,0"</f>
        <v>385,0</v>
      </c>
      <c r="T38" s="11" t="str">
        <f>"262,0310"</f>
        <v>262,0310</v>
      </c>
      <c r="U38" s="10" t="s">
        <v>306</v>
      </c>
    </row>
    <row r="39" spans="1:21">
      <c r="A39" s="26" t="s">
        <v>64</v>
      </c>
      <c r="B39" s="25" t="s">
        <v>318</v>
      </c>
      <c r="C39" s="25" t="s">
        <v>319</v>
      </c>
      <c r="D39" s="25" t="s">
        <v>320</v>
      </c>
      <c r="E39" s="25" t="s">
        <v>686</v>
      </c>
      <c r="F39" s="25" t="s">
        <v>269</v>
      </c>
      <c r="G39" s="28" t="s">
        <v>153</v>
      </c>
      <c r="H39" s="27" t="s">
        <v>153</v>
      </c>
      <c r="I39" s="27" t="s">
        <v>48</v>
      </c>
      <c r="J39" s="26"/>
      <c r="K39" s="27" t="s">
        <v>301</v>
      </c>
      <c r="L39" s="27" t="s">
        <v>72</v>
      </c>
      <c r="M39" s="27" t="s">
        <v>110</v>
      </c>
      <c r="N39" s="26"/>
      <c r="O39" s="27" t="s">
        <v>162</v>
      </c>
      <c r="P39" s="27" t="s">
        <v>168</v>
      </c>
      <c r="Q39" s="28" t="s">
        <v>321</v>
      </c>
      <c r="R39" s="26"/>
      <c r="S39" s="34" t="str">
        <f>"565,0"</f>
        <v>565,0</v>
      </c>
      <c r="T39" s="26" t="str">
        <f>"389,4545"</f>
        <v>389,4545</v>
      </c>
      <c r="U39" s="25" t="s">
        <v>322</v>
      </c>
    </row>
    <row r="40" spans="1:21">
      <c r="A40" s="13" t="s">
        <v>64</v>
      </c>
      <c r="B40" s="12" t="s">
        <v>323</v>
      </c>
      <c r="C40" s="12" t="s">
        <v>324</v>
      </c>
      <c r="D40" s="12" t="s">
        <v>177</v>
      </c>
      <c r="E40" s="12" t="s">
        <v>688</v>
      </c>
      <c r="F40" s="12" t="s">
        <v>650</v>
      </c>
      <c r="G40" s="23" t="s">
        <v>88</v>
      </c>
      <c r="H40" s="22" t="s">
        <v>88</v>
      </c>
      <c r="I40" s="23" t="s">
        <v>48</v>
      </c>
      <c r="J40" s="13"/>
      <c r="K40" s="22" t="s">
        <v>110</v>
      </c>
      <c r="L40" s="22" t="s">
        <v>115</v>
      </c>
      <c r="M40" s="23" t="s">
        <v>102</v>
      </c>
      <c r="N40" s="13"/>
      <c r="O40" s="22" t="s">
        <v>48</v>
      </c>
      <c r="P40" s="22" t="s">
        <v>49</v>
      </c>
      <c r="Q40" s="22" t="s">
        <v>121</v>
      </c>
      <c r="R40" s="13"/>
      <c r="S40" s="33" t="str">
        <f>"515,0"</f>
        <v>515,0</v>
      </c>
      <c r="T40" s="13" t="str">
        <f>"360,4473"</f>
        <v>360,4473</v>
      </c>
      <c r="U40" s="12"/>
    </row>
    <row r="41" spans="1:21">
      <c r="B41" s="6" t="s">
        <v>65</v>
      </c>
    </row>
    <row r="42" spans="1:21" ht="16">
      <c r="A42" s="80" t="s">
        <v>94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21">
      <c r="A43" s="11" t="s">
        <v>64</v>
      </c>
      <c r="B43" s="10" t="s">
        <v>325</v>
      </c>
      <c r="C43" s="10" t="s">
        <v>326</v>
      </c>
      <c r="D43" s="10" t="s">
        <v>327</v>
      </c>
      <c r="E43" s="10" t="s">
        <v>690</v>
      </c>
      <c r="F43" s="10" t="s">
        <v>178</v>
      </c>
      <c r="G43" s="21" t="s">
        <v>84</v>
      </c>
      <c r="H43" s="24" t="s">
        <v>85</v>
      </c>
      <c r="I43" s="24" t="s">
        <v>17</v>
      </c>
      <c r="J43" s="11"/>
      <c r="K43" s="21" t="s">
        <v>139</v>
      </c>
      <c r="L43" s="24" t="s">
        <v>139</v>
      </c>
      <c r="M43" s="24" t="s">
        <v>86</v>
      </c>
      <c r="N43" s="11"/>
      <c r="O43" s="24" t="s">
        <v>39</v>
      </c>
      <c r="P43" s="24" t="s">
        <v>88</v>
      </c>
      <c r="Q43" s="24" t="s">
        <v>328</v>
      </c>
      <c r="R43" s="11"/>
      <c r="S43" s="32" t="str">
        <f>"422,5"</f>
        <v>422,5</v>
      </c>
      <c r="T43" s="11" t="str">
        <f>"271,7520"</f>
        <v>271,7520</v>
      </c>
      <c r="U43" s="10" t="s">
        <v>23</v>
      </c>
    </row>
    <row r="44" spans="1:21">
      <c r="A44" s="13" t="s">
        <v>64</v>
      </c>
      <c r="B44" s="12" t="s">
        <v>329</v>
      </c>
      <c r="C44" s="12" t="s">
        <v>330</v>
      </c>
      <c r="D44" s="12" t="s">
        <v>331</v>
      </c>
      <c r="E44" s="12" t="s">
        <v>686</v>
      </c>
      <c r="F44" s="12" t="s">
        <v>629</v>
      </c>
      <c r="G44" s="22" t="s">
        <v>88</v>
      </c>
      <c r="H44" s="22" t="s">
        <v>109</v>
      </c>
      <c r="I44" s="23" t="s">
        <v>48</v>
      </c>
      <c r="J44" s="13"/>
      <c r="K44" s="22" t="s">
        <v>110</v>
      </c>
      <c r="L44" s="23" t="s">
        <v>231</v>
      </c>
      <c r="M44" s="13"/>
      <c r="N44" s="13"/>
      <c r="O44" s="23" t="s">
        <v>89</v>
      </c>
      <c r="P44" s="22" t="s">
        <v>50</v>
      </c>
      <c r="Q44" s="23" t="s">
        <v>121</v>
      </c>
      <c r="R44" s="13"/>
      <c r="S44" s="33" t="str">
        <f>"510,0"</f>
        <v>510,0</v>
      </c>
      <c r="T44" s="13" t="str">
        <f>"325,7880"</f>
        <v>325,7880</v>
      </c>
      <c r="U44" s="12" t="s">
        <v>332</v>
      </c>
    </row>
    <row r="45" spans="1:21">
      <c r="B45" s="6" t="s">
        <v>65</v>
      </c>
    </row>
    <row r="46" spans="1:21" ht="16">
      <c r="A46" s="80" t="s">
        <v>10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21">
      <c r="A47" s="11" t="s">
        <v>64</v>
      </c>
      <c r="B47" s="10" t="s">
        <v>333</v>
      </c>
      <c r="C47" s="10" t="s">
        <v>334</v>
      </c>
      <c r="D47" s="10" t="s">
        <v>335</v>
      </c>
      <c r="E47" s="10" t="s">
        <v>689</v>
      </c>
      <c r="F47" s="10" t="s">
        <v>93</v>
      </c>
      <c r="G47" s="24" t="s">
        <v>86</v>
      </c>
      <c r="H47" s="24" t="s">
        <v>87</v>
      </c>
      <c r="I47" s="24" t="s">
        <v>144</v>
      </c>
      <c r="J47" s="11"/>
      <c r="K47" s="24" t="s">
        <v>254</v>
      </c>
      <c r="L47" s="24" t="s">
        <v>336</v>
      </c>
      <c r="M47" s="21" t="s">
        <v>291</v>
      </c>
      <c r="N47" s="11"/>
      <c r="O47" s="21" t="s">
        <v>72</v>
      </c>
      <c r="P47" s="24" t="s">
        <v>76</v>
      </c>
      <c r="Q47" s="24" t="s">
        <v>115</v>
      </c>
      <c r="R47" s="11"/>
      <c r="S47" s="32" t="str">
        <f>"312,5"</f>
        <v>312,5</v>
      </c>
      <c r="T47" s="11" t="str">
        <f>"197,9687"</f>
        <v>197,9687</v>
      </c>
      <c r="U47" s="10" t="s">
        <v>31</v>
      </c>
    </row>
    <row r="48" spans="1:21">
      <c r="A48" s="26" t="s">
        <v>64</v>
      </c>
      <c r="B48" s="25" t="s">
        <v>337</v>
      </c>
      <c r="C48" s="25" t="s">
        <v>338</v>
      </c>
      <c r="D48" s="25" t="s">
        <v>339</v>
      </c>
      <c r="E48" s="25" t="s">
        <v>686</v>
      </c>
      <c r="F48" s="25" t="s">
        <v>629</v>
      </c>
      <c r="G48" s="27" t="s">
        <v>48</v>
      </c>
      <c r="H48" s="27" t="s">
        <v>49</v>
      </c>
      <c r="I48" s="27" t="s">
        <v>121</v>
      </c>
      <c r="J48" s="26"/>
      <c r="K48" s="27" t="s">
        <v>231</v>
      </c>
      <c r="L48" s="28" t="s">
        <v>115</v>
      </c>
      <c r="M48" s="27" t="s">
        <v>115</v>
      </c>
      <c r="N48" s="26"/>
      <c r="O48" s="27" t="s">
        <v>121</v>
      </c>
      <c r="P48" s="27" t="s">
        <v>162</v>
      </c>
      <c r="Q48" s="28" t="s">
        <v>116</v>
      </c>
      <c r="R48" s="26"/>
      <c r="S48" s="34" t="str">
        <f>"575,0"</f>
        <v>575,0</v>
      </c>
      <c r="T48" s="26" t="str">
        <f>"352,5325"</f>
        <v>352,5325</v>
      </c>
      <c r="U48" s="25" t="s">
        <v>340</v>
      </c>
    </row>
    <row r="49" spans="1:21">
      <c r="A49" s="13" t="s">
        <v>64</v>
      </c>
      <c r="B49" s="12" t="s">
        <v>341</v>
      </c>
      <c r="C49" s="12" t="s">
        <v>342</v>
      </c>
      <c r="D49" s="12" t="s">
        <v>210</v>
      </c>
      <c r="E49" s="12" t="s">
        <v>688</v>
      </c>
      <c r="F49" s="12" t="s">
        <v>650</v>
      </c>
      <c r="G49" s="22" t="s">
        <v>49</v>
      </c>
      <c r="H49" s="23" t="s">
        <v>121</v>
      </c>
      <c r="I49" s="22" t="s">
        <v>103</v>
      </c>
      <c r="J49" s="13"/>
      <c r="K49" s="22" t="s">
        <v>39</v>
      </c>
      <c r="L49" s="22" t="s">
        <v>40</v>
      </c>
      <c r="M49" s="23" t="s">
        <v>221</v>
      </c>
      <c r="N49" s="13"/>
      <c r="O49" s="22" t="s">
        <v>49</v>
      </c>
      <c r="P49" s="22" t="s">
        <v>35</v>
      </c>
      <c r="Q49" s="22" t="s">
        <v>14</v>
      </c>
      <c r="R49" s="13"/>
      <c r="S49" s="33" t="str">
        <f>"622,5"</f>
        <v>622,5</v>
      </c>
      <c r="T49" s="13" t="str">
        <f>"382,3118"</f>
        <v>382,3118</v>
      </c>
      <c r="U49" s="12" t="s">
        <v>297</v>
      </c>
    </row>
    <row r="50" spans="1:21">
      <c r="B50" s="6" t="s">
        <v>65</v>
      </c>
    </row>
    <row r="51" spans="1:21" ht="16">
      <c r="A51" s="80" t="s">
        <v>24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21">
      <c r="A52" s="11" t="s">
        <v>64</v>
      </c>
      <c r="B52" s="10" t="s">
        <v>119</v>
      </c>
      <c r="C52" s="10" t="s">
        <v>120</v>
      </c>
      <c r="D52" s="10" t="s">
        <v>34</v>
      </c>
      <c r="E52" s="10" t="s">
        <v>686</v>
      </c>
      <c r="F52" s="10" t="s">
        <v>629</v>
      </c>
      <c r="G52" s="24" t="s">
        <v>121</v>
      </c>
      <c r="H52" s="24" t="s">
        <v>104</v>
      </c>
      <c r="I52" s="24" t="s">
        <v>36</v>
      </c>
      <c r="J52" s="11"/>
      <c r="K52" s="24" t="s">
        <v>19</v>
      </c>
      <c r="L52" s="21" t="s">
        <v>88</v>
      </c>
      <c r="M52" s="24" t="s">
        <v>88</v>
      </c>
      <c r="N52" s="11"/>
      <c r="O52" s="21" t="s">
        <v>49</v>
      </c>
      <c r="P52" s="24" t="s">
        <v>49</v>
      </c>
      <c r="Q52" s="24" t="s">
        <v>121</v>
      </c>
      <c r="R52" s="11"/>
      <c r="S52" s="32" t="str">
        <f>"615,0"</f>
        <v>615,0</v>
      </c>
      <c r="T52" s="11" t="str">
        <f>"362,0505"</f>
        <v>362,0505</v>
      </c>
      <c r="U52" s="10"/>
    </row>
    <row r="53" spans="1:21">
      <c r="A53" s="13" t="s">
        <v>64</v>
      </c>
      <c r="B53" s="12" t="s">
        <v>119</v>
      </c>
      <c r="C53" s="12" t="s">
        <v>127</v>
      </c>
      <c r="D53" s="12" t="s">
        <v>34</v>
      </c>
      <c r="E53" s="12" t="s">
        <v>688</v>
      </c>
      <c r="F53" s="12" t="s">
        <v>629</v>
      </c>
      <c r="G53" s="22" t="s">
        <v>121</v>
      </c>
      <c r="H53" s="22" t="s">
        <v>104</v>
      </c>
      <c r="I53" s="22" t="s">
        <v>36</v>
      </c>
      <c r="J53" s="13"/>
      <c r="K53" s="22" t="s">
        <v>19</v>
      </c>
      <c r="L53" s="23" t="s">
        <v>88</v>
      </c>
      <c r="M53" s="22" t="s">
        <v>88</v>
      </c>
      <c r="N53" s="13"/>
      <c r="O53" s="23" t="s">
        <v>49</v>
      </c>
      <c r="P53" s="22" t="s">
        <v>49</v>
      </c>
      <c r="Q53" s="22" t="s">
        <v>121</v>
      </c>
      <c r="R53" s="13"/>
      <c r="S53" s="33" t="str">
        <f>"615,0"</f>
        <v>615,0</v>
      </c>
      <c r="T53" s="13" t="str">
        <f>"383,7735"</f>
        <v>383,7735</v>
      </c>
      <c r="U53" s="12"/>
    </row>
    <row r="54" spans="1:21">
      <c r="B54" s="6" t="s">
        <v>65</v>
      </c>
    </row>
    <row r="55" spans="1:21" ht="16">
      <c r="A55" s="80" t="s">
        <v>42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</row>
    <row r="56" spans="1:21">
      <c r="A56" s="9" t="s">
        <v>64</v>
      </c>
      <c r="B56" s="8" t="s">
        <v>343</v>
      </c>
      <c r="C56" s="8" t="s">
        <v>344</v>
      </c>
      <c r="D56" s="8" t="s">
        <v>345</v>
      </c>
      <c r="E56" s="8" t="s">
        <v>686</v>
      </c>
      <c r="F56" s="8" t="s">
        <v>160</v>
      </c>
      <c r="G56" s="19" t="s">
        <v>109</v>
      </c>
      <c r="H56" s="19" t="s">
        <v>48</v>
      </c>
      <c r="I56" s="19" t="s">
        <v>49</v>
      </c>
      <c r="J56" s="9"/>
      <c r="K56" s="19" t="s">
        <v>18</v>
      </c>
      <c r="L56" s="19" t="s">
        <v>88</v>
      </c>
      <c r="M56" s="19" t="s">
        <v>328</v>
      </c>
      <c r="N56" s="9"/>
      <c r="O56" s="19" t="s">
        <v>116</v>
      </c>
      <c r="P56" s="19" t="s">
        <v>20</v>
      </c>
      <c r="Q56" s="19" t="s">
        <v>46</v>
      </c>
      <c r="R56" s="9"/>
      <c r="S56" s="31" t="str">
        <f>"647,5"</f>
        <v>647,5</v>
      </c>
      <c r="T56" s="9" t="str">
        <f>"374,5787"</f>
        <v>374,5787</v>
      </c>
      <c r="U56" s="8" t="s">
        <v>23</v>
      </c>
    </row>
    <row r="57" spans="1:21">
      <c r="B57" s="6" t="s">
        <v>65</v>
      </c>
    </row>
    <row r="58" spans="1:21">
      <c r="B58" s="6" t="s">
        <v>65</v>
      </c>
    </row>
    <row r="59" spans="1:21">
      <c r="B59" s="6" t="s">
        <v>65</v>
      </c>
    </row>
    <row r="60" spans="1:21" ht="18">
      <c r="B60" s="14" t="s">
        <v>53</v>
      </c>
      <c r="C60" s="14"/>
      <c r="F60" s="3"/>
    </row>
    <row r="61" spans="1:21" ht="16">
      <c r="B61" s="15" t="s">
        <v>54</v>
      </c>
      <c r="C61" s="15"/>
      <c r="F61" s="3"/>
    </row>
    <row r="62" spans="1:21" ht="14">
      <c r="B62" s="16"/>
      <c r="C62" s="17" t="s">
        <v>128</v>
      </c>
      <c r="F62" s="3"/>
    </row>
    <row r="63" spans="1:21" ht="14">
      <c r="B63" s="18" t="s">
        <v>56</v>
      </c>
      <c r="C63" s="18" t="s">
        <v>57</v>
      </c>
      <c r="D63" s="18" t="s">
        <v>645</v>
      </c>
      <c r="E63" s="18" t="s">
        <v>59</v>
      </c>
      <c r="F63" s="18" t="s">
        <v>60</v>
      </c>
    </row>
    <row r="64" spans="1:21">
      <c r="B64" s="6" t="s">
        <v>298</v>
      </c>
      <c r="C64" s="6" t="s">
        <v>346</v>
      </c>
      <c r="D64" s="7" t="s">
        <v>239</v>
      </c>
      <c r="E64" s="7" t="s">
        <v>347</v>
      </c>
      <c r="F64" s="7" t="s">
        <v>348</v>
      </c>
    </row>
    <row r="65" spans="2:6">
      <c r="B65" s="6" t="s">
        <v>294</v>
      </c>
      <c r="C65" s="6" t="s">
        <v>129</v>
      </c>
      <c r="D65" s="7" t="s">
        <v>239</v>
      </c>
      <c r="E65" s="7" t="s">
        <v>349</v>
      </c>
      <c r="F65" s="7" t="s">
        <v>350</v>
      </c>
    </row>
    <row r="66" spans="2:6">
      <c r="B66" s="6" t="s">
        <v>307</v>
      </c>
      <c r="C66" s="6" t="s">
        <v>346</v>
      </c>
      <c r="D66" s="7" t="s">
        <v>239</v>
      </c>
      <c r="E66" s="7" t="s">
        <v>351</v>
      </c>
      <c r="F66" s="7" t="s">
        <v>352</v>
      </c>
    </row>
  </sheetData>
  <mergeCells count="26">
    <mergeCell ref="A5:R5"/>
    <mergeCell ref="B3:B4"/>
    <mergeCell ref="A55:R55"/>
    <mergeCell ref="A8:R8"/>
    <mergeCell ref="A12:R12"/>
    <mergeCell ref="A17:R17"/>
    <mergeCell ref="A20:R20"/>
    <mergeCell ref="A23:R23"/>
    <mergeCell ref="A26:R26"/>
    <mergeCell ref="A30:R30"/>
    <mergeCell ref="A37:R37"/>
    <mergeCell ref="A42:R42"/>
    <mergeCell ref="A46:R46"/>
    <mergeCell ref="A51:R51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2"/>
  <dimension ref="A1:M9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1.164062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23.6640625" style="6" customWidth="1"/>
    <col min="14" max="16384" width="9.1640625" style="3"/>
  </cols>
  <sheetData>
    <row r="1" spans="1:13" s="2" customFormat="1" ht="29" customHeight="1">
      <c r="A1" s="59" t="s">
        <v>639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8</v>
      </c>
      <c r="H3" s="71"/>
      <c r="I3" s="71"/>
      <c r="J3" s="71"/>
      <c r="K3" s="71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75"/>
    </row>
    <row r="5" spans="1:13" ht="16">
      <c r="A5" s="76" t="s">
        <v>24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11" t="s">
        <v>64</v>
      </c>
      <c r="B6" s="10" t="s">
        <v>119</v>
      </c>
      <c r="C6" s="10" t="s">
        <v>120</v>
      </c>
      <c r="D6" s="10" t="s">
        <v>34</v>
      </c>
      <c r="E6" s="10" t="s">
        <v>686</v>
      </c>
      <c r="F6" s="10" t="s">
        <v>629</v>
      </c>
      <c r="G6" s="24" t="s">
        <v>35</v>
      </c>
      <c r="H6" s="24" t="s">
        <v>14</v>
      </c>
      <c r="I6" s="21" t="s">
        <v>168</v>
      </c>
      <c r="J6" s="11"/>
      <c r="K6" s="11" t="str">
        <f>"240,0"</f>
        <v>240,0</v>
      </c>
      <c r="L6" s="11" t="str">
        <f>"135,0360"</f>
        <v>135,0360</v>
      </c>
      <c r="M6" s="10"/>
    </row>
    <row r="7" spans="1:13">
      <c r="A7" s="26" t="s">
        <v>64</v>
      </c>
      <c r="B7" s="25" t="s">
        <v>353</v>
      </c>
      <c r="C7" s="25" t="s">
        <v>354</v>
      </c>
      <c r="D7" s="25" t="s">
        <v>228</v>
      </c>
      <c r="E7" s="25" t="s">
        <v>688</v>
      </c>
      <c r="F7" s="25" t="s">
        <v>178</v>
      </c>
      <c r="G7" s="27" t="s">
        <v>14</v>
      </c>
      <c r="H7" s="27" t="s">
        <v>168</v>
      </c>
      <c r="I7" s="27" t="s">
        <v>20</v>
      </c>
      <c r="J7" s="26"/>
      <c r="K7" s="26" t="str">
        <f>"260,0"</f>
        <v>260,0</v>
      </c>
      <c r="L7" s="26" t="str">
        <f>"146,2500"</f>
        <v>146,2500</v>
      </c>
      <c r="M7" s="25"/>
    </row>
    <row r="8" spans="1:13">
      <c r="A8" s="13" t="s">
        <v>132</v>
      </c>
      <c r="B8" s="12" t="s">
        <v>119</v>
      </c>
      <c r="C8" s="12" t="s">
        <v>127</v>
      </c>
      <c r="D8" s="12" t="s">
        <v>34</v>
      </c>
      <c r="E8" s="12" t="s">
        <v>688</v>
      </c>
      <c r="F8" s="12" t="s">
        <v>629</v>
      </c>
      <c r="G8" s="22" t="s">
        <v>35</v>
      </c>
      <c r="H8" s="22" t="s">
        <v>14</v>
      </c>
      <c r="I8" s="23" t="s">
        <v>168</v>
      </c>
      <c r="J8" s="13"/>
      <c r="K8" s="13" t="str">
        <f>"240,0"</f>
        <v>240,0</v>
      </c>
      <c r="L8" s="13" t="str">
        <f>"142,4630"</f>
        <v>142,4630</v>
      </c>
      <c r="M8" s="12"/>
    </row>
    <row r="9" spans="1:13">
      <c r="B9" s="6" t="s">
        <v>65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7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8.1640625" style="6" bestFit="1" customWidth="1"/>
    <col min="7" max="10" width="5.5" style="7" customWidth="1"/>
    <col min="11" max="11" width="10.5" style="7" bestFit="1" customWidth="1"/>
    <col min="12" max="12" width="8.5" style="7" bestFit="1" customWidth="1"/>
    <col min="13" max="13" width="18.83203125" style="6" customWidth="1"/>
    <col min="14" max="16384" width="9.1640625" style="3"/>
  </cols>
  <sheetData>
    <row r="1" spans="1:13" s="2" customFormat="1" ht="29" customHeight="1">
      <c r="A1" s="59" t="s">
        <v>634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8</v>
      </c>
      <c r="H3" s="71"/>
      <c r="I3" s="71"/>
      <c r="J3" s="71"/>
      <c r="K3" s="71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75"/>
    </row>
    <row r="5" spans="1:13" ht="16">
      <c r="A5" s="76" t="s">
        <v>24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11" t="s">
        <v>64</v>
      </c>
      <c r="B6" s="10" t="s">
        <v>119</v>
      </c>
      <c r="C6" s="10" t="s">
        <v>120</v>
      </c>
      <c r="D6" s="10" t="s">
        <v>34</v>
      </c>
      <c r="E6" s="10" t="s">
        <v>686</v>
      </c>
      <c r="F6" s="10" t="s">
        <v>629</v>
      </c>
      <c r="G6" s="24" t="s">
        <v>35</v>
      </c>
      <c r="H6" s="11"/>
      <c r="I6" s="11"/>
      <c r="J6" s="11"/>
      <c r="K6" s="11" t="str">
        <f>"220,0"</f>
        <v>220,0</v>
      </c>
      <c r="L6" s="11" t="str">
        <f>"123,7830"</f>
        <v>123,7830</v>
      </c>
      <c r="M6" s="10"/>
    </row>
    <row r="7" spans="1:13">
      <c r="A7" s="13" t="s">
        <v>64</v>
      </c>
      <c r="B7" s="12" t="s">
        <v>119</v>
      </c>
      <c r="C7" s="12" t="s">
        <v>127</v>
      </c>
      <c r="D7" s="12" t="s">
        <v>34</v>
      </c>
      <c r="E7" s="12" t="s">
        <v>688</v>
      </c>
      <c r="F7" s="12" t="s">
        <v>629</v>
      </c>
      <c r="G7" s="22" t="s">
        <v>35</v>
      </c>
      <c r="H7" s="13"/>
      <c r="I7" s="13"/>
      <c r="J7" s="13"/>
      <c r="K7" s="13" t="str">
        <f>"220,0"</f>
        <v>220,0</v>
      </c>
      <c r="L7" s="13" t="str">
        <f>"130,5911"</f>
        <v>130,5911</v>
      </c>
      <c r="M7" s="12"/>
    </row>
    <row r="8" spans="1:13">
      <c r="B8" s="6" t="s">
        <v>65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8"/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8.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20.33203125" style="6" customWidth="1"/>
    <col min="14" max="16384" width="9.1640625" style="3"/>
  </cols>
  <sheetData>
    <row r="1" spans="1:13" s="2" customFormat="1" ht="29" customHeight="1">
      <c r="A1" s="59" t="s">
        <v>635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8</v>
      </c>
      <c r="H3" s="71"/>
      <c r="I3" s="71"/>
      <c r="J3" s="71"/>
      <c r="K3" s="71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75"/>
    </row>
    <row r="5" spans="1:13" ht="16">
      <c r="A5" s="76" t="s">
        <v>10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9" t="s">
        <v>64</v>
      </c>
      <c r="B6" s="8" t="s">
        <v>512</v>
      </c>
      <c r="C6" s="8" t="s">
        <v>513</v>
      </c>
      <c r="D6" s="8" t="s">
        <v>514</v>
      </c>
      <c r="E6" s="8" t="s">
        <v>686</v>
      </c>
      <c r="F6" s="8" t="s">
        <v>93</v>
      </c>
      <c r="G6" s="19" t="s">
        <v>29</v>
      </c>
      <c r="H6" s="19" t="s">
        <v>515</v>
      </c>
      <c r="I6" s="19" t="s">
        <v>235</v>
      </c>
      <c r="J6" s="9"/>
      <c r="K6" s="9" t="str">
        <f>"320,0"</f>
        <v>320,0</v>
      </c>
      <c r="L6" s="9" t="str">
        <f>"191,3600"</f>
        <v>191,3600</v>
      </c>
      <c r="M6" s="8"/>
    </row>
    <row r="7" spans="1:13">
      <c r="B7" s="6" t="s">
        <v>65</v>
      </c>
    </row>
    <row r="8" spans="1:13" ht="16">
      <c r="A8" s="80" t="s">
        <v>24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11" t="s">
        <v>64</v>
      </c>
      <c r="B9" s="10" t="s">
        <v>119</v>
      </c>
      <c r="C9" s="10" t="s">
        <v>120</v>
      </c>
      <c r="D9" s="10" t="s">
        <v>34</v>
      </c>
      <c r="E9" s="10" t="s">
        <v>686</v>
      </c>
      <c r="F9" s="10" t="s">
        <v>629</v>
      </c>
      <c r="G9" s="24" t="s">
        <v>35</v>
      </c>
      <c r="H9" s="11"/>
      <c r="I9" s="11"/>
      <c r="J9" s="11"/>
      <c r="K9" s="11" t="str">
        <f>"220,0"</f>
        <v>220,0</v>
      </c>
      <c r="L9" s="11" t="str">
        <f>"123,7830"</f>
        <v>123,7830</v>
      </c>
      <c r="M9" s="10"/>
    </row>
    <row r="10" spans="1:13">
      <c r="A10" s="13" t="s">
        <v>64</v>
      </c>
      <c r="B10" s="12" t="s">
        <v>119</v>
      </c>
      <c r="C10" s="12" t="s">
        <v>127</v>
      </c>
      <c r="D10" s="12" t="s">
        <v>34</v>
      </c>
      <c r="E10" s="12" t="s">
        <v>688</v>
      </c>
      <c r="F10" s="12" t="s">
        <v>629</v>
      </c>
      <c r="G10" s="22" t="s">
        <v>35</v>
      </c>
      <c r="H10" s="13"/>
      <c r="I10" s="13"/>
      <c r="J10" s="13"/>
      <c r="K10" s="13" t="str">
        <f>"220,0"</f>
        <v>220,0</v>
      </c>
      <c r="L10" s="13" t="str">
        <f>"130,5911"</f>
        <v>130,5911</v>
      </c>
      <c r="M10" s="12"/>
    </row>
    <row r="11" spans="1:13">
      <c r="B11" s="6" t="s">
        <v>65</v>
      </c>
    </row>
    <row r="12" spans="1:13" ht="16">
      <c r="A12" s="80" t="s">
        <v>42</v>
      </c>
      <c r="B12" s="80"/>
      <c r="C12" s="80"/>
      <c r="D12" s="80"/>
      <c r="E12" s="80"/>
      <c r="F12" s="80"/>
      <c r="G12" s="80"/>
      <c r="H12" s="80"/>
      <c r="I12" s="80"/>
      <c r="J12" s="80"/>
    </row>
    <row r="13" spans="1:13">
      <c r="A13" s="9" t="s">
        <v>64</v>
      </c>
      <c r="B13" s="8" t="s">
        <v>516</v>
      </c>
      <c r="C13" s="8" t="s">
        <v>517</v>
      </c>
      <c r="D13" s="8" t="s">
        <v>518</v>
      </c>
      <c r="E13" s="8" t="s">
        <v>688</v>
      </c>
      <c r="F13" s="8" t="s">
        <v>178</v>
      </c>
      <c r="G13" s="20" t="s">
        <v>20</v>
      </c>
      <c r="H13" s="19" t="s">
        <v>20</v>
      </c>
      <c r="I13" s="19" t="s">
        <v>46</v>
      </c>
      <c r="J13" s="9"/>
      <c r="K13" s="9" t="str">
        <f>"270,0"</f>
        <v>270,0</v>
      </c>
      <c r="L13" s="9" t="str">
        <f>"149,6169"</f>
        <v>149,6169</v>
      </c>
      <c r="M13" s="8"/>
    </row>
    <row r="14" spans="1:13">
      <c r="B14" s="6" t="s">
        <v>65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M59"/>
  <sheetViews>
    <sheetView topLeftCell="A15" workbookViewId="0">
      <selection activeCell="E50" sqref="E50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83203125" style="6" customWidth="1"/>
    <col min="4" max="4" width="21.5" style="6" bestFit="1" customWidth="1"/>
    <col min="5" max="5" width="10.5" style="6" bestFit="1" customWidth="1"/>
    <col min="6" max="6" width="39.6640625" style="6" bestFit="1" customWidth="1"/>
    <col min="7" max="9" width="5.5" style="7" customWidth="1"/>
    <col min="10" max="10" width="4.83203125" style="7" customWidth="1"/>
    <col min="11" max="11" width="10.5" style="30" bestFit="1" customWidth="1"/>
    <col min="12" max="12" width="8.5" style="7" bestFit="1" customWidth="1"/>
    <col min="13" max="13" width="22.33203125" style="6" customWidth="1"/>
    <col min="14" max="16384" width="9.1640625" style="3"/>
  </cols>
  <sheetData>
    <row r="1" spans="1:13" s="2" customFormat="1" ht="29" customHeight="1">
      <c r="A1" s="59" t="s">
        <v>632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9</v>
      </c>
      <c r="H3" s="71"/>
      <c r="I3" s="71"/>
      <c r="J3" s="71"/>
      <c r="K3" s="72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3"/>
      <c r="L4" s="70"/>
      <c r="M4" s="75"/>
    </row>
    <row r="5" spans="1:13" ht="16">
      <c r="A5" s="76" t="s">
        <v>134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11" t="s">
        <v>64</v>
      </c>
      <c r="B6" s="10" t="s">
        <v>543</v>
      </c>
      <c r="C6" s="10" t="s">
        <v>544</v>
      </c>
      <c r="D6" s="10" t="s">
        <v>545</v>
      </c>
      <c r="E6" s="10" t="s">
        <v>689</v>
      </c>
      <c r="F6" s="10" t="s">
        <v>178</v>
      </c>
      <c r="G6" s="24" t="s">
        <v>266</v>
      </c>
      <c r="H6" s="24" t="s">
        <v>254</v>
      </c>
      <c r="I6" s="21" t="s">
        <v>270</v>
      </c>
      <c r="J6" s="11"/>
      <c r="K6" s="32" t="str">
        <f>"67,5"</f>
        <v>67,5</v>
      </c>
      <c r="L6" s="11" t="str">
        <f>"84,4020"</f>
        <v>84,4020</v>
      </c>
      <c r="M6" s="10" t="s">
        <v>511</v>
      </c>
    </row>
    <row r="7" spans="1:13">
      <c r="A7" s="26" t="s">
        <v>64</v>
      </c>
      <c r="B7" s="25" t="s">
        <v>249</v>
      </c>
      <c r="C7" s="25" t="s">
        <v>250</v>
      </c>
      <c r="D7" s="25" t="s">
        <v>251</v>
      </c>
      <c r="E7" s="25" t="s">
        <v>686</v>
      </c>
      <c r="F7" s="25" t="s">
        <v>178</v>
      </c>
      <c r="G7" s="27" t="s">
        <v>231</v>
      </c>
      <c r="H7" s="27" t="s">
        <v>84</v>
      </c>
      <c r="I7" s="27" t="s">
        <v>85</v>
      </c>
      <c r="J7" s="26"/>
      <c r="K7" s="34" t="str">
        <f>"145,0"</f>
        <v>145,0</v>
      </c>
      <c r="L7" s="26" t="str">
        <f>"181,0325"</f>
        <v>181,0325</v>
      </c>
      <c r="M7" s="25" t="s">
        <v>23</v>
      </c>
    </row>
    <row r="8" spans="1:13">
      <c r="A8" s="13" t="s">
        <v>64</v>
      </c>
      <c r="B8" s="12" t="s">
        <v>546</v>
      </c>
      <c r="C8" s="12" t="s">
        <v>547</v>
      </c>
      <c r="D8" s="12" t="s">
        <v>251</v>
      </c>
      <c r="E8" s="12" t="s">
        <v>688</v>
      </c>
      <c r="F8" s="12" t="s">
        <v>269</v>
      </c>
      <c r="G8" s="22" t="s">
        <v>143</v>
      </c>
      <c r="H8" s="23" t="s">
        <v>252</v>
      </c>
      <c r="I8" s="23" t="s">
        <v>414</v>
      </c>
      <c r="J8" s="13"/>
      <c r="K8" s="33" t="str">
        <f>"95,0"</f>
        <v>95,0</v>
      </c>
      <c r="L8" s="13" t="str">
        <f>"119,2005"</f>
        <v>119,2005</v>
      </c>
      <c r="M8" s="12" t="s">
        <v>511</v>
      </c>
    </row>
    <row r="9" spans="1:13">
      <c r="B9" s="6" t="s">
        <v>65</v>
      </c>
    </row>
    <row r="10" spans="1:13" ht="16">
      <c r="A10" s="80" t="s">
        <v>402</v>
      </c>
      <c r="B10" s="80"/>
      <c r="C10" s="80"/>
      <c r="D10" s="80"/>
      <c r="E10" s="80"/>
      <c r="F10" s="80"/>
      <c r="G10" s="80"/>
      <c r="H10" s="80"/>
      <c r="I10" s="80"/>
      <c r="J10" s="80"/>
    </row>
    <row r="11" spans="1:13">
      <c r="A11" s="11" t="s">
        <v>64</v>
      </c>
      <c r="B11" s="10" t="s">
        <v>548</v>
      </c>
      <c r="C11" s="10" t="s">
        <v>549</v>
      </c>
      <c r="D11" s="10" t="s">
        <v>550</v>
      </c>
      <c r="E11" s="10" t="s">
        <v>690</v>
      </c>
      <c r="F11" s="10" t="s">
        <v>178</v>
      </c>
      <c r="G11" s="24" t="s">
        <v>252</v>
      </c>
      <c r="H11" s="24" t="s">
        <v>72</v>
      </c>
      <c r="I11" s="24" t="s">
        <v>551</v>
      </c>
      <c r="J11" s="11"/>
      <c r="K11" s="32" t="str">
        <f>"122,5"</f>
        <v>122,5</v>
      </c>
      <c r="L11" s="11" t="str">
        <f>"125,6973"</f>
        <v>125,6973</v>
      </c>
      <c r="M11" s="10"/>
    </row>
    <row r="12" spans="1:13">
      <c r="A12" s="13" t="s">
        <v>64</v>
      </c>
      <c r="B12" s="12" t="s">
        <v>552</v>
      </c>
      <c r="C12" s="12" t="s">
        <v>553</v>
      </c>
      <c r="D12" s="12" t="s">
        <v>554</v>
      </c>
      <c r="E12" s="12" t="s">
        <v>686</v>
      </c>
      <c r="F12" s="12" t="s">
        <v>672</v>
      </c>
      <c r="G12" s="22" t="s">
        <v>231</v>
      </c>
      <c r="H12" s="22" t="s">
        <v>84</v>
      </c>
      <c r="I12" s="23" t="s">
        <v>85</v>
      </c>
      <c r="J12" s="13"/>
      <c r="K12" s="33" t="str">
        <f>"140,0"</f>
        <v>140,0</v>
      </c>
      <c r="L12" s="13" t="str">
        <f>"148,7500"</f>
        <v>148,7500</v>
      </c>
      <c r="M12" s="12"/>
    </row>
    <row r="13" spans="1:13">
      <c r="B13" s="6" t="s">
        <v>65</v>
      </c>
    </row>
    <row r="14" spans="1:13" ht="16">
      <c r="A14" s="80" t="s">
        <v>146</v>
      </c>
      <c r="B14" s="80"/>
      <c r="C14" s="80"/>
      <c r="D14" s="80"/>
      <c r="E14" s="80"/>
      <c r="F14" s="80"/>
      <c r="G14" s="80"/>
      <c r="H14" s="80"/>
      <c r="I14" s="80"/>
      <c r="J14" s="80"/>
    </row>
    <row r="15" spans="1:13">
      <c r="A15" s="9" t="s">
        <v>64</v>
      </c>
      <c r="B15" s="8" t="s">
        <v>279</v>
      </c>
      <c r="C15" s="8" t="s">
        <v>280</v>
      </c>
      <c r="D15" s="8" t="s">
        <v>281</v>
      </c>
      <c r="E15" s="8" t="s">
        <v>686</v>
      </c>
      <c r="F15" s="8" t="s">
        <v>93</v>
      </c>
      <c r="G15" s="19" t="s">
        <v>111</v>
      </c>
      <c r="H15" s="20" t="s">
        <v>167</v>
      </c>
      <c r="I15" s="20" t="s">
        <v>167</v>
      </c>
      <c r="J15" s="9"/>
      <c r="K15" s="31" t="str">
        <f>"185,0"</f>
        <v>185,0</v>
      </c>
      <c r="L15" s="9" t="str">
        <f>"179,2465"</f>
        <v>179,2465</v>
      </c>
      <c r="M15" s="8" t="s">
        <v>31</v>
      </c>
    </row>
    <row r="16" spans="1:13">
      <c r="B16" s="6" t="s">
        <v>65</v>
      </c>
    </row>
    <row r="17" spans="1:13" ht="16">
      <c r="A17" s="80" t="s">
        <v>94</v>
      </c>
      <c r="B17" s="80"/>
      <c r="C17" s="80"/>
      <c r="D17" s="80"/>
      <c r="E17" s="80"/>
      <c r="F17" s="80"/>
      <c r="G17" s="80"/>
      <c r="H17" s="80"/>
      <c r="I17" s="80"/>
      <c r="J17" s="80"/>
    </row>
    <row r="18" spans="1:13">
      <c r="A18" s="9" t="s">
        <v>64</v>
      </c>
      <c r="B18" s="8" t="s">
        <v>555</v>
      </c>
      <c r="C18" s="8" t="s">
        <v>556</v>
      </c>
      <c r="D18" s="8" t="s">
        <v>557</v>
      </c>
      <c r="E18" s="8" t="s">
        <v>686</v>
      </c>
      <c r="F18" s="8" t="s">
        <v>467</v>
      </c>
      <c r="G18" s="19" t="s">
        <v>76</v>
      </c>
      <c r="H18" s="19" t="s">
        <v>231</v>
      </c>
      <c r="I18" s="20" t="s">
        <v>84</v>
      </c>
      <c r="J18" s="9"/>
      <c r="K18" s="31" t="str">
        <f>"130,0"</f>
        <v>130,0</v>
      </c>
      <c r="L18" s="9" t="str">
        <f>"114,7380"</f>
        <v>114,7380</v>
      </c>
      <c r="M18" s="8"/>
    </row>
    <row r="19" spans="1:13">
      <c r="B19" s="6" t="s">
        <v>65</v>
      </c>
    </row>
    <row r="20" spans="1:13" ht="16">
      <c r="A20" s="80" t="s">
        <v>146</v>
      </c>
      <c r="B20" s="80"/>
      <c r="C20" s="80"/>
      <c r="D20" s="80"/>
      <c r="E20" s="80"/>
      <c r="F20" s="80"/>
      <c r="G20" s="80"/>
      <c r="H20" s="80"/>
      <c r="I20" s="80"/>
      <c r="J20" s="80"/>
    </row>
    <row r="21" spans="1:13">
      <c r="A21" s="11" t="s">
        <v>64</v>
      </c>
      <c r="B21" s="10" t="s">
        <v>298</v>
      </c>
      <c r="C21" s="10" t="s">
        <v>299</v>
      </c>
      <c r="D21" s="10" t="s">
        <v>300</v>
      </c>
      <c r="E21" s="10" t="s">
        <v>690</v>
      </c>
      <c r="F21" s="10" t="s">
        <v>178</v>
      </c>
      <c r="G21" s="24" t="s">
        <v>109</v>
      </c>
      <c r="H21" s="24" t="s">
        <v>99</v>
      </c>
      <c r="I21" s="21" t="s">
        <v>100</v>
      </c>
      <c r="J21" s="11"/>
      <c r="K21" s="32" t="str">
        <f>"197,5"</f>
        <v>197,5</v>
      </c>
      <c r="L21" s="11" t="str">
        <f>"141,2520"</f>
        <v>141,2520</v>
      </c>
      <c r="M21" s="10"/>
    </row>
    <row r="22" spans="1:13">
      <c r="A22" s="26" t="s">
        <v>64</v>
      </c>
      <c r="B22" s="25" t="s">
        <v>558</v>
      </c>
      <c r="C22" s="25" t="s">
        <v>559</v>
      </c>
      <c r="D22" s="25" t="s">
        <v>560</v>
      </c>
      <c r="E22" s="25" t="s">
        <v>687</v>
      </c>
      <c r="F22" s="25" t="s">
        <v>108</v>
      </c>
      <c r="G22" s="27" t="s">
        <v>231</v>
      </c>
      <c r="H22" s="27" t="s">
        <v>84</v>
      </c>
      <c r="I22" s="28" t="s">
        <v>38</v>
      </c>
      <c r="J22" s="26"/>
      <c r="K22" s="34" t="str">
        <f>"140,0"</f>
        <v>140,0</v>
      </c>
      <c r="L22" s="26" t="str">
        <f>"101,7940"</f>
        <v>101,7940</v>
      </c>
      <c r="M22" s="25" t="s">
        <v>566</v>
      </c>
    </row>
    <row r="23" spans="1:13">
      <c r="A23" s="13" t="s">
        <v>64</v>
      </c>
      <c r="B23" s="12" t="s">
        <v>437</v>
      </c>
      <c r="C23" s="12" t="s">
        <v>438</v>
      </c>
      <c r="D23" s="12" t="s">
        <v>159</v>
      </c>
      <c r="E23" s="12" t="s">
        <v>686</v>
      </c>
      <c r="F23" s="12" t="s">
        <v>108</v>
      </c>
      <c r="G23" s="22" t="s">
        <v>38</v>
      </c>
      <c r="H23" s="22" t="s">
        <v>17</v>
      </c>
      <c r="I23" s="22" t="s">
        <v>19</v>
      </c>
      <c r="J23" s="13"/>
      <c r="K23" s="33" t="str">
        <f>"165,0"</f>
        <v>165,0</v>
      </c>
      <c r="L23" s="13" t="str">
        <f>"119,4930"</f>
        <v>119,4930</v>
      </c>
      <c r="M23" s="12"/>
    </row>
    <row r="24" spans="1:13">
      <c r="B24" s="6" t="s">
        <v>65</v>
      </c>
    </row>
    <row r="25" spans="1:13" ht="16">
      <c r="A25" s="80" t="s">
        <v>80</v>
      </c>
      <c r="B25" s="80"/>
      <c r="C25" s="80"/>
      <c r="D25" s="80"/>
      <c r="E25" s="80"/>
      <c r="F25" s="80"/>
      <c r="G25" s="80"/>
      <c r="H25" s="80"/>
      <c r="I25" s="80"/>
      <c r="J25" s="80"/>
    </row>
    <row r="26" spans="1:13">
      <c r="A26" s="11" t="s">
        <v>64</v>
      </c>
      <c r="B26" s="10" t="s">
        <v>561</v>
      </c>
      <c r="C26" s="10" t="s">
        <v>562</v>
      </c>
      <c r="D26" s="10" t="s">
        <v>171</v>
      </c>
      <c r="E26" s="10" t="s">
        <v>687</v>
      </c>
      <c r="F26" s="10" t="s">
        <v>676</v>
      </c>
      <c r="G26" s="24" t="s">
        <v>121</v>
      </c>
      <c r="H26" s="24" t="s">
        <v>35</v>
      </c>
      <c r="I26" s="21" t="s">
        <v>162</v>
      </c>
      <c r="J26" s="11"/>
      <c r="K26" s="32" t="str">
        <f>"220,0"</f>
        <v>220,0</v>
      </c>
      <c r="L26" s="11" t="str">
        <f>"147,3780"</f>
        <v>147,3780</v>
      </c>
      <c r="M26" s="10"/>
    </row>
    <row r="27" spans="1:13">
      <c r="A27" s="26" t="s">
        <v>132</v>
      </c>
      <c r="B27" s="25" t="s">
        <v>563</v>
      </c>
      <c r="C27" s="25" t="s">
        <v>564</v>
      </c>
      <c r="D27" s="25" t="s">
        <v>565</v>
      </c>
      <c r="E27" s="25" t="s">
        <v>687</v>
      </c>
      <c r="F27" s="25" t="s">
        <v>108</v>
      </c>
      <c r="G27" s="28" t="s">
        <v>111</v>
      </c>
      <c r="H27" s="27" t="s">
        <v>48</v>
      </c>
      <c r="I27" s="27" t="s">
        <v>49</v>
      </c>
      <c r="J27" s="26"/>
      <c r="K27" s="34" t="str">
        <f>"200,0"</f>
        <v>200,0</v>
      </c>
      <c r="L27" s="26" t="str">
        <f>"137,6400"</f>
        <v>137,6400</v>
      </c>
      <c r="M27" s="25" t="s">
        <v>566</v>
      </c>
    </row>
    <row r="28" spans="1:13">
      <c r="A28" s="26" t="s">
        <v>64</v>
      </c>
      <c r="B28" s="25" t="s">
        <v>318</v>
      </c>
      <c r="C28" s="25" t="s">
        <v>319</v>
      </c>
      <c r="D28" s="25" t="s">
        <v>320</v>
      </c>
      <c r="E28" s="25" t="s">
        <v>686</v>
      </c>
      <c r="F28" s="25" t="s">
        <v>269</v>
      </c>
      <c r="G28" s="27" t="s">
        <v>162</v>
      </c>
      <c r="H28" s="27" t="s">
        <v>168</v>
      </c>
      <c r="I28" s="28" t="s">
        <v>321</v>
      </c>
      <c r="J28" s="26"/>
      <c r="K28" s="34" t="str">
        <f>"250,0"</f>
        <v>250,0</v>
      </c>
      <c r="L28" s="26" t="str">
        <f>"172,3250"</f>
        <v>172,3250</v>
      </c>
      <c r="M28" s="25" t="s">
        <v>322</v>
      </c>
    </row>
    <row r="29" spans="1:13">
      <c r="A29" s="13" t="s">
        <v>132</v>
      </c>
      <c r="B29" s="12" t="s">
        <v>561</v>
      </c>
      <c r="C29" s="12" t="s">
        <v>567</v>
      </c>
      <c r="D29" s="12" t="s">
        <v>171</v>
      </c>
      <c r="E29" s="12" t="s">
        <v>686</v>
      </c>
      <c r="F29" s="12" t="s">
        <v>676</v>
      </c>
      <c r="G29" s="22" t="s">
        <v>121</v>
      </c>
      <c r="H29" s="22" t="s">
        <v>35</v>
      </c>
      <c r="I29" s="23" t="s">
        <v>162</v>
      </c>
      <c r="J29" s="13"/>
      <c r="K29" s="33" t="str">
        <f>"220,0"</f>
        <v>220,0</v>
      </c>
      <c r="L29" s="13" t="str">
        <f>"147,3780"</f>
        <v>147,3780</v>
      </c>
      <c r="M29" s="12"/>
    </row>
    <row r="30" spans="1:13">
      <c r="B30" s="6" t="s">
        <v>65</v>
      </c>
    </row>
    <row r="31" spans="1:13" ht="16">
      <c r="A31" s="80" t="s">
        <v>94</v>
      </c>
      <c r="B31" s="80"/>
      <c r="C31" s="80"/>
      <c r="D31" s="80"/>
      <c r="E31" s="80"/>
      <c r="F31" s="80"/>
      <c r="G31" s="80"/>
      <c r="H31" s="80"/>
      <c r="I31" s="80"/>
      <c r="J31" s="80"/>
    </row>
    <row r="32" spans="1:13">
      <c r="A32" s="11" t="s">
        <v>64</v>
      </c>
      <c r="B32" s="10" t="s">
        <v>568</v>
      </c>
      <c r="C32" s="10" t="s">
        <v>569</v>
      </c>
      <c r="D32" s="10" t="s">
        <v>570</v>
      </c>
      <c r="E32" s="10" t="s">
        <v>689</v>
      </c>
      <c r="F32" s="10" t="s">
        <v>629</v>
      </c>
      <c r="G32" s="24" t="s">
        <v>84</v>
      </c>
      <c r="H32" s="11"/>
      <c r="I32" s="11"/>
      <c r="J32" s="11"/>
      <c r="K32" s="32" t="str">
        <f>"140,0"</f>
        <v>140,0</v>
      </c>
      <c r="L32" s="11" t="str">
        <f>"89,5720"</f>
        <v>89,5720</v>
      </c>
      <c r="M32" s="10" t="s">
        <v>332</v>
      </c>
    </row>
    <row r="33" spans="1:13">
      <c r="A33" s="26" t="s">
        <v>64</v>
      </c>
      <c r="B33" s="25" t="s">
        <v>451</v>
      </c>
      <c r="C33" s="25" t="s">
        <v>452</v>
      </c>
      <c r="D33" s="25" t="s">
        <v>453</v>
      </c>
      <c r="E33" s="25" t="s">
        <v>686</v>
      </c>
      <c r="F33" s="25" t="s">
        <v>659</v>
      </c>
      <c r="G33" s="27" t="s">
        <v>50</v>
      </c>
      <c r="H33" s="27" t="s">
        <v>103</v>
      </c>
      <c r="I33" s="28" t="s">
        <v>162</v>
      </c>
      <c r="J33" s="26"/>
      <c r="K33" s="34" t="str">
        <f>"215,0"</f>
        <v>215,0</v>
      </c>
      <c r="L33" s="26" t="str">
        <f>"137,4925"</f>
        <v>137,4925</v>
      </c>
      <c r="M33" s="25" t="s">
        <v>415</v>
      </c>
    </row>
    <row r="34" spans="1:13">
      <c r="A34" s="26" t="s">
        <v>132</v>
      </c>
      <c r="B34" s="25" t="s">
        <v>329</v>
      </c>
      <c r="C34" s="25" t="s">
        <v>330</v>
      </c>
      <c r="D34" s="25" t="s">
        <v>331</v>
      </c>
      <c r="E34" s="25" t="s">
        <v>686</v>
      </c>
      <c r="F34" s="25" t="s">
        <v>629</v>
      </c>
      <c r="G34" s="28" t="s">
        <v>89</v>
      </c>
      <c r="H34" s="27" t="s">
        <v>50</v>
      </c>
      <c r="I34" s="28" t="s">
        <v>121</v>
      </c>
      <c r="J34" s="26"/>
      <c r="K34" s="34" t="str">
        <f>"205,0"</f>
        <v>205,0</v>
      </c>
      <c r="L34" s="26" t="str">
        <f>"130,9540"</f>
        <v>130,9540</v>
      </c>
      <c r="M34" s="25" t="s">
        <v>332</v>
      </c>
    </row>
    <row r="35" spans="1:13">
      <c r="A35" s="13" t="s">
        <v>64</v>
      </c>
      <c r="B35" s="12" t="s">
        <v>571</v>
      </c>
      <c r="C35" s="12" t="s">
        <v>572</v>
      </c>
      <c r="D35" s="12" t="s">
        <v>573</v>
      </c>
      <c r="E35" s="12" t="s">
        <v>693</v>
      </c>
      <c r="F35" s="12" t="s">
        <v>178</v>
      </c>
      <c r="G35" s="22" t="s">
        <v>88</v>
      </c>
      <c r="H35" s="22" t="s">
        <v>109</v>
      </c>
      <c r="I35" s="22" t="s">
        <v>48</v>
      </c>
      <c r="J35" s="13"/>
      <c r="K35" s="33" t="str">
        <f>"190,0"</f>
        <v>190,0</v>
      </c>
      <c r="L35" s="13" t="str">
        <f>"226,0149"</f>
        <v>226,0149</v>
      </c>
      <c r="M35" s="12"/>
    </row>
    <row r="36" spans="1:13">
      <c r="B36" s="6" t="s">
        <v>65</v>
      </c>
    </row>
    <row r="37" spans="1:13" ht="16">
      <c r="A37" s="80" t="s">
        <v>10</v>
      </c>
      <c r="B37" s="80"/>
      <c r="C37" s="80"/>
      <c r="D37" s="80"/>
      <c r="E37" s="80"/>
      <c r="F37" s="80"/>
      <c r="G37" s="80"/>
      <c r="H37" s="80"/>
      <c r="I37" s="80"/>
      <c r="J37" s="80"/>
    </row>
    <row r="38" spans="1:13">
      <c r="A38" s="11" t="s">
        <v>66</v>
      </c>
      <c r="B38" s="10" t="s">
        <v>574</v>
      </c>
      <c r="C38" s="10" t="s">
        <v>575</v>
      </c>
      <c r="D38" s="10" t="s">
        <v>197</v>
      </c>
      <c r="E38" s="10" t="s">
        <v>686</v>
      </c>
      <c r="F38" s="10" t="s">
        <v>93</v>
      </c>
      <c r="G38" s="21" t="s">
        <v>35</v>
      </c>
      <c r="H38" s="21" t="s">
        <v>14</v>
      </c>
      <c r="I38" s="21" t="s">
        <v>14</v>
      </c>
      <c r="J38" s="11"/>
      <c r="K38" s="32">
        <v>0</v>
      </c>
      <c r="L38" s="11" t="str">
        <f>"0,0000"</f>
        <v>0,0000</v>
      </c>
      <c r="M38" s="10" t="s">
        <v>31</v>
      </c>
    </row>
    <row r="39" spans="1:13">
      <c r="A39" s="13" t="s">
        <v>64</v>
      </c>
      <c r="B39" s="12" t="s">
        <v>576</v>
      </c>
      <c r="C39" s="12" t="s">
        <v>577</v>
      </c>
      <c r="D39" s="12" t="s">
        <v>216</v>
      </c>
      <c r="E39" s="12" t="s">
        <v>691</v>
      </c>
      <c r="F39" s="12" t="s">
        <v>629</v>
      </c>
      <c r="G39" s="22" t="s">
        <v>121</v>
      </c>
      <c r="H39" s="22" t="s">
        <v>35</v>
      </c>
      <c r="I39" s="22" t="s">
        <v>104</v>
      </c>
      <c r="J39" s="13"/>
      <c r="K39" s="33" t="str">
        <f>"225,0"</f>
        <v>225,0</v>
      </c>
      <c r="L39" s="13" t="str">
        <f>"171,0573"</f>
        <v>171,0573</v>
      </c>
      <c r="M39" s="12"/>
    </row>
    <row r="40" spans="1:13">
      <c r="B40" s="6" t="s">
        <v>65</v>
      </c>
    </row>
    <row r="41" spans="1:13" ht="16">
      <c r="A41" s="80" t="s">
        <v>24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3">
      <c r="A42" s="11" t="s">
        <v>64</v>
      </c>
      <c r="B42" s="10" t="s">
        <v>122</v>
      </c>
      <c r="C42" s="10" t="s">
        <v>123</v>
      </c>
      <c r="D42" s="10" t="s">
        <v>124</v>
      </c>
      <c r="E42" s="10" t="s">
        <v>686</v>
      </c>
      <c r="F42" s="10" t="s">
        <v>651</v>
      </c>
      <c r="G42" s="24" t="s">
        <v>121</v>
      </c>
      <c r="H42" s="24" t="s">
        <v>35</v>
      </c>
      <c r="I42" s="21" t="s">
        <v>126</v>
      </c>
      <c r="J42" s="11"/>
      <c r="K42" s="32" t="str">
        <f>"220,0"</f>
        <v>220,0</v>
      </c>
      <c r="L42" s="11" t="str">
        <f>"130,3280"</f>
        <v>130,3280</v>
      </c>
      <c r="M42" s="10" t="s">
        <v>79</v>
      </c>
    </row>
    <row r="43" spans="1:13">
      <c r="A43" s="26" t="s">
        <v>132</v>
      </c>
      <c r="B43" s="25" t="s">
        <v>119</v>
      </c>
      <c r="C43" s="25" t="s">
        <v>120</v>
      </c>
      <c r="D43" s="25" t="s">
        <v>34</v>
      </c>
      <c r="E43" s="25" t="s">
        <v>686</v>
      </c>
      <c r="F43" s="25" t="s">
        <v>629</v>
      </c>
      <c r="G43" s="28" t="s">
        <v>49</v>
      </c>
      <c r="H43" s="27" t="s">
        <v>49</v>
      </c>
      <c r="I43" s="27" t="s">
        <v>121</v>
      </c>
      <c r="J43" s="26"/>
      <c r="K43" s="34" t="str">
        <f>"210,0"</f>
        <v>210,0</v>
      </c>
      <c r="L43" s="26" t="str">
        <f>"123,6270"</f>
        <v>123,6270</v>
      </c>
      <c r="M43" s="25"/>
    </row>
    <row r="44" spans="1:13">
      <c r="A44" s="26" t="s">
        <v>66</v>
      </c>
      <c r="B44" s="25" t="s">
        <v>578</v>
      </c>
      <c r="C44" s="25" t="s">
        <v>579</v>
      </c>
      <c r="D44" s="25" t="s">
        <v>580</v>
      </c>
      <c r="E44" s="25" t="s">
        <v>686</v>
      </c>
      <c r="F44" s="25" t="s">
        <v>581</v>
      </c>
      <c r="G44" s="28" t="s">
        <v>109</v>
      </c>
      <c r="H44" s="28" t="s">
        <v>48</v>
      </c>
      <c r="I44" s="28" t="s">
        <v>103</v>
      </c>
      <c r="J44" s="26"/>
      <c r="K44" s="34">
        <v>0</v>
      </c>
      <c r="L44" s="26" t="str">
        <f>"0,0000"</f>
        <v>0,0000</v>
      </c>
      <c r="M44" s="25"/>
    </row>
    <row r="45" spans="1:13">
      <c r="A45" s="26" t="s">
        <v>64</v>
      </c>
      <c r="B45" s="25" t="s">
        <v>582</v>
      </c>
      <c r="C45" s="25" t="s">
        <v>583</v>
      </c>
      <c r="D45" s="25" t="s">
        <v>584</v>
      </c>
      <c r="E45" s="25" t="s">
        <v>688</v>
      </c>
      <c r="F45" s="25" t="s">
        <v>671</v>
      </c>
      <c r="G45" s="27" t="s">
        <v>121</v>
      </c>
      <c r="H45" s="27" t="s">
        <v>103</v>
      </c>
      <c r="I45" s="27" t="s">
        <v>104</v>
      </c>
      <c r="J45" s="26"/>
      <c r="K45" s="34" t="str">
        <f>"225,0"</f>
        <v>225,0</v>
      </c>
      <c r="L45" s="26" t="str">
        <f>"133,9200"</f>
        <v>133,9200</v>
      </c>
      <c r="M45" s="25"/>
    </row>
    <row r="46" spans="1:13">
      <c r="A46" s="13" t="s">
        <v>132</v>
      </c>
      <c r="B46" s="12" t="s">
        <v>119</v>
      </c>
      <c r="C46" s="12" t="s">
        <v>127</v>
      </c>
      <c r="D46" s="12" t="s">
        <v>34</v>
      </c>
      <c r="E46" s="12" t="s">
        <v>688</v>
      </c>
      <c r="F46" s="12" t="s">
        <v>629</v>
      </c>
      <c r="G46" s="23" t="s">
        <v>49</v>
      </c>
      <c r="H46" s="22" t="s">
        <v>49</v>
      </c>
      <c r="I46" s="22" t="s">
        <v>121</v>
      </c>
      <c r="J46" s="13"/>
      <c r="K46" s="33" t="str">
        <f>"210,0"</f>
        <v>210,0</v>
      </c>
      <c r="L46" s="13" t="str">
        <f>"131,0446"</f>
        <v>131,0446</v>
      </c>
      <c r="M46" s="12"/>
    </row>
    <row r="47" spans="1:13">
      <c r="B47" s="6" t="s">
        <v>65</v>
      </c>
    </row>
    <row r="48" spans="1:13" ht="16">
      <c r="A48" s="80" t="s">
        <v>42</v>
      </c>
      <c r="B48" s="80"/>
      <c r="C48" s="80"/>
      <c r="D48" s="80"/>
      <c r="E48" s="80"/>
      <c r="F48" s="80"/>
      <c r="G48" s="80"/>
      <c r="H48" s="80"/>
      <c r="I48" s="80"/>
      <c r="J48" s="80"/>
    </row>
    <row r="49" spans="1:13">
      <c r="A49" s="9" t="s">
        <v>64</v>
      </c>
      <c r="B49" s="8" t="s">
        <v>343</v>
      </c>
      <c r="C49" s="8" t="s">
        <v>344</v>
      </c>
      <c r="D49" s="8" t="s">
        <v>345</v>
      </c>
      <c r="E49" s="8" t="s">
        <v>686</v>
      </c>
      <c r="F49" s="8" t="s">
        <v>160</v>
      </c>
      <c r="G49" s="19" t="s">
        <v>116</v>
      </c>
      <c r="H49" s="19" t="s">
        <v>20</v>
      </c>
      <c r="I49" s="19" t="s">
        <v>46</v>
      </c>
      <c r="J49" s="9"/>
      <c r="K49" s="31" t="str">
        <f>"270,0"</f>
        <v>270,0</v>
      </c>
      <c r="L49" s="9" t="str">
        <f>"156,1950"</f>
        <v>156,1950</v>
      </c>
      <c r="M49" s="8" t="s">
        <v>23</v>
      </c>
    </row>
    <row r="50" spans="1:13">
      <c r="B50" s="6" t="s">
        <v>65</v>
      </c>
    </row>
    <row r="51" spans="1:13">
      <c r="B51" s="6" t="s">
        <v>65</v>
      </c>
    </row>
    <row r="52" spans="1:13">
      <c r="B52" s="6" t="s">
        <v>65</v>
      </c>
    </row>
    <row r="53" spans="1:13" ht="18">
      <c r="B53" s="14" t="s">
        <v>53</v>
      </c>
      <c r="C53" s="14"/>
      <c r="F53" s="3"/>
    </row>
    <row r="54" spans="1:13" ht="16">
      <c r="B54" s="15" t="s">
        <v>54</v>
      </c>
      <c r="C54" s="15"/>
      <c r="F54" s="3"/>
    </row>
    <row r="55" spans="1:13" ht="14">
      <c r="B55" s="16"/>
      <c r="C55" s="17" t="s">
        <v>55</v>
      </c>
      <c r="F55" s="3"/>
    </row>
    <row r="56" spans="1:13" ht="14">
      <c r="B56" s="18" t="s">
        <v>56</v>
      </c>
      <c r="C56" s="18" t="s">
        <v>57</v>
      </c>
      <c r="D56" s="18" t="s">
        <v>58</v>
      </c>
      <c r="E56" s="18" t="s">
        <v>355</v>
      </c>
      <c r="F56" s="18" t="s">
        <v>60</v>
      </c>
    </row>
    <row r="57" spans="1:13">
      <c r="B57" s="6" t="s">
        <v>318</v>
      </c>
      <c r="C57" s="6" t="s">
        <v>55</v>
      </c>
      <c r="D57" s="7" t="s">
        <v>130</v>
      </c>
      <c r="E57" s="7" t="s">
        <v>168</v>
      </c>
      <c r="F57" s="7" t="s">
        <v>586</v>
      </c>
    </row>
    <row r="58" spans="1:13">
      <c r="B58" s="6" t="s">
        <v>343</v>
      </c>
      <c r="C58" s="6" t="s">
        <v>55</v>
      </c>
      <c r="D58" s="7" t="s">
        <v>61</v>
      </c>
      <c r="E58" s="7" t="s">
        <v>46</v>
      </c>
      <c r="F58" s="7" t="s">
        <v>587</v>
      </c>
    </row>
    <row r="59" spans="1:13">
      <c r="B59" s="6" t="s">
        <v>561</v>
      </c>
      <c r="C59" s="6" t="s">
        <v>55</v>
      </c>
      <c r="D59" s="7" t="s">
        <v>130</v>
      </c>
      <c r="E59" s="7" t="s">
        <v>35</v>
      </c>
      <c r="F59" s="7" t="s">
        <v>585</v>
      </c>
    </row>
  </sheetData>
  <mergeCells count="21">
    <mergeCell ref="A37:J37"/>
    <mergeCell ref="A41:J41"/>
    <mergeCell ref="A48:J48"/>
    <mergeCell ref="B3:B4"/>
    <mergeCell ref="A10:J10"/>
    <mergeCell ref="A14:J14"/>
    <mergeCell ref="A17:J17"/>
    <mergeCell ref="A20:J20"/>
    <mergeCell ref="A25:J25"/>
    <mergeCell ref="A31:J31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6"/>
  <dimension ref="A1:M41"/>
  <sheetViews>
    <sheetView workbookViewId="0">
      <selection activeCell="E32" sqref="E32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8.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20.6640625" style="6" customWidth="1"/>
    <col min="14" max="16384" width="9.1640625" style="3"/>
  </cols>
  <sheetData>
    <row r="1" spans="1:13" s="2" customFormat="1" ht="29" customHeight="1">
      <c r="A1" s="59" t="s">
        <v>633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9</v>
      </c>
      <c r="H3" s="71"/>
      <c r="I3" s="71"/>
      <c r="J3" s="71"/>
      <c r="K3" s="71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75"/>
    </row>
    <row r="5" spans="1:13" ht="16">
      <c r="A5" s="76" t="s">
        <v>146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11" t="s">
        <v>64</v>
      </c>
      <c r="B6" s="10" t="s">
        <v>157</v>
      </c>
      <c r="C6" s="10" t="s">
        <v>158</v>
      </c>
      <c r="D6" s="10" t="s">
        <v>159</v>
      </c>
      <c r="E6" s="10" t="s">
        <v>686</v>
      </c>
      <c r="F6" s="10" t="s">
        <v>160</v>
      </c>
      <c r="G6" s="24" t="s">
        <v>50</v>
      </c>
      <c r="H6" s="24" t="s">
        <v>35</v>
      </c>
      <c r="I6" s="21" t="s">
        <v>162</v>
      </c>
      <c r="J6" s="11"/>
      <c r="K6" s="11" t="str">
        <f>"220,0"</f>
        <v>220,0</v>
      </c>
      <c r="L6" s="11" t="str">
        <f>"159,3240"</f>
        <v>159,3240</v>
      </c>
      <c r="M6" s="10"/>
    </row>
    <row r="7" spans="1:13">
      <c r="A7" s="13" t="s">
        <v>132</v>
      </c>
      <c r="B7" s="12" t="s">
        <v>519</v>
      </c>
      <c r="C7" s="12" t="s">
        <v>520</v>
      </c>
      <c r="D7" s="12" t="s">
        <v>521</v>
      </c>
      <c r="E7" s="12" t="s">
        <v>686</v>
      </c>
      <c r="F7" s="12" t="s">
        <v>522</v>
      </c>
      <c r="G7" s="22" t="s">
        <v>153</v>
      </c>
      <c r="H7" s="22" t="s">
        <v>111</v>
      </c>
      <c r="I7" s="23" t="s">
        <v>49</v>
      </c>
      <c r="J7" s="13"/>
      <c r="K7" s="13" t="str">
        <f>"185,0"</f>
        <v>185,0</v>
      </c>
      <c r="L7" s="13" t="str">
        <f>"137,8805"</f>
        <v>137,8805</v>
      </c>
      <c r="M7" s="12"/>
    </row>
    <row r="8" spans="1:13">
      <c r="B8" s="6" t="s">
        <v>65</v>
      </c>
    </row>
    <row r="9" spans="1:13" ht="16">
      <c r="A9" s="80" t="s">
        <v>80</v>
      </c>
      <c r="B9" s="80"/>
      <c r="C9" s="80"/>
      <c r="D9" s="80"/>
      <c r="E9" s="80"/>
      <c r="F9" s="80"/>
      <c r="G9" s="80"/>
      <c r="H9" s="80"/>
      <c r="I9" s="80"/>
      <c r="J9" s="80"/>
    </row>
    <row r="10" spans="1:13">
      <c r="A10" s="9" t="s">
        <v>64</v>
      </c>
      <c r="B10" s="8" t="s">
        <v>523</v>
      </c>
      <c r="C10" s="8" t="s">
        <v>524</v>
      </c>
      <c r="D10" s="8" t="s">
        <v>171</v>
      </c>
      <c r="E10" s="8" t="s">
        <v>686</v>
      </c>
      <c r="F10" s="8" t="s">
        <v>670</v>
      </c>
      <c r="G10" s="19" t="s">
        <v>51</v>
      </c>
      <c r="H10" s="19" t="s">
        <v>29</v>
      </c>
      <c r="I10" s="20" t="s">
        <v>200</v>
      </c>
      <c r="J10" s="9"/>
      <c r="K10" s="9" t="str">
        <f>"300,0"</f>
        <v>300,0</v>
      </c>
      <c r="L10" s="9" t="str">
        <f>"200,9700"</f>
        <v>200,9700</v>
      </c>
      <c r="M10" s="8" t="s">
        <v>525</v>
      </c>
    </row>
    <row r="11" spans="1:13">
      <c r="B11" s="6" t="s">
        <v>65</v>
      </c>
    </row>
    <row r="12" spans="1:13" ht="16">
      <c r="A12" s="80" t="s">
        <v>94</v>
      </c>
      <c r="B12" s="80"/>
      <c r="C12" s="80"/>
      <c r="D12" s="80"/>
      <c r="E12" s="80"/>
      <c r="F12" s="80"/>
      <c r="G12" s="80"/>
      <c r="H12" s="80"/>
      <c r="I12" s="80"/>
      <c r="J12" s="80"/>
    </row>
    <row r="13" spans="1:13">
      <c r="A13" s="9" t="s">
        <v>64</v>
      </c>
      <c r="B13" s="8" t="s">
        <v>183</v>
      </c>
      <c r="C13" s="8" t="s">
        <v>184</v>
      </c>
      <c r="D13" s="8" t="s">
        <v>185</v>
      </c>
      <c r="E13" s="8" t="s">
        <v>686</v>
      </c>
      <c r="F13" s="8" t="s">
        <v>178</v>
      </c>
      <c r="G13" s="19" t="s">
        <v>162</v>
      </c>
      <c r="H13" s="20" t="s">
        <v>15</v>
      </c>
      <c r="I13" s="19" t="s">
        <v>15</v>
      </c>
      <c r="J13" s="9"/>
      <c r="K13" s="9" t="str">
        <f>"255,0"</f>
        <v>255,0</v>
      </c>
      <c r="L13" s="9" t="str">
        <f>"162,9705"</f>
        <v>162,9705</v>
      </c>
      <c r="M13" s="8" t="s">
        <v>23</v>
      </c>
    </row>
    <row r="14" spans="1:13">
      <c r="B14" s="6" t="s">
        <v>65</v>
      </c>
    </row>
    <row r="15" spans="1:13" ht="16">
      <c r="A15" s="80" t="s">
        <v>10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3">
      <c r="A16" s="11" t="s">
        <v>64</v>
      </c>
      <c r="B16" s="10" t="s">
        <v>208</v>
      </c>
      <c r="C16" s="10" t="s">
        <v>209</v>
      </c>
      <c r="D16" s="10" t="s">
        <v>210</v>
      </c>
      <c r="E16" s="10" t="s">
        <v>686</v>
      </c>
      <c r="F16" s="10" t="s">
        <v>178</v>
      </c>
      <c r="G16" s="24" t="s">
        <v>21</v>
      </c>
      <c r="H16" s="24" t="s">
        <v>212</v>
      </c>
      <c r="I16" s="21" t="s">
        <v>213</v>
      </c>
      <c r="J16" s="11"/>
      <c r="K16" s="11" t="str">
        <f>"292,5"</f>
        <v>292,5</v>
      </c>
      <c r="L16" s="11" t="str">
        <f>"178,7468"</f>
        <v>178,7468</v>
      </c>
      <c r="M16" s="10" t="s">
        <v>23</v>
      </c>
    </row>
    <row r="17" spans="1:13">
      <c r="A17" s="26" t="s">
        <v>132</v>
      </c>
      <c r="B17" s="25" t="s">
        <v>205</v>
      </c>
      <c r="C17" s="25" t="s">
        <v>206</v>
      </c>
      <c r="D17" s="25" t="s">
        <v>207</v>
      </c>
      <c r="E17" s="25" t="s">
        <v>686</v>
      </c>
      <c r="F17" s="25" t="s">
        <v>178</v>
      </c>
      <c r="G17" s="27" t="s">
        <v>168</v>
      </c>
      <c r="H17" s="27" t="s">
        <v>21</v>
      </c>
      <c r="I17" s="27" t="s">
        <v>22</v>
      </c>
      <c r="J17" s="26"/>
      <c r="K17" s="26" t="str">
        <f>"277,5"</f>
        <v>277,5</v>
      </c>
      <c r="L17" s="26" t="str">
        <f>"168,9420"</f>
        <v>168,9420</v>
      </c>
      <c r="M17" s="25" t="s">
        <v>23</v>
      </c>
    </row>
    <row r="18" spans="1:13">
      <c r="A18" s="26" t="s">
        <v>133</v>
      </c>
      <c r="B18" s="25" t="s">
        <v>11</v>
      </c>
      <c r="C18" s="25" t="s">
        <v>12</v>
      </c>
      <c r="D18" s="25" t="s">
        <v>13</v>
      </c>
      <c r="E18" s="25" t="s">
        <v>686</v>
      </c>
      <c r="F18" s="25" t="s">
        <v>629</v>
      </c>
      <c r="G18" s="27" t="s">
        <v>20</v>
      </c>
      <c r="H18" s="27" t="s">
        <v>21</v>
      </c>
      <c r="I18" s="28" t="s">
        <v>22</v>
      </c>
      <c r="J18" s="26"/>
      <c r="K18" s="26" t="str">
        <f>"272,5"</f>
        <v>272,5</v>
      </c>
      <c r="L18" s="26" t="str">
        <f>"166,1160"</f>
        <v>166,1160</v>
      </c>
      <c r="M18" s="25" t="s">
        <v>23</v>
      </c>
    </row>
    <row r="19" spans="1:13">
      <c r="A19" s="13" t="s">
        <v>64</v>
      </c>
      <c r="B19" s="12" t="s">
        <v>526</v>
      </c>
      <c r="C19" s="12" t="s">
        <v>527</v>
      </c>
      <c r="D19" s="12" t="s">
        <v>528</v>
      </c>
      <c r="E19" s="12" t="s">
        <v>688</v>
      </c>
      <c r="F19" s="12" t="s">
        <v>390</v>
      </c>
      <c r="G19" s="23" t="s">
        <v>162</v>
      </c>
      <c r="H19" s="22" t="s">
        <v>162</v>
      </c>
      <c r="I19" s="23" t="s">
        <v>37</v>
      </c>
      <c r="J19" s="13"/>
      <c r="K19" s="13" t="str">
        <f>"230,0"</f>
        <v>230,0</v>
      </c>
      <c r="L19" s="13" t="str">
        <f>"151,3178"</f>
        <v>151,3178</v>
      </c>
      <c r="M19" s="12"/>
    </row>
    <row r="20" spans="1:13">
      <c r="B20" s="6" t="s">
        <v>65</v>
      </c>
    </row>
    <row r="21" spans="1:13" ht="16">
      <c r="A21" s="80" t="s">
        <v>24</v>
      </c>
      <c r="B21" s="80"/>
      <c r="C21" s="80"/>
      <c r="D21" s="80"/>
      <c r="E21" s="80"/>
      <c r="F21" s="80"/>
      <c r="G21" s="80"/>
      <c r="H21" s="80"/>
      <c r="I21" s="80"/>
      <c r="J21" s="80"/>
    </row>
    <row r="22" spans="1:13">
      <c r="A22" s="11" t="s">
        <v>64</v>
      </c>
      <c r="B22" s="10" t="s">
        <v>529</v>
      </c>
      <c r="C22" s="10" t="s">
        <v>530</v>
      </c>
      <c r="D22" s="10" t="s">
        <v>490</v>
      </c>
      <c r="E22" s="10" t="s">
        <v>686</v>
      </c>
      <c r="F22" s="10" t="s">
        <v>93</v>
      </c>
      <c r="G22" s="24" t="s">
        <v>51</v>
      </c>
      <c r="H22" s="24" t="s">
        <v>192</v>
      </c>
      <c r="I22" s="21" t="s">
        <v>236</v>
      </c>
      <c r="J22" s="11"/>
      <c r="K22" s="11" t="str">
        <f>"315,0"</f>
        <v>315,0</v>
      </c>
      <c r="L22" s="11" t="str">
        <f>"186,5745"</f>
        <v>186,5745</v>
      </c>
      <c r="M22" s="10" t="s">
        <v>468</v>
      </c>
    </row>
    <row r="23" spans="1:13">
      <c r="A23" s="26" t="s">
        <v>132</v>
      </c>
      <c r="B23" s="25" t="s">
        <v>383</v>
      </c>
      <c r="C23" s="25" t="s">
        <v>384</v>
      </c>
      <c r="D23" s="25" t="s">
        <v>385</v>
      </c>
      <c r="E23" s="25" t="s">
        <v>686</v>
      </c>
      <c r="F23" s="25" t="s">
        <v>650</v>
      </c>
      <c r="G23" s="27" t="s">
        <v>386</v>
      </c>
      <c r="H23" s="27" t="s">
        <v>51</v>
      </c>
      <c r="I23" s="27" t="s">
        <v>29</v>
      </c>
      <c r="J23" s="26"/>
      <c r="K23" s="26" t="str">
        <f>"300,0"</f>
        <v>300,0</v>
      </c>
      <c r="L23" s="26" t="str">
        <f>"176,7000"</f>
        <v>176,7000</v>
      </c>
      <c r="M23" s="25" t="s">
        <v>23</v>
      </c>
    </row>
    <row r="24" spans="1:13">
      <c r="A24" s="26" t="s">
        <v>133</v>
      </c>
      <c r="B24" s="25" t="s">
        <v>218</v>
      </c>
      <c r="C24" s="25" t="s">
        <v>219</v>
      </c>
      <c r="D24" s="25" t="s">
        <v>220</v>
      </c>
      <c r="E24" s="25" t="s">
        <v>686</v>
      </c>
      <c r="F24" s="25" t="s">
        <v>108</v>
      </c>
      <c r="G24" s="28" t="s">
        <v>46</v>
      </c>
      <c r="H24" s="27" t="s">
        <v>28</v>
      </c>
      <c r="I24" s="27" t="s">
        <v>47</v>
      </c>
      <c r="J24" s="26"/>
      <c r="K24" s="26" t="str">
        <f>"285,0"</f>
        <v>285,0</v>
      </c>
      <c r="L24" s="26" t="str">
        <f>"171,5415"</f>
        <v>171,5415</v>
      </c>
      <c r="M24" s="25"/>
    </row>
    <row r="25" spans="1:13">
      <c r="A25" s="26" t="s">
        <v>246</v>
      </c>
      <c r="B25" s="25" t="s">
        <v>531</v>
      </c>
      <c r="C25" s="25" t="s">
        <v>532</v>
      </c>
      <c r="D25" s="25" t="s">
        <v>533</v>
      </c>
      <c r="E25" s="25" t="s">
        <v>686</v>
      </c>
      <c r="F25" s="25" t="s">
        <v>178</v>
      </c>
      <c r="G25" s="27" t="s">
        <v>162</v>
      </c>
      <c r="H25" s="27" t="s">
        <v>14</v>
      </c>
      <c r="I25" s="28" t="s">
        <v>116</v>
      </c>
      <c r="J25" s="26"/>
      <c r="K25" s="26" t="str">
        <f>"240,0"</f>
        <v>240,0</v>
      </c>
      <c r="L25" s="26" t="str">
        <f>"143,8080"</f>
        <v>143,8080</v>
      </c>
      <c r="M25" s="25"/>
    </row>
    <row r="26" spans="1:13">
      <c r="A26" s="26" t="s">
        <v>64</v>
      </c>
      <c r="B26" s="25" t="s">
        <v>32</v>
      </c>
      <c r="C26" s="25" t="s">
        <v>33</v>
      </c>
      <c r="D26" s="25" t="s">
        <v>34</v>
      </c>
      <c r="E26" s="25" t="s">
        <v>688</v>
      </c>
      <c r="F26" s="25" t="s">
        <v>629</v>
      </c>
      <c r="G26" s="28" t="s">
        <v>14</v>
      </c>
      <c r="H26" s="27" t="s">
        <v>14</v>
      </c>
      <c r="I26" s="27" t="s">
        <v>41</v>
      </c>
      <c r="J26" s="26"/>
      <c r="K26" s="26" t="str">
        <f>"252,5"</f>
        <v>252,5</v>
      </c>
      <c r="L26" s="26" t="str">
        <f>"150,7278"</f>
        <v>150,7278</v>
      </c>
      <c r="M26" s="25" t="s">
        <v>23</v>
      </c>
    </row>
    <row r="27" spans="1:13">
      <c r="A27" s="26" t="s">
        <v>132</v>
      </c>
      <c r="B27" s="25" t="s">
        <v>119</v>
      </c>
      <c r="C27" s="25" t="s">
        <v>127</v>
      </c>
      <c r="D27" s="25" t="s">
        <v>34</v>
      </c>
      <c r="E27" s="25" t="s">
        <v>688</v>
      </c>
      <c r="F27" s="25" t="s">
        <v>629</v>
      </c>
      <c r="G27" s="28" t="s">
        <v>49</v>
      </c>
      <c r="H27" s="27" t="s">
        <v>49</v>
      </c>
      <c r="I27" s="27" t="s">
        <v>121</v>
      </c>
      <c r="J27" s="26"/>
      <c r="K27" s="26" t="str">
        <f>"210,0"</f>
        <v>210,0</v>
      </c>
      <c r="L27" s="26" t="str">
        <f>"131,0446"</f>
        <v>131,0446</v>
      </c>
      <c r="M27" s="25"/>
    </row>
    <row r="28" spans="1:13">
      <c r="A28" s="13" t="s">
        <v>64</v>
      </c>
      <c r="B28" s="12" t="s">
        <v>531</v>
      </c>
      <c r="C28" s="12" t="s">
        <v>534</v>
      </c>
      <c r="D28" s="12" t="s">
        <v>533</v>
      </c>
      <c r="E28" s="12" t="s">
        <v>691</v>
      </c>
      <c r="F28" s="12" t="s">
        <v>178</v>
      </c>
      <c r="G28" s="22" t="s">
        <v>162</v>
      </c>
      <c r="H28" s="22" t="s">
        <v>14</v>
      </c>
      <c r="I28" s="23" t="s">
        <v>116</v>
      </c>
      <c r="J28" s="13"/>
      <c r="K28" s="13" t="str">
        <f>"240,0"</f>
        <v>240,0</v>
      </c>
      <c r="L28" s="13" t="str">
        <f>"173,5763"</f>
        <v>173,5763</v>
      </c>
      <c r="M28" s="12"/>
    </row>
    <row r="29" spans="1:13">
      <c r="B29" s="6" t="s">
        <v>65</v>
      </c>
    </row>
    <row r="30" spans="1:13" ht="16">
      <c r="A30" s="80" t="s">
        <v>502</v>
      </c>
      <c r="B30" s="80"/>
      <c r="C30" s="80"/>
      <c r="D30" s="80"/>
      <c r="E30" s="80"/>
      <c r="F30" s="80"/>
      <c r="G30" s="80"/>
      <c r="H30" s="80"/>
      <c r="I30" s="80"/>
      <c r="J30" s="80"/>
    </row>
    <row r="31" spans="1:13">
      <c r="A31" s="9" t="s">
        <v>64</v>
      </c>
      <c r="B31" s="8" t="s">
        <v>535</v>
      </c>
      <c r="C31" s="8" t="s">
        <v>536</v>
      </c>
      <c r="D31" s="8" t="s">
        <v>537</v>
      </c>
      <c r="E31" s="8" t="s">
        <v>686</v>
      </c>
      <c r="F31" s="8" t="s">
        <v>677</v>
      </c>
      <c r="G31" s="19" t="s">
        <v>29</v>
      </c>
      <c r="H31" s="19" t="s">
        <v>194</v>
      </c>
      <c r="I31" s="20" t="s">
        <v>538</v>
      </c>
      <c r="J31" s="9"/>
      <c r="K31" s="9" t="str">
        <f>"335,0"</f>
        <v>335,0</v>
      </c>
      <c r="L31" s="9" t="str">
        <f>"184,4845"</f>
        <v>184,4845</v>
      </c>
      <c r="M31" s="8" t="s">
        <v>468</v>
      </c>
    </row>
    <row r="32" spans="1:13">
      <c r="B32" s="6" t="s">
        <v>65</v>
      </c>
    </row>
    <row r="33" spans="2:6">
      <c r="B33" s="6" t="s">
        <v>65</v>
      </c>
    </row>
    <row r="34" spans="2:6">
      <c r="B34" s="6" t="s">
        <v>65</v>
      </c>
    </row>
    <row r="35" spans="2:6" ht="18">
      <c r="B35" s="14" t="s">
        <v>53</v>
      </c>
      <c r="C35" s="14"/>
      <c r="F35" s="3"/>
    </row>
    <row r="36" spans="2:6" ht="16">
      <c r="B36" s="15" t="s">
        <v>54</v>
      </c>
      <c r="C36" s="15"/>
      <c r="F36" s="3"/>
    </row>
    <row r="37" spans="2:6" ht="14">
      <c r="B37" s="16"/>
      <c r="C37" s="17" t="s">
        <v>55</v>
      </c>
      <c r="F37" s="3"/>
    </row>
    <row r="38" spans="2:6" ht="14">
      <c r="B38" s="18" t="s">
        <v>56</v>
      </c>
      <c r="C38" s="18" t="s">
        <v>57</v>
      </c>
      <c r="D38" s="18" t="s">
        <v>645</v>
      </c>
      <c r="E38" s="18" t="s">
        <v>355</v>
      </c>
      <c r="F38" s="18" t="s">
        <v>60</v>
      </c>
    </row>
    <row r="39" spans="2:6">
      <c r="B39" s="6" t="s">
        <v>523</v>
      </c>
      <c r="C39" s="6" t="s">
        <v>55</v>
      </c>
      <c r="D39" s="7" t="s">
        <v>130</v>
      </c>
      <c r="E39" s="7" t="s">
        <v>29</v>
      </c>
      <c r="F39" s="7" t="s">
        <v>539</v>
      </c>
    </row>
    <row r="40" spans="2:6">
      <c r="B40" s="6" t="s">
        <v>529</v>
      </c>
      <c r="C40" s="6" t="s">
        <v>55</v>
      </c>
      <c r="D40" s="7" t="s">
        <v>63</v>
      </c>
      <c r="E40" s="7" t="s">
        <v>192</v>
      </c>
      <c r="F40" s="7" t="s">
        <v>540</v>
      </c>
    </row>
    <row r="41" spans="2:6">
      <c r="B41" s="6" t="s">
        <v>535</v>
      </c>
      <c r="C41" s="6" t="s">
        <v>55</v>
      </c>
      <c r="D41" s="7" t="s">
        <v>541</v>
      </c>
      <c r="E41" s="7" t="s">
        <v>194</v>
      </c>
      <c r="F41" s="7" t="s">
        <v>542</v>
      </c>
    </row>
  </sheetData>
  <mergeCells count="17">
    <mergeCell ref="A30:J30"/>
    <mergeCell ref="A5:J5"/>
    <mergeCell ref="A9:J9"/>
    <mergeCell ref="A12:J12"/>
    <mergeCell ref="A15:J15"/>
    <mergeCell ref="A21:J21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8">
    <pageSetUpPr fitToPage="1"/>
  </sheetPr>
  <dimension ref="A1:M33"/>
  <sheetViews>
    <sheetView tabSelected="1"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8.5" style="6" bestFit="1" customWidth="1"/>
    <col min="4" max="4" width="21.5" style="6" bestFit="1" customWidth="1"/>
    <col min="5" max="5" width="10.5" style="6" bestFit="1" customWidth="1"/>
    <col min="6" max="6" width="35.33203125" style="6" bestFit="1" customWidth="1"/>
    <col min="7" max="9" width="4.5" style="7" customWidth="1"/>
    <col min="10" max="10" width="4.83203125" style="7" customWidth="1"/>
    <col min="11" max="11" width="10.5" style="30" bestFit="1" customWidth="1"/>
    <col min="12" max="12" width="7.5" style="7" bestFit="1" customWidth="1"/>
    <col min="13" max="13" width="27.5" style="6" bestFit="1" customWidth="1"/>
    <col min="14" max="16384" width="9.1640625" style="3"/>
  </cols>
  <sheetData>
    <row r="1" spans="1:13" s="2" customFormat="1" ht="29" customHeight="1">
      <c r="A1" s="59" t="s">
        <v>644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615</v>
      </c>
      <c r="H3" s="71"/>
      <c r="I3" s="71"/>
      <c r="J3" s="71"/>
      <c r="K3" s="72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5">
        <v>1</v>
      </c>
      <c r="H4" s="5">
        <v>2</v>
      </c>
      <c r="I4" s="5">
        <v>3</v>
      </c>
      <c r="J4" s="5" t="s">
        <v>4</v>
      </c>
      <c r="K4" s="73"/>
      <c r="L4" s="70"/>
      <c r="M4" s="75"/>
    </row>
    <row r="5" spans="1:13" ht="16">
      <c r="A5" s="76" t="s">
        <v>402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9" t="s">
        <v>64</v>
      </c>
      <c r="B6" s="8" t="s">
        <v>616</v>
      </c>
      <c r="C6" s="8" t="s">
        <v>617</v>
      </c>
      <c r="D6" s="8" t="s">
        <v>618</v>
      </c>
      <c r="E6" s="8" t="s">
        <v>686</v>
      </c>
      <c r="F6" s="8" t="s">
        <v>678</v>
      </c>
      <c r="G6" s="19" t="s">
        <v>619</v>
      </c>
      <c r="H6" s="19" t="s">
        <v>620</v>
      </c>
      <c r="I6" s="19" t="s">
        <v>621</v>
      </c>
      <c r="J6" s="9"/>
      <c r="K6" s="31" t="str">
        <f>"25,0"</f>
        <v>25,0</v>
      </c>
      <c r="L6" s="9" t="str">
        <f>"22,5187"</f>
        <v>22,5187</v>
      </c>
      <c r="M6" s="8"/>
    </row>
    <row r="7" spans="1:13">
      <c r="B7" s="6" t="s">
        <v>65</v>
      </c>
    </row>
    <row r="8" spans="1:13" ht="16">
      <c r="A8" s="80" t="s">
        <v>402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9" t="s">
        <v>64</v>
      </c>
      <c r="B9" s="8" t="s">
        <v>622</v>
      </c>
      <c r="C9" s="8" t="s">
        <v>679</v>
      </c>
      <c r="D9" s="8" t="s">
        <v>601</v>
      </c>
      <c r="E9" s="8" t="s">
        <v>688</v>
      </c>
      <c r="F9" s="8" t="s">
        <v>178</v>
      </c>
      <c r="G9" s="20" t="s">
        <v>142</v>
      </c>
      <c r="H9" s="20" t="s">
        <v>142</v>
      </c>
      <c r="I9" s="19" t="s">
        <v>142</v>
      </c>
      <c r="J9" s="9"/>
      <c r="K9" s="31" t="str">
        <f>"47,5"</f>
        <v>47,5</v>
      </c>
      <c r="L9" s="9" t="str">
        <f>"36,5821"</f>
        <v>36,5821</v>
      </c>
      <c r="M9" s="8"/>
    </row>
    <row r="10" spans="1:13">
      <c r="B10" s="6" t="s">
        <v>65</v>
      </c>
    </row>
    <row r="11" spans="1:13" ht="16">
      <c r="A11" s="80" t="s">
        <v>146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3">
      <c r="A12" s="11" t="s">
        <v>64</v>
      </c>
      <c r="B12" s="10" t="s">
        <v>307</v>
      </c>
      <c r="C12" s="10" t="s">
        <v>680</v>
      </c>
      <c r="D12" s="10" t="s">
        <v>309</v>
      </c>
      <c r="E12" s="10" t="s">
        <v>694</v>
      </c>
      <c r="F12" s="10" t="s">
        <v>310</v>
      </c>
      <c r="G12" s="21" t="s">
        <v>73</v>
      </c>
      <c r="H12" s="24" t="s">
        <v>260</v>
      </c>
      <c r="I12" s="24" t="s">
        <v>75</v>
      </c>
      <c r="J12" s="11"/>
      <c r="K12" s="32" t="str">
        <f>"60,0"</f>
        <v>60,0</v>
      </c>
      <c r="L12" s="11" t="str">
        <f>"42,0690"</f>
        <v>42,0690</v>
      </c>
      <c r="M12" s="10" t="s">
        <v>647</v>
      </c>
    </row>
    <row r="13" spans="1:13">
      <c r="A13" s="26" t="s">
        <v>132</v>
      </c>
      <c r="B13" s="25" t="s">
        <v>623</v>
      </c>
      <c r="C13" s="25" t="s">
        <v>681</v>
      </c>
      <c r="D13" s="25" t="s">
        <v>624</v>
      </c>
      <c r="E13" s="25" t="s">
        <v>694</v>
      </c>
      <c r="F13" s="25" t="s">
        <v>310</v>
      </c>
      <c r="G13" s="27" t="s">
        <v>142</v>
      </c>
      <c r="H13" s="28" t="s">
        <v>260</v>
      </c>
      <c r="I13" s="28" t="s">
        <v>260</v>
      </c>
      <c r="J13" s="26"/>
      <c r="K13" s="34" t="str">
        <f>"47,5"</f>
        <v>47,5</v>
      </c>
      <c r="L13" s="26" t="str">
        <f>"34,1074"</f>
        <v>34,1074</v>
      </c>
      <c r="M13" s="25"/>
    </row>
    <row r="14" spans="1:13">
      <c r="A14" s="26" t="s">
        <v>64</v>
      </c>
      <c r="B14" s="25" t="s">
        <v>625</v>
      </c>
      <c r="C14" s="25" t="s">
        <v>682</v>
      </c>
      <c r="D14" s="25" t="s">
        <v>425</v>
      </c>
      <c r="E14" s="25" t="s">
        <v>687</v>
      </c>
      <c r="F14" s="25" t="s">
        <v>178</v>
      </c>
      <c r="G14" s="27" t="s">
        <v>74</v>
      </c>
      <c r="H14" s="27" t="s">
        <v>75</v>
      </c>
      <c r="I14" s="28" t="s">
        <v>254</v>
      </c>
      <c r="J14" s="26"/>
      <c r="K14" s="34" t="str">
        <f>"60,0"</f>
        <v>60,0</v>
      </c>
      <c r="L14" s="26" t="str">
        <f>"41,3940"</f>
        <v>41,3940</v>
      </c>
      <c r="M14" s="25"/>
    </row>
    <row r="15" spans="1:13">
      <c r="A15" s="13" t="s">
        <v>64</v>
      </c>
      <c r="B15" s="12" t="s">
        <v>432</v>
      </c>
      <c r="C15" s="12" t="s">
        <v>433</v>
      </c>
      <c r="D15" s="12" t="s">
        <v>428</v>
      </c>
      <c r="E15" s="12" t="s">
        <v>686</v>
      </c>
      <c r="F15" s="12" t="s">
        <v>659</v>
      </c>
      <c r="G15" s="22" t="s">
        <v>73</v>
      </c>
      <c r="H15" s="23" t="s">
        <v>75</v>
      </c>
      <c r="I15" s="23" t="s">
        <v>75</v>
      </c>
      <c r="J15" s="13"/>
      <c r="K15" s="33" t="str">
        <f>"50,0"</f>
        <v>50,0</v>
      </c>
      <c r="L15" s="13" t="str">
        <f>"34,4275"</f>
        <v>34,4275</v>
      </c>
      <c r="M15" s="12" t="s">
        <v>663</v>
      </c>
    </row>
    <row r="16" spans="1:13">
      <c r="B16" s="6" t="s">
        <v>65</v>
      </c>
    </row>
    <row r="17" spans="1:13" ht="16">
      <c r="A17" s="80" t="s">
        <v>80</v>
      </c>
      <c r="B17" s="80"/>
      <c r="C17" s="80"/>
      <c r="D17" s="80"/>
      <c r="E17" s="80"/>
      <c r="F17" s="80"/>
      <c r="G17" s="80"/>
      <c r="H17" s="80"/>
      <c r="I17" s="80"/>
      <c r="J17" s="80"/>
    </row>
    <row r="18" spans="1:13">
      <c r="A18" s="9" t="s">
        <v>64</v>
      </c>
      <c r="B18" s="8" t="s">
        <v>523</v>
      </c>
      <c r="C18" s="8" t="s">
        <v>524</v>
      </c>
      <c r="D18" s="8" t="s">
        <v>171</v>
      </c>
      <c r="E18" s="8" t="s">
        <v>686</v>
      </c>
      <c r="F18" s="8" t="s">
        <v>670</v>
      </c>
      <c r="G18" s="19" t="s">
        <v>74</v>
      </c>
      <c r="H18" s="19" t="s">
        <v>253</v>
      </c>
      <c r="I18" s="20" t="s">
        <v>336</v>
      </c>
      <c r="J18" s="9"/>
      <c r="K18" s="31" t="str">
        <f>"65,0"</f>
        <v>65,0</v>
      </c>
      <c r="L18" s="9" t="str">
        <f>"41,8990"</f>
        <v>41,8990</v>
      </c>
      <c r="M18" s="8" t="s">
        <v>525</v>
      </c>
    </row>
    <row r="19" spans="1:13">
      <c r="B19" s="6" t="s">
        <v>65</v>
      </c>
    </row>
    <row r="20" spans="1:13" ht="16">
      <c r="A20" s="80" t="s">
        <v>94</v>
      </c>
      <c r="B20" s="80"/>
      <c r="C20" s="80"/>
      <c r="D20" s="80"/>
      <c r="E20" s="80"/>
      <c r="F20" s="80"/>
      <c r="G20" s="80"/>
      <c r="H20" s="80"/>
      <c r="I20" s="80"/>
      <c r="J20" s="80"/>
    </row>
    <row r="21" spans="1:13">
      <c r="A21" s="9" t="s">
        <v>66</v>
      </c>
      <c r="B21" s="8" t="s">
        <v>626</v>
      </c>
      <c r="C21" s="8" t="s">
        <v>627</v>
      </c>
      <c r="D21" s="8" t="s">
        <v>628</v>
      </c>
      <c r="E21" s="8" t="s">
        <v>686</v>
      </c>
      <c r="F21" s="8" t="s">
        <v>659</v>
      </c>
      <c r="G21" s="20" t="s">
        <v>74</v>
      </c>
      <c r="H21" s="20" t="s">
        <v>266</v>
      </c>
      <c r="I21" s="20" t="s">
        <v>266</v>
      </c>
      <c r="J21" s="9"/>
      <c r="K21" s="31">
        <v>0</v>
      </c>
      <c r="L21" s="9" t="str">
        <f>"0,0000"</f>
        <v>0,0000</v>
      </c>
      <c r="M21" s="8" t="s">
        <v>468</v>
      </c>
    </row>
    <row r="22" spans="1:13">
      <c r="B22" s="6" t="s">
        <v>65</v>
      </c>
      <c r="M22" s="6" t="s">
        <v>468</v>
      </c>
    </row>
    <row r="23" spans="1:13" ht="16">
      <c r="A23" s="80" t="s">
        <v>10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13">
      <c r="A24" s="9" t="s">
        <v>64</v>
      </c>
      <c r="B24" s="8" t="s">
        <v>473</v>
      </c>
      <c r="C24" s="8" t="s">
        <v>474</v>
      </c>
      <c r="D24" s="8" t="s">
        <v>190</v>
      </c>
      <c r="E24" s="8" t="s">
        <v>686</v>
      </c>
      <c r="F24" s="8" t="s">
        <v>673</v>
      </c>
      <c r="G24" s="19" t="s">
        <v>73</v>
      </c>
      <c r="H24" s="19" t="s">
        <v>75</v>
      </c>
      <c r="I24" s="20" t="s">
        <v>270</v>
      </c>
      <c r="J24" s="9"/>
      <c r="K24" s="31" t="str">
        <f>"60,0"</f>
        <v>60,0</v>
      </c>
      <c r="L24" s="9" t="str">
        <f>"35,3130"</f>
        <v>35,3130</v>
      </c>
      <c r="M24" s="8"/>
    </row>
    <row r="25" spans="1:13">
      <c r="B25" s="6" t="s">
        <v>65</v>
      </c>
    </row>
    <row r="26" spans="1:13" ht="16">
      <c r="A26" s="80" t="s">
        <v>24</v>
      </c>
      <c r="B26" s="80"/>
      <c r="C26" s="80"/>
      <c r="D26" s="80"/>
      <c r="E26" s="80"/>
      <c r="F26" s="80"/>
      <c r="G26" s="80"/>
      <c r="H26" s="80"/>
      <c r="I26" s="80"/>
      <c r="J26" s="80"/>
    </row>
    <row r="27" spans="1:13">
      <c r="A27" s="11" t="s">
        <v>64</v>
      </c>
      <c r="B27" s="10" t="s">
        <v>119</v>
      </c>
      <c r="C27" s="10" t="s">
        <v>120</v>
      </c>
      <c r="D27" s="10" t="s">
        <v>34</v>
      </c>
      <c r="E27" s="10" t="s">
        <v>686</v>
      </c>
      <c r="F27" s="10" t="s">
        <v>629</v>
      </c>
      <c r="G27" s="24" t="s">
        <v>259</v>
      </c>
      <c r="H27" s="24" t="s">
        <v>73</v>
      </c>
      <c r="I27" s="21" t="s">
        <v>74</v>
      </c>
      <c r="J27" s="11"/>
      <c r="K27" s="32" t="str">
        <f>"50,0"</f>
        <v>50,0</v>
      </c>
      <c r="L27" s="11" t="str">
        <f>"28,1325"</f>
        <v>28,1325</v>
      </c>
      <c r="M27" s="10"/>
    </row>
    <row r="28" spans="1:13">
      <c r="A28" s="26" t="s">
        <v>64</v>
      </c>
      <c r="B28" s="25" t="s">
        <v>582</v>
      </c>
      <c r="C28" s="25" t="s">
        <v>583</v>
      </c>
      <c r="D28" s="25" t="s">
        <v>584</v>
      </c>
      <c r="E28" s="25" t="s">
        <v>688</v>
      </c>
      <c r="F28" s="25" t="s">
        <v>671</v>
      </c>
      <c r="G28" s="27" t="s">
        <v>253</v>
      </c>
      <c r="H28" s="28" t="s">
        <v>270</v>
      </c>
      <c r="I28" s="26"/>
      <c r="J28" s="26"/>
      <c r="K28" s="34" t="str">
        <f>"65,0"</f>
        <v>65,0</v>
      </c>
      <c r="L28" s="26" t="str">
        <f>"36,9492"</f>
        <v>36,9492</v>
      </c>
      <c r="M28" s="25"/>
    </row>
    <row r="29" spans="1:13">
      <c r="A29" s="13" t="s">
        <v>132</v>
      </c>
      <c r="B29" s="12" t="s">
        <v>119</v>
      </c>
      <c r="C29" s="12" t="s">
        <v>127</v>
      </c>
      <c r="D29" s="12" t="s">
        <v>34</v>
      </c>
      <c r="E29" s="12" t="s">
        <v>688</v>
      </c>
      <c r="F29" s="12" t="s">
        <v>629</v>
      </c>
      <c r="G29" s="22" t="s">
        <v>259</v>
      </c>
      <c r="H29" s="22" t="s">
        <v>73</v>
      </c>
      <c r="I29" s="23" t="s">
        <v>74</v>
      </c>
      <c r="J29" s="13"/>
      <c r="K29" s="33" t="str">
        <f>"50,0"</f>
        <v>50,0</v>
      </c>
      <c r="L29" s="13" t="str">
        <f>"29,6798"</f>
        <v>29,6798</v>
      </c>
      <c r="M29" s="12"/>
    </row>
    <row r="30" spans="1:13">
      <c r="B30" s="6" t="s">
        <v>65</v>
      </c>
    </row>
    <row r="31" spans="1:13" ht="16">
      <c r="A31" s="80" t="s">
        <v>42</v>
      </c>
      <c r="B31" s="80"/>
      <c r="C31" s="80"/>
      <c r="D31" s="80"/>
      <c r="E31" s="80"/>
      <c r="F31" s="80"/>
      <c r="G31" s="80"/>
      <c r="H31" s="80"/>
      <c r="I31" s="80"/>
      <c r="J31" s="80"/>
    </row>
    <row r="32" spans="1:13">
      <c r="A32" s="9" t="s">
        <v>64</v>
      </c>
      <c r="B32" s="8" t="s">
        <v>516</v>
      </c>
      <c r="C32" s="8" t="s">
        <v>517</v>
      </c>
      <c r="D32" s="8" t="s">
        <v>518</v>
      </c>
      <c r="E32" s="8" t="s">
        <v>688</v>
      </c>
      <c r="F32" s="8" t="s">
        <v>178</v>
      </c>
      <c r="G32" s="19" t="s">
        <v>253</v>
      </c>
      <c r="H32" s="20" t="s">
        <v>275</v>
      </c>
      <c r="I32" s="20" t="s">
        <v>275</v>
      </c>
      <c r="J32" s="9"/>
      <c r="K32" s="31" t="str">
        <f>"65,0"</f>
        <v>65,0</v>
      </c>
      <c r="L32" s="9" t="str">
        <f>"36,0189"</f>
        <v>36,0189</v>
      </c>
      <c r="M32" s="8"/>
    </row>
    <row r="33" spans="2:2">
      <c r="B33" s="6" t="s">
        <v>65</v>
      </c>
    </row>
  </sheetData>
  <mergeCells count="19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M3:M4"/>
    <mergeCell ref="A23:J23"/>
    <mergeCell ref="A26:J26"/>
    <mergeCell ref="A31:J31"/>
    <mergeCell ref="L3:L4"/>
    <mergeCell ref="A5:J5"/>
    <mergeCell ref="A8:J8"/>
    <mergeCell ref="A11:J11"/>
    <mergeCell ref="A17:J17"/>
    <mergeCell ref="A20:J20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5"/>
  <dimension ref="A1:U53"/>
  <sheetViews>
    <sheetView workbookViewId="0">
      <selection activeCell="E44" sqref="E44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1.3320312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30" bestFit="1" customWidth="1"/>
    <col min="20" max="20" width="8.5" style="7" bestFit="1" customWidth="1"/>
    <col min="21" max="21" width="29" style="6" bestFit="1" customWidth="1"/>
    <col min="22" max="16384" width="9.1640625" style="3"/>
  </cols>
  <sheetData>
    <row r="1" spans="1:21" s="2" customFormat="1" ht="29" customHeight="1">
      <c r="A1" s="59" t="s">
        <v>641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</row>
    <row r="2" spans="1:21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</row>
    <row r="3" spans="1:21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7</v>
      </c>
      <c r="H3" s="71"/>
      <c r="I3" s="71"/>
      <c r="J3" s="71"/>
      <c r="K3" s="71" t="s">
        <v>8</v>
      </c>
      <c r="L3" s="71"/>
      <c r="M3" s="71"/>
      <c r="N3" s="71"/>
      <c r="O3" s="71" t="s">
        <v>9</v>
      </c>
      <c r="P3" s="71"/>
      <c r="Q3" s="71"/>
      <c r="R3" s="71"/>
      <c r="S3" s="72" t="s">
        <v>1</v>
      </c>
      <c r="T3" s="71" t="s">
        <v>3</v>
      </c>
      <c r="U3" s="74" t="s">
        <v>2</v>
      </c>
    </row>
    <row r="4" spans="1:21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70"/>
      <c r="U4" s="75"/>
    </row>
    <row r="5" spans="1:21" ht="16">
      <c r="A5" s="76" t="s">
        <v>134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9" t="s">
        <v>64</v>
      </c>
      <c r="B6" s="8" t="s">
        <v>135</v>
      </c>
      <c r="C6" s="8" t="s">
        <v>136</v>
      </c>
      <c r="D6" s="8" t="s">
        <v>137</v>
      </c>
      <c r="E6" s="8" t="s">
        <v>686</v>
      </c>
      <c r="F6" s="8" t="s">
        <v>652</v>
      </c>
      <c r="G6" s="19" t="s">
        <v>138</v>
      </c>
      <c r="H6" s="19" t="s">
        <v>139</v>
      </c>
      <c r="I6" s="20" t="s">
        <v>140</v>
      </c>
      <c r="J6" s="9"/>
      <c r="K6" s="19" t="s">
        <v>141</v>
      </c>
      <c r="L6" s="19" t="s">
        <v>142</v>
      </c>
      <c r="M6" s="20" t="s">
        <v>73</v>
      </c>
      <c r="N6" s="9"/>
      <c r="O6" s="19" t="s">
        <v>143</v>
      </c>
      <c r="P6" s="19" t="s">
        <v>144</v>
      </c>
      <c r="Q6" s="20" t="s">
        <v>145</v>
      </c>
      <c r="R6" s="9"/>
      <c r="S6" s="31" t="str">
        <f>"237,5"</f>
        <v>237,5</v>
      </c>
      <c r="T6" s="9" t="str">
        <f>"296,0675"</f>
        <v>296,0675</v>
      </c>
      <c r="U6" s="8" t="s">
        <v>23</v>
      </c>
    </row>
    <row r="7" spans="1:21">
      <c r="B7" s="6" t="s">
        <v>65</v>
      </c>
    </row>
    <row r="8" spans="1:21" ht="16">
      <c r="A8" s="80" t="s">
        <v>146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21">
      <c r="A9" s="11" t="s">
        <v>64</v>
      </c>
      <c r="B9" s="10" t="s">
        <v>147</v>
      </c>
      <c r="C9" s="10" t="s">
        <v>148</v>
      </c>
      <c r="D9" s="10" t="s">
        <v>149</v>
      </c>
      <c r="E9" s="10" t="s">
        <v>686</v>
      </c>
      <c r="F9" s="10" t="s">
        <v>150</v>
      </c>
      <c r="G9" s="24" t="s">
        <v>102</v>
      </c>
      <c r="H9" s="24" t="s">
        <v>38</v>
      </c>
      <c r="I9" s="24" t="s">
        <v>151</v>
      </c>
      <c r="J9" s="11"/>
      <c r="K9" s="24" t="s">
        <v>152</v>
      </c>
      <c r="L9" s="21" t="s">
        <v>86</v>
      </c>
      <c r="M9" s="24" t="s">
        <v>86</v>
      </c>
      <c r="N9" s="11"/>
      <c r="O9" s="24" t="s">
        <v>153</v>
      </c>
      <c r="P9" s="24" t="s">
        <v>30</v>
      </c>
      <c r="Q9" s="21" t="s">
        <v>154</v>
      </c>
      <c r="R9" s="11"/>
      <c r="S9" s="32" t="str">
        <f>"425,0"</f>
        <v>425,0</v>
      </c>
      <c r="T9" s="11" t="str">
        <f>"407,8300"</f>
        <v>407,8300</v>
      </c>
      <c r="U9" s="10" t="s">
        <v>155</v>
      </c>
    </row>
    <row r="10" spans="1:21">
      <c r="A10" s="13" t="s">
        <v>64</v>
      </c>
      <c r="B10" s="12" t="s">
        <v>147</v>
      </c>
      <c r="C10" s="12" t="s">
        <v>156</v>
      </c>
      <c r="D10" s="12" t="s">
        <v>149</v>
      </c>
      <c r="E10" s="12" t="s">
        <v>688</v>
      </c>
      <c r="F10" s="12" t="s">
        <v>150</v>
      </c>
      <c r="G10" s="22" t="s">
        <v>102</v>
      </c>
      <c r="H10" s="22" t="s">
        <v>38</v>
      </c>
      <c r="I10" s="22" t="s">
        <v>151</v>
      </c>
      <c r="J10" s="13"/>
      <c r="K10" s="22" t="s">
        <v>152</v>
      </c>
      <c r="L10" s="23" t="s">
        <v>86</v>
      </c>
      <c r="M10" s="22" t="s">
        <v>86</v>
      </c>
      <c r="N10" s="13"/>
      <c r="O10" s="22" t="s">
        <v>153</v>
      </c>
      <c r="P10" s="22" t="s">
        <v>30</v>
      </c>
      <c r="Q10" s="23" t="s">
        <v>154</v>
      </c>
      <c r="R10" s="13"/>
      <c r="S10" s="33" t="str">
        <f>"425,0"</f>
        <v>425,0</v>
      </c>
      <c r="T10" s="13" t="str">
        <f>"413,5396"</f>
        <v>413,5396</v>
      </c>
      <c r="U10" s="12" t="s">
        <v>155</v>
      </c>
    </row>
    <row r="11" spans="1:21">
      <c r="B11" s="6" t="s">
        <v>65</v>
      </c>
    </row>
    <row r="12" spans="1:21" ht="16">
      <c r="A12" s="80" t="s">
        <v>146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21">
      <c r="A13" s="9" t="s">
        <v>64</v>
      </c>
      <c r="B13" s="8" t="s">
        <v>157</v>
      </c>
      <c r="C13" s="8" t="s">
        <v>158</v>
      </c>
      <c r="D13" s="8" t="s">
        <v>159</v>
      </c>
      <c r="E13" s="8" t="s">
        <v>686</v>
      </c>
      <c r="F13" s="8" t="s">
        <v>160</v>
      </c>
      <c r="G13" s="19" t="s">
        <v>39</v>
      </c>
      <c r="H13" s="19" t="s">
        <v>88</v>
      </c>
      <c r="I13" s="19" t="s">
        <v>109</v>
      </c>
      <c r="J13" s="9"/>
      <c r="K13" s="20" t="s">
        <v>161</v>
      </c>
      <c r="L13" s="19" t="s">
        <v>17</v>
      </c>
      <c r="M13" s="20" t="s">
        <v>39</v>
      </c>
      <c r="N13" s="9"/>
      <c r="O13" s="19" t="s">
        <v>50</v>
      </c>
      <c r="P13" s="19" t="s">
        <v>35</v>
      </c>
      <c r="Q13" s="20" t="s">
        <v>162</v>
      </c>
      <c r="R13" s="9"/>
      <c r="S13" s="31" t="str">
        <f>"555,0"</f>
        <v>555,0</v>
      </c>
      <c r="T13" s="9" t="str">
        <f>"401,9310"</f>
        <v>401,9310</v>
      </c>
      <c r="U13" s="8"/>
    </row>
    <row r="14" spans="1:21">
      <c r="B14" s="6" t="s">
        <v>65</v>
      </c>
    </row>
    <row r="15" spans="1:21" ht="16">
      <c r="A15" s="80" t="s">
        <v>80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spans="1:21">
      <c r="A16" s="11" t="s">
        <v>64</v>
      </c>
      <c r="B16" s="10" t="s">
        <v>163</v>
      </c>
      <c r="C16" s="10" t="s">
        <v>164</v>
      </c>
      <c r="D16" s="10" t="s">
        <v>165</v>
      </c>
      <c r="E16" s="10" t="s">
        <v>686</v>
      </c>
      <c r="F16" s="10" t="s">
        <v>166</v>
      </c>
      <c r="G16" s="21" t="s">
        <v>103</v>
      </c>
      <c r="H16" s="24" t="s">
        <v>35</v>
      </c>
      <c r="I16" s="11"/>
      <c r="J16" s="11"/>
      <c r="K16" s="24" t="s">
        <v>111</v>
      </c>
      <c r="L16" s="24" t="s">
        <v>167</v>
      </c>
      <c r="M16" s="11"/>
      <c r="N16" s="11"/>
      <c r="O16" s="24" t="s">
        <v>168</v>
      </c>
      <c r="P16" s="24" t="s">
        <v>20</v>
      </c>
      <c r="Q16" s="24" t="s">
        <v>46</v>
      </c>
      <c r="R16" s="11"/>
      <c r="S16" s="32" t="str">
        <f>"682,5"</f>
        <v>682,5</v>
      </c>
      <c r="T16" s="11" t="str">
        <f>"458,2305"</f>
        <v>458,2305</v>
      </c>
      <c r="U16" s="10" t="s">
        <v>653</v>
      </c>
    </row>
    <row r="17" spans="1:21">
      <c r="A17" s="26" t="s">
        <v>132</v>
      </c>
      <c r="B17" s="25" t="s">
        <v>169</v>
      </c>
      <c r="C17" s="25" t="s">
        <v>170</v>
      </c>
      <c r="D17" s="25" t="s">
        <v>171</v>
      </c>
      <c r="E17" s="25" t="s">
        <v>686</v>
      </c>
      <c r="F17" s="25" t="s">
        <v>172</v>
      </c>
      <c r="G17" s="28" t="s">
        <v>162</v>
      </c>
      <c r="H17" s="28" t="s">
        <v>162</v>
      </c>
      <c r="I17" s="27" t="s">
        <v>162</v>
      </c>
      <c r="J17" s="26"/>
      <c r="K17" s="27" t="s">
        <v>88</v>
      </c>
      <c r="L17" s="28" t="s">
        <v>153</v>
      </c>
      <c r="M17" s="26"/>
      <c r="N17" s="26"/>
      <c r="O17" s="27" t="s">
        <v>46</v>
      </c>
      <c r="P17" s="28" t="s">
        <v>118</v>
      </c>
      <c r="Q17" s="28" t="s">
        <v>173</v>
      </c>
      <c r="R17" s="26"/>
      <c r="S17" s="34" t="str">
        <f>"670,0"</f>
        <v>670,0</v>
      </c>
      <c r="T17" s="26" t="str">
        <f>"448,8330"</f>
        <v>448,8330</v>
      </c>
      <c r="U17" s="25" t="s">
        <v>174</v>
      </c>
    </row>
    <row r="18" spans="1:21">
      <c r="A18" s="13" t="s">
        <v>64</v>
      </c>
      <c r="B18" s="12" t="s">
        <v>175</v>
      </c>
      <c r="C18" s="12" t="s">
        <v>176</v>
      </c>
      <c r="D18" s="12" t="s">
        <v>177</v>
      </c>
      <c r="E18" s="12" t="s">
        <v>691</v>
      </c>
      <c r="F18" s="12" t="s">
        <v>178</v>
      </c>
      <c r="G18" s="23" t="s">
        <v>48</v>
      </c>
      <c r="H18" s="22" t="s">
        <v>48</v>
      </c>
      <c r="I18" s="22" t="s">
        <v>50</v>
      </c>
      <c r="J18" s="13"/>
      <c r="K18" s="22" t="s">
        <v>39</v>
      </c>
      <c r="L18" s="22" t="s">
        <v>18</v>
      </c>
      <c r="M18" s="23" t="s">
        <v>19</v>
      </c>
      <c r="N18" s="13"/>
      <c r="O18" s="22" t="s">
        <v>36</v>
      </c>
      <c r="P18" s="22" t="s">
        <v>179</v>
      </c>
      <c r="Q18" s="23" t="s">
        <v>41</v>
      </c>
      <c r="R18" s="13"/>
      <c r="S18" s="33" t="str">
        <f>"615,0"</f>
        <v>615,0</v>
      </c>
      <c r="T18" s="13" t="str">
        <f>"497,6413"</f>
        <v>497,6413</v>
      </c>
      <c r="U18" s="12" t="s">
        <v>23</v>
      </c>
    </row>
    <row r="19" spans="1:21">
      <c r="B19" s="6" t="s">
        <v>65</v>
      </c>
    </row>
    <row r="20" spans="1:21" ht="16">
      <c r="A20" s="80" t="s">
        <v>94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spans="1:21">
      <c r="A21" s="11" t="s">
        <v>64</v>
      </c>
      <c r="B21" s="10" t="s">
        <v>180</v>
      </c>
      <c r="C21" s="10" t="s">
        <v>181</v>
      </c>
      <c r="D21" s="10" t="s">
        <v>182</v>
      </c>
      <c r="E21" s="10" t="s">
        <v>686</v>
      </c>
      <c r="F21" s="10" t="s">
        <v>150</v>
      </c>
      <c r="G21" s="21" t="s">
        <v>121</v>
      </c>
      <c r="H21" s="24" t="s">
        <v>121</v>
      </c>
      <c r="I21" s="24" t="s">
        <v>162</v>
      </c>
      <c r="J21" s="11"/>
      <c r="K21" s="24" t="s">
        <v>88</v>
      </c>
      <c r="L21" s="24" t="s">
        <v>109</v>
      </c>
      <c r="M21" s="24" t="s">
        <v>111</v>
      </c>
      <c r="N21" s="11"/>
      <c r="O21" s="21" t="s">
        <v>14</v>
      </c>
      <c r="P21" s="24" t="s">
        <v>14</v>
      </c>
      <c r="Q21" s="21" t="s">
        <v>168</v>
      </c>
      <c r="R21" s="11"/>
      <c r="S21" s="32" t="str">
        <f>"655,0"</f>
        <v>655,0</v>
      </c>
      <c r="T21" s="11" t="str">
        <f>"419,3310"</f>
        <v>419,3310</v>
      </c>
      <c r="U21" s="10"/>
    </row>
    <row r="22" spans="1:21">
      <c r="A22" s="26" t="s">
        <v>132</v>
      </c>
      <c r="B22" s="25" t="s">
        <v>183</v>
      </c>
      <c r="C22" s="25" t="s">
        <v>184</v>
      </c>
      <c r="D22" s="25" t="s">
        <v>185</v>
      </c>
      <c r="E22" s="25" t="s">
        <v>686</v>
      </c>
      <c r="F22" s="25" t="s">
        <v>178</v>
      </c>
      <c r="G22" s="27" t="s">
        <v>109</v>
      </c>
      <c r="H22" s="27" t="s">
        <v>89</v>
      </c>
      <c r="I22" s="27" t="s">
        <v>49</v>
      </c>
      <c r="J22" s="26"/>
      <c r="K22" s="27" t="s">
        <v>19</v>
      </c>
      <c r="L22" s="27" t="s">
        <v>153</v>
      </c>
      <c r="M22" s="27" t="s">
        <v>109</v>
      </c>
      <c r="N22" s="26"/>
      <c r="O22" s="27" t="s">
        <v>162</v>
      </c>
      <c r="P22" s="28" t="s">
        <v>15</v>
      </c>
      <c r="Q22" s="27" t="s">
        <v>15</v>
      </c>
      <c r="R22" s="26"/>
      <c r="S22" s="34" t="str">
        <f>"635,0"</f>
        <v>635,0</v>
      </c>
      <c r="T22" s="26" t="str">
        <f>"405,8285"</f>
        <v>405,8285</v>
      </c>
      <c r="U22" s="25" t="s">
        <v>23</v>
      </c>
    </row>
    <row r="23" spans="1:21">
      <c r="A23" s="13" t="s">
        <v>133</v>
      </c>
      <c r="B23" s="12" t="s">
        <v>186</v>
      </c>
      <c r="C23" s="12" t="s">
        <v>187</v>
      </c>
      <c r="D23" s="12" t="s">
        <v>97</v>
      </c>
      <c r="E23" s="12" t="s">
        <v>686</v>
      </c>
      <c r="F23" s="12" t="s">
        <v>108</v>
      </c>
      <c r="G23" s="22" t="s">
        <v>109</v>
      </c>
      <c r="H23" s="23" t="s">
        <v>48</v>
      </c>
      <c r="I23" s="22" t="s">
        <v>48</v>
      </c>
      <c r="J23" s="13"/>
      <c r="K23" s="22" t="s">
        <v>85</v>
      </c>
      <c r="L23" s="23" t="s">
        <v>17</v>
      </c>
      <c r="M23" s="23" t="s">
        <v>17</v>
      </c>
      <c r="N23" s="13"/>
      <c r="O23" s="22" t="s">
        <v>162</v>
      </c>
      <c r="P23" s="22" t="s">
        <v>14</v>
      </c>
      <c r="Q23" s="22" t="s">
        <v>168</v>
      </c>
      <c r="R23" s="13"/>
      <c r="S23" s="33" t="str">
        <f>"585,0"</f>
        <v>585,0</v>
      </c>
      <c r="T23" s="13" t="str">
        <f>"378,5535"</f>
        <v>378,5535</v>
      </c>
      <c r="U23" s="12" t="s">
        <v>654</v>
      </c>
    </row>
    <row r="24" spans="1:21">
      <c r="B24" s="6" t="s">
        <v>65</v>
      </c>
    </row>
    <row r="25" spans="1:21" ht="16">
      <c r="A25" s="80" t="s">
        <v>10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21">
      <c r="A26" s="11" t="s">
        <v>64</v>
      </c>
      <c r="B26" s="10" t="s">
        <v>188</v>
      </c>
      <c r="C26" s="10" t="s">
        <v>189</v>
      </c>
      <c r="D26" s="10" t="s">
        <v>190</v>
      </c>
      <c r="E26" s="10" t="s">
        <v>686</v>
      </c>
      <c r="F26" s="10" t="s">
        <v>108</v>
      </c>
      <c r="G26" s="24" t="s">
        <v>51</v>
      </c>
      <c r="H26" s="24" t="s">
        <v>29</v>
      </c>
      <c r="I26" s="24" t="s">
        <v>191</v>
      </c>
      <c r="J26" s="11"/>
      <c r="K26" s="24" t="s">
        <v>111</v>
      </c>
      <c r="L26" s="21" t="s">
        <v>89</v>
      </c>
      <c r="M26" s="21" t="s">
        <v>89</v>
      </c>
      <c r="N26" s="11"/>
      <c r="O26" s="24" t="s">
        <v>192</v>
      </c>
      <c r="P26" s="24" t="s">
        <v>193</v>
      </c>
      <c r="Q26" s="24" t="s">
        <v>194</v>
      </c>
      <c r="R26" s="11"/>
      <c r="S26" s="32" t="str">
        <f>"825,0"</f>
        <v>825,0</v>
      </c>
      <c r="T26" s="11" t="str">
        <f>"508,0350"</f>
        <v>508,0350</v>
      </c>
      <c r="U26" s="10"/>
    </row>
    <row r="27" spans="1:21">
      <c r="A27" s="26" t="s">
        <v>132</v>
      </c>
      <c r="B27" s="25" t="s">
        <v>195</v>
      </c>
      <c r="C27" s="25" t="s">
        <v>196</v>
      </c>
      <c r="D27" s="25" t="s">
        <v>197</v>
      </c>
      <c r="E27" s="25" t="s">
        <v>686</v>
      </c>
      <c r="F27" s="25" t="s">
        <v>629</v>
      </c>
      <c r="G27" s="27" t="s">
        <v>28</v>
      </c>
      <c r="H27" s="27" t="s">
        <v>51</v>
      </c>
      <c r="I27" s="28" t="s">
        <v>198</v>
      </c>
      <c r="J27" s="26"/>
      <c r="K27" s="27" t="s">
        <v>89</v>
      </c>
      <c r="L27" s="27" t="s">
        <v>199</v>
      </c>
      <c r="M27" s="28" t="s">
        <v>50</v>
      </c>
      <c r="N27" s="26"/>
      <c r="O27" s="27" t="s">
        <v>200</v>
      </c>
      <c r="P27" s="27" t="s">
        <v>193</v>
      </c>
      <c r="Q27" s="28" t="s">
        <v>194</v>
      </c>
      <c r="R27" s="26"/>
      <c r="S27" s="34" t="str">
        <f>"817,5"</f>
        <v>817,5</v>
      </c>
      <c r="T27" s="26" t="str">
        <f>"497,5305"</f>
        <v>497,5305</v>
      </c>
      <c r="U27" s="25" t="s">
        <v>655</v>
      </c>
    </row>
    <row r="28" spans="1:21">
      <c r="A28" s="26" t="s">
        <v>133</v>
      </c>
      <c r="B28" s="25" t="s">
        <v>201</v>
      </c>
      <c r="C28" s="25" t="s">
        <v>202</v>
      </c>
      <c r="D28" s="25" t="s">
        <v>203</v>
      </c>
      <c r="E28" s="25" t="s">
        <v>686</v>
      </c>
      <c r="F28" s="25" t="s">
        <v>629</v>
      </c>
      <c r="G28" s="27" t="s">
        <v>46</v>
      </c>
      <c r="H28" s="28" t="s">
        <v>28</v>
      </c>
      <c r="I28" s="28" t="s">
        <v>28</v>
      </c>
      <c r="J28" s="26"/>
      <c r="K28" s="27" t="s">
        <v>48</v>
      </c>
      <c r="L28" s="28" t="s">
        <v>89</v>
      </c>
      <c r="M28" s="26"/>
      <c r="N28" s="26"/>
      <c r="O28" s="27" t="s">
        <v>47</v>
      </c>
      <c r="P28" s="27" t="s">
        <v>198</v>
      </c>
      <c r="Q28" s="28" t="s">
        <v>204</v>
      </c>
      <c r="R28" s="26"/>
      <c r="S28" s="34" t="str">
        <f>"755,0"</f>
        <v>755,0</v>
      </c>
      <c r="T28" s="26" t="str">
        <f>"460,0215"</f>
        <v>460,0215</v>
      </c>
      <c r="U28" s="25" t="s">
        <v>23</v>
      </c>
    </row>
    <row r="29" spans="1:21">
      <c r="A29" s="26" t="s">
        <v>246</v>
      </c>
      <c r="B29" s="25" t="s">
        <v>205</v>
      </c>
      <c r="C29" s="25" t="s">
        <v>206</v>
      </c>
      <c r="D29" s="25" t="s">
        <v>207</v>
      </c>
      <c r="E29" s="25" t="s">
        <v>686</v>
      </c>
      <c r="F29" s="25" t="s">
        <v>178</v>
      </c>
      <c r="G29" s="27" t="s">
        <v>35</v>
      </c>
      <c r="H29" s="27" t="s">
        <v>162</v>
      </c>
      <c r="I29" s="27" t="s">
        <v>36</v>
      </c>
      <c r="J29" s="26"/>
      <c r="K29" s="27" t="s">
        <v>88</v>
      </c>
      <c r="L29" s="27" t="s">
        <v>109</v>
      </c>
      <c r="M29" s="28" t="s">
        <v>111</v>
      </c>
      <c r="N29" s="26"/>
      <c r="O29" s="27" t="s">
        <v>168</v>
      </c>
      <c r="P29" s="27" t="s">
        <v>21</v>
      </c>
      <c r="Q29" s="27" t="s">
        <v>22</v>
      </c>
      <c r="R29" s="26"/>
      <c r="S29" s="34" t="str">
        <f>"692,5"</f>
        <v>692,5</v>
      </c>
      <c r="T29" s="26" t="str">
        <f>"421,5940"</f>
        <v>421,5940</v>
      </c>
      <c r="U29" s="25" t="s">
        <v>23</v>
      </c>
    </row>
    <row r="30" spans="1:21">
      <c r="A30" s="26" t="s">
        <v>247</v>
      </c>
      <c r="B30" s="25" t="s">
        <v>208</v>
      </c>
      <c r="C30" s="25" t="s">
        <v>209</v>
      </c>
      <c r="D30" s="25" t="s">
        <v>210</v>
      </c>
      <c r="E30" s="25" t="s">
        <v>686</v>
      </c>
      <c r="F30" s="25" t="s">
        <v>178</v>
      </c>
      <c r="G30" s="27" t="s">
        <v>35</v>
      </c>
      <c r="H30" s="27" t="s">
        <v>162</v>
      </c>
      <c r="I30" s="27" t="s">
        <v>211</v>
      </c>
      <c r="J30" s="26"/>
      <c r="K30" s="27" t="s">
        <v>84</v>
      </c>
      <c r="L30" s="27" t="s">
        <v>161</v>
      </c>
      <c r="M30" s="27" t="s">
        <v>151</v>
      </c>
      <c r="N30" s="26"/>
      <c r="O30" s="27" t="s">
        <v>21</v>
      </c>
      <c r="P30" s="27" t="s">
        <v>212</v>
      </c>
      <c r="Q30" s="28" t="s">
        <v>213</v>
      </c>
      <c r="R30" s="26"/>
      <c r="S30" s="34" t="str">
        <f>"682,5"</f>
        <v>682,5</v>
      </c>
      <c r="T30" s="26" t="str">
        <f>"417,0758"</f>
        <v>417,0758</v>
      </c>
      <c r="U30" s="25" t="s">
        <v>23</v>
      </c>
    </row>
    <row r="31" spans="1:21">
      <c r="A31" s="13" t="s">
        <v>248</v>
      </c>
      <c r="B31" s="12" t="s">
        <v>214</v>
      </c>
      <c r="C31" s="12" t="s">
        <v>215</v>
      </c>
      <c r="D31" s="12" t="s">
        <v>216</v>
      </c>
      <c r="E31" s="12" t="s">
        <v>686</v>
      </c>
      <c r="F31" s="12" t="s">
        <v>217</v>
      </c>
      <c r="G31" s="22" t="s">
        <v>48</v>
      </c>
      <c r="H31" s="22" t="s">
        <v>49</v>
      </c>
      <c r="I31" s="22" t="s">
        <v>121</v>
      </c>
      <c r="J31" s="13"/>
      <c r="K31" s="22" t="s">
        <v>19</v>
      </c>
      <c r="L31" s="22" t="s">
        <v>153</v>
      </c>
      <c r="M31" s="23" t="s">
        <v>111</v>
      </c>
      <c r="N31" s="13"/>
      <c r="O31" s="22" t="s">
        <v>14</v>
      </c>
      <c r="P31" s="22" t="s">
        <v>168</v>
      </c>
      <c r="Q31" s="23" t="s">
        <v>20</v>
      </c>
      <c r="R31" s="13"/>
      <c r="S31" s="33" t="str">
        <f>"635,0"</f>
        <v>635,0</v>
      </c>
      <c r="T31" s="13" t="str">
        <f>"393,1285"</f>
        <v>393,1285</v>
      </c>
      <c r="U31" s="12" t="s">
        <v>656</v>
      </c>
    </row>
    <row r="32" spans="1:21">
      <c r="B32" s="6" t="s">
        <v>65</v>
      </c>
    </row>
    <row r="33" spans="1:21" ht="16">
      <c r="A33" s="80" t="s">
        <v>24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</row>
    <row r="34" spans="1:21">
      <c r="A34" s="11" t="s">
        <v>64</v>
      </c>
      <c r="B34" s="10" t="s">
        <v>218</v>
      </c>
      <c r="C34" s="10" t="s">
        <v>219</v>
      </c>
      <c r="D34" s="10" t="s">
        <v>220</v>
      </c>
      <c r="E34" s="10" t="s">
        <v>686</v>
      </c>
      <c r="F34" s="10" t="s">
        <v>108</v>
      </c>
      <c r="G34" s="24" t="s">
        <v>14</v>
      </c>
      <c r="H34" s="21" t="s">
        <v>168</v>
      </c>
      <c r="I34" s="21" t="s">
        <v>168</v>
      </c>
      <c r="J34" s="11"/>
      <c r="K34" s="24" t="s">
        <v>19</v>
      </c>
      <c r="L34" s="24" t="s">
        <v>221</v>
      </c>
      <c r="M34" s="21" t="s">
        <v>109</v>
      </c>
      <c r="N34" s="11"/>
      <c r="O34" s="21" t="s">
        <v>46</v>
      </c>
      <c r="P34" s="24" t="s">
        <v>28</v>
      </c>
      <c r="Q34" s="24" t="s">
        <v>47</v>
      </c>
      <c r="R34" s="11"/>
      <c r="S34" s="32" t="str">
        <f>"697,5"</f>
        <v>697,5</v>
      </c>
      <c r="T34" s="11" t="str">
        <f>"419,8252"</f>
        <v>419,8252</v>
      </c>
      <c r="U34" s="10"/>
    </row>
    <row r="35" spans="1:21">
      <c r="A35" s="26" t="s">
        <v>132</v>
      </c>
      <c r="B35" s="25" t="s">
        <v>222</v>
      </c>
      <c r="C35" s="25" t="s">
        <v>223</v>
      </c>
      <c r="D35" s="25" t="s">
        <v>224</v>
      </c>
      <c r="E35" s="25" t="s">
        <v>686</v>
      </c>
      <c r="F35" s="25" t="s">
        <v>225</v>
      </c>
      <c r="G35" s="27" t="s">
        <v>35</v>
      </c>
      <c r="H35" s="27" t="s">
        <v>162</v>
      </c>
      <c r="I35" s="27" t="s">
        <v>211</v>
      </c>
      <c r="J35" s="26"/>
      <c r="K35" s="27" t="s">
        <v>39</v>
      </c>
      <c r="L35" s="27" t="s">
        <v>40</v>
      </c>
      <c r="M35" s="28" t="s">
        <v>221</v>
      </c>
      <c r="N35" s="26"/>
      <c r="O35" s="27" t="s">
        <v>168</v>
      </c>
      <c r="P35" s="27" t="s">
        <v>20</v>
      </c>
      <c r="Q35" s="27" t="s">
        <v>46</v>
      </c>
      <c r="R35" s="26"/>
      <c r="S35" s="34" t="str">
        <f>"675,0"</f>
        <v>675,0</v>
      </c>
      <c r="T35" s="26" t="str">
        <f>"400,4775"</f>
        <v>400,4775</v>
      </c>
      <c r="U35" s="25" t="s">
        <v>653</v>
      </c>
    </row>
    <row r="36" spans="1:21">
      <c r="A36" s="26" t="s">
        <v>133</v>
      </c>
      <c r="B36" s="25" t="s">
        <v>119</v>
      </c>
      <c r="C36" s="25" t="s">
        <v>120</v>
      </c>
      <c r="D36" s="25" t="s">
        <v>34</v>
      </c>
      <c r="E36" s="25" t="s">
        <v>686</v>
      </c>
      <c r="F36" s="25" t="s">
        <v>629</v>
      </c>
      <c r="G36" s="27" t="s">
        <v>121</v>
      </c>
      <c r="H36" s="27" t="s">
        <v>104</v>
      </c>
      <c r="I36" s="27" t="s">
        <v>36</v>
      </c>
      <c r="J36" s="26"/>
      <c r="K36" s="27" t="s">
        <v>19</v>
      </c>
      <c r="L36" s="28" t="s">
        <v>88</v>
      </c>
      <c r="M36" s="27" t="s">
        <v>88</v>
      </c>
      <c r="N36" s="26"/>
      <c r="O36" s="28" t="s">
        <v>49</v>
      </c>
      <c r="P36" s="27" t="s">
        <v>49</v>
      </c>
      <c r="Q36" s="27" t="s">
        <v>121</v>
      </c>
      <c r="R36" s="26"/>
      <c r="S36" s="34" t="str">
        <f>"615,0"</f>
        <v>615,0</v>
      </c>
      <c r="T36" s="26" t="str">
        <f>"362,0505"</f>
        <v>362,0505</v>
      </c>
      <c r="U36" s="25"/>
    </row>
    <row r="37" spans="1:21">
      <c r="A37" s="26" t="s">
        <v>66</v>
      </c>
      <c r="B37" s="25" t="s">
        <v>226</v>
      </c>
      <c r="C37" s="25" t="s">
        <v>227</v>
      </c>
      <c r="D37" s="25" t="s">
        <v>228</v>
      </c>
      <c r="E37" s="25" t="s">
        <v>686</v>
      </c>
      <c r="F37" s="25" t="s">
        <v>108</v>
      </c>
      <c r="G37" s="28" t="s">
        <v>46</v>
      </c>
      <c r="H37" s="28" t="s">
        <v>46</v>
      </c>
      <c r="I37" s="28" t="s">
        <v>46</v>
      </c>
      <c r="J37" s="26"/>
      <c r="K37" s="28"/>
      <c r="L37" s="26"/>
      <c r="M37" s="26"/>
      <c r="N37" s="26"/>
      <c r="O37" s="28"/>
      <c r="P37" s="26"/>
      <c r="Q37" s="26"/>
      <c r="R37" s="26"/>
      <c r="S37" s="34">
        <v>0</v>
      </c>
      <c r="T37" s="26" t="str">
        <f>"0,0000"</f>
        <v>0,0000</v>
      </c>
      <c r="U37" s="25"/>
    </row>
    <row r="38" spans="1:21">
      <c r="A38" s="26" t="s">
        <v>64</v>
      </c>
      <c r="B38" s="25" t="s">
        <v>119</v>
      </c>
      <c r="C38" s="25" t="s">
        <v>127</v>
      </c>
      <c r="D38" s="25" t="s">
        <v>34</v>
      </c>
      <c r="E38" s="25" t="s">
        <v>688</v>
      </c>
      <c r="F38" s="25" t="s">
        <v>629</v>
      </c>
      <c r="G38" s="27" t="s">
        <v>121</v>
      </c>
      <c r="H38" s="27" t="s">
        <v>104</v>
      </c>
      <c r="I38" s="27" t="s">
        <v>36</v>
      </c>
      <c r="J38" s="26"/>
      <c r="K38" s="27" t="s">
        <v>19</v>
      </c>
      <c r="L38" s="28" t="s">
        <v>88</v>
      </c>
      <c r="M38" s="27" t="s">
        <v>88</v>
      </c>
      <c r="N38" s="26"/>
      <c r="O38" s="28" t="s">
        <v>49</v>
      </c>
      <c r="P38" s="27" t="s">
        <v>49</v>
      </c>
      <c r="Q38" s="27" t="s">
        <v>121</v>
      </c>
      <c r="R38" s="26"/>
      <c r="S38" s="34" t="str">
        <f>"615,0"</f>
        <v>615,0</v>
      </c>
      <c r="T38" s="26" t="str">
        <f>"383,7735"</f>
        <v>383,7735</v>
      </c>
      <c r="U38" s="25"/>
    </row>
    <row r="39" spans="1:21">
      <c r="A39" s="13" t="s">
        <v>132</v>
      </c>
      <c r="B39" s="12" t="s">
        <v>229</v>
      </c>
      <c r="C39" s="12" t="s">
        <v>230</v>
      </c>
      <c r="D39" s="12" t="s">
        <v>228</v>
      </c>
      <c r="E39" s="12" t="s">
        <v>688</v>
      </c>
      <c r="F39" s="12" t="s">
        <v>629</v>
      </c>
      <c r="G39" s="22" t="s">
        <v>48</v>
      </c>
      <c r="H39" s="22" t="s">
        <v>49</v>
      </c>
      <c r="I39" s="22" t="s">
        <v>50</v>
      </c>
      <c r="J39" s="13"/>
      <c r="K39" s="22" t="s">
        <v>231</v>
      </c>
      <c r="L39" s="23" t="s">
        <v>84</v>
      </c>
      <c r="M39" s="23" t="s">
        <v>84</v>
      </c>
      <c r="N39" s="13"/>
      <c r="O39" s="22" t="s">
        <v>162</v>
      </c>
      <c r="P39" s="22" t="s">
        <v>14</v>
      </c>
      <c r="Q39" s="23" t="s">
        <v>179</v>
      </c>
      <c r="R39" s="13"/>
      <c r="S39" s="33" t="str">
        <f>"575,0"</f>
        <v>575,0</v>
      </c>
      <c r="T39" s="13" t="str">
        <f>"353,2766"</f>
        <v>353,2766</v>
      </c>
      <c r="U39" s="12" t="s">
        <v>332</v>
      </c>
    </row>
    <row r="40" spans="1:21">
      <c r="B40" s="6" t="s">
        <v>65</v>
      </c>
    </row>
    <row r="41" spans="1:21" ht="16">
      <c r="A41" s="80" t="s">
        <v>42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21">
      <c r="A42" s="11" t="s">
        <v>64</v>
      </c>
      <c r="B42" s="10" t="s">
        <v>232</v>
      </c>
      <c r="C42" s="10" t="s">
        <v>233</v>
      </c>
      <c r="D42" s="10" t="s">
        <v>234</v>
      </c>
      <c r="E42" s="10" t="s">
        <v>686</v>
      </c>
      <c r="F42" s="10" t="s">
        <v>629</v>
      </c>
      <c r="G42" s="24" t="s">
        <v>28</v>
      </c>
      <c r="H42" s="21" t="s">
        <v>198</v>
      </c>
      <c r="I42" s="24" t="s">
        <v>29</v>
      </c>
      <c r="J42" s="11"/>
      <c r="K42" s="24" t="s">
        <v>89</v>
      </c>
      <c r="L42" s="21" t="s">
        <v>199</v>
      </c>
      <c r="M42" s="24" t="s">
        <v>50</v>
      </c>
      <c r="N42" s="11"/>
      <c r="O42" s="24" t="s">
        <v>235</v>
      </c>
      <c r="P42" s="24" t="s">
        <v>236</v>
      </c>
      <c r="Q42" s="21" t="s">
        <v>237</v>
      </c>
      <c r="R42" s="11"/>
      <c r="S42" s="32" t="str">
        <f>"835,0"</f>
        <v>835,0</v>
      </c>
      <c r="T42" s="11" t="str">
        <f>"476,2840"</f>
        <v>476,2840</v>
      </c>
      <c r="U42" s="10" t="s">
        <v>657</v>
      </c>
    </row>
    <row r="43" spans="1:21">
      <c r="A43" s="13" t="s">
        <v>64</v>
      </c>
      <c r="B43" s="12" t="s">
        <v>232</v>
      </c>
      <c r="C43" s="12" t="s">
        <v>238</v>
      </c>
      <c r="D43" s="12" t="s">
        <v>234</v>
      </c>
      <c r="E43" s="12" t="s">
        <v>688</v>
      </c>
      <c r="F43" s="12" t="s">
        <v>629</v>
      </c>
      <c r="G43" s="22" t="s">
        <v>28</v>
      </c>
      <c r="H43" s="23" t="s">
        <v>198</v>
      </c>
      <c r="I43" s="22" t="s">
        <v>29</v>
      </c>
      <c r="J43" s="13"/>
      <c r="K43" s="22" t="s">
        <v>89</v>
      </c>
      <c r="L43" s="23" t="s">
        <v>199</v>
      </c>
      <c r="M43" s="22" t="s">
        <v>50</v>
      </c>
      <c r="N43" s="13"/>
      <c r="O43" s="22" t="s">
        <v>235</v>
      </c>
      <c r="P43" s="22" t="s">
        <v>236</v>
      </c>
      <c r="Q43" s="23" t="s">
        <v>237</v>
      </c>
      <c r="R43" s="13"/>
      <c r="S43" s="33" t="str">
        <f>"835,0"</f>
        <v>835,0</v>
      </c>
      <c r="T43" s="13" t="str">
        <f>"478,6654"</f>
        <v>478,6654</v>
      </c>
      <c r="U43" s="12" t="s">
        <v>657</v>
      </c>
    </row>
    <row r="44" spans="1:21">
      <c r="B44" s="6" t="s">
        <v>65</v>
      </c>
    </row>
    <row r="45" spans="1:21">
      <c r="B45" s="6" t="s">
        <v>65</v>
      </c>
    </row>
    <row r="46" spans="1:21">
      <c r="B46" s="6" t="s">
        <v>65</v>
      </c>
    </row>
    <row r="47" spans="1:21" ht="18">
      <c r="B47" s="14" t="s">
        <v>53</v>
      </c>
      <c r="C47" s="14"/>
    </row>
    <row r="48" spans="1:21" ht="16">
      <c r="B48" s="29" t="s">
        <v>54</v>
      </c>
      <c r="C48" s="29"/>
    </row>
    <row r="49" spans="2:6" ht="14">
      <c r="B49" s="16"/>
      <c r="C49" s="17" t="s">
        <v>55</v>
      </c>
    </row>
    <row r="50" spans="2:6" ht="14">
      <c r="B50" s="18" t="s">
        <v>56</v>
      </c>
      <c r="C50" s="18" t="s">
        <v>57</v>
      </c>
      <c r="D50" s="18" t="s">
        <v>58</v>
      </c>
      <c r="E50" s="18" t="s">
        <v>59</v>
      </c>
      <c r="F50" s="18" t="s">
        <v>60</v>
      </c>
    </row>
    <row r="51" spans="2:6">
      <c r="B51" s="6" t="s">
        <v>188</v>
      </c>
      <c r="C51" s="6" t="s">
        <v>55</v>
      </c>
      <c r="D51" s="7" t="s">
        <v>62</v>
      </c>
      <c r="E51" s="7" t="s">
        <v>240</v>
      </c>
      <c r="F51" s="7" t="s">
        <v>241</v>
      </c>
    </row>
    <row r="52" spans="2:6">
      <c r="B52" s="6" t="s">
        <v>195</v>
      </c>
      <c r="C52" s="6" t="s">
        <v>55</v>
      </c>
      <c r="D52" s="7" t="s">
        <v>62</v>
      </c>
      <c r="E52" s="7" t="s">
        <v>242</v>
      </c>
      <c r="F52" s="7" t="s">
        <v>243</v>
      </c>
    </row>
    <row r="53" spans="2:6">
      <c r="B53" s="6" t="s">
        <v>232</v>
      </c>
      <c r="C53" s="6" t="s">
        <v>55</v>
      </c>
      <c r="D53" s="7" t="s">
        <v>61</v>
      </c>
      <c r="E53" s="7" t="s">
        <v>244</v>
      </c>
      <c r="F53" s="7" t="s">
        <v>245</v>
      </c>
    </row>
  </sheetData>
  <mergeCells count="21">
    <mergeCell ref="A41:R41"/>
    <mergeCell ref="B3:B4"/>
    <mergeCell ref="A8:R8"/>
    <mergeCell ref="A12:R12"/>
    <mergeCell ref="A15:R15"/>
    <mergeCell ref="A20:R20"/>
    <mergeCell ref="A25:R25"/>
    <mergeCell ref="A33:R33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7"/>
  <dimension ref="A1:U23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8.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7" bestFit="1" customWidth="1"/>
    <col min="20" max="20" width="8.5" style="7" bestFit="1" customWidth="1"/>
    <col min="21" max="21" width="15.83203125" style="6" bestFit="1" customWidth="1"/>
    <col min="22" max="16384" width="9.1640625" style="3"/>
  </cols>
  <sheetData>
    <row r="1" spans="1:21" s="2" customFormat="1" ht="29" customHeight="1">
      <c r="A1" s="59" t="s">
        <v>642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</row>
    <row r="2" spans="1:21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</row>
    <row r="3" spans="1:21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7</v>
      </c>
      <c r="H3" s="71"/>
      <c r="I3" s="71"/>
      <c r="J3" s="71"/>
      <c r="K3" s="71" t="s">
        <v>8</v>
      </c>
      <c r="L3" s="71"/>
      <c r="M3" s="71"/>
      <c r="N3" s="71"/>
      <c r="O3" s="71" t="s">
        <v>9</v>
      </c>
      <c r="P3" s="71"/>
      <c r="Q3" s="71"/>
      <c r="R3" s="71"/>
      <c r="S3" s="71" t="s">
        <v>1</v>
      </c>
      <c r="T3" s="71" t="s">
        <v>3</v>
      </c>
      <c r="U3" s="74" t="s">
        <v>2</v>
      </c>
    </row>
    <row r="4" spans="1:21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0"/>
      <c r="T4" s="70"/>
      <c r="U4" s="75"/>
    </row>
    <row r="5" spans="1:21" ht="16">
      <c r="A5" s="76" t="s">
        <v>67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9" t="s">
        <v>64</v>
      </c>
      <c r="B6" s="8" t="s">
        <v>68</v>
      </c>
      <c r="C6" s="8" t="s">
        <v>69</v>
      </c>
      <c r="D6" s="8" t="s">
        <v>70</v>
      </c>
      <c r="E6" s="8" t="s">
        <v>686</v>
      </c>
      <c r="F6" s="8" t="s">
        <v>651</v>
      </c>
      <c r="G6" s="19" t="s">
        <v>71</v>
      </c>
      <c r="H6" s="20" t="s">
        <v>72</v>
      </c>
      <c r="I6" s="9"/>
      <c r="J6" s="9"/>
      <c r="K6" s="19" t="s">
        <v>73</v>
      </c>
      <c r="L6" s="19" t="s">
        <v>74</v>
      </c>
      <c r="M6" s="20" t="s">
        <v>75</v>
      </c>
      <c r="N6" s="9"/>
      <c r="O6" s="19" t="s">
        <v>76</v>
      </c>
      <c r="P6" s="19" t="s">
        <v>77</v>
      </c>
      <c r="Q6" s="20" t="s">
        <v>78</v>
      </c>
      <c r="R6" s="9"/>
      <c r="S6" s="9" t="str">
        <f>"290,0"</f>
        <v>290,0</v>
      </c>
      <c r="T6" s="9" t="str">
        <f>"323,3210"</f>
        <v>323,3210</v>
      </c>
      <c r="U6" s="8" t="s">
        <v>79</v>
      </c>
    </row>
    <row r="7" spans="1:21">
      <c r="B7" s="6" t="s">
        <v>65</v>
      </c>
    </row>
    <row r="8" spans="1:21" ht="16">
      <c r="A8" s="80" t="s">
        <v>80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21">
      <c r="A9" s="11" t="s">
        <v>64</v>
      </c>
      <c r="B9" s="10" t="s">
        <v>81</v>
      </c>
      <c r="C9" s="10" t="s">
        <v>82</v>
      </c>
      <c r="D9" s="10" t="s">
        <v>83</v>
      </c>
      <c r="E9" s="10" t="s">
        <v>689</v>
      </c>
      <c r="F9" s="10" t="s">
        <v>93</v>
      </c>
      <c r="G9" s="21" t="s">
        <v>84</v>
      </c>
      <c r="H9" s="21" t="s">
        <v>85</v>
      </c>
      <c r="I9" s="24" t="s">
        <v>85</v>
      </c>
      <c r="J9" s="11"/>
      <c r="K9" s="24" t="s">
        <v>86</v>
      </c>
      <c r="L9" s="21" t="s">
        <v>87</v>
      </c>
      <c r="M9" s="21" t="s">
        <v>87</v>
      </c>
      <c r="N9" s="11"/>
      <c r="O9" s="24" t="s">
        <v>88</v>
      </c>
      <c r="P9" s="21" t="s">
        <v>89</v>
      </c>
      <c r="Q9" s="21" t="s">
        <v>89</v>
      </c>
      <c r="R9" s="11"/>
      <c r="S9" s="11" t="str">
        <f>"405,0"</f>
        <v>405,0</v>
      </c>
      <c r="T9" s="11" t="str">
        <f>"277,5870"</f>
        <v>277,5870</v>
      </c>
      <c r="U9" s="10" t="s">
        <v>31</v>
      </c>
    </row>
    <row r="10" spans="1:21">
      <c r="A10" s="13" t="s">
        <v>132</v>
      </c>
      <c r="B10" s="12" t="s">
        <v>90</v>
      </c>
      <c r="C10" s="12" t="s">
        <v>91</v>
      </c>
      <c r="D10" s="12" t="s">
        <v>92</v>
      </c>
      <c r="E10" s="12" t="s">
        <v>689</v>
      </c>
      <c r="F10" s="12" t="s">
        <v>93</v>
      </c>
      <c r="G10" s="22" t="s">
        <v>84</v>
      </c>
      <c r="H10" s="23" t="s">
        <v>38</v>
      </c>
      <c r="I10" s="22" t="s">
        <v>38</v>
      </c>
      <c r="J10" s="13"/>
      <c r="K10" s="22" t="s">
        <v>86</v>
      </c>
      <c r="L10" s="23" t="s">
        <v>87</v>
      </c>
      <c r="M10" s="22" t="s">
        <v>87</v>
      </c>
      <c r="N10" s="13"/>
      <c r="O10" s="23" t="s">
        <v>84</v>
      </c>
      <c r="P10" s="22" t="s">
        <v>84</v>
      </c>
      <c r="Q10" s="13"/>
      <c r="R10" s="13"/>
      <c r="S10" s="13" t="str">
        <f>"387,5"</f>
        <v>387,5</v>
      </c>
      <c r="T10" s="13" t="str">
        <f>"264,5462"</f>
        <v>264,5462</v>
      </c>
      <c r="U10" s="12" t="s">
        <v>31</v>
      </c>
    </row>
    <row r="11" spans="1:21">
      <c r="B11" s="6" t="s">
        <v>65</v>
      </c>
    </row>
    <row r="12" spans="1:21" ht="16">
      <c r="A12" s="80" t="s">
        <v>94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21">
      <c r="A13" s="9" t="s">
        <v>64</v>
      </c>
      <c r="B13" s="8" t="s">
        <v>95</v>
      </c>
      <c r="C13" s="8" t="s">
        <v>96</v>
      </c>
      <c r="D13" s="8" t="s">
        <v>97</v>
      </c>
      <c r="E13" s="8" t="s">
        <v>687</v>
      </c>
      <c r="F13" s="8" t="s">
        <v>98</v>
      </c>
      <c r="G13" s="20" t="s">
        <v>89</v>
      </c>
      <c r="H13" s="19" t="s">
        <v>99</v>
      </c>
      <c r="I13" s="19" t="s">
        <v>100</v>
      </c>
      <c r="J13" s="9"/>
      <c r="K13" s="19" t="s">
        <v>101</v>
      </c>
      <c r="L13" s="20" t="s">
        <v>102</v>
      </c>
      <c r="M13" s="19" t="s">
        <v>85</v>
      </c>
      <c r="N13" s="9"/>
      <c r="O13" s="20" t="s">
        <v>103</v>
      </c>
      <c r="P13" s="19" t="s">
        <v>103</v>
      </c>
      <c r="Q13" s="19" t="s">
        <v>104</v>
      </c>
      <c r="R13" s="9"/>
      <c r="S13" s="9" t="str">
        <f>"577,5"</f>
        <v>577,5</v>
      </c>
      <c r="T13" s="9" t="str">
        <f>"373,7002"</f>
        <v>373,7002</v>
      </c>
      <c r="U13" s="8"/>
    </row>
    <row r="14" spans="1:21">
      <c r="B14" s="6" t="s">
        <v>65</v>
      </c>
    </row>
    <row r="15" spans="1:21" ht="16">
      <c r="A15" s="80" t="s">
        <v>10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spans="1:21">
      <c r="A16" s="9" t="s">
        <v>64</v>
      </c>
      <c r="B16" s="8" t="s">
        <v>105</v>
      </c>
      <c r="C16" s="8" t="s">
        <v>106</v>
      </c>
      <c r="D16" s="8" t="s">
        <v>107</v>
      </c>
      <c r="E16" s="8" t="s">
        <v>687</v>
      </c>
      <c r="F16" s="8" t="s">
        <v>108</v>
      </c>
      <c r="G16" s="20" t="s">
        <v>88</v>
      </c>
      <c r="H16" s="19" t="s">
        <v>109</v>
      </c>
      <c r="I16" s="20" t="s">
        <v>48</v>
      </c>
      <c r="J16" s="9"/>
      <c r="K16" s="19" t="s">
        <v>76</v>
      </c>
      <c r="L16" s="19" t="s">
        <v>110</v>
      </c>
      <c r="M16" s="19" t="s">
        <v>77</v>
      </c>
      <c r="N16" s="9"/>
      <c r="O16" s="19" t="s">
        <v>88</v>
      </c>
      <c r="P16" s="19" t="s">
        <v>111</v>
      </c>
      <c r="Q16" s="19" t="s">
        <v>89</v>
      </c>
      <c r="R16" s="9"/>
      <c r="S16" s="9" t="str">
        <f>"502,5"</f>
        <v>502,5</v>
      </c>
      <c r="T16" s="9" t="str">
        <f>"314,8665"</f>
        <v>314,8665</v>
      </c>
      <c r="U16" s="8" t="s">
        <v>566</v>
      </c>
    </row>
    <row r="17" spans="1:21">
      <c r="B17" s="6" t="s">
        <v>65</v>
      </c>
    </row>
    <row r="18" spans="1:21" ht="16">
      <c r="A18" s="80" t="s">
        <v>24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1:21">
      <c r="A19" s="11" t="s">
        <v>64</v>
      </c>
      <c r="B19" s="10" t="s">
        <v>112</v>
      </c>
      <c r="C19" s="10" t="s">
        <v>113</v>
      </c>
      <c r="D19" s="10" t="s">
        <v>114</v>
      </c>
      <c r="E19" s="10" t="s">
        <v>686</v>
      </c>
      <c r="F19" s="10" t="s">
        <v>93</v>
      </c>
      <c r="G19" s="24" t="s">
        <v>20</v>
      </c>
      <c r="H19" s="24" t="s">
        <v>28</v>
      </c>
      <c r="I19" s="21" t="s">
        <v>29</v>
      </c>
      <c r="J19" s="11"/>
      <c r="K19" s="24" t="s">
        <v>115</v>
      </c>
      <c r="L19" s="24" t="s">
        <v>102</v>
      </c>
      <c r="M19" s="21" t="s">
        <v>38</v>
      </c>
      <c r="N19" s="11"/>
      <c r="O19" s="24" t="s">
        <v>116</v>
      </c>
      <c r="P19" s="24" t="s">
        <v>117</v>
      </c>
      <c r="Q19" s="21" t="s">
        <v>118</v>
      </c>
      <c r="R19" s="11"/>
      <c r="S19" s="11" t="str">
        <f>"690,0"</f>
        <v>690,0</v>
      </c>
      <c r="T19" s="11" t="str">
        <f>"412,7580"</f>
        <v>412,7580</v>
      </c>
      <c r="U19" s="10" t="s">
        <v>31</v>
      </c>
    </row>
    <row r="20" spans="1:21">
      <c r="A20" s="26" t="s">
        <v>132</v>
      </c>
      <c r="B20" s="25" t="s">
        <v>119</v>
      </c>
      <c r="C20" s="25" t="s">
        <v>120</v>
      </c>
      <c r="D20" s="25" t="s">
        <v>34</v>
      </c>
      <c r="E20" s="25" t="s">
        <v>686</v>
      </c>
      <c r="F20" s="25" t="s">
        <v>629</v>
      </c>
      <c r="G20" s="27" t="s">
        <v>121</v>
      </c>
      <c r="H20" s="27" t="s">
        <v>104</v>
      </c>
      <c r="I20" s="27" t="s">
        <v>36</v>
      </c>
      <c r="J20" s="26"/>
      <c r="K20" s="27" t="s">
        <v>19</v>
      </c>
      <c r="L20" s="28" t="s">
        <v>88</v>
      </c>
      <c r="M20" s="27" t="s">
        <v>88</v>
      </c>
      <c r="N20" s="26"/>
      <c r="O20" s="28" t="s">
        <v>49</v>
      </c>
      <c r="P20" s="27" t="s">
        <v>49</v>
      </c>
      <c r="Q20" s="27" t="s">
        <v>121</v>
      </c>
      <c r="R20" s="26"/>
      <c r="S20" s="26" t="str">
        <f>"615,0"</f>
        <v>615,0</v>
      </c>
      <c r="T20" s="26" t="str">
        <f>"362,0505"</f>
        <v>362,0505</v>
      </c>
      <c r="U20" s="25"/>
    </row>
    <row r="21" spans="1:21">
      <c r="A21" s="26" t="s">
        <v>133</v>
      </c>
      <c r="B21" s="25" t="s">
        <v>122</v>
      </c>
      <c r="C21" s="25" t="s">
        <v>123</v>
      </c>
      <c r="D21" s="25" t="s">
        <v>124</v>
      </c>
      <c r="E21" s="25" t="s">
        <v>686</v>
      </c>
      <c r="F21" s="25" t="s">
        <v>651</v>
      </c>
      <c r="G21" s="27" t="s">
        <v>49</v>
      </c>
      <c r="H21" s="27" t="s">
        <v>100</v>
      </c>
      <c r="I21" s="28" t="s">
        <v>125</v>
      </c>
      <c r="J21" s="26"/>
      <c r="K21" s="27" t="s">
        <v>75</v>
      </c>
      <c r="L21" s="26"/>
      <c r="M21" s="26"/>
      <c r="N21" s="26"/>
      <c r="O21" s="27" t="s">
        <v>121</v>
      </c>
      <c r="P21" s="27" t="s">
        <v>35</v>
      </c>
      <c r="Q21" s="28" t="s">
        <v>126</v>
      </c>
      <c r="R21" s="26"/>
      <c r="S21" s="26" t="str">
        <f>"487,5"</f>
        <v>487,5</v>
      </c>
      <c r="T21" s="26" t="str">
        <f>"288,7950"</f>
        <v>288,7950</v>
      </c>
      <c r="U21" s="25" t="s">
        <v>79</v>
      </c>
    </row>
    <row r="22" spans="1:21">
      <c r="A22" s="13" t="s">
        <v>64</v>
      </c>
      <c r="B22" s="12" t="s">
        <v>119</v>
      </c>
      <c r="C22" s="12" t="s">
        <v>127</v>
      </c>
      <c r="D22" s="12" t="s">
        <v>34</v>
      </c>
      <c r="E22" s="12" t="s">
        <v>688</v>
      </c>
      <c r="F22" s="12" t="s">
        <v>629</v>
      </c>
      <c r="G22" s="22" t="s">
        <v>121</v>
      </c>
      <c r="H22" s="22" t="s">
        <v>104</v>
      </c>
      <c r="I22" s="22" t="s">
        <v>36</v>
      </c>
      <c r="J22" s="13"/>
      <c r="K22" s="22" t="s">
        <v>19</v>
      </c>
      <c r="L22" s="23" t="s">
        <v>88</v>
      </c>
      <c r="M22" s="22" t="s">
        <v>88</v>
      </c>
      <c r="N22" s="13"/>
      <c r="O22" s="23" t="s">
        <v>49</v>
      </c>
      <c r="P22" s="22" t="s">
        <v>49</v>
      </c>
      <c r="Q22" s="22" t="s">
        <v>121</v>
      </c>
      <c r="R22" s="13"/>
      <c r="S22" s="13" t="str">
        <f>"615,0"</f>
        <v>615,0</v>
      </c>
      <c r="T22" s="13" t="str">
        <f>"383,7735"</f>
        <v>383,7735</v>
      </c>
      <c r="U22" s="12"/>
    </row>
    <row r="23" spans="1:21">
      <c r="B23" s="6" t="s">
        <v>65</v>
      </c>
    </row>
  </sheetData>
  <mergeCells count="18">
    <mergeCell ref="A8:R8"/>
    <mergeCell ref="A12:R12"/>
    <mergeCell ref="A15:R15"/>
    <mergeCell ref="A18:R1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>
    <pageSetUpPr fitToPage="1"/>
  </sheetPr>
  <dimension ref="A1:U15"/>
  <sheetViews>
    <sheetView workbookViewId="0">
      <selection sqref="A1:U2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2.8320312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7" width="5.5" style="7" customWidth="1"/>
    <col min="18" max="18" width="4.83203125" style="7" customWidth="1"/>
    <col min="19" max="19" width="7.83203125" style="30" bestFit="1" customWidth="1"/>
    <col min="20" max="20" width="8.5" style="7" bestFit="1" customWidth="1"/>
    <col min="21" max="21" width="20.83203125" style="6" bestFit="1" customWidth="1"/>
    <col min="22" max="16384" width="9.1640625" style="3"/>
  </cols>
  <sheetData>
    <row r="1" spans="1:21" s="2" customFormat="1" ht="29" customHeight="1">
      <c r="A1" s="59" t="s">
        <v>643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</row>
    <row r="2" spans="1:21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</row>
    <row r="3" spans="1:21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7</v>
      </c>
      <c r="H3" s="71"/>
      <c r="I3" s="71"/>
      <c r="J3" s="71"/>
      <c r="K3" s="71" t="s">
        <v>8</v>
      </c>
      <c r="L3" s="71"/>
      <c r="M3" s="71"/>
      <c r="N3" s="71"/>
      <c r="O3" s="71" t="s">
        <v>9</v>
      </c>
      <c r="P3" s="71"/>
      <c r="Q3" s="71"/>
      <c r="R3" s="71"/>
      <c r="S3" s="72" t="s">
        <v>1</v>
      </c>
      <c r="T3" s="71" t="s">
        <v>3</v>
      </c>
      <c r="U3" s="74" t="s">
        <v>2</v>
      </c>
    </row>
    <row r="4" spans="1:21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70"/>
      <c r="U4" s="75"/>
    </row>
    <row r="5" spans="1:21" ht="16">
      <c r="A5" s="76" t="s">
        <v>10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9" t="s">
        <v>64</v>
      </c>
      <c r="B6" s="8" t="s">
        <v>11</v>
      </c>
      <c r="C6" s="8" t="s">
        <v>12</v>
      </c>
      <c r="D6" s="8" t="s">
        <v>13</v>
      </c>
      <c r="E6" s="8" t="s">
        <v>686</v>
      </c>
      <c r="F6" s="8" t="s">
        <v>629</v>
      </c>
      <c r="G6" s="19" t="s">
        <v>14</v>
      </c>
      <c r="H6" s="19" t="s">
        <v>15</v>
      </c>
      <c r="I6" s="19" t="s">
        <v>16</v>
      </c>
      <c r="J6" s="9"/>
      <c r="K6" s="19" t="s">
        <v>17</v>
      </c>
      <c r="L6" s="19" t="s">
        <v>18</v>
      </c>
      <c r="M6" s="19" t="s">
        <v>19</v>
      </c>
      <c r="N6" s="9"/>
      <c r="O6" s="19" t="s">
        <v>20</v>
      </c>
      <c r="P6" s="19" t="s">
        <v>21</v>
      </c>
      <c r="Q6" s="20" t="s">
        <v>22</v>
      </c>
      <c r="R6" s="9"/>
      <c r="S6" s="31" t="str">
        <f>"700,0"</f>
        <v>700,0</v>
      </c>
      <c r="T6" s="9" t="str">
        <f>"426,7200"</f>
        <v>426,7200</v>
      </c>
      <c r="U6" s="8" t="s">
        <v>23</v>
      </c>
    </row>
    <row r="7" spans="1:21">
      <c r="B7" s="6" t="s">
        <v>65</v>
      </c>
    </row>
    <row r="8" spans="1:21" ht="16">
      <c r="A8" s="80" t="s">
        <v>24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21">
      <c r="A9" s="11" t="s">
        <v>66</v>
      </c>
      <c r="B9" s="10" t="s">
        <v>25</v>
      </c>
      <c r="C9" s="10" t="s">
        <v>26</v>
      </c>
      <c r="D9" s="10" t="s">
        <v>27</v>
      </c>
      <c r="E9" s="10" t="s">
        <v>686</v>
      </c>
      <c r="F9" s="10" t="s">
        <v>93</v>
      </c>
      <c r="G9" s="21" t="s">
        <v>28</v>
      </c>
      <c r="H9" s="21" t="s">
        <v>29</v>
      </c>
      <c r="I9" s="21" t="s">
        <v>29</v>
      </c>
      <c r="J9" s="11"/>
      <c r="K9" s="21"/>
      <c r="L9" s="11"/>
      <c r="M9" s="11"/>
      <c r="N9" s="11"/>
      <c r="O9" s="21"/>
      <c r="P9" s="11"/>
      <c r="Q9" s="11"/>
      <c r="R9" s="11"/>
      <c r="S9" s="32">
        <v>0</v>
      </c>
      <c r="T9" s="11" t="str">
        <f>"0,0000"</f>
        <v>0,0000</v>
      </c>
      <c r="U9" s="10" t="s">
        <v>31</v>
      </c>
    </row>
    <row r="10" spans="1:21">
      <c r="A10" s="13" t="s">
        <v>64</v>
      </c>
      <c r="B10" s="12" t="s">
        <v>32</v>
      </c>
      <c r="C10" s="12" t="s">
        <v>33</v>
      </c>
      <c r="D10" s="12" t="s">
        <v>34</v>
      </c>
      <c r="E10" s="12" t="s">
        <v>688</v>
      </c>
      <c r="F10" s="12" t="s">
        <v>629</v>
      </c>
      <c r="G10" s="22" t="s">
        <v>35</v>
      </c>
      <c r="H10" s="22" t="s">
        <v>36</v>
      </c>
      <c r="I10" s="23" t="s">
        <v>37</v>
      </c>
      <c r="J10" s="13"/>
      <c r="K10" s="22" t="s">
        <v>38</v>
      </c>
      <c r="L10" s="22" t="s">
        <v>39</v>
      </c>
      <c r="M10" s="22" t="s">
        <v>40</v>
      </c>
      <c r="N10" s="13"/>
      <c r="O10" s="23" t="s">
        <v>14</v>
      </c>
      <c r="P10" s="22" t="s">
        <v>14</v>
      </c>
      <c r="Q10" s="22" t="s">
        <v>41</v>
      </c>
      <c r="R10" s="13"/>
      <c r="S10" s="33" t="str">
        <f>"655,0"</f>
        <v>655,0</v>
      </c>
      <c r="T10" s="13" t="str">
        <f>"390,9969"</f>
        <v>390,9969</v>
      </c>
      <c r="U10" s="12" t="s">
        <v>23</v>
      </c>
    </row>
    <row r="11" spans="1:21">
      <c r="B11" s="6" t="s">
        <v>65</v>
      </c>
    </row>
    <row r="12" spans="1:21" ht="16">
      <c r="A12" s="80" t="s">
        <v>42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21">
      <c r="A13" s="11" t="s">
        <v>64</v>
      </c>
      <c r="B13" s="10" t="s">
        <v>43</v>
      </c>
      <c r="C13" s="10" t="s">
        <v>44</v>
      </c>
      <c r="D13" s="10" t="s">
        <v>45</v>
      </c>
      <c r="E13" s="10" t="s">
        <v>686</v>
      </c>
      <c r="F13" s="10" t="s">
        <v>659</v>
      </c>
      <c r="G13" s="21" t="s">
        <v>46</v>
      </c>
      <c r="H13" s="24" t="s">
        <v>47</v>
      </c>
      <c r="I13" s="24" t="s">
        <v>29</v>
      </c>
      <c r="J13" s="11"/>
      <c r="K13" s="24" t="s">
        <v>48</v>
      </c>
      <c r="L13" s="24" t="s">
        <v>49</v>
      </c>
      <c r="M13" s="24" t="s">
        <v>50</v>
      </c>
      <c r="N13" s="11"/>
      <c r="O13" s="24" t="s">
        <v>28</v>
      </c>
      <c r="P13" s="24" t="s">
        <v>51</v>
      </c>
      <c r="Q13" s="24" t="s">
        <v>29</v>
      </c>
      <c r="R13" s="11"/>
      <c r="S13" s="32" t="str">
        <f>"805,0"</f>
        <v>805,0</v>
      </c>
      <c r="T13" s="11" t="str">
        <f>"459,2525"</f>
        <v>459,2525</v>
      </c>
      <c r="U13" s="10" t="s">
        <v>658</v>
      </c>
    </row>
    <row r="14" spans="1:21">
      <c r="A14" s="13" t="s">
        <v>64</v>
      </c>
      <c r="B14" s="12" t="s">
        <v>43</v>
      </c>
      <c r="C14" s="12" t="s">
        <v>52</v>
      </c>
      <c r="D14" s="12" t="s">
        <v>45</v>
      </c>
      <c r="E14" s="12" t="s">
        <v>688</v>
      </c>
      <c r="F14" s="12" t="s">
        <v>659</v>
      </c>
      <c r="G14" s="23" t="s">
        <v>46</v>
      </c>
      <c r="H14" s="22" t="s">
        <v>47</v>
      </c>
      <c r="I14" s="22" t="s">
        <v>29</v>
      </c>
      <c r="J14" s="13"/>
      <c r="K14" s="22" t="s">
        <v>48</v>
      </c>
      <c r="L14" s="22" t="s">
        <v>49</v>
      </c>
      <c r="M14" s="22" t="s">
        <v>50</v>
      </c>
      <c r="N14" s="13"/>
      <c r="O14" s="22" t="s">
        <v>28</v>
      </c>
      <c r="P14" s="22" t="s">
        <v>51</v>
      </c>
      <c r="Q14" s="22" t="s">
        <v>29</v>
      </c>
      <c r="R14" s="13"/>
      <c r="S14" s="33" t="str">
        <f>"805,0"</f>
        <v>805,0</v>
      </c>
      <c r="T14" s="13" t="str">
        <f>"465,6820"</f>
        <v>465,6820</v>
      </c>
      <c r="U14" s="12" t="s">
        <v>658</v>
      </c>
    </row>
    <row r="15" spans="1:21">
      <c r="B15" s="6" t="s">
        <v>65</v>
      </c>
    </row>
  </sheetData>
  <mergeCells count="16">
    <mergeCell ref="A5:R5"/>
    <mergeCell ref="A8:R8"/>
    <mergeCell ref="A12:R12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Q35"/>
  <sheetViews>
    <sheetView workbookViewId="0">
      <selection activeCell="E35" sqref="E35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9.1640625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5" width="7.83203125" style="7" bestFit="1" customWidth="1"/>
    <col min="16" max="16" width="8.5" style="7" bestFit="1" customWidth="1"/>
    <col min="17" max="17" width="20.6640625" style="6" customWidth="1"/>
    <col min="18" max="16384" width="9.1640625" style="3"/>
  </cols>
  <sheetData>
    <row r="1" spans="1:17" s="2" customFormat="1" ht="29" customHeight="1">
      <c r="A1" s="59" t="s">
        <v>630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8</v>
      </c>
      <c r="H3" s="71"/>
      <c r="I3" s="71"/>
      <c r="J3" s="71"/>
      <c r="K3" s="71" t="s">
        <v>9</v>
      </c>
      <c r="L3" s="71"/>
      <c r="M3" s="71"/>
      <c r="N3" s="71"/>
      <c r="O3" s="71" t="s">
        <v>1</v>
      </c>
      <c r="P3" s="71" t="s">
        <v>3</v>
      </c>
      <c r="Q3" s="74" t="s">
        <v>2</v>
      </c>
    </row>
    <row r="4" spans="1:17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0"/>
      <c r="P4" s="70"/>
      <c r="Q4" s="75"/>
    </row>
    <row r="5" spans="1:17" ht="16">
      <c r="A5" s="76" t="s">
        <v>134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7">
      <c r="A6" s="9" t="s">
        <v>64</v>
      </c>
      <c r="B6" s="8" t="s">
        <v>249</v>
      </c>
      <c r="C6" s="8" t="s">
        <v>250</v>
      </c>
      <c r="D6" s="8" t="s">
        <v>251</v>
      </c>
      <c r="E6" s="8" t="s">
        <v>686</v>
      </c>
      <c r="F6" s="8" t="s">
        <v>178</v>
      </c>
      <c r="G6" s="19" t="s">
        <v>75</v>
      </c>
      <c r="H6" s="19" t="s">
        <v>253</v>
      </c>
      <c r="I6" s="20" t="s">
        <v>254</v>
      </c>
      <c r="J6" s="9"/>
      <c r="K6" s="19" t="s">
        <v>231</v>
      </c>
      <c r="L6" s="19" t="s">
        <v>84</v>
      </c>
      <c r="M6" s="19" t="s">
        <v>85</v>
      </c>
      <c r="N6" s="9"/>
      <c r="O6" s="9" t="str">
        <f>"210,0"</f>
        <v>210,0</v>
      </c>
      <c r="P6" s="9" t="str">
        <f>"262,1850"</f>
        <v>262,1850</v>
      </c>
      <c r="Q6" s="8" t="s">
        <v>23</v>
      </c>
    </row>
    <row r="7" spans="1:17">
      <c r="B7" s="6" t="s">
        <v>65</v>
      </c>
    </row>
    <row r="8" spans="1:17" ht="16">
      <c r="A8" s="80" t="s">
        <v>402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7">
      <c r="A9" s="9" t="s">
        <v>64</v>
      </c>
      <c r="B9" s="8" t="s">
        <v>599</v>
      </c>
      <c r="C9" s="8" t="s">
        <v>600</v>
      </c>
      <c r="D9" s="8" t="s">
        <v>601</v>
      </c>
      <c r="E9" s="8" t="s">
        <v>686</v>
      </c>
      <c r="F9" s="8" t="s">
        <v>602</v>
      </c>
      <c r="G9" s="19" t="s">
        <v>603</v>
      </c>
      <c r="H9" s="19" t="s">
        <v>604</v>
      </c>
      <c r="I9" s="19" t="s">
        <v>259</v>
      </c>
      <c r="J9" s="9"/>
      <c r="K9" s="19" t="s">
        <v>252</v>
      </c>
      <c r="L9" s="19" t="s">
        <v>145</v>
      </c>
      <c r="M9" s="20" t="s">
        <v>72</v>
      </c>
      <c r="N9" s="9"/>
      <c r="O9" s="9" t="str">
        <f>"150,0"</f>
        <v>150,0</v>
      </c>
      <c r="P9" s="9" t="str">
        <f>"156,8250"</f>
        <v>156,8250</v>
      </c>
      <c r="Q9" s="8" t="s">
        <v>79</v>
      </c>
    </row>
    <row r="10" spans="1:17">
      <c r="B10" s="6" t="s">
        <v>65</v>
      </c>
    </row>
    <row r="11" spans="1:17" ht="16">
      <c r="A11" s="80" t="s">
        <v>402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7">
      <c r="A12" s="9" t="s">
        <v>64</v>
      </c>
      <c r="B12" s="8" t="s">
        <v>605</v>
      </c>
      <c r="C12" s="8" t="s">
        <v>606</v>
      </c>
      <c r="D12" s="8" t="s">
        <v>607</v>
      </c>
      <c r="E12" s="8" t="s">
        <v>687</v>
      </c>
      <c r="F12" s="8" t="s">
        <v>93</v>
      </c>
      <c r="G12" s="19" t="s">
        <v>139</v>
      </c>
      <c r="H12" s="20" t="s">
        <v>86</v>
      </c>
      <c r="I12" s="20" t="s">
        <v>264</v>
      </c>
      <c r="J12" s="9"/>
      <c r="K12" s="19" t="s">
        <v>151</v>
      </c>
      <c r="L12" s="19" t="s">
        <v>39</v>
      </c>
      <c r="M12" s="20" t="s">
        <v>19</v>
      </c>
      <c r="N12" s="9"/>
      <c r="O12" s="9" t="str">
        <f>"245,0"</f>
        <v>245,0</v>
      </c>
      <c r="P12" s="9" t="str">
        <f>"198,1805"</f>
        <v>198,1805</v>
      </c>
      <c r="Q12" s="8" t="s">
        <v>31</v>
      </c>
    </row>
    <row r="13" spans="1:17">
      <c r="B13" s="6" t="s">
        <v>65</v>
      </c>
    </row>
    <row r="14" spans="1:17" ht="16">
      <c r="A14" s="80" t="s">
        <v>146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</row>
    <row r="15" spans="1:17">
      <c r="A15" s="9" t="s">
        <v>64</v>
      </c>
      <c r="B15" s="8" t="s">
        <v>437</v>
      </c>
      <c r="C15" s="8" t="s">
        <v>438</v>
      </c>
      <c r="D15" s="8" t="s">
        <v>159</v>
      </c>
      <c r="E15" s="8" t="s">
        <v>686</v>
      </c>
      <c r="F15" s="8" t="s">
        <v>108</v>
      </c>
      <c r="G15" s="19" t="s">
        <v>145</v>
      </c>
      <c r="H15" s="20" t="s">
        <v>72</v>
      </c>
      <c r="I15" s="20" t="s">
        <v>72</v>
      </c>
      <c r="J15" s="9"/>
      <c r="K15" s="19" t="s">
        <v>38</v>
      </c>
      <c r="L15" s="19" t="s">
        <v>17</v>
      </c>
      <c r="M15" s="19" t="s">
        <v>19</v>
      </c>
      <c r="N15" s="9"/>
      <c r="O15" s="9" t="str">
        <f>"275,0"</f>
        <v>275,0</v>
      </c>
      <c r="P15" s="9" t="str">
        <f>"199,1550"</f>
        <v>199,1550</v>
      </c>
      <c r="Q15" s="8"/>
    </row>
    <row r="16" spans="1:17">
      <c r="B16" s="6" t="s">
        <v>65</v>
      </c>
    </row>
    <row r="17" spans="1:17" ht="16">
      <c r="A17" s="80" t="s">
        <v>80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7">
      <c r="A18" s="9" t="s">
        <v>64</v>
      </c>
      <c r="B18" s="8" t="s">
        <v>608</v>
      </c>
      <c r="C18" s="8" t="s">
        <v>609</v>
      </c>
      <c r="D18" s="8" t="s">
        <v>610</v>
      </c>
      <c r="E18" s="8" t="s">
        <v>686</v>
      </c>
      <c r="F18" s="8" t="s">
        <v>178</v>
      </c>
      <c r="G18" s="19" t="s">
        <v>139</v>
      </c>
      <c r="H18" s="19" t="s">
        <v>86</v>
      </c>
      <c r="I18" s="19" t="s">
        <v>143</v>
      </c>
      <c r="J18" s="9"/>
      <c r="K18" s="20" t="s">
        <v>19</v>
      </c>
      <c r="L18" s="19" t="s">
        <v>19</v>
      </c>
      <c r="M18" s="20" t="s">
        <v>88</v>
      </c>
      <c r="N18" s="9"/>
      <c r="O18" s="9" t="str">
        <f>"260,0"</f>
        <v>260,0</v>
      </c>
      <c r="P18" s="9" t="str">
        <f>"176,8000"</f>
        <v>176,8000</v>
      </c>
      <c r="Q18" s="8"/>
    </row>
    <row r="19" spans="1:17">
      <c r="B19" s="6" t="s">
        <v>65</v>
      </c>
    </row>
    <row r="20" spans="1:17" ht="16">
      <c r="A20" s="80" t="s">
        <v>94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</row>
    <row r="21" spans="1:17">
      <c r="A21" s="11" t="s">
        <v>64</v>
      </c>
      <c r="B21" s="10" t="s">
        <v>611</v>
      </c>
      <c r="C21" s="10" t="s">
        <v>612</v>
      </c>
      <c r="D21" s="10" t="s">
        <v>373</v>
      </c>
      <c r="E21" s="10" t="s">
        <v>689</v>
      </c>
      <c r="F21" s="10" t="s">
        <v>178</v>
      </c>
      <c r="G21" s="24" t="s">
        <v>138</v>
      </c>
      <c r="H21" s="24" t="s">
        <v>139</v>
      </c>
      <c r="I21" s="24" t="s">
        <v>86</v>
      </c>
      <c r="J21" s="11"/>
      <c r="K21" s="24" t="s">
        <v>72</v>
      </c>
      <c r="L21" s="24" t="s">
        <v>551</v>
      </c>
      <c r="M21" s="24" t="s">
        <v>115</v>
      </c>
      <c r="N21" s="11"/>
      <c r="O21" s="11" t="str">
        <f>"225,0"</f>
        <v>225,0</v>
      </c>
      <c r="P21" s="11" t="str">
        <f>"143,6400"</f>
        <v>143,6400</v>
      </c>
      <c r="Q21" s="10" t="s">
        <v>511</v>
      </c>
    </row>
    <row r="22" spans="1:17">
      <c r="A22" s="26" t="s">
        <v>132</v>
      </c>
      <c r="B22" s="25" t="s">
        <v>568</v>
      </c>
      <c r="C22" s="25" t="s">
        <v>569</v>
      </c>
      <c r="D22" s="25" t="s">
        <v>570</v>
      </c>
      <c r="E22" s="25" t="s">
        <v>689</v>
      </c>
      <c r="F22" s="25" t="s">
        <v>629</v>
      </c>
      <c r="G22" s="27" t="s">
        <v>74</v>
      </c>
      <c r="H22" s="27" t="s">
        <v>266</v>
      </c>
      <c r="I22" s="28" t="s">
        <v>253</v>
      </c>
      <c r="J22" s="26"/>
      <c r="K22" s="27" t="s">
        <v>231</v>
      </c>
      <c r="L22" s="27" t="s">
        <v>84</v>
      </c>
      <c r="M22" s="28" t="s">
        <v>102</v>
      </c>
      <c r="N22" s="26"/>
      <c r="O22" s="26" t="str">
        <f>"202,5"</f>
        <v>202,5</v>
      </c>
      <c r="P22" s="26" t="str">
        <f>"129,5595"</f>
        <v>129,5595</v>
      </c>
      <c r="Q22" s="25" t="s">
        <v>332</v>
      </c>
    </row>
    <row r="23" spans="1:17">
      <c r="A23" s="13" t="s">
        <v>64</v>
      </c>
      <c r="B23" s="12" t="s">
        <v>329</v>
      </c>
      <c r="C23" s="12" t="s">
        <v>330</v>
      </c>
      <c r="D23" s="12" t="s">
        <v>331</v>
      </c>
      <c r="E23" s="12" t="s">
        <v>686</v>
      </c>
      <c r="F23" s="12" t="s">
        <v>629</v>
      </c>
      <c r="G23" s="22" t="s">
        <v>110</v>
      </c>
      <c r="H23" s="23" t="s">
        <v>231</v>
      </c>
      <c r="I23" s="13"/>
      <c r="J23" s="13"/>
      <c r="K23" s="23" t="s">
        <v>89</v>
      </c>
      <c r="L23" s="22" t="s">
        <v>50</v>
      </c>
      <c r="M23" s="23" t="s">
        <v>121</v>
      </c>
      <c r="N23" s="13"/>
      <c r="O23" s="13" t="str">
        <f>"330,0"</f>
        <v>330,0</v>
      </c>
      <c r="P23" s="13" t="str">
        <f>"210,8040"</f>
        <v>210,8040</v>
      </c>
      <c r="Q23" s="12" t="s">
        <v>332</v>
      </c>
    </row>
    <row r="24" spans="1:17">
      <c r="B24" s="6" t="s">
        <v>65</v>
      </c>
    </row>
    <row r="25" spans="1:17" ht="16">
      <c r="A25" s="80" t="s">
        <v>10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spans="1:17">
      <c r="A26" s="11" t="s">
        <v>64</v>
      </c>
      <c r="B26" s="10" t="s">
        <v>337</v>
      </c>
      <c r="C26" s="10" t="s">
        <v>338</v>
      </c>
      <c r="D26" s="10" t="s">
        <v>339</v>
      </c>
      <c r="E26" s="10" t="s">
        <v>686</v>
      </c>
      <c r="F26" s="10" t="s">
        <v>629</v>
      </c>
      <c r="G26" s="24" t="s">
        <v>231</v>
      </c>
      <c r="H26" s="21" t="s">
        <v>115</v>
      </c>
      <c r="I26" s="24" t="s">
        <v>115</v>
      </c>
      <c r="J26" s="11"/>
      <c r="K26" s="24" t="s">
        <v>121</v>
      </c>
      <c r="L26" s="24" t="s">
        <v>162</v>
      </c>
      <c r="M26" s="21" t="s">
        <v>116</v>
      </c>
      <c r="N26" s="11"/>
      <c r="O26" s="11" t="str">
        <f>"365,0"</f>
        <v>365,0</v>
      </c>
      <c r="P26" s="11" t="str">
        <f>"223,7815"</f>
        <v>223,7815</v>
      </c>
      <c r="Q26" s="10" t="s">
        <v>340</v>
      </c>
    </row>
    <row r="27" spans="1:17">
      <c r="A27" s="13" t="s">
        <v>64</v>
      </c>
      <c r="B27" s="12" t="s">
        <v>613</v>
      </c>
      <c r="C27" s="12" t="s">
        <v>614</v>
      </c>
      <c r="D27" s="12" t="s">
        <v>210</v>
      </c>
      <c r="E27" s="12" t="s">
        <v>688</v>
      </c>
      <c r="F27" s="12" t="s">
        <v>93</v>
      </c>
      <c r="G27" s="22" t="s">
        <v>17</v>
      </c>
      <c r="H27" s="22" t="s">
        <v>40</v>
      </c>
      <c r="I27" s="23" t="s">
        <v>153</v>
      </c>
      <c r="J27" s="13"/>
      <c r="K27" s="22" t="s">
        <v>116</v>
      </c>
      <c r="L27" s="22" t="s">
        <v>20</v>
      </c>
      <c r="M27" s="23" t="s">
        <v>386</v>
      </c>
      <c r="N27" s="13"/>
      <c r="O27" s="13" t="str">
        <f>"427,5"</f>
        <v>427,5</v>
      </c>
      <c r="P27" s="13" t="str">
        <f>"262,5515"</f>
        <v>262,5515</v>
      </c>
      <c r="Q27" s="12" t="s">
        <v>31</v>
      </c>
    </row>
    <row r="28" spans="1:17">
      <c r="B28" s="6" t="s">
        <v>65</v>
      </c>
    </row>
    <row r="29" spans="1:17" ht="16">
      <c r="A29" s="80" t="s">
        <v>24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</row>
    <row r="30" spans="1:17">
      <c r="A30" s="11" t="s">
        <v>64</v>
      </c>
      <c r="B30" s="10" t="s">
        <v>119</v>
      </c>
      <c r="C30" s="10" t="s">
        <v>120</v>
      </c>
      <c r="D30" s="10" t="s">
        <v>34</v>
      </c>
      <c r="E30" s="10" t="s">
        <v>686</v>
      </c>
      <c r="F30" s="10" t="s">
        <v>629</v>
      </c>
      <c r="G30" s="24" t="s">
        <v>19</v>
      </c>
      <c r="H30" s="21" t="s">
        <v>88</v>
      </c>
      <c r="I30" s="24" t="s">
        <v>88</v>
      </c>
      <c r="J30" s="11"/>
      <c r="K30" s="21" t="s">
        <v>49</v>
      </c>
      <c r="L30" s="24" t="s">
        <v>49</v>
      </c>
      <c r="M30" s="24" t="s">
        <v>121</v>
      </c>
      <c r="N30" s="11"/>
      <c r="O30" s="11" t="str">
        <f>"380,0"</f>
        <v>380,0</v>
      </c>
      <c r="P30" s="11" t="str">
        <f>"223,7060"</f>
        <v>223,7060</v>
      </c>
      <c r="Q30" s="10"/>
    </row>
    <row r="31" spans="1:17">
      <c r="A31" s="13" t="s">
        <v>64</v>
      </c>
      <c r="B31" s="12" t="s">
        <v>119</v>
      </c>
      <c r="C31" s="12" t="s">
        <v>127</v>
      </c>
      <c r="D31" s="12" t="s">
        <v>34</v>
      </c>
      <c r="E31" s="12" t="s">
        <v>688</v>
      </c>
      <c r="F31" s="12" t="s">
        <v>629</v>
      </c>
      <c r="G31" s="22" t="s">
        <v>19</v>
      </c>
      <c r="H31" s="23" t="s">
        <v>88</v>
      </c>
      <c r="I31" s="22" t="s">
        <v>88</v>
      </c>
      <c r="J31" s="13"/>
      <c r="K31" s="23" t="s">
        <v>49</v>
      </c>
      <c r="L31" s="22" t="s">
        <v>49</v>
      </c>
      <c r="M31" s="22" t="s">
        <v>121</v>
      </c>
      <c r="N31" s="13"/>
      <c r="O31" s="13" t="str">
        <f>"380,0"</f>
        <v>380,0</v>
      </c>
      <c r="P31" s="13" t="str">
        <f>"237,1284"</f>
        <v>237,1284</v>
      </c>
      <c r="Q31" s="12"/>
    </row>
    <row r="32" spans="1:17">
      <c r="B32" s="6" t="s">
        <v>65</v>
      </c>
    </row>
    <row r="33" spans="1:17" ht="16">
      <c r="A33" s="80" t="s">
        <v>42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7">
      <c r="A34" s="9" t="s">
        <v>64</v>
      </c>
      <c r="B34" s="8" t="s">
        <v>343</v>
      </c>
      <c r="C34" s="8" t="s">
        <v>344</v>
      </c>
      <c r="D34" s="8" t="s">
        <v>345</v>
      </c>
      <c r="E34" s="8" t="s">
        <v>686</v>
      </c>
      <c r="F34" s="8" t="s">
        <v>160</v>
      </c>
      <c r="G34" s="19" t="s">
        <v>18</v>
      </c>
      <c r="H34" s="19" t="s">
        <v>88</v>
      </c>
      <c r="I34" s="19" t="s">
        <v>328</v>
      </c>
      <c r="J34" s="9"/>
      <c r="K34" s="19" t="s">
        <v>116</v>
      </c>
      <c r="L34" s="19" t="s">
        <v>20</v>
      </c>
      <c r="M34" s="19" t="s">
        <v>46</v>
      </c>
      <c r="N34" s="9"/>
      <c r="O34" s="9" t="str">
        <f>"447,5"</f>
        <v>447,5</v>
      </c>
      <c r="P34" s="9" t="str">
        <f>"258,8787"</f>
        <v>258,8787</v>
      </c>
      <c r="Q34" s="8" t="s">
        <v>23</v>
      </c>
    </row>
    <row r="35" spans="1:17">
      <c r="B35" s="6" t="s">
        <v>65</v>
      </c>
    </row>
  </sheetData>
  <mergeCells count="21">
    <mergeCell ref="A29:N29"/>
    <mergeCell ref="A33:N33"/>
    <mergeCell ref="B3:B4"/>
    <mergeCell ref="A8:N8"/>
    <mergeCell ref="A11:N11"/>
    <mergeCell ref="A14:N14"/>
    <mergeCell ref="A17:N17"/>
    <mergeCell ref="A20:N20"/>
    <mergeCell ref="A25:N25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R35"/>
  <sheetViews>
    <sheetView workbookViewId="0">
      <selection activeCell="E26" sqref="E26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4" style="6" bestFit="1" customWidth="1"/>
    <col min="7" max="9" width="5.5" style="7" customWidth="1"/>
    <col min="10" max="10" width="4.83203125" style="7" customWidth="1"/>
    <col min="11" max="13" width="5.5" style="7" customWidth="1"/>
    <col min="14" max="14" width="4.83203125" style="7" customWidth="1"/>
    <col min="15" max="15" width="7.83203125" style="7" bestFit="1" customWidth="1"/>
    <col min="16" max="16" width="8.5" style="7" bestFit="1" customWidth="1"/>
    <col min="17" max="17" width="17" style="6" bestFit="1" customWidth="1"/>
    <col min="18" max="16384" width="9.1640625" style="3"/>
  </cols>
  <sheetData>
    <row r="1" spans="1:17" s="2" customFormat="1" ht="29" customHeight="1">
      <c r="A1" s="59" t="s">
        <v>631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8</v>
      </c>
      <c r="H3" s="71"/>
      <c r="I3" s="71"/>
      <c r="J3" s="71"/>
      <c r="K3" s="71" t="s">
        <v>9</v>
      </c>
      <c r="L3" s="71"/>
      <c r="M3" s="71"/>
      <c r="N3" s="71"/>
      <c r="O3" s="71" t="s">
        <v>1</v>
      </c>
      <c r="P3" s="71" t="s">
        <v>3</v>
      </c>
      <c r="Q3" s="74" t="s">
        <v>2</v>
      </c>
    </row>
    <row r="4" spans="1:17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0"/>
      <c r="P4" s="70"/>
      <c r="Q4" s="75"/>
    </row>
    <row r="5" spans="1:17" ht="16">
      <c r="A5" s="76" t="s">
        <v>146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7">
      <c r="A6" s="9" t="s">
        <v>64</v>
      </c>
      <c r="B6" s="8" t="s">
        <v>157</v>
      </c>
      <c r="C6" s="8" t="s">
        <v>158</v>
      </c>
      <c r="D6" s="8" t="s">
        <v>159</v>
      </c>
      <c r="E6" s="8" t="s">
        <v>686</v>
      </c>
      <c r="F6" s="8" t="s">
        <v>160</v>
      </c>
      <c r="G6" s="20" t="s">
        <v>161</v>
      </c>
      <c r="H6" s="19" t="s">
        <v>17</v>
      </c>
      <c r="I6" s="20" t="s">
        <v>39</v>
      </c>
      <c r="J6" s="9"/>
      <c r="K6" s="19" t="s">
        <v>50</v>
      </c>
      <c r="L6" s="19" t="s">
        <v>35</v>
      </c>
      <c r="M6" s="20" t="s">
        <v>162</v>
      </c>
      <c r="N6" s="9"/>
      <c r="O6" s="9" t="str">
        <f>"375,0"</f>
        <v>375,0</v>
      </c>
      <c r="P6" s="9" t="str">
        <f>"271,5750"</f>
        <v>271,5750</v>
      </c>
      <c r="Q6" s="8"/>
    </row>
    <row r="7" spans="1:17">
      <c r="B7" s="6" t="s">
        <v>65</v>
      </c>
    </row>
    <row r="8" spans="1:17" ht="16">
      <c r="A8" s="80" t="s">
        <v>80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7">
      <c r="A9" s="9" t="s">
        <v>64</v>
      </c>
      <c r="B9" s="8" t="s">
        <v>169</v>
      </c>
      <c r="C9" s="8" t="s">
        <v>170</v>
      </c>
      <c r="D9" s="8" t="s">
        <v>171</v>
      </c>
      <c r="E9" s="8" t="s">
        <v>686</v>
      </c>
      <c r="F9" s="8" t="s">
        <v>172</v>
      </c>
      <c r="G9" s="19" t="s">
        <v>88</v>
      </c>
      <c r="H9" s="20" t="s">
        <v>153</v>
      </c>
      <c r="I9" s="9"/>
      <c r="J9" s="9"/>
      <c r="K9" s="19" t="s">
        <v>46</v>
      </c>
      <c r="L9" s="20" t="s">
        <v>118</v>
      </c>
      <c r="M9" s="20" t="s">
        <v>173</v>
      </c>
      <c r="N9" s="9"/>
      <c r="O9" s="9" t="str">
        <f>"440,0"</f>
        <v>440,0</v>
      </c>
      <c r="P9" s="9" t="str">
        <f>"294,7560"</f>
        <v>294,7560</v>
      </c>
      <c r="Q9" s="8" t="s">
        <v>174</v>
      </c>
    </row>
    <row r="10" spans="1:17">
      <c r="B10" s="6" t="s">
        <v>65</v>
      </c>
    </row>
    <row r="11" spans="1:17" ht="16">
      <c r="A11" s="80" t="s">
        <v>94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7">
      <c r="A12" s="11" t="s">
        <v>64</v>
      </c>
      <c r="B12" s="10" t="s">
        <v>183</v>
      </c>
      <c r="C12" s="10" t="s">
        <v>184</v>
      </c>
      <c r="D12" s="10" t="s">
        <v>185</v>
      </c>
      <c r="E12" s="10" t="s">
        <v>686</v>
      </c>
      <c r="F12" s="10" t="s">
        <v>178</v>
      </c>
      <c r="G12" s="24" t="s">
        <v>19</v>
      </c>
      <c r="H12" s="24" t="s">
        <v>153</v>
      </c>
      <c r="I12" s="24" t="s">
        <v>109</v>
      </c>
      <c r="J12" s="11"/>
      <c r="K12" s="24" t="s">
        <v>162</v>
      </c>
      <c r="L12" s="21" t="s">
        <v>15</v>
      </c>
      <c r="M12" s="24" t="s">
        <v>15</v>
      </c>
      <c r="N12" s="11"/>
      <c r="O12" s="11" t="str">
        <f>"435,0"</f>
        <v>435,0</v>
      </c>
      <c r="P12" s="11" t="str">
        <f>"278,0085"</f>
        <v>278,0085</v>
      </c>
      <c r="Q12" s="10" t="s">
        <v>23</v>
      </c>
    </row>
    <row r="13" spans="1:17">
      <c r="A13" s="13" t="s">
        <v>132</v>
      </c>
      <c r="B13" s="12" t="s">
        <v>186</v>
      </c>
      <c r="C13" s="12" t="s">
        <v>187</v>
      </c>
      <c r="D13" s="12" t="s">
        <v>97</v>
      </c>
      <c r="E13" s="12" t="s">
        <v>686</v>
      </c>
      <c r="F13" s="12" t="s">
        <v>108</v>
      </c>
      <c r="G13" s="22" t="s">
        <v>85</v>
      </c>
      <c r="H13" s="23" t="s">
        <v>17</v>
      </c>
      <c r="I13" s="23" t="s">
        <v>17</v>
      </c>
      <c r="J13" s="13"/>
      <c r="K13" s="22" t="s">
        <v>162</v>
      </c>
      <c r="L13" s="22" t="s">
        <v>14</v>
      </c>
      <c r="M13" s="22" t="s">
        <v>168</v>
      </c>
      <c r="N13" s="13"/>
      <c r="O13" s="13" t="str">
        <f>"395,0"</f>
        <v>395,0</v>
      </c>
      <c r="P13" s="13" t="str">
        <f>"255,6045"</f>
        <v>255,6045</v>
      </c>
      <c r="Q13" s="12" t="s">
        <v>654</v>
      </c>
    </row>
    <row r="14" spans="1:17">
      <c r="B14" s="6" t="s">
        <v>65</v>
      </c>
    </row>
    <row r="15" spans="1:17" ht="16">
      <c r="A15" s="80" t="s">
        <v>10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</row>
    <row r="16" spans="1:17">
      <c r="A16" s="9" t="s">
        <v>64</v>
      </c>
      <c r="B16" s="8" t="s">
        <v>205</v>
      </c>
      <c r="C16" s="8" t="s">
        <v>206</v>
      </c>
      <c r="D16" s="8" t="s">
        <v>207</v>
      </c>
      <c r="E16" s="8" t="s">
        <v>686</v>
      </c>
      <c r="F16" s="8" t="s">
        <v>178</v>
      </c>
      <c r="G16" s="19" t="s">
        <v>88</v>
      </c>
      <c r="H16" s="19" t="s">
        <v>109</v>
      </c>
      <c r="I16" s="20" t="s">
        <v>111</v>
      </c>
      <c r="J16" s="9"/>
      <c r="K16" s="19" t="s">
        <v>168</v>
      </c>
      <c r="L16" s="19" t="s">
        <v>21</v>
      </c>
      <c r="M16" s="19" t="s">
        <v>22</v>
      </c>
      <c r="N16" s="9"/>
      <c r="O16" s="9" t="str">
        <f>"457,5"</f>
        <v>457,5</v>
      </c>
      <c r="P16" s="9" t="str">
        <f>"278,5260"</f>
        <v>278,5260</v>
      </c>
      <c r="Q16" s="8" t="s">
        <v>23</v>
      </c>
    </row>
    <row r="17" spans="1:18">
      <c r="B17" s="6" t="s">
        <v>65</v>
      </c>
    </row>
    <row r="18" spans="1:18" ht="16">
      <c r="A18" s="80" t="s">
        <v>24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8">
      <c r="A19" s="11" t="s">
        <v>64</v>
      </c>
      <c r="B19" s="10" t="s">
        <v>383</v>
      </c>
      <c r="C19" s="10" t="s">
        <v>384</v>
      </c>
      <c r="D19" s="10" t="s">
        <v>385</v>
      </c>
      <c r="E19" s="10" t="s">
        <v>686</v>
      </c>
      <c r="F19" s="35" t="s">
        <v>650</v>
      </c>
      <c r="G19" s="41" t="s">
        <v>48</v>
      </c>
      <c r="H19" s="41" t="s">
        <v>49</v>
      </c>
      <c r="I19" s="41" t="s">
        <v>50</v>
      </c>
      <c r="J19" s="11"/>
      <c r="K19" s="42" t="s">
        <v>386</v>
      </c>
      <c r="L19" s="42" t="s">
        <v>51</v>
      </c>
      <c r="M19" s="42" t="s">
        <v>29</v>
      </c>
      <c r="N19" s="38"/>
      <c r="O19" s="11" t="str">
        <f>"505,0"</f>
        <v>505,0</v>
      </c>
      <c r="P19" s="11" t="str">
        <f>"297,4450"</f>
        <v>297,4450</v>
      </c>
      <c r="Q19" s="10" t="s">
        <v>23</v>
      </c>
    </row>
    <row r="20" spans="1:18">
      <c r="A20" s="26" t="s">
        <v>132</v>
      </c>
      <c r="B20" s="25" t="s">
        <v>119</v>
      </c>
      <c r="C20" s="25" t="s">
        <v>120</v>
      </c>
      <c r="D20" s="25" t="s">
        <v>34</v>
      </c>
      <c r="E20" s="25" t="s">
        <v>686</v>
      </c>
      <c r="F20" s="36" t="s">
        <v>629</v>
      </c>
      <c r="G20" s="43" t="s">
        <v>19</v>
      </c>
      <c r="H20" s="47" t="s">
        <v>88</v>
      </c>
      <c r="I20" s="43" t="s">
        <v>88</v>
      </c>
      <c r="J20" s="26"/>
      <c r="K20" s="49" t="s">
        <v>49</v>
      </c>
      <c r="L20" s="44" t="s">
        <v>49</v>
      </c>
      <c r="M20" s="44" t="s">
        <v>121</v>
      </c>
      <c r="N20" s="39"/>
      <c r="O20" s="26" t="str">
        <f>"380,0"</f>
        <v>380,0</v>
      </c>
      <c r="P20" s="26" t="str">
        <f>"223,7060"</f>
        <v>223,7060</v>
      </c>
      <c r="Q20" s="25"/>
    </row>
    <row r="21" spans="1:18">
      <c r="A21" s="26" t="s">
        <v>64</v>
      </c>
      <c r="B21" s="25" t="s">
        <v>32</v>
      </c>
      <c r="C21" s="25" t="s">
        <v>33</v>
      </c>
      <c r="D21" s="25" t="s">
        <v>34</v>
      </c>
      <c r="E21" s="25" t="s">
        <v>688</v>
      </c>
      <c r="F21" s="36" t="s">
        <v>629</v>
      </c>
      <c r="G21" s="43" t="s">
        <v>38</v>
      </c>
      <c r="H21" s="43" t="s">
        <v>39</v>
      </c>
      <c r="I21" s="43" t="s">
        <v>40</v>
      </c>
      <c r="J21" s="26"/>
      <c r="K21" s="49" t="s">
        <v>14</v>
      </c>
      <c r="L21" s="44" t="s">
        <v>14</v>
      </c>
      <c r="M21" s="44" t="s">
        <v>41</v>
      </c>
      <c r="N21" s="39"/>
      <c r="O21" s="26" t="str">
        <f>"420,0"</f>
        <v>420,0</v>
      </c>
      <c r="P21" s="26" t="str">
        <f>"250,7156"</f>
        <v>250,7156</v>
      </c>
      <c r="Q21" s="25" t="s">
        <v>23</v>
      </c>
    </row>
    <row r="22" spans="1:18">
      <c r="A22" s="13" t="s">
        <v>132</v>
      </c>
      <c r="B22" s="12" t="s">
        <v>119</v>
      </c>
      <c r="C22" s="12" t="s">
        <v>127</v>
      </c>
      <c r="D22" s="12" t="s">
        <v>34</v>
      </c>
      <c r="E22" s="12" t="s">
        <v>688</v>
      </c>
      <c r="F22" s="37" t="s">
        <v>629</v>
      </c>
      <c r="G22" s="45" t="s">
        <v>19</v>
      </c>
      <c r="H22" s="48" t="s">
        <v>88</v>
      </c>
      <c r="I22" s="45" t="s">
        <v>88</v>
      </c>
      <c r="J22" s="13"/>
      <c r="K22" s="50" t="s">
        <v>49</v>
      </c>
      <c r="L22" s="46" t="s">
        <v>49</v>
      </c>
      <c r="M22" s="46" t="s">
        <v>121</v>
      </c>
      <c r="N22" s="40"/>
      <c r="O22" s="13" t="str">
        <f>"380,0"</f>
        <v>380,0</v>
      </c>
      <c r="P22" s="13" t="str">
        <f>"237,1284"</f>
        <v>237,1284</v>
      </c>
      <c r="Q22" s="12"/>
    </row>
    <row r="23" spans="1:18">
      <c r="B23" s="6" t="s">
        <v>65</v>
      </c>
    </row>
    <row r="24" spans="1:18" ht="16">
      <c r="A24" s="80" t="s">
        <v>392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8">
      <c r="A25" s="9" t="s">
        <v>64</v>
      </c>
      <c r="B25" s="8" t="s">
        <v>588</v>
      </c>
      <c r="C25" s="8" t="s">
        <v>589</v>
      </c>
      <c r="D25" s="8" t="s">
        <v>590</v>
      </c>
      <c r="E25" s="8" t="s">
        <v>686</v>
      </c>
      <c r="F25" s="8" t="s">
        <v>591</v>
      </c>
      <c r="G25" s="19" t="s">
        <v>103</v>
      </c>
      <c r="H25" s="19" t="s">
        <v>162</v>
      </c>
      <c r="I25" s="20" t="s">
        <v>116</v>
      </c>
      <c r="J25" s="9"/>
      <c r="K25" s="19" t="s">
        <v>200</v>
      </c>
      <c r="L25" s="20" t="s">
        <v>193</v>
      </c>
      <c r="M25" s="19" t="s">
        <v>236</v>
      </c>
      <c r="N25" s="9"/>
      <c r="O25" s="9" t="str">
        <f>"560,0"</f>
        <v>560,0</v>
      </c>
      <c r="P25" s="9" t="str">
        <f>"315,7840"</f>
        <v>315,7840</v>
      </c>
      <c r="Q25" s="8"/>
    </row>
    <row r="26" spans="1:18">
      <c r="B26" s="6" t="s">
        <v>65</v>
      </c>
    </row>
    <row r="27" spans="1:18" s="54" customFormat="1">
      <c r="A27" s="51"/>
      <c r="B27" s="51" t="s">
        <v>65</v>
      </c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1"/>
    </row>
    <row r="28" spans="1:18" s="54" customFormat="1">
      <c r="A28" s="51"/>
      <c r="B28" s="51" t="s">
        <v>65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1"/>
    </row>
    <row r="29" spans="1:18" s="54" customFormat="1" ht="18">
      <c r="A29" s="51"/>
      <c r="B29" s="52" t="s">
        <v>53</v>
      </c>
      <c r="C29" s="52"/>
      <c r="D29" s="51"/>
      <c r="E29" s="51"/>
      <c r="F29" s="5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1"/>
    </row>
    <row r="30" spans="1:18" s="54" customFormat="1" ht="16">
      <c r="A30" s="51"/>
      <c r="B30" s="55" t="s">
        <v>54</v>
      </c>
      <c r="C30" s="55"/>
      <c r="D30" s="51"/>
      <c r="E30" s="51"/>
      <c r="F30" s="51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1"/>
    </row>
    <row r="31" spans="1:18" s="54" customFormat="1" ht="14">
      <c r="A31" s="51"/>
      <c r="B31" s="56"/>
      <c r="C31" s="57" t="s">
        <v>55</v>
      </c>
      <c r="D31" s="51"/>
      <c r="E31" s="51"/>
      <c r="F31" s="51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1"/>
    </row>
    <row r="32" spans="1:18" s="54" customFormat="1" ht="14">
      <c r="A32" s="51"/>
      <c r="B32" s="58" t="s">
        <v>56</v>
      </c>
      <c r="C32" s="58" t="s">
        <v>57</v>
      </c>
      <c r="D32" s="58" t="s">
        <v>645</v>
      </c>
      <c r="E32" s="58" t="s">
        <v>59</v>
      </c>
      <c r="F32" s="58" t="s">
        <v>60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1"/>
    </row>
    <row r="33" spans="1:18" s="54" customFormat="1">
      <c r="A33" s="51"/>
      <c r="B33" s="51" t="s">
        <v>588</v>
      </c>
      <c r="C33" s="51" t="s">
        <v>55</v>
      </c>
      <c r="D33" s="53" t="s">
        <v>592</v>
      </c>
      <c r="E33" s="53" t="s">
        <v>593</v>
      </c>
      <c r="F33" s="53" t="s">
        <v>594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1"/>
    </row>
    <row r="34" spans="1:18">
      <c r="B34" s="51" t="s">
        <v>383</v>
      </c>
      <c r="C34" s="51" t="s">
        <v>55</v>
      </c>
      <c r="D34" s="53" t="s">
        <v>63</v>
      </c>
      <c r="E34" s="53" t="s">
        <v>595</v>
      </c>
      <c r="F34" s="53" t="s">
        <v>596</v>
      </c>
    </row>
    <row r="35" spans="1:18">
      <c r="B35" s="51" t="s">
        <v>169</v>
      </c>
      <c r="C35" s="51" t="s">
        <v>55</v>
      </c>
      <c r="D35" s="53" t="s">
        <v>130</v>
      </c>
      <c r="E35" s="53" t="s">
        <v>597</v>
      </c>
      <c r="F35" s="53" t="s">
        <v>598</v>
      </c>
    </row>
  </sheetData>
  <mergeCells count="18">
    <mergeCell ref="A24:N24"/>
    <mergeCell ref="A5:N5"/>
    <mergeCell ref="A8:N8"/>
    <mergeCell ref="A11:N11"/>
    <mergeCell ref="A15:N15"/>
    <mergeCell ref="A18:N18"/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0"/>
  <dimension ref="A1:M76"/>
  <sheetViews>
    <sheetView topLeftCell="A25" workbookViewId="0">
      <selection activeCell="E67" sqref="E67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7" style="6" bestFit="1" customWidth="1"/>
    <col min="7" max="9" width="5.5" style="7" customWidth="1"/>
    <col min="10" max="10" width="4.83203125" style="7" customWidth="1"/>
    <col min="11" max="11" width="10.5" style="30" bestFit="1" customWidth="1"/>
    <col min="12" max="12" width="8.5" style="7" bestFit="1" customWidth="1"/>
    <col min="13" max="13" width="30.5" style="6" bestFit="1" customWidth="1"/>
    <col min="14" max="16384" width="9.1640625" style="3"/>
  </cols>
  <sheetData>
    <row r="1" spans="1:13" s="2" customFormat="1" ht="29" customHeight="1">
      <c r="A1" s="59" t="s">
        <v>637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8</v>
      </c>
      <c r="H3" s="71"/>
      <c r="I3" s="71"/>
      <c r="J3" s="71"/>
      <c r="K3" s="72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3"/>
      <c r="L4" s="70"/>
      <c r="M4" s="75"/>
    </row>
    <row r="5" spans="1:13" ht="16">
      <c r="A5" s="76" t="s">
        <v>134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9" t="s">
        <v>64</v>
      </c>
      <c r="B6" s="8" t="s">
        <v>249</v>
      </c>
      <c r="C6" s="8" t="s">
        <v>250</v>
      </c>
      <c r="D6" s="8" t="s">
        <v>251</v>
      </c>
      <c r="E6" s="8" t="s">
        <v>686</v>
      </c>
      <c r="F6" s="8" t="s">
        <v>178</v>
      </c>
      <c r="G6" s="19" t="s">
        <v>75</v>
      </c>
      <c r="H6" s="19" t="s">
        <v>253</v>
      </c>
      <c r="I6" s="20" t="s">
        <v>254</v>
      </c>
      <c r="J6" s="9"/>
      <c r="K6" s="31" t="str">
        <f>"65,0"</f>
        <v>65,0</v>
      </c>
      <c r="L6" s="9" t="str">
        <f>"81,1525"</f>
        <v>81,1525</v>
      </c>
      <c r="M6" s="8" t="s">
        <v>23</v>
      </c>
    </row>
    <row r="7" spans="1:13">
      <c r="B7" s="6" t="s">
        <v>65</v>
      </c>
    </row>
    <row r="8" spans="1:13" ht="16">
      <c r="A8" s="80" t="s">
        <v>402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9" t="s">
        <v>64</v>
      </c>
      <c r="B9" s="8" t="s">
        <v>403</v>
      </c>
      <c r="C9" s="8" t="s">
        <v>404</v>
      </c>
      <c r="D9" s="8" t="s">
        <v>405</v>
      </c>
      <c r="E9" s="8" t="s">
        <v>686</v>
      </c>
      <c r="F9" s="8" t="s">
        <v>178</v>
      </c>
      <c r="G9" s="19" t="s">
        <v>259</v>
      </c>
      <c r="H9" s="20" t="s">
        <v>406</v>
      </c>
      <c r="I9" s="19" t="s">
        <v>141</v>
      </c>
      <c r="J9" s="9"/>
      <c r="K9" s="31" t="str">
        <f>"45,0"</f>
        <v>45,0</v>
      </c>
      <c r="L9" s="9" t="str">
        <f>"46,1250"</f>
        <v>46,1250</v>
      </c>
      <c r="M9" s="8" t="s">
        <v>23</v>
      </c>
    </row>
    <row r="10" spans="1:13">
      <c r="B10" s="6" t="s">
        <v>65</v>
      </c>
    </row>
    <row r="11" spans="1:13" ht="16">
      <c r="A11" s="80" t="s">
        <v>134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3">
      <c r="A12" s="9" t="s">
        <v>64</v>
      </c>
      <c r="B12" s="8" t="s">
        <v>407</v>
      </c>
      <c r="C12" s="8" t="s">
        <v>408</v>
      </c>
      <c r="D12" s="8" t="s">
        <v>409</v>
      </c>
      <c r="E12" s="8" t="s">
        <v>689</v>
      </c>
      <c r="F12" s="8" t="s">
        <v>410</v>
      </c>
      <c r="G12" s="19" t="s">
        <v>259</v>
      </c>
      <c r="H12" s="19" t="s">
        <v>141</v>
      </c>
      <c r="I12" s="20" t="s">
        <v>142</v>
      </c>
      <c r="J12" s="9"/>
      <c r="K12" s="31" t="str">
        <f>"45,0"</f>
        <v>45,0</v>
      </c>
      <c r="L12" s="9" t="str">
        <f>"51,2190"</f>
        <v>51,2190</v>
      </c>
      <c r="M12" s="8" t="s">
        <v>660</v>
      </c>
    </row>
    <row r="13" spans="1:13">
      <c r="B13" s="6" t="s">
        <v>65</v>
      </c>
    </row>
    <row r="14" spans="1:13" ht="16">
      <c r="A14" s="80" t="s">
        <v>402</v>
      </c>
      <c r="B14" s="80"/>
      <c r="C14" s="80"/>
      <c r="D14" s="80"/>
      <c r="E14" s="80"/>
      <c r="F14" s="80"/>
      <c r="G14" s="80"/>
      <c r="H14" s="80"/>
      <c r="I14" s="80"/>
      <c r="J14" s="80"/>
    </row>
    <row r="15" spans="1:13">
      <c r="A15" s="11" t="s">
        <v>64</v>
      </c>
      <c r="B15" s="10" t="s">
        <v>411</v>
      </c>
      <c r="C15" s="10" t="s">
        <v>412</v>
      </c>
      <c r="D15" s="10" t="s">
        <v>413</v>
      </c>
      <c r="E15" s="10" t="s">
        <v>690</v>
      </c>
      <c r="F15" s="10" t="s">
        <v>659</v>
      </c>
      <c r="G15" s="24" t="s">
        <v>143</v>
      </c>
      <c r="H15" s="24" t="s">
        <v>414</v>
      </c>
      <c r="I15" s="21" t="s">
        <v>71</v>
      </c>
      <c r="J15" s="11"/>
      <c r="K15" s="32" t="str">
        <f>"102,5"</f>
        <v>102,5</v>
      </c>
      <c r="L15" s="11" t="str">
        <f>"80,0833"</f>
        <v>80,0833</v>
      </c>
      <c r="M15" s="10" t="s">
        <v>415</v>
      </c>
    </row>
    <row r="16" spans="1:13">
      <c r="A16" s="26" t="s">
        <v>64</v>
      </c>
      <c r="B16" s="25" t="s">
        <v>416</v>
      </c>
      <c r="C16" s="25" t="s">
        <v>417</v>
      </c>
      <c r="D16" s="25" t="s">
        <v>418</v>
      </c>
      <c r="E16" s="25" t="s">
        <v>687</v>
      </c>
      <c r="F16" s="25" t="s">
        <v>419</v>
      </c>
      <c r="G16" s="27" t="s">
        <v>145</v>
      </c>
      <c r="H16" s="27" t="s">
        <v>72</v>
      </c>
      <c r="I16" s="28" t="s">
        <v>302</v>
      </c>
      <c r="J16" s="26"/>
      <c r="K16" s="34" t="str">
        <f>"115,0"</f>
        <v>115,0</v>
      </c>
      <c r="L16" s="26" t="str">
        <f>"90,1830"</f>
        <v>90,1830</v>
      </c>
      <c r="M16" s="25"/>
    </row>
    <row r="17" spans="1:13">
      <c r="A17" s="13" t="s">
        <v>64</v>
      </c>
      <c r="B17" s="12" t="s">
        <v>420</v>
      </c>
      <c r="C17" s="12" t="s">
        <v>421</v>
      </c>
      <c r="D17" s="12" t="s">
        <v>422</v>
      </c>
      <c r="E17" s="12" t="s">
        <v>691</v>
      </c>
      <c r="F17" s="12" t="s">
        <v>668</v>
      </c>
      <c r="G17" s="22" t="s">
        <v>152</v>
      </c>
      <c r="H17" s="22" t="s">
        <v>86</v>
      </c>
      <c r="I17" s="22" t="s">
        <v>143</v>
      </c>
      <c r="J17" s="13"/>
      <c r="K17" s="33" t="str">
        <f>"95,0"</f>
        <v>95,0</v>
      </c>
      <c r="L17" s="13" t="str">
        <f>"93,9181"</f>
        <v>93,9181</v>
      </c>
      <c r="M17" s="12" t="s">
        <v>661</v>
      </c>
    </row>
    <row r="18" spans="1:13">
      <c r="B18" s="6" t="s">
        <v>65</v>
      </c>
    </row>
    <row r="19" spans="1:13" ht="16">
      <c r="A19" s="80" t="s">
        <v>146</v>
      </c>
      <c r="B19" s="80"/>
      <c r="C19" s="80"/>
      <c r="D19" s="80"/>
      <c r="E19" s="80"/>
      <c r="F19" s="80"/>
      <c r="G19" s="80"/>
      <c r="H19" s="80"/>
      <c r="I19" s="80"/>
      <c r="J19" s="80"/>
    </row>
    <row r="20" spans="1:13">
      <c r="A20" s="11" t="s">
        <v>64</v>
      </c>
      <c r="B20" s="10" t="s">
        <v>423</v>
      </c>
      <c r="C20" s="10" t="s">
        <v>424</v>
      </c>
      <c r="D20" s="10" t="s">
        <v>425</v>
      </c>
      <c r="E20" s="10" t="s">
        <v>689</v>
      </c>
      <c r="F20" s="10" t="s">
        <v>669</v>
      </c>
      <c r="G20" s="21" t="s">
        <v>152</v>
      </c>
      <c r="H20" s="24" t="s">
        <v>152</v>
      </c>
      <c r="I20" s="21" t="s">
        <v>139</v>
      </c>
      <c r="J20" s="11"/>
      <c r="K20" s="32" t="str">
        <f>"82,5"</f>
        <v>82,5</v>
      </c>
      <c r="L20" s="11" t="str">
        <f>"58,8968"</f>
        <v>58,8968</v>
      </c>
      <c r="M20" s="10" t="s">
        <v>662</v>
      </c>
    </row>
    <row r="21" spans="1:13">
      <c r="A21" s="26" t="s">
        <v>64</v>
      </c>
      <c r="B21" s="25" t="s">
        <v>426</v>
      </c>
      <c r="C21" s="25" t="s">
        <v>427</v>
      </c>
      <c r="D21" s="25" t="s">
        <v>428</v>
      </c>
      <c r="E21" s="25" t="s">
        <v>686</v>
      </c>
      <c r="F21" s="25" t="s">
        <v>670</v>
      </c>
      <c r="G21" s="28" t="s">
        <v>84</v>
      </c>
      <c r="H21" s="27" t="s">
        <v>85</v>
      </c>
      <c r="I21" s="27" t="s">
        <v>17</v>
      </c>
      <c r="J21" s="26"/>
      <c r="K21" s="34" t="str">
        <f>"155,0"</f>
        <v>155,0</v>
      </c>
      <c r="L21" s="26" t="str">
        <f>"110,4530"</f>
        <v>110,4530</v>
      </c>
      <c r="M21" s="25" t="s">
        <v>415</v>
      </c>
    </row>
    <row r="22" spans="1:13">
      <c r="A22" s="26" t="s">
        <v>132</v>
      </c>
      <c r="B22" s="25" t="s">
        <v>429</v>
      </c>
      <c r="C22" s="25" t="s">
        <v>430</v>
      </c>
      <c r="D22" s="25" t="s">
        <v>431</v>
      </c>
      <c r="E22" s="25" t="s">
        <v>686</v>
      </c>
      <c r="F22" s="25" t="s">
        <v>668</v>
      </c>
      <c r="G22" s="27" t="s">
        <v>77</v>
      </c>
      <c r="H22" s="27" t="s">
        <v>115</v>
      </c>
      <c r="I22" s="27" t="s">
        <v>84</v>
      </c>
      <c r="J22" s="26"/>
      <c r="K22" s="34" t="str">
        <f>"140,0"</f>
        <v>140,0</v>
      </c>
      <c r="L22" s="26" t="str">
        <f>"100,8980"</f>
        <v>100,8980</v>
      </c>
      <c r="M22" s="25" t="s">
        <v>661</v>
      </c>
    </row>
    <row r="23" spans="1:13">
      <c r="A23" s="26" t="s">
        <v>133</v>
      </c>
      <c r="B23" s="25" t="s">
        <v>432</v>
      </c>
      <c r="C23" s="25" t="s">
        <v>433</v>
      </c>
      <c r="D23" s="25" t="s">
        <v>428</v>
      </c>
      <c r="E23" s="25" t="s">
        <v>686</v>
      </c>
      <c r="F23" s="25" t="s">
        <v>659</v>
      </c>
      <c r="G23" s="27" t="s">
        <v>145</v>
      </c>
      <c r="H23" s="27" t="s">
        <v>76</v>
      </c>
      <c r="I23" s="27" t="s">
        <v>110</v>
      </c>
      <c r="J23" s="26"/>
      <c r="K23" s="34" t="str">
        <f>"125,0"</f>
        <v>125,0</v>
      </c>
      <c r="L23" s="26" t="str">
        <f>"89,0750"</f>
        <v>89,0750</v>
      </c>
      <c r="M23" s="25" t="s">
        <v>663</v>
      </c>
    </row>
    <row r="24" spans="1:13">
      <c r="A24" s="26" t="s">
        <v>246</v>
      </c>
      <c r="B24" s="25" t="s">
        <v>434</v>
      </c>
      <c r="C24" s="25" t="s">
        <v>435</v>
      </c>
      <c r="D24" s="25" t="s">
        <v>436</v>
      </c>
      <c r="E24" s="25" t="s">
        <v>686</v>
      </c>
      <c r="F24" s="25" t="s">
        <v>172</v>
      </c>
      <c r="G24" s="27" t="s">
        <v>145</v>
      </c>
      <c r="H24" s="28" t="s">
        <v>302</v>
      </c>
      <c r="I24" s="27" t="s">
        <v>302</v>
      </c>
      <c r="J24" s="26"/>
      <c r="K24" s="34" t="str">
        <f>"117,5"</f>
        <v>117,5</v>
      </c>
      <c r="L24" s="26" t="str">
        <f>"84,1183"</f>
        <v>84,1183</v>
      </c>
      <c r="M24" s="25" t="s">
        <v>664</v>
      </c>
    </row>
    <row r="25" spans="1:13">
      <c r="A25" s="13" t="s">
        <v>247</v>
      </c>
      <c r="B25" s="12" t="s">
        <v>437</v>
      </c>
      <c r="C25" s="12" t="s">
        <v>438</v>
      </c>
      <c r="D25" s="12" t="s">
        <v>159</v>
      </c>
      <c r="E25" s="12" t="s">
        <v>686</v>
      </c>
      <c r="F25" s="12" t="s">
        <v>108</v>
      </c>
      <c r="G25" s="22" t="s">
        <v>145</v>
      </c>
      <c r="H25" s="23" t="s">
        <v>72</v>
      </c>
      <c r="I25" s="23" t="s">
        <v>72</v>
      </c>
      <c r="J25" s="13"/>
      <c r="K25" s="33" t="str">
        <f>"110,0"</f>
        <v>110,0</v>
      </c>
      <c r="L25" s="13" t="str">
        <f>"79,6620"</f>
        <v>79,6620</v>
      </c>
      <c r="M25" s="12"/>
    </row>
    <row r="26" spans="1:13">
      <c r="B26" s="6" t="s">
        <v>65</v>
      </c>
    </row>
    <row r="27" spans="1:13" ht="16">
      <c r="A27" s="80" t="s">
        <v>80</v>
      </c>
      <c r="B27" s="80"/>
      <c r="C27" s="80"/>
      <c r="D27" s="80"/>
      <c r="E27" s="80"/>
      <c r="F27" s="80"/>
      <c r="G27" s="80"/>
      <c r="H27" s="80"/>
      <c r="I27" s="80"/>
      <c r="J27" s="80"/>
    </row>
    <row r="28" spans="1:13">
      <c r="A28" s="11" t="s">
        <v>66</v>
      </c>
      <c r="B28" s="10" t="s">
        <v>439</v>
      </c>
      <c r="C28" s="10" t="s">
        <v>440</v>
      </c>
      <c r="D28" s="10" t="s">
        <v>441</v>
      </c>
      <c r="E28" s="10" t="s">
        <v>689</v>
      </c>
      <c r="F28" s="10" t="s">
        <v>669</v>
      </c>
      <c r="G28" s="21" t="s">
        <v>301</v>
      </c>
      <c r="H28" s="21" t="s">
        <v>301</v>
      </c>
      <c r="I28" s="21" t="s">
        <v>301</v>
      </c>
      <c r="J28" s="11"/>
      <c r="K28" s="32">
        <v>0</v>
      </c>
      <c r="L28" s="11" t="str">
        <f>"0,0000"</f>
        <v>0,0000</v>
      </c>
      <c r="M28" s="10" t="s">
        <v>662</v>
      </c>
    </row>
    <row r="29" spans="1:13">
      <c r="A29" s="26" t="s">
        <v>66</v>
      </c>
      <c r="B29" s="25" t="s">
        <v>442</v>
      </c>
      <c r="C29" s="25" t="s">
        <v>443</v>
      </c>
      <c r="D29" s="25" t="s">
        <v>444</v>
      </c>
      <c r="E29" s="25" t="s">
        <v>690</v>
      </c>
      <c r="F29" s="25" t="s">
        <v>178</v>
      </c>
      <c r="G29" s="28" t="s">
        <v>85</v>
      </c>
      <c r="H29" s="28" t="s">
        <v>85</v>
      </c>
      <c r="I29" s="28" t="s">
        <v>85</v>
      </c>
      <c r="J29" s="26"/>
      <c r="K29" s="34">
        <v>0</v>
      </c>
      <c r="L29" s="26" t="str">
        <f>"0,0000"</f>
        <v>0,0000</v>
      </c>
      <c r="M29" s="25" t="s">
        <v>511</v>
      </c>
    </row>
    <row r="30" spans="1:13">
      <c r="A30" s="13" t="s">
        <v>64</v>
      </c>
      <c r="B30" s="12" t="s">
        <v>445</v>
      </c>
      <c r="C30" s="12" t="s">
        <v>446</v>
      </c>
      <c r="D30" s="12" t="s">
        <v>177</v>
      </c>
      <c r="E30" s="12" t="s">
        <v>686</v>
      </c>
      <c r="F30" s="12" t="s">
        <v>671</v>
      </c>
      <c r="G30" s="22" t="s">
        <v>17</v>
      </c>
      <c r="H30" s="23" t="s">
        <v>40</v>
      </c>
      <c r="I30" s="13"/>
      <c r="J30" s="13"/>
      <c r="K30" s="33" t="str">
        <f>"155,0"</f>
        <v>155,0</v>
      </c>
      <c r="L30" s="13" t="str">
        <f>"103,9120"</f>
        <v>103,9120</v>
      </c>
      <c r="M30" s="12" t="s">
        <v>306</v>
      </c>
    </row>
    <row r="31" spans="1:13">
      <c r="B31" s="6" t="s">
        <v>65</v>
      </c>
    </row>
    <row r="32" spans="1:13" ht="16">
      <c r="A32" s="80" t="s">
        <v>94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3">
      <c r="A33" s="11" t="s">
        <v>64</v>
      </c>
      <c r="B33" s="10" t="s">
        <v>447</v>
      </c>
      <c r="C33" s="10" t="s">
        <v>448</v>
      </c>
      <c r="D33" s="10" t="s">
        <v>449</v>
      </c>
      <c r="E33" s="10" t="s">
        <v>687</v>
      </c>
      <c r="F33" s="10" t="s">
        <v>410</v>
      </c>
      <c r="G33" s="24" t="s">
        <v>78</v>
      </c>
      <c r="H33" s="24" t="s">
        <v>84</v>
      </c>
      <c r="I33" s="21" t="s">
        <v>102</v>
      </c>
      <c r="J33" s="11"/>
      <c r="K33" s="32" t="str">
        <f>"140,0"</f>
        <v>140,0</v>
      </c>
      <c r="L33" s="11" t="str">
        <f>"90,9860"</f>
        <v>90,9860</v>
      </c>
      <c r="M33" s="10" t="s">
        <v>450</v>
      </c>
    </row>
    <row r="34" spans="1:13">
      <c r="A34" s="26" t="s">
        <v>64</v>
      </c>
      <c r="B34" s="25" t="s">
        <v>371</v>
      </c>
      <c r="C34" s="25" t="s">
        <v>372</v>
      </c>
      <c r="D34" s="25" t="s">
        <v>373</v>
      </c>
      <c r="E34" s="25" t="s">
        <v>686</v>
      </c>
      <c r="F34" s="25" t="s">
        <v>650</v>
      </c>
      <c r="G34" s="27" t="s">
        <v>39</v>
      </c>
      <c r="H34" s="28" t="s">
        <v>153</v>
      </c>
      <c r="I34" s="27" t="s">
        <v>153</v>
      </c>
      <c r="J34" s="26"/>
      <c r="K34" s="34" t="str">
        <f>"175,0"</f>
        <v>175,0</v>
      </c>
      <c r="L34" s="26" t="str">
        <f>"111,7200"</f>
        <v>111,7200</v>
      </c>
      <c r="M34" s="25" t="s">
        <v>297</v>
      </c>
    </row>
    <row r="35" spans="1:13">
      <c r="A35" s="26" t="s">
        <v>132</v>
      </c>
      <c r="B35" s="25" t="s">
        <v>451</v>
      </c>
      <c r="C35" s="25" t="s">
        <v>452</v>
      </c>
      <c r="D35" s="25" t="s">
        <v>453</v>
      </c>
      <c r="E35" s="25" t="s">
        <v>686</v>
      </c>
      <c r="F35" s="25" t="s">
        <v>659</v>
      </c>
      <c r="G35" s="27" t="s">
        <v>17</v>
      </c>
      <c r="H35" s="27" t="s">
        <v>19</v>
      </c>
      <c r="I35" s="28" t="s">
        <v>88</v>
      </c>
      <c r="J35" s="26"/>
      <c r="K35" s="34" t="str">
        <f>"165,0"</f>
        <v>165,0</v>
      </c>
      <c r="L35" s="26" t="str">
        <f>"105,5175"</f>
        <v>105,5175</v>
      </c>
      <c r="M35" s="25" t="s">
        <v>415</v>
      </c>
    </row>
    <row r="36" spans="1:13">
      <c r="A36" s="26" t="s">
        <v>133</v>
      </c>
      <c r="B36" s="25" t="s">
        <v>454</v>
      </c>
      <c r="C36" s="25" t="s">
        <v>455</v>
      </c>
      <c r="D36" s="25" t="s">
        <v>456</v>
      </c>
      <c r="E36" s="25" t="s">
        <v>686</v>
      </c>
      <c r="F36" s="25" t="s">
        <v>150</v>
      </c>
      <c r="G36" s="27" t="s">
        <v>17</v>
      </c>
      <c r="H36" s="28" t="s">
        <v>19</v>
      </c>
      <c r="I36" s="28" t="s">
        <v>19</v>
      </c>
      <c r="J36" s="26"/>
      <c r="K36" s="34" t="str">
        <f>"155,0"</f>
        <v>155,0</v>
      </c>
      <c r="L36" s="26" t="str">
        <f>"100,9205"</f>
        <v>100,9205</v>
      </c>
      <c r="M36" s="25"/>
    </row>
    <row r="37" spans="1:13">
      <c r="A37" s="26" t="s">
        <v>246</v>
      </c>
      <c r="B37" s="25" t="s">
        <v>447</v>
      </c>
      <c r="C37" s="25" t="s">
        <v>457</v>
      </c>
      <c r="D37" s="25" t="s">
        <v>449</v>
      </c>
      <c r="E37" s="25" t="s">
        <v>686</v>
      </c>
      <c r="F37" s="25" t="s">
        <v>410</v>
      </c>
      <c r="G37" s="27" t="s">
        <v>78</v>
      </c>
      <c r="H37" s="27" t="s">
        <v>84</v>
      </c>
      <c r="I37" s="28" t="s">
        <v>102</v>
      </c>
      <c r="J37" s="26"/>
      <c r="K37" s="34" t="str">
        <f>"140,0"</f>
        <v>140,0</v>
      </c>
      <c r="L37" s="26" t="str">
        <f>"90,9860"</f>
        <v>90,9860</v>
      </c>
      <c r="M37" s="25" t="s">
        <v>450</v>
      </c>
    </row>
    <row r="38" spans="1:13">
      <c r="A38" s="26" t="s">
        <v>247</v>
      </c>
      <c r="B38" s="25" t="s">
        <v>458</v>
      </c>
      <c r="C38" s="25" t="s">
        <v>459</v>
      </c>
      <c r="D38" s="25" t="s">
        <v>460</v>
      </c>
      <c r="E38" s="25" t="s">
        <v>686</v>
      </c>
      <c r="F38" s="25" t="s">
        <v>178</v>
      </c>
      <c r="G38" s="27" t="s">
        <v>78</v>
      </c>
      <c r="H38" s="27" t="s">
        <v>115</v>
      </c>
      <c r="I38" s="27" t="s">
        <v>101</v>
      </c>
      <c r="J38" s="26"/>
      <c r="K38" s="34" t="str">
        <f>"137,5"</f>
        <v>137,5</v>
      </c>
      <c r="L38" s="26" t="str">
        <f>"88,8113"</f>
        <v>88,8113</v>
      </c>
      <c r="M38" s="25"/>
    </row>
    <row r="39" spans="1:13">
      <c r="A39" s="13" t="s">
        <v>66</v>
      </c>
      <c r="B39" s="12" t="s">
        <v>461</v>
      </c>
      <c r="C39" s="12" t="s">
        <v>462</v>
      </c>
      <c r="D39" s="12" t="s">
        <v>463</v>
      </c>
      <c r="E39" s="12" t="s">
        <v>686</v>
      </c>
      <c r="F39" s="12" t="s">
        <v>672</v>
      </c>
      <c r="G39" s="23" t="s">
        <v>72</v>
      </c>
      <c r="H39" s="23" t="s">
        <v>72</v>
      </c>
      <c r="I39" s="23" t="s">
        <v>72</v>
      </c>
      <c r="J39" s="13"/>
      <c r="K39" s="33">
        <v>0</v>
      </c>
      <c r="L39" s="13" t="str">
        <f>"0,0000"</f>
        <v>0,0000</v>
      </c>
      <c r="M39" s="12"/>
    </row>
    <row r="40" spans="1:13">
      <c r="B40" s="6" t="s">
        <v>65</v>
      </c>
    </row>
    <row r="41" spans="1:13" ht="16">
      <c r="A41" s="80" t="s">
        <v>10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3">
      <c r="A42" s="11" t="s">
        <v>64</v>
      </c>
      <c r="B42" s="10" t="s">
        <v>464</v>
      </c>
      <c r="C42" s="10" t="s">
        <v>465</v>
      </c>
      <c r="D42" s="10" t="s">
        <v>466</v>
      </c>
      <c r="E42" s="10" t="s">
        <v>687</v>
      </c>
      <c r="F42" s="10" t="s">
        <v>467</v>
      </c>
      <c r="G42" s="24" t="s">
        <v>76</v>
      </c>
      <c r="H42" s="21" t="s">
        <v>110</v>
      </c>
      <c r="I42" s="24" t="s">
        <v>231</v>
      </c>
      <c r="J42" s="11"/>
      <c r="K42" s="32" t="str">
        <f>"130,0"</f>
        <v>130,0</v>
      </c>
      <c r="L42" s="11" t="str">
        <f>"82,7580"</f>
        <v>82,7580</v>
      </c>
      <c r="M42" s="10" t="s">
        <v>468</v>
      </c>
    </row>
    <row r="43" spans="1:13">
      <c r="A43" s="26" t="s">
        <v>64</v>
      </c>
      <c r="B43" s="25" t="s">
        <v>469</v>
      </c>
      <c r="C43" s="25" t="s">
        <v>470</v>
      </c>
      <c r="D43" s="25" t="s">
        <v>285</v>
      </c>
      <c r="E43" s="25" t="s">
        <v>686</v>
      </c>
      <c r="F43" s="25" t="s">
        <v>178</v>
      </c>
      <c r="G43" s="27" t="s">
        <v>89</v>
      </c>
      <c r="H43" s="28" t="s">
        <v>49</v>
      </c>
      <c r="I43" s="28" t="s">
        <v>49</v>
      </c>
      <c r="J43" s="26"/>
      <c r="K43" s="34" t="str">
        <f>"195,0"</f>
        <v>195,0</v>
      </c>
      <c r="L43" s="26" t="str">
        <f>"118,9110"</f>
        <v>118,9110</v>
      </c>
      <c r="M43" s="25" t="s">
        <v>23</v>
      </c>
    </row>
    <row r="44" spans="1:13">
      <c r="A44" s="26" t="s">
        <v>132</v>
      </c>
      <c r="B44" s="25" t="s">
        <v>471</v>
      </c>
      <c r="C44" s="25" t="s">
        <v>472</v>
      </c>
      <c r="D44" s="25" t="s">
        <v>210</v>
      </c>
      <c r="E44" s="25" t="s">
        <v>686</v>
      </c>
      <c r="F44" s="25" t="s">
        <v>108</v>
      </c>
      <c r="G44" s="28" t="s">
        <v>18</v>
      </c>
      <c r="H44" s="27" t="s">
        <v>18</v>
      </c>
      <c r="I44" s="28" t="s">
        <v>40</v>
      </c>
      <c r="J44" s="26"/>
      <c r="K44" s="34" t="str">
        <f>"162,5"</f>
        <v>162,5</v>
      </c>
      <c r="L44" s="26" t="str">
        <f>"99,3038"</f>
        <v>99,3038</v>
      </c>
      <c r="M44" s="25" t="s">
        <v>665</v>
      </c>
    </row>
    <row r="45" spans="1:13">
      <c r="A45" s="26" t="s">
        <v>66</v>
      </c>
      <c r="B45" s="25" t="s">
        <v>473</v>
      </c>
      <c r="C45" s="25" t="s">
        <v>474</v>
      </c>
      <c r="D45" s="25" t="s">
        <v>190</v>
      </c>
      <c r="E45" s="25" t="s">
        <v>686</v>
      </c>
      <c r="F45" s="25" t="s">
        <v>673</v>
      </c>
      <c r="G45" s="28" t="s">
        <v>84</v>
      </c>
      <c r="H45" s="28" t="s">
        <v>84</v>
      </c>
      <c r="I45" s="28" t="s">
        <v>84</v>
      </c>
      <c r="J45" s="26"/>
      <c r="K45" s="34">
        <v>0</v>
      </c>
      <c r="L45" s="26" t="str">
        <f>"0,0000"</f>
        <v>0,0000</v>
      </c>
      <c r="M45" s="25"/>
    </row>
    <row r="46" spans="1:13">
      <c r="A46" s="26" t="s">
        <v>64</v>
      </c>
      <c r="B46" s="25" t="s">
        <v>475</v>
      </c>
      <c r="C46" s="25" t="s">
        <v>476</v>
      </c>
      <c r="D46" s="25" t="s">
        <v>339</v>
      </c>
      <c r="E46" s="25" t="s">
        <v>688</v>
      </c>
      <c r="F46" s="25" t="s">
        <v>672</v>
      </c>
      <c r="G46" s="28" t="s">
        <v>77</v>
      </c>
      <c r="H46" s="27" t="s">
        <v>77</v>
      </c>
      <c r="I46" s="28" t="s">
        <v>84</v>
      </c>
      <c r="J46" s="26"/>
      <c r="K46" s="34" t="str">
        <f>"127,5"</f>
        <v>127,5</v>
      </c>
      <c r="L46" s="26" t="str">
        <f>"78,1702"</f>
        <v>78,1702</v>
      </c>
      <c r="M46" s="25"/>
    </row>
    <row r="47" spans="1:13">
      <c r="A47" s="13" t="s">
        <v>64</v>
      </c>
      <c r="B47" s="12" t="s">
        <v>477</v>
      </c>
      <c r="C47" s="12" t="s">
        <v>478</v>
      </c>
      <c r="D47" s="12" t="s">
        <v>479</v>
      </c>
      <c r="E47" s="12" t="s">
        <v>692</v>
      </c>
      <c r="F47" s="12" t="s">
        <v>172</v>
      </c>
      <c r="G47" s="22" t="s">
        <v>78</v>
      </c>
      <c r="H47" s="22" t="s">
        <v>84</v>
      </c>
      <c r="I47" s="23" t="s">
        <v>102</v>
      </c>
      <c r="J47" s="13"/>
      <c r="K47" s="33" t="str">
        <f>"140,0"</f>
        <v>140,0</v>
      </c>
      <c r="L47" s="13" t="str">
        <f>"125,6371"</f>
        <v>125,6371</v>
      </c>
      <c r="M47" s="12" t="s">
        <v>664</v>
      </c>
    </row>
    <row r="48" spans="1:13">
      <c r="B48" s="6" t="s">
        <v>65</v>
      </c>
    </row>
    <row r="49" spans="1:13" ht="16">
      <c r="A49" s="80" t="s">
        <v>24</v>
      </c>
      <c r="B49" s="80"/>
      <c r="C49" s="80"/>
      <c r="D49" s="80"/>
      <c r="E49" s="80"/>
      <c r="F49" s="80"/>
      <c r="G49" s="80"/>
      <c r="H49" s="80"/>
      <c r="I49" s="80"/>
      <c r="J49" s="80"/>
    </row>
    <row r="50" spans="1:13">
      <c r="A50" s="11" t="s">
        <v>64</v>
      </c>
      <c r="B50" s="10" t="s">
        <v>480</v>
      </c>
      <c r="C50" s="10" t="s">
        <v>481</v>
      </c>
      <c r="D50" s="10" t="s">
        <v>482</v>
      </c>
      <c r="E50" s="10" t="s">
        <v>686</v>
      </c>
      <c r="F50" s="10" t="s">
        <v>672</v>
      </c>
      <c r="G50" s="24" t="s">
        <v>50</v>
      </c>
      <c r="H50" s="24" t="s">
        <v>125</v>
      </c>
      <c r="I50" s="24" t="s">
        <v>35</v>
      </c>
      <c r="J50" s="11"/>
      <c r="K50" s="32" t="str">
        <f>"220,0"</f>
        <v>220,0</v>
      </c>
      <c r="L50" s="11" t="str">
        <f>"130,8560"</f>
        <v>130,8560</v>
      </c>
      <c r="M50" s="10"/>
    </row>
    <row r="51" spans="1:13">
      <c r="A51" s="26" t="s">
        <v>132</v>
      </c>
      <c r="B51" s="25" t="s">
        <v>483</v>
      </c>
      <c r="C51" s="25" t="s">
        <v>484</v>
      </c>
      <c r="D51" s="25" t="s">
        <v>228</v>
      </c>
      <c r="E51" s="25" t="s">
        <v>686</v>
      </c>
      <c r="F51" s="25" t="s">
        <v>671</v>
      </c>
      <c r="G51" s="27" t="s">
        <v>48</v>
      </c>
      <c r="H51" s="27" t="s">
        <v>89</v>
      </c>
      <c r="I51" s="27" t="s">
        <v>199</v>
      </c>
      <c r="J51" s="26"/>
      <c r="K51" s="34" t="str">
        <f>"202,5"</f>
        <v>202,5</v>
      </c>
      <c r="L51" s="26" t="str">
        <f>"119,1713"</f>
        <v>119,1713</v>
      </c>
      <c r="M51" s="25" t="s">
        <v>306</v>
      </c>
    </row>
    <row r="52" spans="1:13">
      <c r="A52" s="26" t="s">
        <v>133</v>
      </c>
      <c r="B52" s="25" t="s">
        <v>485</v>
      </c>
      <c r="C52" s="25" t="s">
        <v>486</v>
      </c>
      <c r="D52" s="25" t="s">
        <v>487</v>
      </c>
      <c r="E52" s="25" t="s">
        <v>686</v>
      </c>
      <c r="F52" s="25" t="s">
        <v>674</v>
      </c>
      <c r="G52" s="27" t="s">
        <v>39</v>
      </c>
      <c r="H52" s="27" t="s">
        <v>40</v>
      </c>
      <c r="I52" s="27" t="s">
        <v>88</v>
      </c>
      <c r="J52" s="26"/>
      <c r="K52" s="34" t="str">
        <f>"170,0"</f>
        <v>170,0</v>
      </c>
      <c r="L52" s="26" t="str">
        <f>"100,5720"</f>
        <v>100,5720</v>
      </c>
      <c r="M52" s="25"/>
    </row>
    <row r="53" spans="1:13">
      <c r="A53" s="26" t="s">
        <v>246</v>
      </c>
      <c r="B53" s="25" t="s">
        <v>119</v>
      </c>
      <c r="C53" s="25" t="s">
        <v>120</v>
      </c>
      <c r="D53" s="25" t="s">
        <v>34</v>
      </c>
      <c r="E53" s="25" t="s">
        <v>686</v>
      </c>
      <c r="F53" s="25" t="s">
        <v>629</v>
      </c>
      <c r="G53" s="27" t="s">
        <v>19</v>
      </c>
      <c r="H53" s="28" t="s">
        <v>88</v>
      </c>
      <c r="I53" s="27" t="s">
        <v>88</v>
      </c>
      <c r="J53" s="26"/>
      <c r="K53" s="34" t="str">
        <f>"170,0"</f>
        <v>170,0</v>
      </c>
      <c r="L53" s="26" t="str">
        <f>"100,0790"</f>
        <v>100,0790</v>
      </c>
      <c r="M53" s="25"/>
    </row>
    <row r="54" spans="1:13">
      <c r="A54" s="26" t="s">
        <v>247</v>
      </c>
      <c r="B54" s="25" t="s">
        <v>488</v>
      </c>
      <c r="C54" s="25" t="s">
        <v>489</v>
      </c>
      <c r="D54" s="25" t="s">
        <v>490</v>
      </c>
      <c r="E54" s="25" t="s">
        <v>686</v>
      </c>
      <c r="F54" s="25" t="s">
        <v>491</v>
      </c>
      <c r="G54" s="27" t="s">
        <v>38</v>
      </c>
      <c r="H54" s="27" t="s">
        <v>39</v>
      </c>
      <c r="I54" s="27" t="s">
        <v>40</v>
      </c>
      <c r="J54" s="26"/>
      <c r="K54" s="34" t="str">
        <f>"167,5"</f>
        <v>167,5</v>
      </c>
      <c r="L54" s="26" t="str">
        <f>"99,2102"</f>
        <v>99,2102</v>
      </c>
      <c r="M54" s="25" t="s">
        <v>666</v>
      </c>
    </row>
    <row r="55" spans="1:13">
      <c r="A55" s="26" t="s">
        <v>248</v>
      </c>
      <c r="B55" s="25" t="s">
        <v>492</v>
      </c>
      <c r="C55" s="25" t="s">
        <v>493</v>
      </c>
      <c r="D55" s="25" t="s">
        <v>494</v>
      </c>
      <c r="E55" s="25" t="s">
        <v>686</v>
      </c>
      <c r="F55" s="25" t="s">
        <v>495</v>
      </c>
      <c r="G55" s="27" t="s">
        <v>17</v>
      </c>
      <c r="H55" s="28" t="s">
        <v>40</v>
      </c>
      <c r="I55" s="28" t="s">
        <v>40</v>
      </c>
      <c r="J55" s="26"/>
      <c r="K55" s="34" t="str">
        <f>"155,0"</f>
        <v>155,0</v>
      </c>
      <c r="L55" s="26" t="str">
        <f>"91,4190"</f>
        <v>91,4190</v>
      </c>
      <c r="M55" s="25"/>
    </row>
    <row r="56" spans="1:13">
      <c r="A56" s="13" t="s">
        <v>64</v>
      </c>
      <c r="B56" s="12" t="s">
        <v>119</v>
      </c>
      <c r="C56" s="12" t="s">
        <v>127</v>
      </c>
      <c r="D56" s="12" t="s">
        <v>34</v>
      </c>
      <c r="E56" s="12" t="s">
        <v>688</v>
      </c>
      <c r="F56" s="12" t="s">
        <v>629</v>
      </c>
      <c r="G56" s="22" t="s">
        <v>19</v>
      </c>
      <c r="H56" s="23" t="s">
        <v>88</v>
      </c>
      <c r="I56" s="22" t="s">
        <v>88</v>
      </c>
      <c r="J56" s="13"/>
      <c r="K56" s="33" t="str">
        <f>"170,0"</f>
        <v>170,0</v>
      </c>
      <c r="L56" s="13" t="str">
        <f>"106,0837"</f>
        <v>106,0837</v>
      </c>
      <c r="M56" s="12"/>
    </row>
    <row r="57" spans="1:13">
      <c r="B57" s="6" t="s">
        <v>65</v>
      </c>
    </row>
    <row r="58" spans="1:13" ht="16">
      <c r="A58" s="80" t="s">
        <v>42</v>
      </c>
      <c r="B58" s="80"/>
      <c r="C58" s="80"/>
      <c r="D58" s="80"/>
      <c r="E58" s="80"/>
      <c r="F58" s="80"/>
      <c r="G58" s="80"/>
      <c r="H58" s="80"/>
      <c r="I58" s="80"/>
      <c r="J58" s="80"/>
    </row>
    <row r="59" spans="1:13">
      <c r="A59" s="11" t="s">
        <v>64</v>
      </c>
      <c r="B59" s="10" t="s">
        <v>496</v>
      </c>
      <c r="C59" s="10" t="s">
        <v>497</v>
      </c>
      <c r="D59" s="10" t="s">
        <v>498</v>
      </c>
      <c r="E59" s="10" t="s">
        <v>686</v>
      </c>
      <c r="F59" s="10" t="s">
        <v>178</v>
      </c>
      <c r="G59" s="24" t="s">
        <v>167</v>
      </c>
      <c r="H59" s="21" t="s">
        <v>199</v>
      </c>
      <c r="I59" s="21" t="s">
        <v>199</v>
      </c>
      <c r="J59" s="11"/>
      <c r="K59" s="32" t="str">
        <f>"192,5"</f>
        <v>192,5</v>
      </c>
      <c r="L59" s="11" t="str">
        <f>"109,9945"</f>
        <v>109,9945</v>
      </c>
      <c r="M59" s="10" t="s">
        <v>667</v>
      </c>
    </row>
    <row r="60" spans="1:13">
      <c r="A60" s="13" t="s">
        <v>132</v>
      </c>
      <c r="B60" s="12" t="s">
        <v>343</v>
      </c>
      <c r="C60" s="12" t="s">
        <v>344</v>
      </c>
      <c r="D60" s="12" t="s">
        <v>345</v>
      </c>
      <c r="E60" s="12" t="s">
        <v>686</v>
      </c>
      <c r="F60" s="12" t="s">
        <v>160</v>
      </c>
      <c r="G60" s="22" t="s">
        <v>18</v>
      </c>
      <c r="H60" s="22" t="s">
        <v>88</v>
      </c>
      <c r="I60" s="22" t="s">
        <v>328</v>
      </c>
      <c r="J60" s="13"/>
      <c r="K60" s="33" t="str">
        <f>"177,5"</f>
        <v>177,5</v>
      </c>
      <c r="L60" s="13" t="str">
        <f>"102,6837"</f>
        <v>102,6837</v>
      </c>
      <c r="M60" s="12" t="s">
        <v>23</v>
      </c>
    </row>
    <row r="61" spans="1:13">
      <c r="B61" s="6" t="s">
        <v>65</v>
      </c>
    </row>
    <row r="62" spans="1:13" ht="16">
      <c r="A62" s="80" t="s">
        <v>392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3">
      <c r="A63" s="9" t="s">
        <v>64</v>
      </c>
      <c r="B63" s="8" t="s">
        <v>499</v>
      </c>
      <c r="C63" s="8" t="s">
        <v>500</v>
      </c>
      <c r="D63" s="8" t="s">
        <v>501</v>
      </c>
      <c r="E63" s="8" t="s">
        <v>686</v>
      </c>
      <c r="F63" s="8" t="s">
        <v>98</v>
      </c>
      <c r="G63" s="19" t="s">
        <v>153</v>
      </c>
      <c r="H63" s="19" t="s">
        <v>109</v>
      </c>
      <c r="I63" s="20" t="s">
        <v>111</v>
      </c>
      <c r="J63" s="9"/>
      <c r="K63" s="31" t="str">
        <f>"180,0"</f>
        <v>180,0</v>
      </c>
      <c r="L63" s="9" t="str">
        <f>"101,8080"</f>
        <v>101,8080</v>
      </c>
      <c r="M63" s="8" t="s">
        <v>468</v>
      </c>
    </row>
    <row r="64" spans="1:13">
      <c r="B64" s="6" t="s">
        <v>65</v>
      </c>
    </row>
    <row r="65" spans="1:13" ht="16">
      <c r="A65" s="80" t="s">
        <v>502</v>
      </c>
      <c r="B65" s="80"/>
      <c r="C65" s="80"/>
      <c r="D65" s="80"/>
      <c r="E65" s="80"/>
      <c r="F65" s="80"/>
      <c r="G65" s="80"/>
      <c r="H65" s="80"/>
      <c r="I65" s="80"/>
      <c r="J65" s="80"/>
    </row>
    <row r="66" spans="1:13">
      <c r="A66" s="9" t="s">
        <v>64</v>
      </c>
      <c r="B66" s="8" t="s">
        <v>503</v>
      </c>
      <c r="C66" s="8" t="s">
        <v>504</v>
      </c>
      <c r="D66" s="8" t="s">
        <v>505</v>
      </c>
      <c r="E66" s="8" t="s">
        <v>686</v>
      </c>
      <c r="F66" s="8" t="s">
        <v>178</v>
      </c>
      <c r="G66" s="19" t="s">
        <v>17</v>
      </c>
      <c r="H66" s="19" t="s">
        <v>18</v>
      </c>
      <c r="I66" s="20" t="s">
        <v>40</v>
      </c>
      <c r="J66" s="9"/>
      <c r="K66" s="31" t="str">
        <f>"162,5"</f>
        <v>162,5</v>
      </c>
      <c r="L66" s="9" t="str">
        <f>"89,6025"</f>
        <v>89,6025</v>
      </c>
      <c r="M66" s="8" t="s">
        <v>667</v>
      </c>
    </row>
    <row r="67" spans="1:13">
      <c r="B67" s="6" t="s">
        <v>65</v>
      </c>
    </row>
    <row r="68" spans="1:13">
      <c r="B68" s="6" t="s">
        <v>65</v>
      </c>
    </row>
    <row r="69" spans="1:13">
      <c r="B69" s="6" t="s">
        <v>65</v>
      </c>
    </row>
    <row r="70" spans="1:13" ht="18">
      <c r="B70" s="14" t="s">
        <v>53</v>
      </c>
      <c r="C70" s="14"/>
      <c r="F70" s="3"/>
    </row>
    <row r="71" spans="1:13" ht="16">
      <c r="B71" s="15" t="s">
        <v>54</v>
      </c>
      <c r="C71" s="15"/>
      <c r="F71" s="3"/>
    </row>
    <row r="72" spans="1:13" ht="14">
      <c r="B72" s="16"/>
      <c r="C72" s="17" t="s">
        <v>55</v>
      </c>
      <c r="F72" s="3"/>
    </row>
    <row r="73" spans="1:13" ht="14">
      <c r="B73" s="18" t="s">
        <v>56</v>
      </c>
      <c r="C73" s="18" t="s">
        <v>57</v>
      </c>
      <c r="D73" s="18" t="s">
        <v>645</v>
      </c>
      <c r="E73" s="18" t="s">
        <v>355</v>
      </c>
      <c r="F73" s="18" t="s">
        <v>60</v>
      </c>
    </row>
    <row r="74" spans="1:13">
      <c r="B74" s="6" t="s">
        <v>480</v>
      </c>
      <c r="C74" s="6" t="s">
        <v>55</v>
      </c>
      <c r="D74" s="7" t="s">
        <v>63</v>
      </c>
      <c r="E74" s="7" t="s">
        <v>35</v>
      </c>
      <c r="F74" s="7" t="s">
        <v>506</v>
      </c>
    </row>
    <row r="75" spans="1:13">
      <c r="B75" s="6" t="s">
        <v>483</v>
      </c>
      <c r="C75" s="6" t="s">
        <v>55</v>
      </c>
      <c r="D75" s="7" t="s">
        <v>63</v>
      </c>
      <c r="E75" s="7" t="s">
        <v>199</v>
      </c>
      <c r="F75" s="7" t="s">
        <v>507</v>
      </c>
    </row>
    <row r="76" spans="1:13">
      <c r="B76" s="6" t="s">
        <v>469</v>
      </c>
      <c r="C76" s="6" t="s">
        <v>55</v>
      </c>
      <c r="D76" s="7" t="s">
        <v>62</v>
      </c>
      <c r="E76" s="7" t="s">
        <v>89</v>
      </c>
      <c r="F76" s="7" t="s">
        <v>508</v>
      </c>
    </row>
  </sheetData>
  <mergeCells count="23">
    <mergeCell ref="A41:J41"/>
    <mergeCell ref="A49:J49"/>
    <mergeCell ref="A58:J58"/>
    <mergeCell ref="A62:J62"/>
    <mergeCell ref="A65:J65"/>
    <mergeCell ref="A27:J27"/>
    <mergeCell ref="A32:J32"/>
    <mergeCell ref="K3:K4"/>
    <mergeCell ref="L3:L4"/>
    <mergeCell ref="M3:M4"/>
    <mergeCell ref="A5:J5"/>
    <mergeCell ref="B3:B4"/>
    <mergeCell ref="A8:J8"/>
    <mergeCell ref="A11:J11"/>
    <mergeCell ref="A14:J14"/>
    <mergeCell ref="A19:J19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1"/>
  <dimension ref="A1:M46"/>
  <sheetViews>
    <sheetView workbookViewId="0">
      <selection activeCell="E38" sqref="E38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1.5" style="6" bestFit="1" customWidth="1"/>
    <col min="7" max="9" width="5.5" style="7" customWidth="1"/>
    <col min="10" max="10" width="4.83203125" style="7" customWidth="1"/>
    <col min="11" max="11" width="10.5" style="30" bestFit="1" customWidth="1"/>
    <col min="12" max="12" width="8.5" style="7" bestFit="1" customWidth="1"/>
    <col min="13" max="13" width="27.5" style="6" bestFit="1" customWidth="1"/>
    <col min="14" max="16384" width="9.1640625" style="3"/>
  </cols>
  <sheetData>
    <row r="1" spans="1:13" s="2" customFormat="1" ht="29" customHeight="1">
      <c r="A1" s="59" t="s">
        <v>638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8</v>
      </c>
      <c r="H3" s="71"/>
      <c r="I3" s="71"/>
      <c r="J3" s="71"/>
      <c r="K3" s="72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3"/>
      <c r="L4" s="70"/>
      <c r="M4" s="75"/>
    </row>
    <row r="5" spans="1:13" ht="16">
      <c r="A5" s="76" t="s">
        <v>255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9" t="s">
        <v>64</v>
      </c>
      <c r="B6" s="8" t="s">
        <v>357</v>
      </c>
      <c r="C6" s="8" t="s">
        <v>358</v>
      </c>
      <c r="D6" s="8" t="s">
        <v>359</v>
      </c>
      <c r="E6" s="8" t="s">
        <v>689</v>
      </c>
      <c r="F6" s="8" t="s">
        <v>178</v>
      </c>
      <c r="G6" s="19" t="s">
        <v>265</v>
      </c>
      <c r="H6" s="19" t="s">
        <v>360</v>
      </c>
      <c r="I6" s="20" t="s">
        <v>266</v>
      </c>
      <c r="J6" s="9"/>
      <c r="K6" s="31" t="str">
        <f>"60,5"</f>
        <v>60,5</v>
      </c>
      <c r="L6" s="9" t="str">
        <f>"57,8682"</f>
        <v>57,8682</v>
      </c>
      <c r="M6" s="8" t="s">
        <v>23</v>
      </c>
    </row>
    <row r="7" spans="1:13">
      <c r="B7" s="6" t="s">
        <v>65</v>
      </c>
    </row>
    <row r="8" spans="1:13" ht="16">
      <c r="A8" s="80" t="s">
        <v>146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9" t="s">
        <v>64</v>
      </c>
      <c r="B9" s="8" t="s">
        <v>157</v>
      </c>
      <c r="C9" s="8" t="s">
        <v>158</v>
      </c>
      <c r="D9" s="8" t="s">
        <v>159</v>
      </c>
      <c r="E9" s="8" t="s">
        <v>686</v>
      </c>
      <c r="F9" s="8" t="s">
        <v>160</v>
      </c>
      <c r="G9" s="20" t="s">
        <v>161</v>
      </c>
      <c r="H9" s="19" t="s">
        <v>17</v>
      </c>
      <c r="I9" s="20" t="s">
        <v>39</v>
      </c>
      <c r="J9" s="9"/>
      <c r="K9" s="31" t="str">
        <f>"155,0"</f>
        <v>155,0</v>
      </c>
      <c r="L9" s="9" t="str">
        <f>"112,2510"</f>
        <v>112,2510</v>
      </c>
      <c r="M9" s="8"/>
    </row>
    <row r="10" spans="1:13">
      <c r="B10" s="6" t="s">
        <v>65</v>
      </c>
    </row>
    <row r="11" spans="1:13" ht="16">
      <c r="A11" s="80" t="s">
        <v>80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3">
      <c r="A12" s="11" t="s">
        <v>64</v>
      </c>
      <c r="B12" s="10" t="s">
        <v>361</v>
      </c>
      <c r="C12" s="10" t="s">
        <v>362</v>
      </c>
      <c r="D12" s="10" t="s">
        <v>177</v>
      </c>
      <c r="E12" s="10" t="s">
        <v>686</v>
      </c>
      <c r="F12" s="10" t="s">
        <v>650</v>
      </c>
      <c r="G12" s="24" t="s">
        <v>111</v>
      </c>
      <c r="H12" s="24" t="s">
        <v>89</v>
      </c>
      <c r="I12" s="21" t="s">
        <v>199</v>
      </c>
      <c r="J12" s="11"/>
      <c r="K12" s="32" t="str">
        <f>"195,0"</f>
        <v>195,0</v>
      </c>
      <c r="L12" s="11" t="str">
        <f>"130,7280"</f>
        <v>130,7280</v>
      </c>
      <c r="M12" s="10" t="s">
        <v>363</v>
      </c>
    </row>
    <row r="13" spans="1:13">
      <c r="A13" s="26" t="s">
        <v>132</v>
      </c>
      <c r="B13" s="25" t="s">
        <v>163</v>
      </c>
      <c r="C13" s="25" t="s">
        <v>164</v>
      </c>
      <c r="D13" s="25" t="s">
        <v>165</v>
      </c>
      <c r="E13" s="25" t="s">
        <v>686</v>
      </c>
      <c r="F13" s="25" t="s">
        <v>166</v>
      </c>
      <c r="G13" s="27" t="s">
        <v>111</v>
      </c>
      <c r="H13" s="27" t="s">
        <v>167</v>
      </c>
      <c r="I13" s="26"/>
      <c r="J13" s="26"/>
      <c r="K13" s="34" t="str">
        <f>"192,5"</f>
        <v>192,5</v>
      </c>
      <c r="L13" s="26" t="str">
        <f>"129,2445"</f>
        <v>129,2445</v>
      </c>
      <c r="M13" s="25" t="s">
        <v>653</v>
      </c>
    </row>
    <row r="14" spans="1:13">
      <c r="A14" s="13" t="s">
        <v>66</v>
      </c>
      <c r="B14" s="12" t="s">
        <v>364</v>
      </c>
      <c r="C14" s="12" t="s">
        <v>365</v>
      </c>
      <c r="D14" s="12" t="s">
        <v>366</v>
      </c>
      <c r="E14" s="12" t="s">
        <v>686</v>
      </c>
      <c r="F14" s="12" t="s">
        <v>367</v>
      </c>
      <c r="G14" s="23" t="s">
        <v>111</v>
      </c>
      <c r="H14" s="23" t="s">
        <v>111</v>
      </c>
      <c r="I14" s="23" t="s">
        <v>167</v>
      </c>
      <c r="J14" s="13"/>
      <c r="K14" s="33">
        <v>0</v>
      </c>
      <c r="L14" s="13" t="str">
        <f>"0,0000"</f>
        <v>0,0000</v>
      </c>
      <c r="M14" s="12"/>
    </row>
    <row r="15" spans="1:13">
      <c r="B15" s="6" t="s">
        <v>65</v>
      </c>
    </row>
    <row r="16" spans="1:13" ht="16">
      <c r="A16" s="80" t="s">
        <v>94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3">
      <c r="A17" s="11" t="s">
        <v>64</v>
      </c>
      <c r="B17" s="10" t="s">
        <v>368</v>
      </c>
      <c r="C17" s="10" t="s">
        <v>369</v>
      </c>
      <c r="D17" s="10" t="s">
        <v>370</v>
      </c>
      <c r="E17" s="10" t="s">
        <v>686</v>
      </c>
      <c r="F17" s="10" t="s">
        <v>659</v>
      </c>
      <c r="G17" s="21" t="s">
        <v>103</v>
      </c>
      <c r="H17" s="24" t="s">
        <v>35</v>
      </c>
      <c r="I17" s="24" t="s">
        <v>104</v>
      </c>
      <c r="J17" s="11"/>
      <c r="K17" s="32" t="str">
        <f>"225,0"</f>
        <v>225,0</v>
      </c>
      <c r="L17" s="11" t="str">
        <f>"144,9900"</f>
        <v>144,9900</v>
      </c>
      <c r="M17" s="10" t="s">
        <v>663</v>
      </c>
    </row>
    <row r="18" spans="1:13">
      <c r="A18" s="26" t="s">
        <v>132</v>
      </c>
      <c r="B18" s="25" t="s">
        <v>183</v>
      </c>
      <c r="C18" s="25" t="s">
        <v>184</v>
      </c>
      <c r="D18" s="25" t="s">
        <v>185</v>
      </c>
      <c r="E18" s="25" t="s">
        <v>686</v>
      </c>
      <c r="F18" s="25" t="s">
        <v>178</v>
      </c>
      <c r="G18" s="27" t="s">
        <v>19</v>
      </c>
      <c r="H18" s="27" t="s">
        <v>153</v>
      </c>
      <c r="I18" s="27" t="s">
        <v>109</v>
      </c>
      <c r="J18" s="26"/>
      <c r="K18" s="34" t="str">
        <f>"180,0"</f>
        <v>180,0</v>
      </c>
      <c r="L18" s="26" t="str">
        <f>"115,0380"</f>
        <v>115,0380</v>
      </c>
      <c r="M18" s="25" t="s">
        <v>23</v>
      </c>
    </row>
    <row r="19" spans="1:13">
      <c r="A19" s="26" t="s">
        <v>133</v>
      </c>
      <c r="B19" s="25" t="s">
        <v>371</v>
      </c>
      <c r="C19" s="25" t="s">
        <v>372</v>
      </c>
      <c r="D19" s="25" t="s">
        <v>373</v>
      </c>
      <c r="E19" s="25" t="s">
        <v>686</v>
      </c>
      <c r="F19" s="25" t="s">
        <v>650</v>
      </c>
      <c r="G19" s="27" t="s">
        <v>39</v>
      </c>
      <c r="H19" s="28" t="s">
        <v>153</v>
      </c>
      <c r="I19" s="27" t="s">
        <v>153</v>
      </c>
      <c r="J19" s="26"/>
      <c r="K19" s="34" t="str">
        <f>"175,0"</f>
        <v>175,0</v>
      </c>
      <c r="L19" s="26" t="str">
        <f>"111,7200"</f>
        <v>111,7200</v>
      </c>
      <c r="M19" s="25" t="s">
        <v>297</v>
      </c>
    </row>
    <row r="20" spans="1:13">
      <c r="A20" s="13" t="s">
        <v>66</v>
      </c>
      <c r="B20" s="12" t="s">
        <v>374</v>
      </c>
      <c r="C20" s="12" t="s">
        <v>375</v>
      </c>
      <c r="D20" s="12" t="s">
        <v>373</v>
      </c>
      <c r="E20" s="12" t="s">
        <v>686</v>
      </c>
      <c r="F20" s="12" t="s">
        <v>367</v>
      </c>
      <c r="G20" s="23" t="s">
        <v>39</v>
      </c>
      <c r="H20" s="23" t="s">
        <v>39</v>
      </c>
      <c r="I20" s="23" t="s">
        <v>39</v>
      </c>
      <c r="J20" s="13"/>
      <c r="K20" s="33">
        <v>0</v>
      </c>
      <c r="L20" s="13" t="str">
        <f>"0,0000"</f>
        <v>0,0000</v>
      </c>
      <c r="M20" s="12"/>
    </row>
    <row r="21" spans="1:13">
      <c r="B21" s="6" t="s">
        <v>65</v>
      </c>
    </row>
    <row r="22" spans="1:13" ht="16">
      <c r="A22" s="80" t="s">
        <v>10</v>
      </c>
      <c r="B22" s="80"/>
      <c r="C22" s="80"/>
      <c r="D22" s="80"/>
      <c r="E22" s="80"/>
      <c r="F22" s="80"/>
      <c r="G22" s="80"/>
      <c r="H22" s="80"/>
      <c r="I22" s="80"/>
      <c r="J22" s="80"/>
    </row>
    <row r="23" spans="1:13">
      <c r="A23" s="11" t="s">
        <v>64</v>
      </c>
      <c r="B23" s="10" t="s">
        <v>376</v>
      </c>
      <c r="C23" s="10" t="s">
        <v>377</v>
      </c>
      <c r="D23" s="10" t="s">
        <v>378</v>
      </c>
      <c r="E23" s="10" t="s">
        <v>686</v>
      </c>
      <c r="F23" s="10" t="s">
        <v>675</v>
      </c>
      <c r="G23" s="24" t="s">
        <v>162</v>
      </c>
      <c r="H23" s="21" t="s">
        <v>14</v>
      </c>
      <c r="I23" s="21" t="s">
        <v>14</v>
      </c>
      <c r="J23" s="11"/>
      <c r="K23" s="32" t="str">
        <f>"230,0"</f>
        <v>230,0</v>
      </c>
      <c r="L23" s="11" t="str">
        <f>"142,3240"</f>
        <v>142,3240</v>
      </c>
      <c r="M23" s="10" t="s">
        <v>379</v>
      </c>
    </row>
    <row r="24" spans="1:13">
      <c r="A24" s="26" t="s">
        <v>132</v>
      </c>
      <c r="B24" s="25" t="s">
        <v>205</v>
      </c>
      <c r="C24" s="25" t="s">
        <v>206</v>
      </c>
      <c r="D24" s="25" t="s">
        <v>207</v>
      </c>
      <c r="E24" s="25" t="s">
        <v>686</v>
      </c>
      <c r="F24" s="25" t="s">
        <v>178</v>
      </c>
      <c r="G24" s="27" t="s">
        <v>88</v>
      </c>
      <c r="H24" s="27" t="s">
        <v>109</v>
      </c>
      <c r="I24" s="28" t="s">
        <v>111</v>
      </c>
      <c r="J24" s="26"/>
      <c r="K24" s="34" t="str">
        <f>"180,0"</f>
        <v>180,0</v>
      </c>
      <c r="L24" s="26" t="str">
        <f>"109,5840"</f>
        <v>109,5840</v>
      </c>
      <c r="M24" s="25" t="s">
        <v>23</v>
      </c>
    </row>
    <row r="25" spans="1:13">
      <c r="A25" s="13" t="s">
        <v>133</v>
      </c>
      <c r="B25" s="12" t="s">
        <v>214</v>
      </c>
      <c r="C25" s="12" t="s">
        <v>215</v>
      </c>
      <c r="D25" s="12" t="s">
        <v>216</v>
      </c>
      <c r="E25" s="12" t="s">
        <v>686</v>
      </c>
      <c r="F25" s="12" t="s">
        <v>217</v>
      </c>
      <c r="G25" s="22" t="s">
        <v>19</v>
      </c>
      <c r="H25" s="22" t="s">
        <v>153</v>
      </c>
      <c r="I25" s="23" t="s">
        <v>111</v>
      </c>
      <c r="J25" s="13"/>
      <c r="K25" s="33" t="str">
        <f>"175,0"</f>
        <v>175,0</v>
      </c>
      <c r="L25" s="13" t="str">
        <f>"108,3425"</f>
        <v>108,3425</v>
      </c>
      <c r="M25" s="12" t="s">
        <v>656</v>
      </c>
    </row>
    <row r="26" spans="1:13">
      <c r="B26" s="6" t="s">
        <v>65</v>
      </c>
    </row>
    <row r="27" spans="1:13" ht="16">
      <c r="A27" s="80" t="s">
        <v>24</v>
      </c>
      <c r="B27" s="80"/>
      <c r="C27" s="80"/>
      <c r="D27" s="80"/>
      <c r="E27" s="80"/>
      <c r="F27" s="80"/>
      <c r="G27" s="80"/>
      <c r="H27" s="80"/>
      <c r="I27" s="80"/>
      <c r="J27" s="80"/>
    </row>
    <row r="28" spans="1:13">
      <c r="A28" s="11" t="s">
        <v>64</v>
      </c>
      <c r="B28" s="10" t="s">
        <v>380</v>
      </c>
      <c r="C28" s="10" t="s">
        <v>381</v>
      </c>
      <c r="D28" s="10" t="s">
        <v>382</v>
      </c>
      <c r="E28" s="10" t="s">
        <v>686</v>
      </c>
      <c r="F28" s="10" t="s">
        <v>659</v>
      </c>
      <c r="G28" s="24" t="s">
        <v>104</v>
      </c>
      <c r="H28" s="24" t="s">
        <v>36</v>
      </c>
      <c r="I28" s="21" t="s">
        <v>14</v>
      </c>
      <c r="J28" s="11"/>
      <c r="K28" s="32" t="str">
        <f>"235,0"</f>
        <v>235,0</v>
      </c>
      <c r="L28" s="11" t="str">
        <f>"138,8850"</f>
        <v>138,8850</v>
      </c>
      <c r="M28" s="10" t="s">
        <v>663</v>
      </c>
    </row>
    <row r="29" spans="1:13">
      <c r="A29" s="26" t="s">
        <v>132</v>
      </c>
      <c r="B29" s="25" t="s">
        <v>383</v>
      </c>
      <c r="C29" s="25" t="s">
        <v>384</v>
      </c>
      <c r="D29" s="25" t="s">
        <v>385</v>
      </c>
      <c r="E29" s="25" t="s">
        <v>686</v>
      </c>
      <c r="F29" s="25" t="s">
        <v>650</v>
      </c>
      <c r="G29" s="27" t="s">
        <v>48</v>
      </c>
      <c r="H29" s="27" t="s">
        <v>49</v>
      </c>
      <c r="I29" s="27" t="s">
        <v>50</v>
      </c>
      <c r="J29" s="26"/>
      <c r="K29" s="34" t="str">
        <f>"205,0"</f>
        <v>205,0</v>
      </c>
      <c r="L29" s="26" t="str">
        <f>"120,7450"</f>
        <v>120,7450</v>
      </c>
      <c r="M29" s="25" t="s">
        <v>23</v>
      </c>
    </row>
    <row r="30" spans="1:13">
      <c r="A30" s="13" t="s">
        <v>64</v>
      </c>
      <c r="B30" s="12" t="s">
        <v>119</v>
      </c>
      <c r="C30" s="12" t="s">
        <v>127</v>
      </c>
      <c r="D30" s="12" t="s">
        <v>34</v>
      </c>
      <c r="E30" s="12" t="s">
        <v>688</v>
      </c>
      <c r="F30" s="12" t="s">
        <v>629</v>
      </c>
      <c r="G30" s="22" t="s">
        <v>19</v>
      </c>
      <c r="H30" s="23" t="s">
        <v>88</v>
      </c>
      <c r="I30" s="22" t="s">
        <v>88</v>
      </c>
      <c r="J30" s="13"/>
      <c r="K30" s="33" t="str">
        <f>"170,0"</f>
        <v>170,0</v>
      </c>
      <c r="L30" s="13" t="str">
        <f>"106,0837"</f>
        <v>106,0837</v>
      </c>
      <c r="M30" s="12"/>
    </row>
    <row r="31" spans="1:13">
      <c r="B31" s="6" t="s">
        <v>65</v>
      </c>
    </row>
    <row r="32" spans="1:13" ht="16">
      <c r="A32" s="80" t="s">
        <v>42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3">
      <c r="A33" s="9" t="s">
        <v>66</v>
      </c>
      <c r="B33" s="8" t="s">
        <v>387</v>
      </c>
      <c r="C33" s="8" t="s">
        <v>388</v>
      </c>
      <c r="D33" s="8" t="s">
        <v>389</v>
      </c>
      <c r="E33" s="8" t="s">
        <v>686</v>
      </c>
      <c r="F33" s="8" t="s">
        <v>390</v>
      </c>
      <c r="G33" s="20" t="s">
        <v>153</v>
      </c>
      <c r="H33" s="20" t="s">
        <v>153</v>
      </c>
      <c r="I33" s="20" t="s">
        <v>153</v>
      </c>
      <c r="J33" s="9"/>
      <c r="K33" s="31">
        <v>0</v>
      </c>
      <c r="L33" s="9" t="str">
        <f>"0,0000"</f>
        <v>0,0000</v>
      </c>
      <c r="M33" s="8" t="s">
        <v>391</v>
      </c>
    </row>
    <row r="34" spans="1:13">
      <c r="B34" s="6" t="s">
        <v>65</v>
      </c>
    </row>
    <row r="35" spans="1:13" ht="16">
      <c r="A35" s="80" t="s">
        <v>392</v>
      </c>
      <c r="B35" s="80"/>
      <c r="C35" s="80"/>
      <c r="D35" s="80"/>
      <c r="E35" s="80"/>
      <c r="F35" s="80"/>
      <c r="G35" s="80"/>
      <c r="H35" s="80"/>
      <c r="I35" s="80"/>
      <c r="J35" s="80"/>
    </row>
    <row r="36" spans="1:13">
      <c r="A36" s="11" t="s">
        <v>64</v>
      </c>
      <c r="B36" s="10" t="s">
        <v>393</v>
      </c>
      <c r="C36" s="10" t="s">
        <v>394</v>
      </c>
      <c r="D36" s="10" t="s">
        <v>395</v>
      </c>
      <c r="E36" s="10" t="s">
        <v>686</v>
      </c>
      <c r="F36" s="10" t="s">
        <v>310</v>
      </c>
      <c r="G36" s="24" t="s">
        <v>50</v>
      </c>
      <c r="H36" s="24" t="s">
        <v>103</v>
      </c>
      <c r="I36" s="11"/>
      <c r="J36" s="11"/>
      <c r="K36" s="32" t="str">
        <f>"215,0"</f>
        <v>215,0</v>
      </c>
      <c r="L36" s="11" t="str">
        <f>"120,1850"</f>
        <v>120,1850</v>
      </c>
      <c r="M36" s="10" t="s">
        <v>23</v>
      </c>
    </row>
    <row r="37" spans="1:13">
      <c r="A37" s="13" t="s">
        <v>66</v>
      </c>
      <c r="B37" s="12" t="s">
        <v>396</v>
      </c>
      <c r="C37" s="12" t="s">
        <v>397</v>
      </c>
      <c r="D37" s="12" t="s">
        <v>398</v>
      </c>
      <c r="E37" s="12" t="s">
        <v>686</v>
      </c>
      <c r="F37" s="12" t="s">
        <v>178</v>
      </c>
      <c r="G37" s="23" t="s">
        <v>100</v>
      </c>
      <c r="H37" s="23" t="s">
        <v>100</v>
      </c>
      <c r="I37" s="23" t="s">
        <v>100</v>
      </c>
      <c r="J37" s="13"/>
      <c r="K37" s="33">
        <v>0</v>
      </c>
      <c r="L37" s="13" t="str">
        <f>"0,0000"</f>
        <v>0,0000</v>
      </c>
      <c r="M37" s="12" t="s">
        <v>23</v>
      </c>
    </row>
    <row r="38" spans="1:13">
      <c r="B38" s="6" t="s">
        <v>65</v>
      </c>
    </row>
    <row r="39" spans="1:13">
      <c r="B39" s="6" t="s">
        <v>65</v>
      </c>
    </row>
    <row r="40" spans="1:13">
      <c r="B40" s="6" t="s">
        <v>65</v>
      </c>
    </row>
    <row r="41" spans="1:13" ht="18">
      <c r="B41" s="14" t="s">
        <v>53</v>
      </c>
      <c r="C41" s="14"/>
      <c r="F41" s="3"/>
    </row>
    <row r="42" spans="1:13" ht="14">
      <c r="B42" s="16"/>
      <c r="C42" s="17" t="s">
        <v>55</v>
      </c>
      <c r="F42" s="3"/>
    </row>
    <row r="43" spans="1:13" ht="14">
      <c r="B43" s="18" t="s">
        <v>56</v>
      </c>
      <c r="C43" s="18" t="s">
        <v>57</v>
      </c>
      <c r="D43" s="18" t="s">
        <v>645</v>
      </c>
      <c r="E43" s="18" t="s">
        <v>355</v>
      </c>
      <c r="F43" s="18" t="s">
        <v>60</v>
      </c>
    </row>
    <row r="44" spans="1:13">
      <c r="B44" s="6" t="s">
        <v>368</v>
      </c>
      <c r="C44" s="6" t="s">
        <v>55</v>
      </c>
      <c r="D44" s="7" t="s">
        <v>131</v>
      </c>
      <c r="E44" s="7" t="s">
        <v>104</v>
      </c>
      <c r="F44" s="7" t="s">
        <v>399</v>
      </c>
    </row>
    <row r="45" spans="1:13">
      <c r="B45" s="6" t="s">
        <v>376</v>
      </c>
      <c r="C45" s="6" t="s">
        <v>55</v>
      </c>
      <c r="D45" s="7" t="s">
        <v>62</v>
      </c>
      <c r="E45" s="7" t="s">
        <v>162</v>
      </c>
      <c r="F45" s="7" t="s">
        <v>400</v>
      </c>
    </row>
    <row r="46" spans="1:13">
      <c r="B46" s="6" t="s">
        <v>380</v>
      </c>
      <c r="C46" s="6" t="s">
        <v>55</v>
      </c>
      <c r="D46" s="7" t="s">
        <v>63</v>
      </c>
      <c r="E46" s="7" t="s">
        <v>36</v>
      </c>
      <c r="F46" s="7" t="s">
        <v>401</v>
      </c>
    </row>
  </sheetData>
  <mergeCells count="19">
    <mergeCell ref="A35:J35"/>
    <mergeCell ref="B3:B4"/>
    <mergeCell ref="A8:J8"/>
    <mergeCell ref="A11:J11"/>
    <mergeCell ref="A16:J16"/>
    <mergeCell ref="A22:J22"/>
    <mergeCell ref="A27:J27"/>
    <mergeCell ref="A32:J3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/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6" bestFit="1" customWidth="1"/>
    <col min="2" max="2" width="23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31.1640625" style="6" bestFit="1" customWidth="1"/>
    <col min="7" max="9" width="5.5" style="7" customWidth="1"/>
    <col min="10" max="10" width="4.83203125" style="7" customWidth="1"/>
    <col min="11" max="11" width="10.5" style="7" bestFit="1" customWidth="1"/>
    <col min="12" max="12" width="8.5" style="7" bestFit="1" customWidth="1"/>
    <col min="13" max="13" width="18" style="6" customWidth="1"/>
    <col min="14" max="16384" width="9.1640625" style="3"/>
  </cols>
  <sheetData>
    <row r="1" spans="1:13" s="2" customFormat="1" ht="29" customHeight="1">
      <c r="A1" s="59" t="s">
        <v>636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2" customFormat="1" ht="62" customHeight="1" thickBot="1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s="1" customFormat="1" ht="12.75" customHeight="1">
      <c r="A3" s="67" t="s">
        <v>683</v>
      </c>
      <c r="B3" s="78" t="s">
        <v>0</v>
      </c>
      <c r="C3" s="69" t="s">
        <v>684</v>
      </c>
      <c r="D3" s="69" t="s">
        <v>6</v>
      </c>
      <c r="E3" s="71" t="s">
        <v>685</v>
      </c>
      <c r="F3" s="71" t="s">
        <v>5</v>
      </c>
      <c r="G3" s="71" t="s">
        <v>8</v>
      </c>
      <c r="H3" s="71"/>
      <c r="I3" s="71"/>
      <c r="J3" s="71"/>
      <c r="K3" s="71" t="s">
        <v>356</v>
      </c>
      <c r="L3" s="71" t="s">
        <v>3</v>
      </c>
      <c r="M3" s="74" t="s">
        <v>2</v>
      </c>
    </row>
    <row r="4" spans="1:13" s="1" customFormat="1" ht="21" customHeight="1" thickBot="1">
      <c r="A4" s="68"/>
      <c r="B4" s="79"/>
      <c r="C4" s="70"/>
      <c r="D4" s="70"/>
      <c r="E4" s="70"/>
      <c r="F4" s="70"/>
      <c r="G4" s="4">
        <v>1</v>
      </c>
      <c r="H4" s="4">
        <v>2</v>
      </c>
      <c r="I4" s="4">
        <v>3</v>
      </c>
      <c r="J4" s="4" t="s">
        <v>4</v>
      </c>
      <c r="K4" s="70"/>
      <c r="L4" s="70"/>
      <c r="M4" s="75"/>
    </row>
    <row r="5" spans="1:13" ht="16">
      <c r="A5" s="76" t="s">
        <v>80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9" t="s">
        <v>64</v>
      </c>
      <c r="B6" s="8" t="s">
        <v>442</v>
      </c>
      <c r="C6" s="8" t="s">
        <v>443</v>
      </c>
      <c r="D6" s="8" t="s">
        <v>444</v>
      </c>
      <c r="E6" s="8" t="s">
        <v>690</v>
      </c>
      <c r="F6" s="8" t="s">
        <v>178</v>
      </c>
      <c r="G6" s="19" t="s">
        <v>221</v>
      </c>
      <c r="H6" s="20" t="s">
        <v>109</v>
      </c>
      <c r="I6" s="19" t="s">
        <v>30</v>
      </c>
      <c r="J6" s="9"/>
      <c r="K6" s="9" t="str">
        <f>"182,5"</f>
        <v>182,5</v>
      </c>
      <c r="L6" s="9" t="str">
        <f>"121,8370"</f>
        <v>121,8370</v>
      </c>
      <c r="M6" s="8" t="s">
        <v>511</v>
      </c>
    </row>
    <row r="7" spans="1:13">
      <c r="B7" s="6" t="s">
        <v>65</v>
      </c>
    </row>
    <row r="8" spans="1:13" ht="16">
      <c r="A8" s="80" t="s">
        <v>10</v>
      </c>
      <c r="B8" s="80"/>
      <c r="C8" s="80"/>
      <c r="D8" s="80"/>
      <c r="E8" s="80"/>
      <c r="F8" s="80"/>
      <c r="G8" s="80"/>
      <c r="H8" s="80"/>
      <c r="I8" s="80"/>
      <c r="J8" s="80"/>
    </row>
    <row r="9" spans="1:13">
      <c r="A9" s="9" t="s">
        <v>64</v>
      </c>
      <c r="B9" s="8" t="s">
        <v>509</v>
      </c>
      <c r="C9" s="8" t="s">
        <v>510</v>
      </c>
      <c r="D9" s="8" t="s">
        <v>479</v>
      </c>
      <c r="E9" s="8" t="s">
        <v>686</v>
      </c>
      <c r="F9" s="8" t="s">
        <v>178</v>
      </c>
      <c r="G9" s="20" t="s">
        <v>19</v>
      </c>
      <c r="H9" s="19" t="s">
        <v>19</v>
      </c>
      <c r="I9" s="20" t="s">
        <v>328</v>
      </c>
      <c r="J9" s="9"/>
      <c r="K9" s="9" t="str">
        <f>"165,0"</f>
        <v>165,0</v>
      </c>
      <c r="L9" s="9" t="str">
        <f>"98,3647"</f>
        <v>98,3647</v>
      </c>
      <c r="M9" s="8" t="s">
        <v>511</v>
      </c>
    </row>
    <row r="10" spans="1:13">
      <c r="B10" s="6" t="s">
        <v>65</v>
      </c>
    </row>
    <row r="11" spans="1:13" ht="16">
      <c r="A11" s="80" t="s">
        <v>24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3">
      <c r="A12" s="11" t="s">
        <v>64</v>
      </c>
      <c r="B12" s="10" t="s">
        <v>119</v>
      </c>
      <c r="C12" s="10" t="s">
        <v>120</v>
      </c>
      <c r="D12" s="10" t="s">
        <v>34</v>
      </c>
      <c r="E12" s="10" t="s">
        <v>686</v>
      </c>
      <c r="F12" s="10" t="s">
        <v>629</v>
      </c>
      <c r="G12" s="24" t="s">
        <v>35</v>
      </c>
      <c r="H12" s="24" t="s">
        <v>14</v>
      </c>
      <c r="I12" s="21" t="s">
        <v>168</v>
      </c>
      <c r="J12" s="11"/>
      <c r="K12" s="11" t="str">
        <f>"240,0"</f>
        <v>240,0</v>
      </c>
      <c r="L12" s="11" t="str">
        <f>"135,0360"</f>
        <v>135,0360</v>
      </c>
      <c r="M12" s="10"/>
    </row>
    <row r="13" spans="1:13">
      <c r="A13" s="13" t="s">
        <v>64</v>
      </c>
      <c r="B13" s="12" t="s">
        <v>119</v>
      </c>
      <c r="C13" s="12" t="s">
        <v>127</v>
      </c>
      <c r="D13" s="12" t="s">
        <v>34</v>
      </c>
      <c r="E13" s="12" t="s">
        <v>688</v>
      </c>
      <c r="F13" s="12" t="s">
        <v>629</v>
      </c>
      <c r="G13" s="22" t="s">
        <v>35</v>
      </c>
      <c r="H13" s="22" t="s">
        <v>14</v>
      </c>
      <c r="I13" s="23" t="s">
        <v>168</v>
      </c>
      <c r="J13" s="13"/>
      <c r="K13" s="13" t="str">
        <f>"240,0"</f>
        <v>240,0</v>
      </c>
      <c r="L13" s="13" t="str">
        <f>"142,4630"</f>
        <v>142,4630</v>
      </c>
      <c r="M13" s="12"/>
    </row>
    <row r="14" spans="1:13">
      <c r="B14" s="6" t="s">
        <v>65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Тяга без экипировки ДК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2021-01-09T15:05:03Z</dcterms:modified>
</cp:coreProperties>
</file>