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4A6133B8-1840-3648-B896-FC157C9E264C}" xr6:coauthVersionLast="45" xr6:coauthVersionMax="45" xr10:uidLastSave="{00000000-0000-0000-0000-000000000000}"/>
  <bookViews>
    <workbookView xWindow="480" yWindow="460" windowWidth="28320" windowHeight="16060" firstSheet="15" activeTab="21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Л в бинтах" sheetId="7" r:id="rId4"/>
    <sheet name="IPL Двоеборье без экип ДК" sheetId="21" r:id="rId5"/>
    <sheet name="IPL Двоеборье без экип" sheetId="20" r:id="rId6"/>
    <sheet name="IPL Присед без экипировки ДК" sheetId="17" r:id="rId7"/>
    <sheet name="IPL Присед без экипировки" sheetId="16" r:id="rId8"/>
    <sheet name="IPL Жим без экипировки ДК" sheetId="10" r:id="rId9"/>
    <sheet name="IPL Жим без экипировки" sheetId="9" r:id="rId10"/>
    <sheet name="IPL Жим однослой ДК" sheetId="12" r:id="rId11"/>
    <sheet name="IPL Жим однослой" sheetId="11" r:id="rId12"/>
    <sheet name="СПР Жим софт однопетельная ДК" sheetId="23" r:id="rId13"/>
    <sheet name="IPL Тяга без экипировки ДК" sheetId="14" r:id="rId14"/>
    <sheet name="IPL Тяга без экипировки" sheetId="13" r:id="rId15"/>
    <sheet name="IPL Тяга многослой" sheetId="15" r:id="rId16"/>
    <sheet name="СПР Пауэрспорт ДК" sheetId="30" r:id="rId17"/>
    <sheet name="СПР Пауэрспорт" sheetId="29" r:id="rId18"/>
    <sheet name="СПР Жим стоя ДК" sheetId="26" r:id="rId19"/>
    <sheet name="СПР Жим стоя" sheetId="25" r:id="rId20"/>
    <sheet name="СПР Подъем на бицепс ДК" sheetId="28" r:id="rId21"/>
    <sheet name="СПР Подъем на бицепс" sheetId="27" r:id="rId22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25" l="1"/>
  <c r="K6" i="25"/>
  <c r="P17" i="30" l="1"/>
  <c r="O17" i="30"/>
  <c r="P14" i="30"/>
  <c r="O14" i="30"/>
  <c r="P13" i="30"/>
  <c r="O13" i="30"/>
  <c r="P10" i="30"/>
  <c r="O10" i="30"/>
  <c r="P7" i="30"/>
  <c r="O7" i="30"/>
  <c r="P6" i="30"/>
  <c r="O6" i="30"/>
  <c r="P9" i="29"/>
  <c r="O9" i="29"/>
  <c r="P6" i="29"/>
  <c r="O6" i="29"/>
  <c r="L21" i="28"/>
  <c r="K21" i="28"/>
  <c r="L18" i="28"/>
  <c r="L17" i="28"/>
  <c r="K17" i="28"/>
  <c r="L14" i="28"/>
  <c r="L13" i="28"/>
  <c r="K13" i="28"/>
  <c r="L12" i="28"/>
  <c r="K12" i="28"/>
  <c r="L11" i="28"/>
  <c r="K11" i="28"/>
  <c r="L10" i="28"/>
  <c r="K10" i="28"/>
  <c r="L9" i="28"/>
  <c r="K9" i="28"/>
  <c r="L6" i="28"/>
  <c r="K6" i="28"/>
  <c r="L9" i="27"/>
  <c r="K9" i="27"/>
  <c r="L6" i="27"/>
  <c r="K6" i="27"/>
  <c r="L6" i="26"/>
  <c r="K6" i="26"/>
  <c r="L9" i="25"/>
  <c r="L8" i="25"/>
  <c r="K8" i="25"/>
  <c r="L9" i="23"/>
  <c r="K9" i="23"/>
  <c r="L6" i="23"/>
  <c r="K6" i="23"/>
  <c r="P13" i="21"/>
  <c r="O13" i="21"/>
  <c r="P10" i="21"/>
  <c r="O10" i="21"/>
  <c r="P7" i="21"/>
  <c r="O7" i="21"/>
  <c r="P6" i="21"/>
  <c r="O6" i="21"/>
  <c r="P7" i="20"/>
  <c r="O7" i="20"/>
  <c r="P6" i="20"/>
  <c r="O6" i="20"/>
  <c r="L6" i="17"/>
  <c r="K6" i="17"/>
  <c r="L9" i="16"/>
  <c r="K9" i="16"/>
  <c r="L6" i="16"/>
  <c r="K6" i="16"/>
  <c r="L6" i="15"/>
  <c r="K6" i="15"/>
  <c r="L28" i="14"/>
  <c r="K28" i="14"/>
  <c r="L27" i="14"/>
  <c r="K27" i="14"/>
  <c r="L24" i="14"/>
  <c r="K24" i="14"/>
  <c r="L23" i="14"/>
  <c r="K23" i="14"/>
  <c r="L22" i="14"/>
  <c r="K22" i="14"/>
  <c r="L21" i="14"/>
  <c r="K21" i="14"/>
  <c r="L18" i="14"/>
  <c r="K18" i="14"/>
  <c r="L17" i="14"/>
  <c r="K17" i="14"/>
  <c r="L16" i="14"/>
  <c r="K16" i="14"/>
  <c r="L15" i="14"/>
  <c r="K15" i="14"/>
  <c r="L12" i="14"/>
  <c r="K12" i="14"/>
  <c r="L9" i="14"/>
  <c r="K9" i="14"/>
  <c r="L6" i="14"/>
  <c r="K6" i="14"/>
  <c r="L19" i="13"/>
  <c r="K19" i="13"/>
  <c r="L18" i="13"/>
  <c r="K18" i="13"/>
  <c r="L17" i="13"/>
  <c r="K17" i="13"/>
  <c r="L16" i="13"/>
  <c r="K16" i="13"/>
  <c r="L13" i="13"/>
  <c r="L12" i="13"/>
  <c r="K12" i="13"/>
  <c r="L9" i="13"/>
  <c r="K9" i="13"/>
  <c r="L6" i="13"/>
  <c r="K6" i="13"/>
  <c r="L6" i="12"/>
  <c r="K6" i="12"/>
  <c r="L6" i="11"/>
  <c r="K6" i="11"/>
  <c r="L52" i="10"/>
  <c r="K52" i="10"/>
  <c r="L49" i="10"/>
  <c r="K49" i="10"/>
  <c r="L48" i="10"/>
  <c r="K48" i="10"/>
  <c r="L47" i="10"/>
  <c r="K47" i="10"/>
  <c r="L44" i="10"/>
  <c r="K44" i="10"/>
  <c r="L43" i="10"/>
  <c r="K43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1" i="10"/>
  <c r="K31" i="10"/>
  <c r="L28" i="10"/>
  <c r="K28" i="10"/>
  <c r="L27" i="10"/>
  <c r="K27" i="10"/>
  <c r="L26" i="10"/>
  <c r="K26" i="10"/>
  <c r="L25" i="10"/>
  <c r="K25" i="10"/>
  <c r="L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3" i="10"/>
  <c r="K13" i="10"/>
  <c r="L10" i="10"/>
  <c r="K10" i="10"/>
  <c r="L7" i="10"/>
  <c r="K7" i="10"/>
  <c r="L6" i="10"/>
  <c r="K6" i="10"/>
  <c r="L47" i="9"/>
  <c r="K47" i="9"/>
  <c r="L44" i="9"/>
  <c r="K44" i="9"/>
  <c r="L43" i="9"/>
  <c r="K43" i="9"/>
  <c r="L40" i="9"/>
  <c r="K40" i="9"/>
  <c r="L39" i="9"/>
  <c r="K39" i="9"/>
  <c r="L38" i="9"/>
  <c r="K38" i="9"/>
  <c r="L37" i="9"/>
  <c r="K37" i="9"/>
  <c r="L36" i="9"/>
  <c r="K36" i="9"/>
  <c r="L33" i="9"/>
  <c r="K33" i="9"/>
  <c r="L32" i="9"/>
  <c r="K32" i="9"/>
  <c r="L31" i="9"/>
  <c r="K31" i="9"/>
  <c r="L30" i="9"/>
  <c r="K30" i="9"/>
  <c r="L27" i="9"/>
  <c r="K27" i="9"/>
  <c r="L26" i="9"/>
  <c r="K26" i="9"/>
  <c r="L23" i="9"/>
  <c r="K23" i="9"/>
  <c r="L22" i="9"/>
  <c r="K22" i="9"/>
  <c r="L19" i="9"/>
  <c r="K19" i="9"/>
  <c r="L18" i="9"/>
  <c r="K18" i="9"/>
  <c r="L15" i="9"/>
  <c r="K15" i="9"/>
  <c r="L12" i="9"/>
  <c r="K12" i="9"/>
  <c r="L9" i="9"/>
  <c r="K9" i="9"/>
  <c r="L6" i="9"/>
  <c r="K6" i="9"/>
  <c r="T14" i="8"/>
  <c r="S14" i="8"/>
  <c r="T13" i="8"/>
  <c r="S13" i="8"/>
  <c r="T10" i="8"/>
  <c r="S10" i="8"/>
  <c r="T7" i="8"/>
  <c r="S7" i="8"/>
  <c r="T6" i="8"/>
  <c r="S6" i="8"/>
  <c r="T12" i="7"/>
  <c r="S12" i="7"/>
  <c r="T9" i="7"/>
  <c r="S9" i="7"/>
  <c r="T8" i="7"/>
  <c r="S8" i="7"/>
  <c r="T7" i="7"/>
  <c r="S7" i="7"/>
  <c r="T6" i="7"/>
  <c r="S6" i="7"/>
  <c r="T24" i="6"/>
  <c r="S24" i="6"/>
  <c r="T21" i="6"/>
  <c r="S21" i="6"/>
  <c r="T18" i="6"/>
  <c r="S18" i="6"/>
  <c r="T17" i="6"/>
  <c r="S17" i="6"/>
  <c r="T16" i="6"/>
  <c r="S16" i="6"/>
  <c r="T13" i="6"/>
  <c r="S13" i="6"/>
  <c r="T12" i="6"/>
  <c r="S12" i="6"/>
  <c r="T9" i="6"/>
  <c r="S9" i="6"/>
  <c r="T6" i="6"/>
  <c r="S6" i="6"/>
  <c r="T19" i="5"/>
  <c r="S19" i="5"/>
  <c r="T16" i="5"/>
  <c r="S16" i="5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<sst xmlns="http://schemas.openxmlformats.org/spreadsheetml/2006/main" count="2009" uniqueCount="604">
  <si>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</si>
  <si>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</si>
  <si>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</si>
  <si>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</si>
  <si>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</si>
  <si>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</si>
  <si>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</si>
  <si>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</si>
  <si>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</si>
  <si>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</si>
  <si>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</si>
  <si>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Печенкин Александр</t>
  </si>
  <si>
    <t>Юноши 15-19 (01.04.2004)/16</t>
  </si>
  <si>
    <t>55,30</t>
  </si>
  <si>
    <t xml:space="preserve">Самара/Самарская область </t>
  </si>
  <si>
    <t>65,0</t>
  </si>
  <si>
    <t>67,5</t>
  </si>
  <si>
    <t>75,0</t>
  </si>
  <si>
    <t>55,0</t>
  </si>
  <si>
    <t>60,0</t>
  </si>
  <si>
    <t>80,0</t>
  </si>
  <si>
    <t>90,0</t>
  </si>
  <si>
    <t>97,5</t>
  </si>
  <si>
    <t>ВЕСОВАЯ КАТЕГОРИЯ   60</t>
  </si>
  <si>
    <t>Валеев Артур</t>
  </si>
  <si>
    <t>Юноши 15-19 (26.12.2002)/17</t>
  </si>
  <si>
    <t>59,60</t>
  </si>
  <si>
    <t>100,0</t>
  </si>
  <si>
    <t>110,0</t>
  </si>
  <si>
    <t>115,0</t>
  </si>
  <si>
    <t>70,0</t>
  </si>
  <si>
    <t>120,0</t>
  </si>
  <si>
    <t>130,0</t>
  </si>
  <si>
    <t>ВЕСОВАЯ КАТЕГОРИЯ   67.5</t>
  </si>
  <si>
    <t>Расеев Никита</t>
  </si>
  <si>
    <t>Юноши 15-19 (23.05.2005)/15</t>
  </si>
  <si>
    <t>65,70</t>
  </si>
  <si>
    <t>72,5</t>
  </si>
  <si>
    <t>137,5</t>
  </si>
  <si>
    <t>142,5</t>
  </si>
  <si>
    <t>ВЕСОВАЯ КАТЕГОРИЯ   90</t>
  </si>
  <si>
    <t>Киричук Вячеслав</t>
  </si>
  <si>
    <t>Открытая (17.06.1989)/31</t>
  </si>
  <si>
    <t>85,80</t>
  </si>
  <si>
    <t>165,0</t>
  </si>
  <si>
    <t>175,0</t>
  </si>
  <si>
    <t>125,0</t>
  </si>
  <si>
    <t>135,0</t>
  </si>
  <si>
    <t>200,0</t>
  </si>
  <si>
    <t>212,5</t>
  </si>
  <si>
    <t>225,0</t>
  </si>
  <si>
    <t>Исаев Андрей</t>
  </si>
  <si>
    <t>82,90</t>
  </si>
  <si>
    <t>95,0</t>
  </si>
  <si>
    <t>ВЕСОВАЯ КАТЕГОРИЯ   110</t>
  </si>
  <si>
    <t>Казачков Иван</t>
  </si>
  <si>
    <t>Открытая (01.04.1989)/31</t>
  </si>
  <si>
    <t>101,10</t>
  </si>
  <si>
    <t xml:space="preserve">Тольятти/Самарская область </t>
  </si>
  <si>
    <t>255,0</t>
  </si>
  <si>
    <t>275,0</t>
  </si>
  <si>
    <t>290,0</t>
  </si>
  <si>
    <t>170,0</t>
  </si>
  <si>
    <t>180,0</t>
  </si>
  <si>
    <t>285,0</t>
  </si>
  <si>
    <t>305,0</t>
  </si>
  <si>
    <t>320,0</t>
  </si>
  <si>
    <t xml:space="preserve">Луговой А. 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</si>
  <si>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</si>
  <si>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</si>
  <si>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</si>
  <si>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</si>
  <si>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Весовая </t>
  </si>
  <si>
    <t xml:space="preserve">Wilks </t>
  </si>
  <si>
    <t>60</t>
  </si>
  <si>
    <t>227,5</t>
  </si>
  <si>
    <t xml:space="preserve">Открытая </t>
  </si>
  <si>
    <t>110</t>
  </si>
  <si>
    <t>90</t>
  </si>
  <si>
    <t>1</t>
  </si>
  <si>
    <t/>
  </si>
  <si>
    <t>ВЕСОВАЯ КАТЕГОРИЯ   52</t>
  </si>
  <si>
    <t>Стрельникова Мария</t>
  </si>
  <si>
    <t>Девушки 15-19 (07.04.2005)/15</t>
  </si>
  <si>
    <t>50,30</t>
  </si>
  <si>
    <t xml:space="preserve">Отрадный/Самарская область </t>
  </si>
  <si>
    <t>77,5</t>
  </si>
  <si>
    <t>40,0</t>
  </si>
  <si>
    <t>42,5</t>
  </si>
  <si>
    <t>82,5</t>
  </si>
  <si>
    <t>Сычева Елена</t>
  </si>
  <si>
    <t>Открытая (22.07.1985)/35</t>
  </si>
  <si>
    <t>60,00</t>
  </si>
  <si>
    <t>107,5</t>
  </si>
  <si>
    <t>112,5</t>
  </si>
  <si>
    <t>145,0</t>
  </si>
  <si>
    <t>150,0</t>
  </si>
  <si>
    <t>152,5</t>
  </si>
  <si>
    <t xml:space="preserve">Гаржа Л. </t>
  </si>
  <si>
    <t>ВЕСОВАЯ КАТЕГОРИЯ   82.5</t>
  </si>
  <si>
    <t>Еремин Александр</t>
  </si>
  <si>
    <t>Юноши 15-19 (17.11.2002)/18</t>
  </si>
  <si>
    <t>79,30</t>
  </si>
  <si>
    <t>155,0</t>
  </si>
  <si>
    <t>190,0</t>
  </si>
  <si>
    <t xml:space="preserve">Греднев М. </t>
  </si>
  <si>
    <t>Асадуллин Эдуард</t>
  </si>
  <si>
    <t>Открытая (06.06.1981)/39</t>
  </si>
  <si>
    <t>81,40</t>
  </si>
  <si>
    <t>160,0</t>
  </si>
  <si>
    <t>105,0</t>
  </si>
  <si>
    <t>210,0</t>
  </si>
  <si>
    <t>220,0</t>
  </si>
  <si>
    <t>230,0</t>
  </si>
  <si>
    <t xml:space="preserve">Бойко Н. </t>
  </si>
  <si>
    <t>Никишин Самир</t>
  </si>
  <si>
    <t>85,60</t>
  </si>
  <si>
    <t>140,0</t>
  </si>
  <si>
    <t>235,0</t>
  </si>
  <si>
    <t>250,0</t>
  </si>
  <si>
    <t xml:space="preserve">Сакгиев Р. </t>
  </si>
  <si>
    <t>Зарин Александр</t>
  </si>
  <si>
    <t>Открытая (27.06.1994)/26</t>
  </si>
  <si>
    <t>87,00</t>
  </si>
  <si>
    <t>217,5</t>
  </si>
  <si>
    <t>242,5</t>
  </si>
  <si>
    <t xml:space="preserve">Бакунц Г. </t>
  </si>
  <si>
    <t>Карпунин Сергей</t>
  </si>
  <si>
    <t>Открытая (18.10.1987)/33</t>
  </si>
  <si>
    <t>88,60</t>
  </si>
  <si>
    <t xml:space="preserve">Бузулук/Оренбургская область </t>
  </si>
  <si>
    <t>185,0</t>
  </si>
  <si>
    <t>147,5</t>
  </si>
  <si>
    <t>ВЕСОВАЯ КАТЕГОРИЯ   100</t>
  </si>
  <si>
    <t>Ключников Леонид</t>
  </si>
  <si>
    <t>Открытая (11.08.1985)/35</t>
  </si>
  <si>
    <t>98,50</t>
  </si>
  <si>
    <t>172,5</t>
  </si>
  <si>
    <t>Усачев Илья</t>
  </si>
  <si>
    <t>Открытая (26.01.1986)/34</t>
  </si>
  <si>
    <t>109,10</t>
  </si>
  <si>
    <t>182,5</t>
  </si>
  <si>
    <t>240,0</t>
  </si>
  <si>
    <t>260,0</t>
  </si>
  <si>
    <t>82.5</t>
  </si>
  <si>
    <t>2</t>
  </si>
  <si>
    <t>Пинясов Сергей</t>
  </si>
  <si>
    <t>Открытая (14.11.1994)/26</t>
  </si>
  <si>
    <t>97,30</t>
  </si>
  <si>
    <t xml:space="preserve">Саратов/Саратовская область </t>
  </si>
  <si>
    <t>270,0</t>
  </si>
  <si>
    <t>300,0</t>
  </si>
  <si>
    <t>Фочкин Александр</t>
  </si>
  <si>
    <t>Открытая (07.11.1989)/31</t>
  </si>
  <si>
    <t>98,70</t>
  </si>
  <si>
    <t>Шарапов Андрей</t>
  </si>
  <si>
    <t>97,60</t>
  </si>
  <si>
    <t>280,0</t>
  </si>
  <si>
    <t>310,0</t>
  </si>
  <si>
    <t>Нестеров Евгений</t>
  </si>
  <si>
    <t>97,10</t>
  </si>
  <si>
    <t>205,0</t>
  </si>
  <si>
    <t>Колычин Дмитрий</t>
  </si>
  <si>
    <t>Открытая (26.11.1981)/39</t>
  </si>
  <si>
    <t>107,90</t>
  </si>
  <si>
    <t>265,0</t>
  </si>
  <si>
    <t>100</t>
  </si>
  <si>
    <t>Бакало Максим</t>
  </si>
  <si>
    <t>Юноши 15-19 (11.03.2002)/18</t>
  </si>
  <si>
    <t>80,40</t>
  </si>
  <si>
    <t>195,0</t>
  </si>
  <si>
    <t>Алтунин Николай</t>
  </si>
  <si>
    <t>Открытая (24.07.1977)/43</t>
  </si>
  <si>
    <t>76,00</t>
  </si>
  <si>
    <t>215,0</t>
  </si>
  <si>
    <t>Гусев Андрей</t>
  </si>
  <si>
    <t>132,5</t>
  </si>
  <si>
    <t>Андреев Александр</t>
  </si>
  <si>
    <t>Открытая (03.07.1984)/36</t>
  </si>
  <si>
    <t>104,30</t>
  </si>
  <si>
    <t>252,5</t>
  </si>
  <si>
    <t>Чистяков Николай</t>
  </si>
  <si>
    <t>Открытая (31.10.1984)/36</t>
  </si>
  <si>
    <t>108,70</t>
  </si>
  <si>
    <t>237,5</t>
  </si>
  <si>
    <t>Филина Екатерина</t>
  </si>
  <si>
    <t>Открытая (31.03.1988)/32</t>
  </si>
  <si>
    <t>53,60</t>
  </si>
  <si>
    <t>45,0</t>
  </si>
  <si>
    <t>Янковский Никита</t>
  </si>
  <si>
    <t>Юноши 15-19 (10.04.2007)/13</t>
  </si>
  <si>
    <t>40,20</t>
  </si>
  <si>
    <t>35,0</t>
  </si>
  <si>
    <t>Королькова Анна</t>
  </si>
  <si>
    <t>Юноши 15-19 (02.06.2005)/15</t>
  </si>
  <si>
    <t>55,10</t>
  </si>
  <si>
    <t>52,5</t>
  </si>
  <si>
    <t>Чаплыгин Дмитрий</t>
  </si>
  <si>
    <t>Открытая (30.04.1985)/35</t>
  </si>
  <si>
    <t>57,60</t>
  </si>
  <si>
    <t>Головин Иван</t>
  </si>
  <si>
    <t>Юноши 15-19 (28.12.2003)/16</t>
  </si>
  <si>
    <t>64,80</t>
  </si>
  <si>
    <t>102,5</t>
  </si>
  <si>
    <t>Воровкин Максим</t>
  </si>
  <si>
    <t>65,50</t>
  </si>
  <si>
    <t>ВЕСОВАЯ КАТЕГОРИЯ   75</t>
  </si>
  <si>
    <t>Титов Алексей</t>
  </si>
  <si>
    <t>Открытая (28.01.1983)/37</t>
  </si>
  <si>
    <t>73,10</t>
  </si>
  <si>
    <t>Коломин Андрей</t>
  </si>
  <si>
    <t>Открытая (05.10.1986)/34</t>
  </si>
  <si>
    <t>70,40</t>
  </si>
  <si>
    <t>85,0</t>
  </si>
  <si>
    <t>Власов Сергей</t>
  </si>
  <si>
    <t>Открытая (28.05.1994)/26</t>
  </si>
  <si>
    <t>81,20</t>
  </si>
  <si>
    <t>Ковалев Анатолий</t>
  </si>
  <si>
    <t>Мастера 80+ (11.08.1936)/84</t>
  </si>
  <si>
    <t>82,30</t>
  </si>
  <si>
    <t>Ключников Евгений</t>
  </si>
  <si>
    <t>Открытая (18.09.1990)/30</t>
  </si>
  <si>
    <t>91,70</t>
  </si>
  <si>
    <t>Шумаков Павел</t>
  </si>
  <si>
    <t>Открытая (20.05.1988)/32</t>
  </si>
  <si>
    <t>98,40</t>
  </si>
  <si>
    <t>Попков Юрий</t>
  </si>
  <si>
    <t>Открытая (08.05.1981)/39</t>
  </si>
  <si>
    <t>94,80</t>
  </si>
  <si>
    <t>Лакеев Александр</t>
  </si>
  <si>
    <t>Открытая (22.01.1988)/32</t>
  </si>
  <si>
    <t>96,60</t>
  </si>
  <si>
    <t>Попов Сергей</t>
  </si>
  <si>
    <t>Открытая (15.08.1995)/25</t>
  </si>
  <si>
    <t>104,50</t>
  </si>
  <si>
    <t>232,5</t>
  </si>
  <si>
    <t>Мухортов Дмитрий</t>
  </si>
  <si>
    <t>Открытая (01.02.1987)/33</t>
  </si>
  <si>
    <t>105,90</t>
  </si>
  <si>
    <t>Подторжнов Алексей</t>
  </si>
  <si>
    <t>Открытая (06.04.1979)/41</t>
  </si>
  <si>
    <t>108,40</t>
  </si>
  <si>
    <t>Гераймас Александр</t>
  </si>
  <si>
    <t>Открытая (13.08.1982)/38</t>
  </si>
  <si>
    <t>103,10</t>
  </si>
  <si>
    <t xml:space="preserve">Шарафисламов А. </t>
  </si>
  <si>
    <t>ВЕСОВАЯ КАТЕГОРИЯ   125</t>
  </si>
  <si>
    <t>Магер Дмитрий</t>
  </si>
  <si>
    <t>Открытая (19.07.1989)/31</t>
  </si>
  <si>
    <t>113,30</t>
  </si>
  <si>
    <t>197,5</t>
  </si>
  <si>
    <t>Хомяков Виталий</t>
  </si>
  <si>
    <t>Открытая (19.05.1996)/24</t>
  </si>
  <si>
    <t>122,40</t>
  </si>
  <si>
    <t>202,5</t>
  </si>
  <si>
    <t>ВЕСОВАЯ КАТЕГОРИЯ   140</t>
  </si>
  <si>
    <t>Пожидаев Олег</t>
  </si>
  <si>
    <t>Открытая (25.06.1992)/28</t>
  </si>
  <si>
    <t>133,90</t>
  </si>
  <si>
    <t>247,5</t>
  </si>
  <si>
    <t xml:space="preserve">Результат </t>
  </si>
  <si>
    <t>140</t>
  </si>
  <si>
    <t>140,6750</t>
  </si>
  <si>
    <t>139,1745</t>
  </si>
  <si>
    <t>120,1750</t>
  </si>
  <si>
    <t>Результат</t>
  </si>
  <si>
    <t>3</t>
  </si>
  <si>
    <t>4</t>
  </si>
  <si>
    <t>Ефремова Елена</t>
  </si>
  <si>
    <t>Открытая (01.04.1987)/33</t>
  </si>
  <si>
    <t>53,50</t>
  </si>
  <si>
    <t>57,5</t>
  </si>
  <si>
    <t xml:space="preserve">Гусев А. </t>
  </si>
  <si>
    <t>Емануйлова Наталья</t>
  </si>
  <si>
    <t>Открытая (13.08.1981)/39</t>
  </si>
  <si>
    <t>55,60</t>
  </si>
  <si>
    <t xml:space="preserve">Октябрьск/Самарская область </t>
  </si>
  <si>
    <t>50,0</t>
  </si>
  <si>
    <t>Новоженина Ольга</t>
  </si>
  <si>
    <t>Открытая (23.01.1989)/31</t>
  </si>
  <si>
    <t>65,00</t>
  </si>
  <si>
    <t>Загудаев Леонид</t>
  </si>
  <si>
    <t>Юноши 15-19 (19.07.2002)/18</t>
  </si>
  <si>
    <t>71,60</t>
  </si>
  <si>
    <t>127,5</t>
  </si>
  <si>
    <t>Луценко Сергей</t>
  </si>
  <si>
    <t>Юноши 15-19 (01.08.2002)/18</t>
  </si>
  <si>
    <t>73,60</t>
  </si>
  <si>
    <t>Шушаркин Евгений</t>
  </si>
  <si>
    <t>Открытая (03.08.1990)/30</t>
  </si>
  <si>
    <t>71,00</t>
  </si>
  <si>
    <t>Подгорнов Олег</t>
  </si>
  <si>
    <t>Открытая (02.12.1987)/33</t>
  </si>
  <si>
    <t>74,60</t>
  </si>
  <si>
    <t>Климашин Владлен</t>
  </si>
  <si>
    <t>Открытая (05.09.1995)/25</t>
  </si>
  <si>
    <t>73,70</t>
  </si>
  <si>
    <t>117,5</t>
  </si>
  <si>
    <t>122,5</t>
  </si>
  <si>
    <t>Спицын Евгений</t>
  </si>
  <si>
    <t>Открытая (06.01.1995)/25</t>
  </si>
  <si>
    <t>69,60</t>
  </si>
  <si>
    <t>Таламагин Антон</t>
  </si>
  <si>
    <t>Открытая (22.05.1990)/30</t>
  </si>
  <si>
    <t>74,50</t>
  </si>
  <si>
    <t xml:space="preserve">Кинель/Самарская область </t>
  </si>
  <si>
    <t>Князев Андрей</t>
  </si>
  <si>
    <t>Открытая (10.03.1982)/38</t>
  </si>
  <si>
    <t>78,10</t>
  </si>
  <si>
    <t>Пресняков Андрей</t>
  </si>
  <si>
    <t>Открытая (19.01.1987)/33</t>
  </si>
  <si>
    <t>81,50</t>
  </si>
  <si>
    <t>Долгинов Денис</t>
  </si>
  <si>
    <t>Открытая (08.08.1995)/25</t>
  </si>
  <si>
    <t>78,70</t>
  </si>
  <si>
    <t>Зайниев Азат</t>
  </si>
  <si>
    <t>81,60</t>
  </si>
  <si>
    <t>Бахтияров Риналь</t>
  </si>
  <si>
    <t>Открытая (27.05.1987)/33</t>
  </si>
  <si>
    <t>88,50</t>
  </si>
  <si>
    <t xml:space="preserve">Сызрань/Самарская область </t>
  </si>
  <si>
    <t>Зарипов Рафаиль</t>
  </si>
  <si>
    <t>Юноши 15-19 (16.04.2001)/19</t>
  </si>
  <si>
    <t>Ненашев Сергей</t>
  </si>
  <si>
    <t>Юноши 15-19 (04.03.2004)/16</t>
  </si>
  <si>
    <t>95,30</t>
  </si>
  <si>
    <t>87,5</t>
  </si>
  <si>
    <t>Сидоров Дмитрий</t>
  </si>
  <si>
    <t>Открытая (29.03.1988)/32</t>
  </si>
  <si>
    <t>93,30</t>
  </si>
  <si>
    <t>157,5</t>
  </si>
  <si>
    <t>Хасаншин Альберт</t>
  </si>
  <si>
    <t>Открытая (16.05.1977)/43</t>
  </si>
  <si>
    <t>93,50</t>
  </si>
  <si>
    <t>Шипков Александр</t>
  </si>
  <si>
    <t>Открытая (12.12.1989)/31</t>
  </si>
  <si>
    <t>162,5</t>
  </si>
  <si>
    <t>Григорьев Дмитрий</t>
  </si>
  <si>
    <t>Открытая (20.12.1988)/31</t>
  </si>
  <si>
    <t>93,20</t>
  </si>
  <si>
    <t>Плотников Герман</t>
  </si>
  <si>
    <t>97,00</t>
  </si>
  <si>
    <t>167,5</t>
  </si>
  <si>
    <t>Шилов Юрий</t>
  </si>
  <si>
    <t>Открытая (21.08.1997)/23</t>
  </si>
  <si>
    <t>106,40</t>
  </si>
  <si>
    <t>207,5</t>
  </si>
  <si>
    <t>Данилов Евгений</t>
  </si>
  <si>
    <t>Открытая (05.05.1988)/32</t>
  </si>
  <si>
    <t>103,30</t>
  </si>
  <si>
    <t>Адамов Владимир</t>
  </si>
  <si>
    <t>Открытая (25.04.1986)/34</t>
  </si>
  <si>
    <t>116,60</t>
  </si>
  <si>
    <t>Хисамов Денис</t>
  </si>
  <si>
    <t>Открытая (14.06.1986)/34</t>
  </si>
  <si>
    <t>124,40</t>
  </si>
  <si>
    <t>177,5</t>
  </si>
  <si>
    <t xml:space="preserve">Закирянов Д. </t>
  </si>
  <si>
    <t>Богданов Алексей</t>
  </si>
  <si>
    <t>Открытая (25.07.1981)/39</t>
  </si>
  <si>
    <t>120,20</t>
  </si>
  <si>
    <t>ВЕСОВАЯ КАТЕГОРИЯ   140+</t>
  </si>
  <si>
    <t>Демьянчук Юрий</t>
  </si>
  <si>
    <t>Открытая (03.10.1978)/42</t>
  </si>
  <si>
    <t>142,20</t>
  </si>
  <si>
    <t>187,5</t>
  </si>
  <si>
    <t>75</t>
  </si>
  <si>
    <t>120,4470</t>
  </si>
  <si>
    <t>125</t>
  </si>
  <si>
    <t>117,2475</t>
  </si>
  <si>
    <t>103,7960</t>
  </si>
  <si>
    <t>-</t>
  </si>
  <si>
    <t>Яковлев Максим</t>
  </si>
  <si>
    <t>Открытая (17.06.1982)/38</t>
  </si>
  <si>
    <t>87,10</t>
  </si>
  <si>
    <t>Бакунц Гагик</t>
  </si>
  <si>
    <t>Открытая (22.03.1990)/30</t>
  </si>
  <si>
    <t>112,50</t>
  </si>
  <si>
    <t>Ахметзянов Игорь</t>
  </si>
  <si>
    <t>Юноши 15-19 (11.09.2005)/15</t>
  </si>
  <si>
    <t>72,90</t>
  </si>
  <si>
    <t>Унгаров Александр</t>
  </si>
  <si>
    <t>Открытая (04.09.1987)/33</t>
  </si>
  <si>
    <t>95,00</t>
  </si>
  <si>
    <t>Заморев Владислав</t>
  </si>
  <si>
    <t>Открытая (05.10.1993)/27</t>
  </si>
  <si>
    <t>95,90</t>
  </si>
  <si>
    <t>Булатов Александр</t>
  </si>
  <si>
    <t>Открытая (16.04.1992)/28</t>
  </si>
  <si>
    <t>Нефедов Михаил</t>
  </si>
  <si>
    <t>Открытая (07.05.1972)/48</t>
  </si>
  <si>
    <t>102,30</t>
  </si>
  <si>
    <t>Новлянский Виктор</t>
  </si>
  <si>
    <t>105,60</t>
  </si>
  <si>
    <t>Брыжинская Ксения</t>
  </si>
  <si>
    <t>Открытая (25.08.1988)/32</t>
  </si>
  <si>
    <t>58,30</t>
  </si>
  <si>
    <t>Кнутова Татьяна</t>
  </si>
  <si>
    <t>67,50</t>
  </si>
  <si>
    <t>62,5</t>
  </si>
  <si>
    <t>Ахмадулина Анастасия</t>
  </si>
  <si>
    <t>Открытая (26.11.1987)/33</t>
  </si>
  <si>
    <t>68,60</t>
  </si>
  <si>
    <t>92,5</t>
  </si>
  <si>
    <t>Ахмадеев Руслан</t>
  </si>
  <si>
    <t>80,70</t>
  </si>
  <si>
    <t>Мансуров Вадуд</t>
  </si>
  <si>
    <t>Открытая (16.11.1993)/27</t>
  </si>
  <si>
    <t>77,90</t>
  </si>
  <si>
    <t>267,5</t>
  </si>
  <si>
    <t>Ковалев Максим</t>
  </si>
  <si>
    <t>Открытая (07.02.1995)/25</t>
  </si>
  <si>
    <t>79,00</t>
  </si>
  <si>
    <t>Янчишен Сергей</t>
  </si>
  <si>
    <t>Открытая (22.08.1980)/40</t>
  </si>
  <si>
    <t>88,40</t>
  </si>
  <si>
    <t>Гридин Роман</t>
  </si>
  <si>
    <t>85,10</t>
  </si>
  <si>
    <t>Овинов Сергей</t>
  </si>
  <si>
    <t>Открытая (17.09.1976)/44</t>
  </si>
  <si>
    <t>97,80</t>
  </si>
  <si>
    <t>185,7788</t>
  </si>
  <si>
    <t>148,5880</t>
  </si>
  <si>
    <t>148,0280</t>
  </si>
  <si>
    <t>Конопацкий Владимир</t>
  </si>
  <si>
    <t>108,60</t>
  </si>
  <si>
    <t>277,5</t>
  </si>
  <si>
    <t>317,5</t>
  </si>
  <si>
    <t>Клещева Ирина</t>
  </si>
  <si>
    <t>66,00</t>
  </si>
  <si>
    <t>Иост Тимофей</t>
  </si>
  <si>
    <t>Юноши 15-19 (17.10.2003)/17</t>
  </si>
  <si>
    <t>91,20</t>
  </si>
  <si>
    <t>Гафаров Азат</t>
  </si>
  <si>
    <t>Юноши 15-19 (01.06.2004)/16</t>
  </si>
  <si>
    <t>80,20</t>
  </si>
  <si>
    <t xml:space="preserve">Ильясов М. </t>
  </si>
  <si>
    <t>Губанов Александр</t>
  </si>
  <si>
    <t>78,90</t>
  </si>
  <si>
    <t>Открытая (16.06.1972)/48</t>
  </si>
  <si>
    <t>Потапова Татьяна</t>
  </si>
  <si>
    <t>75,00</t>
  </si>
  <si>
    <t>Мелконян Тигран</t>
  </si>
  <si>
    <t>64,90</t>
  </si>
  <si>
    <t>Гаржа Леонид</t>
  </si>
  <si>
    <t>88,10</t>
  </si>
  <si>
    <t xml:space="preserve">Gloss </t>
  </si>
  <si>
    <t>Жим стоя</t>
  </si>
  <si>
    <t>Костин Григорий</t>
  </si>
  <si>
    <t>Открытая (28.07.1994)/26</t>
  </si>
  <si>
    <t>98,00</t>
  </si>
  <si>
    <t xml:space="preserve">Волгодонск/Ростовская область </t>
  </si>
  <si>
    <t>Борисов Дмитрий</t>
  </si>
  <si>
    <t>99,40</t>
  </si>
  <si>
    <t>Тресцов Виктор</t>
  </si>
  <si>
    <t>Открытая (03.12.1995)/25</t>
  </si>
  <si>
    <t>74,80</t>
  </si>
  <si>
    <t>Эргашев Илхом</t>
  </si>
  <si>
    <t>Открытая (16.12.1996)/23</t>
  </si>
  <si>
    <t>59,80</t>
  </si>
  <si>
    <t>Овсянников Роман</t>
  </si>
  <si>
    <t>74,90</t>
  </si>
  <si>
    <t>Иванов Виталий</t>
  </si>
  <si>
    <t>69,40</t>
  </si>
  <si>
    <t>47,5</t>
  </si>
  <si>
    <t>Алиев Элхан</t>
  </si>
  <si>
    <t>72,70</t>
  </si>
  <si>
    <t xml:space="preserve">Никитин Д. </t>
  </si>
  <si>
    <t>Кадеров Валерий</t>
  </si>
  <si>
    <t>Открытая (22.03.1988)/32</t>
  </si>
  <si>
    <t>68,20</t>
  </si>
  <si>
    <t>Никитин Дмитрий</t>
  </si>
  <si>
    <t>Открытая (02.08.1996)/24</t>
  </si>
  <si>
    <t>73,40</t>
  </si>
  <si>
    <t>Солдатов Максим</t>
  </si>
  <si>
    <t>Открытая (27.09.1982)/38</t>
  </si>
  <si>
    <t>82,40</t>
  </si>
  <si>
    <t>Алексеев Александр</t>
  </si>
  <si>
    <t>Открытая (12.10.1997)/23</t>
  </si>
  <si>
    <t>78,50</t>
  </si>
  <si>
    <t>45,9553</t>
  </si>
  <si>
    <t>44,5170</t>
  </si>
  <si>
    <t>43,5442</t>
  </si>
  <si>
    <t>Васильев Алексей</t>
  </si>
  <si>
    <t>Открытая (18.01.1982)/38</t>
  </si>
  <si>
    <t>89,50</t>
  </si>
  <si>
    <t xml:space="preserve">Волгоград/Волгоградская область </t>
  </si>
  <si>
    <t>Спиченкова Юлия</t>
  </si>
  <si>
    <t>Открытая (11.01.1991)/29</t>
  </si>
  <si>
    <t>43,70</t>
  </si>
  <si>
    <t>27,5</t>
  </si>
  <si>
    <t>30,0</t>
  </si>
  <si>
    <t>25,0</t>
  </si>
  <si>
    <t>Тростничкова Ольга</t>
  </si>
  <si>
    <t>Открытая (16.01.1989)/31</t>
  </si>
  <si>
    <t>49,70</t>
  </si>
  <si>
    <t>22,5</t>
  </si>
  <si>
    <t>Юдакова Наталья</t>
  </si>
  <si>
    <t>72,40</t>
  </si>
  <si>
    <t>37,5</t>
  </si>
  <si>
    <t>Гришин Михаил</t>
  </si>
  <si>
    <t>Тяга</t>
  </si>
  <si>
    <t>Всероссийский мастерский турнир "Железный легион"
IPL Пауэрлифтинг без экипировки ДК
Самара/Самарская область, 12 декабря 2020 года</t>
  </si>
  <si>
    <t>Всероссийский мастерский турнир "Железный легион"
IPL Пауэрлифтинг без экипировки
Самара/Самарская область, 12 декабря 2020 года</t>
  </si>
  <si>
    <t>Всероссийский мастерский турнир "Железный легион"
IPL Пауэрлифтинг в бинтах ДК
Самара/Самарская область, 12 декабря 2020 года</t>
  </si>
  <si>
    <t>Всероссийский мастерский турнир "Железный легион"
IPL Пауэрлифтинг в бинтах
Самара/Самарская область, 12 декабря 2020 года</t>
  </si>
  <si>
    <t>Всероссийский мастерский турнир "Железный легион"
IPL Силовое двоеборье без экипировки ДК
Самара/Самарская область, 12 декабря 2020 года</t>
  </si>
  <si>
    <t>Всероссийский мастерский турнир "Железный легион"
IPL Силовое двоеборье без экипировки
Самара/Самарская область, 12 декабря 2020 года</t>
  </si>
  <si>
    <t>Всероссийский мастерский турнир "Железный легион"
IPL Присед без экипировки ДК
Самара/Самарская область, 12 декабря 2020 года</t>
  </si>
  <si>
    <t>Всероссийский мастерский турнир "Железный легион"
IPL Присед без экипировки
Самара/Самарская область, 12 декабря 2020 года</t>
  </si>
  <si>
    <t>Всероссийский мастерский турнир "Железный легион"
IPL Жим лежа без экипировки ДК
Самара/Самарская область, 12 декабря 2020 года</t>
  </si>
  <si>
    <t>Всероссийский мастерский турнир "Железный легион"
IPL Жим лежа без экипировки
Самара/Самарская область, 12 декабря 2020 года</t>
  </si>
  <si>
    <t>Всероссийский мастерский турнир "Железный легион"
IPL Жим лежа в однослойной экипировке ДК
Самара/Самарская область, 12 декабря 2020 года</t>
  </si>
  <si>
    <t>Всероссийский мастерский турнир "Железный легион"
IPL Жим лежа в однослойной экипировке
Самара/Самарская область, 12 декабря 2020 года</t>
  </si>
  <si>
    <t>Всероссийский мастерский турнир "Железный легион"
IPL Становая тяга без экипировки ДК
Самара/Самарская область, 12 декабря 2020 года</t>
  </si>
  <si>
    <t>Всероссийский мастерский турнир "Железный легион"
IPL Становая тяга без экипировки
Самара/Самарская область, 12 декабря 2020 года</t>
  </si>
  <si>
    <t>Всероссийский мастерский турнир "Железный легион"
IPL Становая тяга в многослойной экипировке
Самара/Самарская область, 12 декабря 2020 года</t>
  </si>
  <si>
    <t>Юниоры 20-23 (14.04.1997)/23</t>
  </si>
  <si>
    <t>Мастера 50-54 (30.03.1970)/50</t>
  </si>
  <si>
    <t>Мастера 40-44 (29.08.1977)/43</t>
  </si>
  <si>
    <t>Мастера 40-44 (25.11.1978)/42</t>
  </si>
  <si>
    <t>Мастера 45-49 (22.12.1974)/45</t>
  </si>
  <si>
    <t>Мастера 45-49 (16.06.1972)/48</t>
  </si>
  <si>
    <t>Мастера 45-49 (22.06.1974)/46</t>
  </si>
  <si>
    <t>Мастера 65-69 (06.02.1951)/69</t>
  </si>
  <si>
    <t>Мастера 45-49 (14.08.1972)/48</t>
  </si>
  <si>
    <t>Мастера 40-44 (09.09.1979)/41</t>
  </si>
  <si>
    <t>Мастера 40-44 (08.05.1976)/44</t>
  </si>
  <si>
    <t>Мастера 40-44 (31.03.1980)/40</t>
  </si>
  <si>
    <t>Мастера 40-44 (06.04.1979)/41</t>
  </si>
  <si>
    <t>Юниоры 20-23 (29.09.1999)/21</t>
  </si>
  <si>
    <t>Мастера 50-59 (02.05.1970)/50</t>
  </si>
  <si>
    <t>Юниоры 20-23 (01.07.1997)/23</t>
  </si>
  <si>
    <t>Мастера 45-49 (28.01.1972)/48</t>
  </si>
  <si>
    <t>Мастера 45-49 (07.05.1972)/48</t>
  </si>
  <si>
    <t>Мастера 55-59 (01.11.1965)/55</t>
  </si>
  <si>
    <t>Мастера 45-49 (06.08.1973)/47</t>
  </si>
  <si>
    <t>Мастера 40-49 (09.12.1978)/42</t>
  </si>
  <si>
    <t>Юноши 13-19 (22.06.2004)/16</t>
  </si>
  <si>
    <t>Мастера 50-59 (05.02.1969)/51</t>
  </si>
  <si>
    <t>Мастера 40-49 (04.05.1977)/43</t>
  </si>
  <si>
    <t>Юноши 13-19 (21.03.2003)/17</t>
  </si>
  <si>
    <t>Юниоры 20-23 (02.02.1998)/22</t>
  </si>
  <si>
    <t xml:space="preserve">Набережные Челны/Республика Татарстан </t>
  </si>
  <si>
    <t xml:space="preserve">Зеленодольск/Республика Татарстан </t>
  </si>
  <si>
    <t xml:space="preserve">Аверьянов В. </t>
  </si>
  <si>
    <t xml:space="preserve">Образцов С. </t>
  </si>
  <si>
    <t xml:space="preserve">Туймазы/Республика Башкортостан </t>
  </si>
  <si>
    <t xml:space="preserve">Новокуйбышевск/Самарская область </t>
  </si>
  <si>
    <t xml:space="preserve">Губанов А. </t>
  </si>
  <si>
    <t>Кинель-Черкассы/Самарская область</t>
  </si>
  <si>
    <t xml:space="preserve">Гусейнов И. </t>
  </si>
  <si>
    <t xml:space="preserve">Кинель-Черкассы/Самарская область </t>
  </si>
  <si>
    <t xml:space="preserve">Трухтанов П. </t>
  </si>
  <si>
    <t xml:space="preserve">Замятин И. </t>
  </si>
  <si>
    <t>Весовая категория</t>
  </si>
  <si>
    <t xml:space="preserve">Кутуков А. </t>
  </si>
  <si>
    <t xml:space="preserve">Янковская Н. </t>
  </si>
  <si>
    <t xml:space="preserve">Кучин И. </t>
  </si>
  <si>
    <t xml:space="preserve">Хитрин Д. </t>
  </si>
  <si>
    <t xml:space="preserve">Арусланов Ш. </t>
  </si>
  <si>
    <t xml:space="preserve">Белоглазов А. </t>
  </si>
  <si>
    <t xml:space="preserve">Попков Ю. </t>
  </si>
  <si>
    <t xml:space="preserve">Хасаншин А. </t>
  </si>
  <si>
    <t xml:space="preserve">Магер Д. </t>
  </si>
  <si>
    <t>Новый Уренгой/ЯМАО</t>
  </si>
  <si>
    <t>Cызрань/Самарская область</t>
  </si>
  <si>
    <t xml:space="preserve">Уфа/Республика Башкортостан </t>
  </si>
  <si>
    <t>Кротовка/Самарская область</t>
  </si>
  <si>
    <t xml:space="preserve">Октябрьский/Республика Башкортостан </t>
  </si>
  <si>
    <t>Уфа/Республика Башкортостан</t>
  </si>
  <si>
    <t xml:space="preserve">Лукьянов А. </t>
  </si>
  <si>
    <t xml:space="preserve">Гераймас А. </t>
  </si>
  <si>
    <t xml:space="preserve">Филатов Е. </t>
  </si>
  <si>
    <t xml:space="preserve">Тресков В. </t>
  </si>
  <si>
    <t>Новокуйбышевск/Самарская область</t>
  </si>
  <si>
    <t xml:space="preserve">Ореховка/Самарская область </t>
  </si>
  <si>
    <t>Трухтанов П.</t>
  </si>
  <si>
    <t xml:space="preserve">Луцук В. </t>
  </si>
  <si>
    <t>Всероссийский мастерский турнир "Железный легион"
СПР Жим лежа в однопетельной софт экипировке ДК
Самара/Самарская область, 12 декабря 2020 года</t>
  </si>
  <si>
    <t xml:space="preserve">Балашов В. </t>
  </si>
  <si>
    <t xml:space="preserve">Чебоксары/Республика Чувашия </t>
  </si>
  <si>
    <t>Всероссийский мастерский турнир "Железный легион"
СПР Пауэрспорт ДК
Самара/Самарская область, 12 декабря 2020 года</t>
  </si>
  <si>
    <t>Всероссийский мастерский турнир "Железный легион"
СПР Пауэрспорт
Самара/Самарская область, 12 декабря 2020 года</t>
  </si>
  <si>
    <t>Всероссийский мастерский турнир "Железный легион"
СПР Жим штанги стоя ДК
Самара/Самарская область, 12 декабря 2020 года</t>
  </si>
  <si>
    <t>Всероссийский мастерский турнир "Железный легион"
СПР Жим штанги стоя
Самара/Самарская область, 12 декабря 2020 года</t>
  </si>
  <si>
    <t>Всероссийский мастерский турнир "Железный легион"
СПР Строгий подъем штанги на бицепс ДК
Самара/Самарская область, 12 декабря 2020 года</t>
  </si>
  <si>
    <t>Всероссийский мастерский турнир "Железный легион"
СПР Строгий подъем штанги на бицепс
Самара/Самарская область, 12 декабря 2020 года</t>
  </si>
  <si>
    <t xml:space="preserve">Гришин М. </t>
  </si>
  <si>
    <t xml:space="preserve">Костин Г. </t>
  </si>
  <si>
    <t xml:space="preserve">Елховка/Самарская область </t>
  </si>
  <si>
    <t>№</t>
  </si>
  <si>
    <t>Жим</t>
  </si>
  <si>
    <t xml:space="preserve">
Дата рождения/Возраст</t>
  </si>
  <si>
    <t>Возрастная группа</t>
  </si>
  <si>
    <t>T</t>
  </si>
  <si>
    <t>O</t>
  </si>
  <si>
    <t>J</t>
  </si>
  <si>
    <t>M3</t>
  </si>
  <si>
    <t>M1</t>
  </si>
  <si>
    <t>M2</t>
  </si>
  <si>
    <t>M6</t>
  </si>
  <si>
    <t>M8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</si>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</sst>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25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6.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1640625" style="5" bestFit="1" customWidth="1"/>
    <col min="22" max="16384" width="9.1640625" style="3"/>
  </cols>
  <sheetData>
    <row r="1" spans="1:21" s="2" customFormat="1" ht="29" customHeight="1">
      <c r="A1" s="33" t="s">
        <v>502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81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8" t="s">
        <v>79</v>
      </c>
      <c r="B6" s="7" t="s">
        <v>82</v>
      </c>
      <c r="C6" s="7" t="s">
        <v>83</v>
      </c>
      <c r="D6" s="7" t="s">
        <v>84</v>
      </c>
      <c r="E6" s="7" t="s">
        <v>595</v>
      </c>
      <c r="F6" s="7" t="s">
        <v>85</v>
      </c>
      <c r="G6" s="18" t="s">
        <v>17</v>
      </c>
      <c r="H6" s="19" t="s">
        <v>86</v>
      </c>
      <c r="I6" s="18" t="s">
        <v>86</v>
      </c>
      <c r="J6" s="8"/>
      <c r="K6" s="18" t="s">
        <v>87</v>
      </c>
      <c r="L6" s="19" t="s">
        <v>88</v>
      </c>
      <c r="M6" s="19" t="s">
        <v>88</v>
      </c>
      <c r="N6" s="8"/>
      <c r="O6" s="18" t="s">
        <v>17</v>
      </c>
      <c r="P6" s="18" t="s">
        <v>20</v>
      </c>
      <c r="Q6" s="18" t="s">
        <v>89</v>
      </c>
      <c r="R6" s="8"/>
      <c r="S6" s="8" t="str">
        <f>"200,0"</f>
        <v>200,0</v>
      </c>
      <c r="T6" s="8" t="str">
        <f>"255,7600"</f>
        <v>255,7600</v>
      </c>
      <c r="U6" s="7"/>
    </row>
    <row r="7" spans="1:21">
      <c r="B7" s="5" t="s">
        <v>80</v>
      </c>
    </row>
    <row r="8" spans="1:21" ht="16">
      <c r="A8" s="52" t="s">
        <v>23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8" t="s">
        <v>79</v>
      </c>
      <c r="B9" s="7" t="s">
        <v>90</v>
      </c>
      <c r="C9" s="7" t="s">
        <v>91</v>
      </c>
      <c r="D9" s="7" t="s">
        <v>92</v>
      </c>
      <c r="E9" s="7" t="s">
        <v>596</v>
      </c>
      <c r="F9" s="7" t="s">
        <v>14</v>
      </c>
      <c r="G9" s="18" t="s">
        <v>93</v>
      </c>
      <c r="H9" s="18" t="s">
        <v>94</v>
      </c>
      <c r="I9" s="18" t="s">
        <v>29</v>
      </c>
      <c r="J9" s="8"/>
      <c r="K9" s="18" t="s">
        <v>30</v>
      </c>
      <c r="L9" s="19" t="s">
        <v>37</v>
      </c>
      <c r="M9" s="18" t="s">
        <v>37</v>
      </c>
      <c r="N9" s="8"/>
      <c r="O9" s="18" t="s">
        <v>95</v>
      </c>
      <c r="P9" s="18" t="s">
        <v>96</v>
      </c>
      <c r="Q9" s="18" t="s">
        <v>97</v>
      </c>
      <c r="R9" s="8"/>
      <c r="S9" s="8" t="str">
        <f>"340,0"</f>
        <v>340,0</v>
      </c>
      <c r="T9" s="8" t="str">
        <f>"379,0660"</f>
        <v>379,0660</v>
      </c>
      <c r="U9" s="7" t="s">
        <v>98</v>
      </c>
    </row>
    <row r="10" spans="1:21">
      <c r="B10" s="5" t="s">
        <v>80</v>
      </c>
    </row>
    <row r="11" spans="1:21" ht="16">
      <c r="A11" s="52" t="s">
        <v>99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10" t="s">
        <v>79</v>
      </c>
      <c r="B12" s="9" t="s">
        <v>100</v>
      </c>
      <c r="C12" s="9" t="s">
        <v>101</v>
      </c>
      <c r="D12" s="9" t="s">
        <v>102</v>
      </c>
      <c r="E12" s="9" t="s">
        <v>595</v>
      </c>
      <c r="F12" s="9" t="s">
        <v>14</v>
      </c>
      <c r="G12" s="21" t="s">
        <v>103</v>
      </c>
      <c r="H12" s="21" t="s">
        <v>44</v>
      </c>
      <c r="I12" s="21" t="s">
        <v>45</v>
      </c>
      <c r="J12" s="10"/>
      <c r="K12" s="21" t="s">
        <v>93</v>
      </c>
      <c r="L12" s="21" t="s">
        <v>28</v>
      </c>
      <c r="M12" s="21" t="s">
        <v>29</v>
      </c>
      <c r="N12" s="10"/>
      <c r="O12" s="21" t="s">
        <v>62</v>
      </c>
      <c r="P12" s="21" t="s">
        <v>63</v>
      </c>
      <c r="Q12" s="21" t="s">
        <v>104</v>
      </c>
      <c r="R12" s="10"/>
      <c r="S12" s="10" t="str">
        <f>"480,0"</f>
        <v>480,0</v>
      </c>
      <c r="T12" s="10" t="str">
        <f>"329,5200"</f>
        <v>329,5200</v>
      </c>
      <c r="U12" s="9" t="s">
        <v>105</v>
      </c>
    </row>
    <row r="13" spans="1:21">
      <c r="A13" s="12" t="s">
        <v>79</v>
      </c>
      <c r="B13" s="11" t="s">
        <v>106</v>
      </c>
      <c r="C13" s="11" t="s">
        <v>107</v>
      </c>
      <c r="D13" s="11" t="s">
        <v>108</v>
      </c>
      <c r="E13" s="11" t="s">
        <v>596</v>
      </c>
      <c r="F13" s="11" t="s">
        <v>543</v>
      </c>
      <c r="G13" s="22" t="s">
        <v>109</v>
      </c>
      <c r="H13" s="23" t="s">
        <v>62</v>
      </c>
      <c r="I13" s="22" t="s">
        <v>63</v>
      </c>
      <c r="J13" s="12"/>
      <c r="K13" s="23" t="s">
        <v>110</v>
      </c>
      <c r="L13" s="23" t="s">
        <v>28</v>
      </c>
      <c r="M13" s="23" t="s">
        <v>29</v>
      </c>
      <c r="N13" s="12"/>
      <c r="O13" s="23" t="s">
        <v>111</v>
      </c>
      <c r="P13" s="23" t="s">
        <v>112</v>
      </c>
      <c r="Q13" s="22" t="s">
        <v>113</v>
      </c>
      <c r="R13" s="12"/>
      <c r="S13" s="12" t="str">
        <f>"505,0"</f>
        <v>505,0</v>
      </c>
      <c r="T13" s="12" t="str">
        <f>"341,0770"</f>
        <v>341,0770</v>
      </c>
      <c r="U13" s="11" t="s">
        <v>114</v>
      </c>
    </row>
    <row r="14" spans="1:21">
      <c r="B14" s="5" t="s">
        <v>80</v>
      </c>
    </row>
    <row r="15" spans="1:21" ht="16">
      <c r="A15" s="52" t="s">
        <v>40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21">
      <c r="A16" s="10" t="s">
        <v>79</v>
      </c>
      <c r="B16" s="9" t="s">
        <v>115</v>
      </c>
      <c r="C16" s="9" t="s">
        <v>517</v>
      </c>
      <c r="D16" s="9" t="s">
        <v>116</v>
      </c>
      <c r="E16" s="9" t="s">
        <v>597</v>
      </c>
      <c r="F16" s="9" t="s">
        <v>543</v>
      </c>
      <c r="G16" s="21" t="s">
        <v>63</v>
      </c>
      <c r="H16" s="21" t="s">
        <v>104</v>
      </c>
      <c r="I16" s="20" t="s">
        <v>48</v>
      </c>
      <c r="J16" s="10"/>
      <c r="K16" s="21" t="s">
        <v>47</v>
      </c>
      <c r="L16" s="20" t="s">
        <v>117</v>
      </c>
      <c r="M16" s="20" t="s">
        <v>117</v>
      </c>
      <c r="N16" s="10"/>
      <c r="O16" s="21" t="s">
        <v>118</v>
      </c>
      <c r="P16" s="20" t="s">
        <v>119</v>
      </c>
      <c r="Q16" s="20" t="s">
        <v>119</v>
      </c>
      <c r="R16" s="10"/>
      <c r="S16" s="10" t="str">
        <f>"560,0"</f>
        <v>560,0</v>
      </c>
      <c r="T16" s="10" t="str">
        <f>"367,1920"</f>
        <v>367,1920</v>
      </c>
      <c r="U16" s="9" t="s">
        <v>120</v>
      </c>
    </row>
    <row r="17" spans="1:21">
      <c r="A17" s="25" t="s">
        <v>79</v>
      </c>
      <c r="B17" s="24" t="s">
        <v>121</v>
      </c>
      <c r="C17" s="24" t="s">
        <v>122</v>
      </c>
      <c r="D17" s="24" t="s">
        <v>123</v>
      </c>
      <c r="E17" s="24" t="s">
        <v>596</v>
      </c>
      <c r="F17" s="24" t="s">
        <v>14</v>
      </c>
      <c r="G17" s="26" t="s">
        <v>111</v>
      </c>
      <c r="H17" s="26" t="s">
        <v>124</v>
      </c>
      <c r="I17" s="26" t="s">
        <v>50</v>
      </c>
      <c r="J17" s="25"/>
      <c r="K17" s="26" t="s">
        <v>32</v>
      </c>
      <c r="L17" s="26" t="s">
        <v>38</v>
      </c>
      <c r="M17" s="26" t="s">
        <v>39</v>
      </c>
      <c r="N17" s="25"/>
      <c r="O17" s="26" t="s">
        <v>113</v>
      </c>
      <c r="P17" s="26" t="s">
        <v>125</v>
      </c>
      <c r="Q17" s="26" t="s">
        <v>119</v>
      </c>
      <c r="R17" s="25"/>
      <c r="S17" s="25" t="str">
        <f>"617,5"</f>
        <v>617,5</v>
      </c>
      <c r="T17" s="25" t="str">
        <f>"401,3133"</f>
        <v>401,3133</v>
      </c>
      <c r="U17" s="24" t="s">
        <v>126</v>
      </c>
    </row>
    <row r="18" spans="1:21">
      <c r="A18" s="12" t="s">
        <v>145</v>
      </c>
      <c r="B18" s="11" t="s">
        <v>127</v>
      </c>
      <c r="C18" s="11" t="s">
        <v>128</v>
      </c>
      <c r="D18" s="11" t="s">
        <v>129</v>
      </c>
      <c r="E18" s="11" t="s">
        <v>596</v>
      </c>
      <c r="F18" s="11" t="s">
        <v>130</v>
      </c>
      <c r="G18" s="23" t="s">
        <v>131</v>
      </c>
      <c r="H18" s="22" t="s">
        <v>48</v>
      </c>
      <c r="I18" s="22" t="s">
        <v>48</v>
      </c>
      <c r="J18" s="12"/>
      <c r="K18" s="22" t="s">
        <v>39</v>
      </c>
      <c r="L18" s="23" t="s">
        <v>39</v>
      </c>
      <c r="M18" s="22" t="s">
        <v>132</v>
      </c>
      <c r="N18" s="12"/>
      <c r="O18" s="23" t="s">
        <v>111</v>
      </c>
      <c r="P18" s="23" t="s">
        <v>113</v>
      </c>
      <c r="Q18" s="22" t="s">
        <v>118</v>
      </c>
      <c r="R18" s="12"/>
      <c r="S18" s="12" t="str">
        <f>"557,5"</f>
        <v>557,5</v>
      </c>
      <c r="T18" s="12" t="str">
        <f>"358,8070"</f>
        <v>358,8070</v>
      </c>
      <c r="U18" s="11"/>
    </row>
    <row r="19" spans="1:21">
      <c r="B19" s="5" t="s">
        <v>80</v>
      </c>
    </row>
    <row r="20" spans="1:21" ht="16">
      <c r="A20" s="52" t="s">
        <v>133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21">
      <c r="A21" s="8" t="s">
        <v>79</v>
      </c>
      <c r="B21" s="7" t="s">
        <v>134</v>
      </c>
      <c r="C21" s="7" t="s">
        <v>135</v>
      </c>
      <c r="D21" s="7" t="s">
        <v>136</v>
      </c>
      <c r="E21" s="7" t="s">
        <v>596</v>
      </c>
      <c r="F21" s="7" t="s">
        <v>14</v>
      </c>
      <c r="G21" s="19" t="s">
        <v>44</v>
      </c>
      <c r="H21" s="18" t="s">
        <v>44</v>
      </c>
      <c r="I21" s="18" t="s">
        <v>137</v>
      </c>
      <c r="J21" s="8"/>
      <c r="K21" s="18" t="s">
        <v>38</v>
      </c>
      <c r="L21" s="19" t="s">
        <v>95</v>
      </c>
      <c r="M21" s="19" t="s">
        <v>95</v>
      </c>
      <c r="N21" s="8"/>
      <c r="O21" s="18" t="s">
        <v>62</v>
      </c>
      <c r="P21" s="18" t="s">
        <v>63</v>
      </c>
      <c r="Q21" s="18" t="s">
        <v>104</v>
      </c>
      <c r="R21" s="8"/>
      <c r="S21" s="8" t="str">
        <f>"500,0"</f>
        <v>500,0</v>
      </c>
      <c r="T21" s="8" t="str">
        <f>"306,1500"</f>
        <v>306,1500</v>
      </c>
      <c r="U21" s="7" t="s">
        <v>545</v>
      </c>
    </row>
    <row r="22" spans="1:21">
      <c r="B22" s="5" t="s">
        <v>80</v>
      </c>
    </row>
    <row r="23" spans="1:21" ht="16">
      <c r="A23" s="52" t="s">
        <v>54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21">
      <c r="A24" s="8" t="s">
        <v>79</v>
      </c>
      <c r="B24" s="7" t="s">
        <v>138</v>
      </c>
      <c r="C24" s="7" t="s">
        <v>139</v>
      </c>
      <c r="D24" s="7" t="s">
        <v>140</v>
      </c>
      <c r="E24" s="7" t="s">
        <v>596</v>
      </c>
      <c r="F24" s="7" t="s">
        <v>14</v>
      </c>
      <c r="G24" s="19" t="s">
        <v>112</v>
      </c>
      <c r="H24" s="18" t="s">
        <v>112</v>
      </c>
      <c r="I24" s="18" t="s">
        <v>113</v>
      </c>
      <c r="J24" s="8"/>
      <c r="K24" s="18" t="s">
        <v>109</v>
      </c>
      <c r="L24" s="18" t="s">
        <v>62</v>
      </c>
      <c r="M24" s="19" t="s">
        <v>141</v>
      </c>
      <c r="N24" s="8"/>
      <c r="O24" s="18" t="s">
        <v>142</v>
      </c>
      <c r="P24" s="18" t="s">
        <v>119</v>
      </c>
      <c r="Q24" s="18" t="s">
        <v>143</v>
      </c>
      <c r="R24" s="8"/>
      <c r="S24" s="8" t="str">
        <f>"660,0"</f>
        <v>660,0</v>
      </c>
      <c r="T24" s="8" t="str">
        <f>"389,4000"</f>
        <v>389,4000</v>
      </c>
      <c r="U24" s="7" t="s">
        <v>546</v>
      </c>
    </row>
    <row r="25" spans="1:21">
      <c r="B25" s="5" t="s">
        <v>80</v>
      </c>
    </row>
  </sheetData>
  <mergeCells count="19">
    <mergeCell ref="A23:R23"/>
    <mergeCell ref="A5:R5"/>
    <mergeCell ref="A8:R8"/>
    <mergeCell ref="A11:R11"/>
    <mergeCell ref="A15:R15"/>
    <mergeCell ref="A20:R20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57"/>
  <sheetViews>
    <sheetView workbookViewId="0">
      <selection activeCell="E48" sqref="E48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33" t="s">
        <v>511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8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185</v>
      </c>
      <c r="C6" s="7" t="s">
        <v>186</v>
      </c>
      <c r="D6" s="7" t="s">
        <v>187</v>
      </c>
      <c r="E6" s="7" t="s">
        <v>596</v>
      </c>
      <c r="F6" s="7" t="s">
        <v>58</v>
      </c>
      <c r="G6" s="18" t="s">
        <v>87</v>
      </c>
      <c r="H6" s="18" t="s">
        <v>88</v>
      </c>
      <c r="I6" s="18" t="s">
        <v>188</v>
      </c>
      <c r="J6" s="8"/>
      <c r="K6" s="8" t="str">
        <f>"45,0"</f>
        <v>45,0</v>
      </c>
      <c r="L6" s="8" t="str">
        <f>"54,7920"</f>
        <v>54,7920</v>
      </c>
      <c r="M6" s="7" t="s">
        <v>571</v>
      </c>
    </row>
    <row r="7" spans="1:13">
      <c r="B7" s="5" t="s">
        <v>80</v>
      </c>
    </row>
    <row r="8" spans="1:13" ht="16">
      <c r="A8" s="52" t="s">
        <v>81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79</v>
      </c>
      <c r="B9" s="7" t="s">
        <v>189</v>
      </c>
      <c r="C9" s="7" t="s">
        <v>190</v>
      </c>
      <c r="D9" s="7" t="s">
        <v>191</v>
      </c>
      <c r="E9" s="7" t="s">
        <v>595</v>
      </c>
      <c r="F9" s="7" t="s">
        <v>14</v>
      </c>
      <c r="G9" s="18" t="s">
        <v>192</v>
      </c>
      <c r="H9" s="18" t="s">
        <v>87</v>
      </c>
      <c r="I9" s="18" t="s">
        <v>88</v>
      </c>
      <c r="J9" s="8"/>
      <c r="K9" s="8" t="str">
        <f>"42,5"</f>
        <v>42,5</v>
      </c>
      <c r="L9" s="8" t="str">
        <f>"56,3890"</f>
        <v>56,3890</v>
      </c>
      <c r="M9" s="7" t="s">
        <v>272</v>
      </c>
    </row>
    <row r="10" spans="1:13">
      <c r="B10" s="5" t="s">
        <v>80</v>
      </c>
    </row>
    <row r="11" spans="1:13" ht="16">
      <c r="A11" s="52" t="s">
        <v>10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8" t="s">
        <v>79</v>
      </c>
      <c r="B12" s="7" t="s">
        <v>193</v>
      </c>
      <c r="C12" s="7" t="s">
        <v>194</v>
      </c>
      <c r="D12" s="7" t="s">
        <v>195</v>
      </c>
      <c r="E12" s="7" t="s">
        <v>595</v>
      </c>
      <c r="F12" s="7" t="s">
        <v>14</v>
      </c>
      <c r="G12" s="18" t="s">
        <v>188</v>
      </c>
      <c r="H12" s="18" t="s">
        <v>196</v>
      </c>
      <c r="I12" s="19" t="s">
        <v>18</v>
      </c>
      <c r="J12" s="8"/>
      <c r="K12" s="8" t="str">
        <f>"52,5"</f>
        <v>52,5</v>
      </c>
      <c r="L12" s="8" t="str">
        <f>"48,5625"</f>
        <v>48,5625</v>
      </c>
      <c r="M12" s="7" t="s">
        <v>560</v>
      </c>
    </row>
    <row r="13" spans="1:13">
      <c r="B13" s="5" t="s">
        <v>80</v>
      </c>
    </row>
    <row r="14" spans="1:13" ht="16">
      <c r="A14" s="52" t="s">
        <v>23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>
      <c r="A15" s="8" t="s">
        <v>79</v>
      </c>
      <c r="B15" s="7" t="s">
        <v>197</v>
      </c>
      <c r="C15" s="7" t="s">
        <v>198</v>
      </c>
      <c r="D15" s="7" t="s">
        <v>199</v>
      </c>
      <c r="E15" s="7" t="s">
        <v>596</v>
      </c>
      <c r="F15" s="7" t="s">
        <v>565</v>
      </c>
      <c r="G15" s="18" t="s">
        <v>27</v>
      </c>
      <c r="H15" s="19" t="s">
        <v>94</v>
      </c>
      <c r="I15" s="19" t="s">
        <v>94</v>
      </c>
      <c r="J15" s="8"/>
      <c r="K15" s="8" t="str">
        <f>"100,0"</f>
        <v>100,0</v>
      </c>
      <c r="L15" s="8" t="str">
        <f>"88,5900"</f>
        <v>88,5900</v>
      </c>
      <c r="M15" s="7"/>
    </row>
    <row r="16" spans="1:13">
      <c r="B16" s="5" t="s">
        <v>80</v>
      </c>
    </row>
    <row r="17" spans="1:13" ht="16">
      <c r="A17" s="52" t="s">
        <v>33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3">
      <c r="A18" s="10" t="s">
        <v>79</v>
      </c>
      <c r="B18" s="9" t="s">
        <v>200</v>
      </c>
      <c r="C18" s="9" t="s">
        <v>201</v>
      </c>
      <c r="D18" s="9" t="s">
        <v>202</v>
      </c>
      <c r="E18" s="9" t="s">
        <v>595</v>
      </c>
      <c r="F18" s="9" t="s">
        <v>14</v>
      </c>
      <c r="G18" s="21" t="s">
        <v>53</v>
      </c>
      <c r="H18" s="21" t="s">
        <v>203</v>
      </c>
      <c r="I18" s="21" t="s">
        <v>93</v>
      </c>
      <c r="J18" s="10"/>
      <c r="K18" s="10" t="str">
        <f>"107,5"</f>
        <v>107,5</v>
      </c>
      <c r="L18" s="10" t="str">
        <f>"85,7097"</f>
        <v>85,7097</v>
      </c>
      <c r="M18" s="9" t="s">
        <v>560</v>
      </c>
    </row>
    <row r="19" spans="1:13">
      <c r="A19" s="12" t="s">
        <v>79</v>
      </c>
      <c r="B19" s="11" t="s">
        <v>204</v>
      </c>
      <c r="C19" s="11" t="s">
        <v>528</v>
      </c>
      <c r="D19" s="11" t="s">
        <v>205</v>
      </c>
      <c r="E19" s="11" t="s">
        <v>599</v>
      </c>
      <c r="F19" s="11" t="s">
        <v>575</v>
      </c>
      <c r="G19" s="23" t="s">
        <v>19</v>
      </c>
      <c r="H19" s="23" t="s">
        <v>15</v>
      </c>
      <c r="I19" s="23" t="s">
        <v>30</v>
      </c>
      <c r="J19" s="12"/>
      <c r="K19" s="12" t="str">
        <f>"70,0"</f>
        <v>70,0</v>
      </c>
      <c r="L19" s="12" t="str">
        <f>"55,3070"</f>
        <v>55,3070</v>
      </c>
      <c r="M19" s="11" t="s">
        <v>549</v>
      </c>
    </row>
    <row r="20" spans="1:13">
      <c r="B20" s="5" t="s">
        <v>80</v>
      </c>
    </row>
    <row r="21" spans="1:13" ht="16">
      <c r="A21" s="52" t="s">
        <v>206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3">
      <c r="A22" s="10" t="s">
        <v>79</v>
      </c>
      <c r="B22" s="9" t="s">
        <v>207</v>
      </c>
      <c r="C22" s="9" t="s">
        <v>208</v>
      </c>
      <c r="D22" s="9" t="s">
        <v>209</v>
      </c>
      <c r="E22" s="9" t="s">
        <v>596</v>
      </c>
      <c r="F22" s="9" t="s">
        <v>14</v>
      </c>
      <c r="G22" s="21" t="s">
        <v>29</v>
      </c>
      <c r="H22" s="20" t="s">
        <v>32</v>
      </c>
      <c r="I22" s="20" t="s">
        <v>32</v>
      </c>
      <c r="J22" s="10"/>
      <c r="K22" s="10" t="str">
        <f>"115,0"</f>
        <v>115,0</v>
      </c>
      <c r="L22" s="10" t="str">
        <f>"83,4440"</f>
        <v>83,4440</v>
      </c>
      <c r="M22" s="9"/>
    </row>
    <row r="23" spans="1:13">
      <c r="A23" s="12" t="s">
        <v>145</v>
      </c>
      <c r="B23" s="11" t="s">
        <v>210</v>
      </c>
      <c r="C23" s="11" t="s">
        <v>211</v>
      </c>
      <c r="D23" s="11" t="s">
        <v>212</v>
      </c>
      <c r="E23" s="11" t="s">
        <v>596</v>
      </c>
      <c r="F23" s="11" t="s">
        <v>14</v>
      </c>
      <c r="G23" s="23" t="s">
        <v>213</v>
      </c>
      <c r="H23" s="22" t="s">
        <v>21</v>
      </c>
      <c r="I23" s="22" t="s">
        <v>21</v>
      </c>
      <c r="J23" s="12"/>
      <c r="K23" s="12" t="str">
        <f>"85,0"</f>
        <v>85,0</v>
      </c>
      <c r="L23" s="12" t="str">
        <f>"63,4185"</f>
        <v>63,4185</v>
      </c>
      <c r="M23" s="11" t="s">
        <v>572</v>
      </c>
    </row>
    <row r="24" spans="1:13">
      <c r="B24" s="5" t="s">
        <v>80</v>
      </c>
    </row>
    <row r="25" spans="1:13" ht="16">
      <c r="A25" s="52" t="s">
        <v>99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3">
      <c r="A26" s="10" t="s">
        <v>79</v>
      </c>
      <c r="B26" s="9" t="s">
        <v>214</v>
      </c>
      <c r="C26" s="9" t="s">
        <v>215</v>
      </c>
      <c r="D26" s="9" t="s">
        <v>216</v>
      </c>
      <c r="E26" s="9" t="s">
        <v>596</v>
      </c>
      <c r="F26" s="9" t="s">
        <v>14</v>
      </c>
      <c r="G26" s="21" t="s">
        <v>47</v>
      </c>
      <c r="H26" s="21" t="s">
        <v>117</v>
      </c>
      <c r="I26" s="21" t="s">
        <v>95</v>
      </c>
      <c r="J26" s="10"/>
      <c r="K26" s="10" t="str">
        <f>"145,0"</f>
        <v>145,0</v>
      </c>
      <c r="L26" s="10" t="str">
        <f>"98,0780"</f>
        <v>98,0780</v>
      </c>
      <c r="M26" s="9" t="s">
        <v>545</v>
      </c>
    </row>
    <row r="27" spans="1:13">
      <c r="A27" s="12" t="s">
        <v>79</v>
      </c>
      <c r="B27" s="11" t="s">
        <v>217</v>
      </c>
      <c r="C27" s="11" t="s">
        <v>218</v>
      </c>
      <c r="D27" s="11" t="s">
        <v>219</v>
      </c>
      <c r="E27" s="11" t="s">
        <v>602</v>
      </c>
      <c r="F27" s="11" t="s">
        <v>14</v>
      </c>
      <c r="G27" s="22" t="s">
        <v>213</v>
      </c>
      <c r="H27" s="23" t="s">
        <v>21</v>
      </c>
      <c r="I27" s="12"/>
      <c r="J27" s="12"/>
      <c r="K27" s="12" t="str">
        <f>"90,0"</f>
        <v>90,0</v>
      </c>
      <c r="L27" s="12" t="str">
        <f>"124,3849"</f>
        <v>124,3849</v>
      </c>
      <c r="M27" s="11"/>
    </row>
    <row r="28" spans="1:13">
      <c r="B28" s="5" t="s">
        <v>80</v>
      </c>
    </row>
    <row r="29" spans="1:13" ht="16">
      <c r="A29" s="52" t="s">
        <v>133</v>
      </c>
      <c r="B29" s="52"/>
      <c r="C29" s="52"/>
      <c r="D29" s="52"/>
      <c r="E29" s="52"/>
      <c r="F29" s="52"/>
      <c r="G29" s="52"/>
      <c r="H29" s="52"/>
      <c r="I29" s="52"/>
      <c r="J29" s="52"/>
    </row>
    <row r="30" spans="1:13">
      <c r="A30" s="10" t="s">
        <v>79</v>
      </c>
      <c r="B30" s="9" t="s">
        <v>220</v>
      </c>
      <c r="C30" s="9" t="s">
        <v>221</v>
      </c>
      <c r="D30" s="9" t="s">
        <v>222</v>
      </c>
      <c r="E30" s="9" t="s">
        <v>596</v>
      </c>
      <c r="F30" s="9" t="s">
        <v>58</v>
      </c>
      <c r="G30" s="21" t="s">
        <v>45</v>
      </c>
      <c r="H30" s="21" t="s">
        <v>104</v>
      </c>
      <c r="I30" s="20" t="s">
        <v>48</v>
      </c>
      <c r="J30" s="10"/>
      <c r="K30" s="10" t="str">
        <f>"190,0"</f>
        <v>190,0</v>
      </c>
      <c r="L30" s="10" t="str">
        <f>"120,1750"</f>
        <v>120,1750</v>
      </c>
      <c r="M30" s="9" t="s">
        <v>67</v>
      </c>
    </row>
    <row r="31" spans="1:13">
      <c r="A31" s="25" t="s">
        <v>145</v>
      </c>
      <c r="B31" s="24" t="s">
        <v>223</v>
      </c>
      <c r="C31" s="24" t="s">
        <v>224</v>
      </c>
      <c r="D31" s="24" t="s">
        <v>225</v>
      </c>
      <c r="E31" s="24" t="s">
        <v>596</v>
      </c>
      <c r="F31" s="24" t="s">
        <v>14</v>
      </c>
      <c r="G31" s="26" t="s">
        <v>45</v>
      </c>
      <c r="H31" s="26" t="s">
        <v>131</v>
      </c>
      <c r="I31" s="27" t="s">
        <v>170</v>
      </c>
      <c r="J31" s="25"/>
      <c r="K31" s="25" t="str">
        <f>"185,0"</f>
        <v>185,0</v>
      </c>
      <c r="L31" s="25" t="str">
        <f>"113,3310"</f>
        <v>113,3310</v>
      </c>
      <c r="M31" s="24"/>
    </row>
    <row r="32" spans="1:13">
      <c r="A32" s="25" t="s">
        <v>266</v>
      </c>
      <c r="B32" s="24" t="s">
        <v>226</v>
      </c>
      <c r="C32" s="24" t="s">
        <v>227</v>
      </c>
      <c r="D32" s="24" t="s">
        <v>228</v>
      </c>
      <c r="E32" s="24" t="s">
        <v>596</v>
      </c>
      <c r="F32" s="24" t="s">
        <v>14</v>
      </c>
      <c r="G32" s="27" t="s">
        <v>44</v>
      </c>
      <c r="H32" s="26" t="s">
        <v>44</v>
      </c>
      <c r="I32" s="27" t="s">
        <v>137</v>
      </c>
      <c r="J32" s="25"/>
      <c r="K32" s="25" t="str">
        <f>"165,0"</f>
        <v>165,0</v>
      </c>
      <c r="L32" s="25" t="str">
        <f>"102,7290"</f>
        <v>102,7290</v>
      </c>
      <c r="M32" s="24"/>
    </row>
    <row r="33" spans="1:13">
      <c r="A33" s="12" t="s">
        <v>267</v>
      </c>
      <c r="B33" s="11" t="s">
        <v>229</v>
      </c>
      <c r="C33" s="11" t="s">
        <v>230</v>
      </c>
      <c r="D33" s="11" t="s">
        <v>231</v>
      </c>
      <c r="E33" s="11" t="s">
        <v>596</v>
      </c>
      <c r="F33" s="11" t="s">
        <v>14</v>
      </c>
      <c r="G33" s="23" t="s">
        <v>117</v>
      </c>
      <c r="H33" s="23" t="s">
        <v>96</v>
      </c>
      <c r="I33" s="22" t="s">
        <v>109</v>
      </c>
      <c r="J33" s="12"/>
      <c r="K33" s="12" t="str">
        <f>"150,0"</f>
        <v>150,0</v>
      </c>
      <c r="L33" s="12" t="str">
        <f>"92,6100"</f>
        <v>92,6100</v>
      </c>
      <c r="M33" s="11"/>
    </row>
    <row r="34" spans="1:13">
      <c r="B34" s="5" t="s">
        <v>80</v>
      </c>
    </row>
    <row r="35" spans="1:13" ht="16">
      <c r="A35" s="52" t="s">
        <v>54</v>
      </c>
      <c r="B35" s="52"/>
      <c r="C35" s="52"/>
      <c r="D35" s="52"/>
      <c r="E35" s="52"/>
      <c r="F35" s="52"/>
      <c r="G35" s="52"/>
      <c r="H35" s="52"/>
      <c r="I35" s="52"/>
      <c r="J35" s="52"/>
    </row>
    <row r="36" spans="1:13">
      <c r="A36" s="10" t="s">
        <v>79</v>
      </c>
      <c r="B36" s="9" t="s">
        <v>232</v>
      </c>
      <c r="C36" s="9" t="s">
        <v>233</v>
      </c>
      <c r="D36" s="9" t="s">
        <v>234</v>
      </c>
      <c r="E36" s="9" t="s">
        <v>596</v>
      </c>
      <c r="F36" s="9" t="s">
        <v>548</v>
      </c>
      <c r="G36" s="21" t="s">
        <v>174</v>
      </c>
      <c r="H36" s="21" t="s">
        <v>50</v>
      </c>
      <c r="I36" s="21" t="s">
        <v>235</v>
      </c>
      <c r="J36" s="10"/>
      <c r="K36" s="10" t="str">
        <f>"232,5"</f>
        <v>232,5</v>
      </c>
      <c r="L36" s="10" t="str">
        <f>"139,1745"</f>
        <v>139,1745</v>
      </c>
      <c r="M36" s="9" t="s">
        <v>98</v>
      </c>
    </row>
    <row r="37" spans="1:13">
      <c r="A37" s="25" t="s">
        <v>145</v>
      </c>
      <c r="B37" s="24" t="s">
        <v>236</v>
      </c>
      <c r="C37" s="24" t="s">
        <v>237</v>
      </c>
      <c r="D37" s="24" t="s">
        <v>238</v>
      </c>
      <c r="E37" s="24" t="s">
        <v>596</v>
      </c>
      <c r="F37" s="24" t="s">
        <v>576</v>
      </c>
      <c r="G37" s="26" t="s">
        <v>109</v>
      </c>
      <c r="H37" s="26" t="s">
        <v>62</v>
      </c>
      <c r="I37" s="26" t="s">
        <v>63</v>
      </c>
      <c r="J37" s="25"/>
      <c r="K37" s="25" t="str">
        <f>"180,0"</f>
        <v>180,0</v>
      </c>
      <c r="L37" s="25" t="str">
        <f>"107,2440"</f>
        <v>107,2440</v>
      </c>
      <c r="M37" s="24"/>
    </row>
    <row r="38" spans="1:13">
      <c r="A38" s="25" t="s">
        <v>266</v>
      </c>
      <c r="B38" s="24" t="s">
        <v>239</v>
      </c>
      <c r="C38" s="24" t="s">
        <v>240</v>
      </c>
      <c r="D38" s="24" t="s">
        <v>241</v>
      </c>
      <c r="E38" s="24" t="s">
        <v>596</v>
      </c>
      <c r="F38" s="24" t="s">
        <v>149</v>
      </c>
      <c r="G38" s="26" t="s">
        <v>45</v>
      </c>
      <c r="H38" s="26" t="s">
        <v>63</v>
      </c>
      <c r="I38" s="27" t="s">
        <v>141</v>
      </c>
      <c r="J38" s="25"/>
      <c r="K38" s="25" t="str">
        <f>"180,0"</f>
        <v>180,0</v>
      </c>
      <c r="L38" s="25" t="str">
        <f>"106,4160"</f>
        <v>106,4160</v>
      </c>
      <c r="M38" s="24"/>
    </row>
    <row r="39" spans="1:13">
      <c r="A39" s="25" t="s">
        <v>267</v>
      </c>
      <c r="B39" s="24" t="s">
        <v>242</v>
      </c>
      <c r="C39" s="24" t="s">
        <v>243</v>
      </c>
      <c r="D39" s="24" t="s">
        <v>244</v>
      </c>
      <c r="E39" s="24" t="s">
        <v>596</v>
      </c>
      <c r="F39" s="24" t="s">
        <v>14</v>
      </c>
      <c r="G39" s="26" t="s">
        <v>95</v>
      </c>
      <c r="H39" s="26" t="s">
        <v>103</v>
      </c>
      <c r="I39" s="27" t="s">
        <v>109</v>
      </c>
      <c r="J39" s="25"/>
      <c r="K39" s="25" t="str">
        <f>"155,0"</f>
        <v>155,0</v>
      </c>
      <c r="L39" s="25" t="str">
        <f>"93,2325"</f>
        <v>93,2325</v>
      </c>
      <c r="M39" s="24" t="s">
        <v>245</v>
      </c>
    </row>
    <row r="40" spans="1:13">
      <c r="A40" s="12" t="s">
        <v>79</v>
      </c>
      <c r="B40" s="11" t="s">
        <v>239</v>
      </c>
      <c r="C40" s="11" t="s">
        <v>529</v>
      </c>
      <c r="D40" s="11" t="s">
        <v>241</v>
      </c>
      <c r="E40" s="11" t="s">
        <v>599</v>
      </c>
      <c r="F40" s="11" t="s">
        <v>149</v>
      </c>
      <c r="G40" s="23" t="s">
        <v>45</v>
      </c>
      <c r="H40" s="23" t="s">
        <v>63</v>
      </c>
      <c r="I40" s="22" t="s">
        <v>141</v>
      </c>
      <c r="J40" s="12"/>
      <c r="K40" s="12" t="str">
        <f>"180,0"</f>
        <v>180,0</v>
      </c>
      <c r="L40" s="12" t="str">
        <f>"106,9481"</f>
        <v>106,9481</v>
      </c>
      <c r="M40" s="11"/>
    </row>
    <row r="41" spans="1:13">
      <c r="B41" s="5" t="s">
        <v>80</v>
      </c>
    </row>
    <row r="42" spans="1:13" ht="16">
      <c r="A42" s="52" t="s">
        <v>246</v>
      </c>
      <c r="B42" s="52"/>
      <c r="C42" s="52"/>
      <c r="D42" s="52"/>
      <c r="E42" s="52"/>
      <c r="F42" s="52"/>
      <c r="G42" s="52"/>
      <c r="H42" s="52"/>
      <c r="I42" s="52"/>
      <c r="J42" s="52"/>
    </row>
    <row r="43" spans="1:13">
      <c r="A43" s="10" t="s">
        <v>79</v>
      </c>
      <c r="B43" s="9" t="s">
        <v>247</v>
      </c>
      <c r="C43" s="9" t="s">
        <v>248</v>
      </c>
      <c r="D43" s="9" t="s">
        <v>249</v>
      </c>
      <c r="E43" s="9" t="s">
        <v>596</v>
      </c>
      <c r="F43" s="9" t="s">
        <v>14</v>
      </c>
      <c r="G43" s="20" t="s">
        <v>250</v>
      </c>
      <c r="H43" s="20" t="s">
        <v>48</v>
      </c>
      <c r="I43" s="21" t="s">
        <v>48</v>
      </c>
      <c r="J43" s="10"/>
      <c r="K43" s="10" t="str">
        <f>"200,0"</f>
        <v>200,0</v>
      </c>
      <c r="L43" s="10" t="str">
        <f>"116,6800"</f>
        <v>116,6800</v>
      </c>
      <c r="M43" s="9" t="s">
        <v>573</v>
      </c>
    </row>
    <row r="44" spans="1:13">
      <c r="A44" s="12" t="s">
        <v>145</v>
      </c>
      <c r="B44" s="11" t="s">
        <v>251</v>
      </c>
      <c r="C44" s="11" t="s">
        <v>252</v>
      </c>
      <c r="D44" s="11" t="s">
        <v>253</v>
      </c>
      <c r="E44" s="11" t="s">
        <v>596</v>
      </c>
      <c r="F44" s="11" t="s">
        <v>14</v>
      </c>
      <c r="G44" s="23" t="s">
        <v>104</v>
      </c>
      <c r="H44" s="22" t="s">
        <v>254</v>
      </c>
      <c r="I44" s="22" t="s">
        <v>254</v>
      </c>
      <c r="J44" s="12"/>
      <c r="K44" s="12" t="str">
        <f>"190,0"</f>
        <v>190,0</v>
      </c>
      <c r="L44" s="12" t="str">
        <f>"108,7560"</f>
        <v>108,7560</v>
      </c>
      <c r="M44" s="11" t="s">
        <v>554</v>
      </c>
    </row>
    <row r="45" spans="1:13">
      <c r="B45" s="5" t="s">
        <v>80</v>
      </c>
    </row>
    <row r="46" spans="1:13" ht="16">
      <c r="A46" s="52" t="s">
        <v>255</v>
      </c>
      <c r="B46" s="52"/>
      <c r="C46" s="52"/>
      <c r="D46" s="52"/>
      <c r="E46" s="52"/>
      <c r="F46" s="52"/>
      <c r="G46" s="52"/>
      <c r="H46" s="52"/>
      <c r="I46" s="52"/>
      <c r="J46" s="52"/>
    </row>
    <row r="47" spans="1:13">
      <c r="A47" s="8" t="s">
        <v>79</v>
      </c>
      <c r="B47" s="7" t="s">
        <v>256</v>
      </c>
      <c r="C47" s="7" t="s">
        <v>257</v>
      </c>
      <c r="D47" s="7" t="s">
        <v>258</v>
      </c>
      <c r="E47" s="7" t="s">
        <v>596</v>
      </c>
      <c r="F47" s="7" t="s">
        <v>14</v>
      </c>
      <c r="G47" s="18" t="s">
        <v>125</v>
      </c>
      <c r="H47" s="18" t="s">
        <v>259</v>
      </c>
      <c r="I47" s="18" t="s">
        <v>119</v>
      </c>
      <c r="J47" s="8"/>
      <c r="K47" s="8" t="str">
        <f>"250,0"</f>
        <v>250,0</v>
      </c>
      <c r="L47" s="8" t="str">
        <f>"140,6750"</f>
        <v>140,6750</v>
      </c>
      <c r="M47" s="7" t="s">
        <v>574</v>
      </c>
    </row>
    <row r="48" spans="1:13">
      <c r="B48" s="5" t="s">
        <v>80</v>
      </c>
    </row>
    <row r="49" spans="2:6">
      <c r="B49" s="5" t="s">
        <v>80</v>
      </c>
    </row>
    <row r="50" spans="2:6">
      <c r="B50" s="5" t="s">
        <v>80</v>
      </c>
    </row>
    <row r="51" spans="2:6" ht="18">
      <c r="B51" s="13" t="s">
        <v>68</v>
      </c>
      <c r="C51" s="13"/>
      <c r="F51" s="3"/>
    </row>
    <row r="52" spans="2:6" ht="16">
      <c r="B52" s="14" t="s">
        <v>69</v>
      </c>
      <c r="C52" s="14"/>
      <c r="F52" s="3"/>
    </row>
    <row r="53" spans="2:6" ht="14">
      <c r="B53" s="15"/>
      <c r="C53" s="16" t="s">
        <v>76</v>
      </c>
      <c r="F53" s="3"/>
    </row>
    <row r="54" spans="2:6" ht="14">
      <c r="B54" s="17" t="s">
        <v>70</v>
      </c>
      <c r="C54" s="17" t="s">
        <v>71</v>
      </c>
      <c r="D54" s="17" t="s">
        <v>72</v>
      </c>
      <c r="E54" s="17" t="s">
        <v>260</v>
      </c>
      <c r="F54" s="17" t="s">
        <v>73</v>
      </c>
    </row>
    <row r="55" spans="2:6">
      <c r="B55" s="5" t="s">
        <v>256</v>
      </c>
      <c r="C55" s="5" t="s">
        <v>76</v>
      </c>
      <c r="D55" s="6" t="s">
        <v>261</v>
      </c>
      <c r="E55" s="6" t="s">
        <v>119</v>
      </c>
      <c r="F55" s="6" t="s">
        <v>262</v>
      </c>
    </row>
    <row r="56" spans="2:6">
      <c r="B56" s="5" t="s">
        <v>232</v>
      </c>
      <c r="C56" s="5" t="s">
        <v>76</v>
      </c>
      <c r="D56" s="6" t="s">
        <v>77</v>
      </c>
      <c r="E56" s="6" t="s">
        <v>235</v>
      </c>
      <c r="F56" s="6" t="s">
        <v>263</v>
      </c>
    </row>
    <row r="57" spans="2:6">
      <c r="B57" s="5" t="s">
        <v>220</v>
      </c>
      <c r="C57" s="5" t="s">
        <v>76</v>
      </c>
      <c r="D57" s="6" t="s">
        <v>166</v>
      </c>
      <c r="E57" s="6" t="s">
        <v>104</v>
      </c>
      <c r="F57" s="6" t="s">
        <v>264</v>
      </c>
    </row>
  </sheetData>
  <mergeCells count="22">
    <mergeCell ref="A29:J29"/>
    <mergeCell ref="A35:J35"/>
    <mergeCell ref="A42:J42"/>
    <mergeCell ref="A46:J46"/>
    <mergeCell ref="B3:B4"/>
    <mergeCell ref="A8:J8"/>
    <mergeCell ref="A11:J11"/>
    <mergeCell ref="A14:J14"/>
    <mergeCell ref="A17:J17"/>
    <mergeCell ref="A21:J21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3" t="s">
        <v>512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8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246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375</v>
      </c>
      <c r="C6" s="7" t="s">
        <v>376</v>
      </c>
      <c r="D6" s="7" t="s">
        <v>377</v>
      </c>
      <c r="E6" s="7" t="s">
        <v>596</v>
      </c>
      <c r="F6" s="7" t="s">
        <v>14</v>
      </c>
      <c r="G6" s="19" t="s">
        <v>104</v>
      </c>
      <c r="H6" s="19" t="s">
        <v>104</v>
      </c>
      <c r="I6" s="18" t="s">
        <v>104</v>
      </c>
      <c r="J6" s="8"/>
      <c r="K6" s="8" t="str">
        <f>"190,0"</f>
        <v>190,0</v>
      </c>
      <c r="L6" s="8" t="str">
        <f>"111,0740"</f>
        <v>111,0740</v>
      </c>
      <c r="M6" s="7"/>
    </row>
    <row r="7" spans="1:13">
      <c r="B7" s="5" t="s">
        <v>80</v>
      </c>
    </row>
    <row r="8" spans="1:13">
      <c r="B8" s="5" t="s">
        <v>80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5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33" t="s">
        <v>513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8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372</v>
      </c>
      <c r="C6" s="7" t="s">
        <v>373</v>
      </c>
      <c r="D6" s="7" t="s">
        <v>374</v>
      </c>
      <c r="E6" s="7" t="s">
        <v>596</v>
      </c>
      <c r="F6" s="7" t="s">
        <v>14</v>
      </c>
      <c r="G6" s="18" t="s">
        <v>45</v>
      </c>
      <c r="H6" s="18" t="s">
        <v>131</v>
      </c>
      <c r="I6" s="18" t="s">
        <v>104</v>
      </c>
      <c r="J6" s="8"/>
      <c r="K6" s="8" t="str">
        <f>"190,0"</f>
        <v>190,0</v>
      </c>
      <c r="L6" s="8" t="str">
        <f>"123,4050"</f>
        <v>123,4050</v>
      </c>
      <c r="M6" s="7" t="s">
        <v>577</v>
      </c>
    </row>
    <row r="7" spans="1:13">
      <c r="B7" s="5" t="s">
        <v>80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6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6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33" t="s">
        <v>579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8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33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442</v>
      </c>
      <c r="C6" s="7" t="s">
        <v>530</v>
      </c>
      <c r="D6" s="7" t="s">
        <v>443</v>
      </c>
      <c r="E6" s="7" t="s">
        <v>597</v>
      </c>
      <c r="F6" s="7" t="s">
        <v>14</v>
      </c>
      <c r="G6" s="18" t="s">
        <v>96</v>
      </c>
      <c r="H6" s="19" t="s">
        <v>44</v>
      </c>
      <c r="I6" s="19" t="s">
        <v>44</v>
      </c>
      <c r="J6" s="8"/>
      <c r="K6" s="8" t="str">
        <f>"150,0"</f>
        <v>150,0</v>
      </c>
      <c r="L6" s="8" t="str">
        <f>"116,1450"</f>
        <v>116,1450</v>
      </c>
      <c r="M6" s="7" t="s">
        <v>578</v>
      </c>
    </row>
    <row r="7" spans="1:13">
      <c r="B7" s="5" t="s">
        <v>80</v>
      </c>
    </row>
    <row r="8" spans="1:13" ht="16">
      <c r="A8" s="52" t="s">
        <v>40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79</v>
      </c>
      <c r="B9" s="7" t="s">
        <v>444</v>
      </c>
      <c r="C9" s="7" t="s">
        <v>531</v>
      </c>
      <c r="D9" s="7" t="s">
        <v>445</v>
      </c>
      <c r="E9" s="7" t="s">
        <v>598</v>
      </c>
      <c r="F9" s="7" t="s">
        <v>14</v>
      </c>
      <c r="G9" s="19" t="s">
        <v>44</v>
      </c>
      <c r="H9" s="18" t="s">
        <v>45</v>
      </c>
      <c r="I9" s="19" t="s">
        <v>365</v>
      </c>
      <c r="J9" s="8"/>
      <c r="K9" s="8" t="str">
        <f>"175,0"</f>
        <v>175,0</v>
      </c>
      <c r="L9" s="8" t="str">
        <f>"122,4567"</f>
        <v>122,4567</v>
      </c>
      <c r="M9" s="7"/>
    </row>
    <row r="10" spans="1:13">
      <c r="B10" s="5" t="s">
        <v>80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8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6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33" t="s">
        <v>514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9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23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394</v>
      </c>
      <c r="C6" s="7" t="s">
        <v>395</v>
      </c>
      <c r="D6" s="7" t="s">
        <v>396</v>
      </c>
      <c r="E6" s="7" t="s">
        <v>596</v>
      </c>
      <c r="F6" s="7" t="s">
        <v>14</v>
      </c>
      <c r="G6" s="18" t="s">
        <v>110</v>
      </c>
      <c r="H6" s="18" t="s">
        <v>94</v>
      </c>
      <c r="I6" s="18" t="s">
        <v>29</v>
      </c>
      <c r="J6" s="8"/>
      <c r="K6" s="8" t="str">
        <f>"115,0"</f>
        <v>115,0</v>
      </c>
      <c r="L6" s="8" t="str">
        <f>"131,1115"</f>
        <v>131,1115</v>
      </c>
      <c r="M6" s="7" t="s">
        <v>105</v>
      </c>
    </row>
    <row r="7" spans="1:13">
      <c r="B7" s="5" t="s">
        <v>80</v>
      </c>
    </row>
    <row r="8" spans="1:13" ht="16">
      <c r="A8" s="52" t="s">
        <v>33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79</v>
      </c>
      <c r="B9" s="7" t="s">
        <v>397</v>
      </c>
      <c r="C9" s="7" t="s">
        <v>522</v>
      </c>
      <c r="D9" s="7" t="s">
        <v>398</v>
      </c>
      <c r="E9" s="7" t="s">
        <v>600</v>
      </c>
      <c r="F9" s="7" t="s">
        <v>14</v>
      </c>
      <c r="G9" s="18" t="s">
        <v>95</v>
      </c>
      <c r="H9" s="18" t="s">
        <v>97</v>
      </c>
      <c r="I9" s="19" t="s">
        <v>109</v>
      </c>
      <c r="J9" s="8"/>
      <c r="K9" s="8" t="str">
        <f>"152,5"</f>
        <v>152,5</v>
      </c>
      <c r="L9" s="8" t="str">
        <f>"173,3846"</f>
        <v>173,3846</v>
      </c>
      <c r="M9" s="7" t="s">
        <v>553</v>
      </c>
    </row>
    <row r="10" spans="1:13">
      <c r="B10" s="5" t="s">
        <v>80</v>
      </c>
    </row>
    <row r="11" spans="1:13" ht="16">
      <c r="A11" s="52" t="s">
        <v>206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8" t="s">
        <v>79</v>
      </c>
      <c r="B12" s="7" t="s">
        <v>400</v>
      </c>
      <c r="C12" s="7" t="s">
        <v>401</v>
      </c>
      <c r="D12" s="7" t="s">
        <v>402</v>
      </c>
      <c r="E12" s="7" t="s">
        <v>596</v>
      </c>
      <c r="F12" s="7" t="s">
        <v>14</v>
      </c>
      <c r="G12" s="18" t="s">
        <v>17</v>
      </c>
      <c r="H12" s="18" t="s">
        <v>89</v>
      </c>
      <c r="I12" s="19" t="s">
        <v>403</v>
      </c>
      <c r="J12" s="8"/>
      <c r="K12" s="8" t="str">
        <f>"82,5"</f>
        <v>82,5</v>
      </c>
      <c r="L12" s="8" t="str">
        <f>"83,2425"</f>
        <v>83,2425</v>
      </c>
      <c r="M12" s="7" t="s">
        <v>557</v>
      </c>
    </row>
    <row r="13" spans="1:13">
      <c r="B13" s="5" t="s">
        <v>80</v>
      </c>
    </row>
    <row r="14" spans="1:13" ht="16">
      <c r="A14" s="52" t="s">
        <v>99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>
      <c r="A15" s="10" t="s">
        <v>79</v>
      </c>
      <c r="B15" s="9" t="s">
        <v>404</v>
      </c>
      <c r="C15" s="9" t="s">
        <v>532</v>
      </c>
      <c r="D15" s="9" t="s">
        <v>405</v>
      </c>
      <c r="E15" s="9" t="s">
        <v>597</v>
      </c>
      <c r="F15" s="9" t="s">
        <v>14</v>
      </c>
      <c r="G15" s="21" t="s">
        <v>161</v>
      </c>
      <c r="H15" s="21" t="s">
        <v>112</v>
      </c>
      <c r="I15" s="10"/>
      <c r="J15" s="10"/>
      <c r="K15" s="10" t="str">
        <f>"220,0"</f>
        <v>220,0</v>
      </c>
      <c r="L15" s="10" t="str">
        <f>"149,3800"</f>
        <v>149,3800</v>
      </c>
      <c r="M15" s="9"/>
    </row>
    <row r="16" spans="1:13">
      <c r="A16" s="25" t="s">
        <v>79</v>
      </c>
      <c r="B16" s="24" t="s">
        <v>406</v>
      </c>
      <c r="C16" s="24" t="s">
        <v>407</v>
      </c>
      <c r="D16" s="24" t="s">
        <v>408</v>
      </c>
      <c r="E16" s="24" t="s">
        <v>596</v>
      </c>
      <c r="F16" s="24" t="s">
        <v>149</v>
      </c>
      <c r="G16" s="26" t="s">
        <v>143</v>
      </c>
      <c r="H16" s="26" t="s">
        <v>409</v>
      </c>
      <c r="I16" s="27" t="s">
        <v>150</v>
      </c>
      <c r="J16" s="25"/>
      <c r="K16" s="25" t="str">
        <f>"267,5"</f>
        <v>267,5</v>
      </c>
      <c r="L16" s="25" t="str">
        <f>"185,7788"</f>
        <v>185,7788</v>
      </c>
      <c r="M16" s="24"/>
    </row>
    <row r="17" spans="1:13">
      <c r="A17" s="25" t="s">
        <v>145</v>
      </c>
      <c r="B17" s="24" t="s">
        <v>106</v>
      </c>
      <c r="C17" s="24" t="s">
        <v>107</v>
      </c>
      <c r="D17" s="24" t="s">
        <v>108</v>
      </c>
      <c r="E17" s="24" t="s">
        <v>596</v>
      </c>
      <c r="F17" s="24" t="s">
        <v>543</v>
      </c>
      <c r="G17" s="26" t="s">
        <v>111</v>
      </c>
      <c r="H17" s="26" t="s">
        <v>112</v>
      </c>
      <c r="I17" s="27" t="s">
        <v>113</v>
      </c>
      <c r="J17" s="25"/>
      <c r="K17" s="25" t="str">
        <f>"220,0"</f>
        <v>220,0</v>
      </c>
      <c r="L17" s="25" t="str">
        <f>"148,5880"</f>
        <v>148,5880</v>
      </c>
      <c r="M17" s="24" t="s">
        <v>114</v>
      </c>
    </row>
    <row r="18" spans="1:13">
      <c r="A18" s="12" t="s">
        <v>266</v>
      </c>
      <c r="B18" s="11" t="s">
        <v>410</v>
      </c>
      <c r="C18" s="11" t="s">
        <v>411</v>
      </c>
      <c r="D18" s="11" t="s">
        <v>412</v>
      </c>
      <c r="E18" s="11" t="s">
        <v>596</v>
      </c>
      <c r="F18" s="11" t="s">
        <v>14</v>
      </c>
      <c r="G18" s="23" t="s">
        <v>170</v>
      </c>
      <c r="H18" s="22" t="s">
        <v>346</v>
      </c>
      <c r="I18" s="22" t="s">
        <v>111</v>
      </c>
      <c r="J18" s="12"/>
      <c r="K18" s="12" t="str">
        <f>"195,0"</f>
        <v>195,0</v>
      </c>
      <c r="L18" s="12" t="str">
        <f>"134,1990"</f>
        <v>134,1990</v>
      </c>
      <c r="M18" s="11"/>
    </row>
    <row r="19" spans="1:13">
      <c r="B19" s="5" t="s">
        <v>80</v>
      </c>
    </row>
    <row r="20" spans="1:13" ht="16">
      <c r="A20" s="52" t="s">
        <v>40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3">
      <c r="A21" s="10" t="s">
        <v>79</v>
      </c>
      <c r="B21" s="9" t="s">
        <v>115</v>
      </c>
      <c r="C21" s="9" t="s">
        <v>517</v>
      </c>
      <c r="D21" s="9" t="s">
        <v>116</v>
      </c>
      <c r="E21" s="9" t="s">
        <v>597</v>
      </c>
      <c r="F21" s="9" t="s">
        <v>543</v>
      </c>
      <c r="G21" s="21" t="s">
        <v>118</v>
      </c>
      <c r="H21" s="20" t="s">
        <v>119</v>
      </c>
      <c r="I21" s="20" t="s">
        <v>119</v>
      </c>
      <c r="J21" s="10"/>
      <c r="K21" s="10" t="str">
        <f>"235,0"</f>
        <v>235,0</v>
      </c>
      <c r="L21" s="10" t="str">
        <f>"154,0895"</f>
        <v>154,0895</v>
      </c>
      <c r="M21" s="9" t="s">
        <v>120</v>
      </c>
    </row>
    <row r="22" spans="1:13">
      <c r="A22" s="25" t="s">
        <v>79</v>
      </c>
      <c r="B22" s="24" t="s">
        <v>127</v>
      </c>
      <c r="C22" s="24" t="s">
        <v>128</v>
      </c>
      <c r="D22" s="24" t="s">
        <v>129</v>
      </c>
      <c r="E22" s="24" t="s">
        <v>596</v>
      </c>
      <c r="F22" s="24" t="s">
        <v>130</v>
      </c>
      <c r="G22" s="26" t="s">
        <v>111</v>
      </c>
      <c r="H22" s="26" t="s">
        <v>113</v>
      </c>
      <c r="I22" s="27" t="s">
        <v>118</v>
      </c>
      <c r="J22" s="25"/>
      <c r="K22" s="25" t="str">
        <f>"230,0"</f>
        <v>230,0</v>
      </c>
      <c r="L22" s="25" t="str">
        <f>"148,0280"</f>
        <v>148,0280</v>
      </c>
      <c r="M22" s="24"/>
    </row>
    <row r="23" spans="1:13">
      <c r="A23" s="25" t="s">
        <v>145</v>
      </c>
      <c r="B23" s="24" t="s">
        <v>413</v>
      </c>
      <c r="C23" s="24" t="s">
        <v>414</v>
      </c>
      <c r="D23" s="24" t="s">
        <v>415</v>
      </c>
      <c r="E23" s="24" t="s">
        <v>596</v>
      </c>
      <c r="F23" s="24" t="s">
        <v>276</v>
      </c>
      <c r="G23" s="26" t="s">
        <v>111</v>
      </c>
      <c r="H23" s="26" t="s">
        <v>50</v>
      </c>
      <c r="I23" s="27" t="s">
        <v>113</v>
      </c>
      <c r="J23" s="25"/>
      <c r="K23" s="25" t="str">
        <f>"225,0"</f>
        <v>225,0</v>
      </c>
      <c r="L23" s="25" t="str">
        <f>"144,9900"</f>
        <v>144,9900</v>
      </c>
      <c r="M23" s="24" t="s">
        <v>556</v>
      </c>
    </row>
    <row r="24" spans="1:13">
      <c r="A24" s="12" t="s">
        <v>79</v>
      </c>
      <c r="B24" s="11" t="s">
        <v>416</v>
      </c>
      <c r="C24" s="11" t="s">
        <v>533</v>
      </c>
      <c r="D24" s="11" t="s">
        <v>417</v>
      </c>
      <c r="E24" s="11" t="s">
        <v>600</v>
      </c>
      <c r="F24" s="11" t="s">
        <v>14</v>
      </c>
      <c r="G24" s="23" t="s">
        <v>117</v>
      </c>
      <c r="H24" s="23" t="s">
        <v>96</v>
      </c>
      <c r="I24" s="23" t="s">
        <v>44</v>
      </c>
      <c r="J24" s="12"/>
      <c r="K24" s="12" t="str">
        <f>"165,0"</f>
        <v>165,0</v>
      </c>
      <c r="L24" s="12" t="str">
        <f>"120,9286"</f>
        <v>120,9286</v>
      </c>
      <c r="M24" s="11" t="s">
        <v>578</v>
      </c>
    </row>
    <row r="25" spans="1:13">
      <c r="B25" s="5" t="s">
        <v>80</v>
      </c>
    </row>
    <row r="26" spans="1:13" ht="16">
      <c r="A26" s="52" t="s">
        <v>133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3">
      <c r="A27" s="10" t="s">
        <v>79</v>
      </c>
      <c r="B27" s="9" t="s">
        <v>418</v>
      </c>
      <c r="C27" s="9" t="s">
        <v>419</v>
      </c>
      <c r="D27" s="9" t="s">
        <v>420</v>
      </c>
      <c r="E27" s="9" t="s">
        <v>596</v>
      </c>
      <c r="F27" s="9" t="s">
        <v>130</v>
      </c>
      <c r="G27" s="21" t="s">
        <v>111</v>
      </c>
      <c r="H27" s="20" t="s">
        <v>112</v>
      </c>
      <c r="I27" s="20" t="s">
        <v>112</v>
      </c>
      <c r="J27" s="10"/>
      <c r="K27" s="10" t="str">
        <f>"210,0"</f>
        <v>210,0</v>
      </c>
      <c r="L27" s="10" t="str">
        <f>"128,9820"</f>
        <v>128,9820</v>
      </c>
      <c r="M27" s="9"/>
    </row>
    <row r="28" spans="1:13">
      <c r="A28" s="12" t="s">
        <v>145</v>
      </c>
      <c r="B28" s="11" t="s">
        <v>337</v>
      </c>
      <c r="C28" s="11" t="s">
        <v>338</v>
      </c>
      <c r="D28" s="11" t="s">
        <v>339</v>
      </c>
      <c r="E28" s="11" t="s">
        <v>596</v>
      </c>
      <c r="F28" s="11" t="s">
        <v>14</v>
      </c>
      <c r="G28" s="23" t="s">
        <v>45</v>
      </c>
      <c r="H28" s="22" t="s">
        <v>141</v>
      </c>
      <c r="I28" s="23" t="s">
        <v>131</v>
      </c>
      <c r="J28" s="12"/>
      <c r="K28" s="12" t="str">
        <f>"185,0"</f>
        <v>185,0</v>
      </c>
      <c r="L28" s="12" t="str">
        <f>"116,1060"</f>
        <v>116,1060</v>
      </c>
      <c r="M28" s="11" t="s">
        <v>554</v>
      </c>
    </row>
    <row r="29" spans="1:13">
      <c r="B29" s="5" t="s">
        <v>80</v>
      </c>
    </row>
    <row r="30" spans="1:13">
      <c r="B30" s="5" t="s">
        <v>80</v>
      </c>
    </row>
    <row r="31" spans="1:13">
      <c r="B31" s="5" t="s">
        <v>80</v>
      </c>
    </row>
    <row r="32" spans="1:13" ht="18">
      <c r="B32" s="13" t="s">
        <v>68</v>
      </c>
      <c r="C32" s="13"/>
      <c r="F32" s="3"/>
    </row>
    <row r="33" spans="2:6" ht="16">
      <c r="B33" s="14" t="s">
        <v>69</v>
      </c>
      <c r="C33" s="14"/>
      <c r="F33" s="3"/>
    </row>
    <row r="34" spans="2:6" ht="14">
      <c r="B34" s="15"/>
      <c r="C34" s="16" t="s">
        <v>76</v>
      </c>
      <c r="F34" s="3"/>
    </row>
    <row r="35" spans="2:6" ht="14">
      <c r="B35" s="17" t="s">
        <v>70</v>
      </c>
      <c r="C35" s="17" t="s">
        <v>71</v>
      </c>
      <c r="D35" s="17" t="s">
        <v>72</v>
      </c>
      <c r="E35" s="17" t="s">
        <v>260</v>
      </c>
      <c r="F35" s="17" t="s">
        <v>73</v>
      </c>
    </row>
    <row r="36" spans="2:6">
      <c r="B36" s="5" t="s">
        <v>406</v>
      </c>
      <c r="C36" s="5" t="s">
        <v>76</v>
      </c>
      <c r="D36" s="6" t="s">
        <v>144</v>
      </c>
      <c r="E36" s="6" t="s">
        <v>409</v>
      </c>
      <c r="F36" s="6" t="s">
        <v>421</v>
      </c>
    </row>
    <row r="37" spans="2:6">
      <c r="B37" s="5" t="s">
        <v>106</v>
      </c>
      <c r="C37" s="5" t="s">
        <v>76</v>
      </c>
      <c r="D37" s="6" t="s">
        <v>144</v>
      </c>
      <c r="E37" s="6" t="s">
        <v>112</v>
      </c>
      <c r="F37" s="6" t="s">
        <v>422</v>
      </c>
    </row>
    <row r="38" spans="2:6">
      <c r="B38" s="5" t="s">
        <v>127</v>
      </c>
      <c r="C38" s="5" t="s">
        <v>76</v>
      </c>
      <c r="D38" s="6" t="s">
        <v>78</v>
      </c>
      <c r="E38" s="6" t="s">
        <v>113</v>
      </c>
      <c r="F38" s="6" t="s">
        <v>423</v>
      </c>
    </row>
  </sheetData>
  <mergeCells count="17">
    <mergeCell ref="A26:J26"/>
    <mergeCell ref="A5:J5"/>
    <mergeCell ref="A8:J8"/>
    <mergeCell ref="A11:J11"/>
    <mergeCell ref="A14:J14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6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33" t="s">
        <v>515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9</v>
      </c>
      <c r="H3" s="45"/>
      <c r="I3" s="45"/>
      <c r="J3" s="45"/>
      <c r="K3" s="53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54"/>
      <c r="L4" s="44"/>
      <c r="M4" s="49"/>
    </row>
    <row r="5" spans="1:13" ht="16">
      <c r="A5" s="50" t="s">
        <v>206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378</v>
      </c>
      <c r="C6" s="7" t="s">
        <v>379</v>
      </c>
      <c r="D6" s="7" t="s">
        <v>380</v>
      </c>
      <c r="E6" s="7" t="s">
        <v>595</v>
      </c>
      <c r="F6" s="7" t="s">
        <v>547</v>
      </c>
      <c r="G6" s="18" t="s">
        <v>47</v>
      </c>
      <c r="H6" s="18" t="s">
        <v>96</v>
      </c>
      <c r="I6" s="18" t="s">
        <v>62</v>
      </c>
      <c r="J6" s="8"/>
      <c r="K6" s="31" t="str">
        <f>"170,0"</f>
        <v>170,0</v>
      </c>
      <c r="L6" s="8" t="str">
        <f>"123,6070"</f>
        <v>123,6070</v>
      </c>
      <c r="M6" s="7"/>
    </row>
    <row r="7" spans="1:13">
      <c r="B7" s="5" t="s">
        <v>80</v>
      </c>
    </row>
    <row r="8" spans="1:13" ht="16">
      <c r="A8" s="52" t="s">
        <v>99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79</v>
      </c>
      <c r="B9" s="7" t="s">
        <v>171</v>
      </c>
      <c r="C9" s="7" t="s">
        <v>172</v>
      </c>
      <c r="D9" s="7" t="s">
        <v>173</v>
      </c>
      <c r="E9" s="7" t="s">
        <v>596</v>
      </c>
      <c r="F9" s="7" t="s">
        <v>550</v>
      </c>
      <c r="G9" s="18" t="s">
        <v>50</v>
      </c>
      <c r="H9" s="18" t="s">
        <v>113</v>
      </c>
      <c r="I9" s="18" t="s">
        <v>118</v>
      </c>
      <c r="J9" s="8"/>
      <c r="K9" s="31" t="str">
        <f>"235,0"</f>
        <v>235,0</v>
      </c>
      <c r="L9" s="8" t="str">
        <f>"165,9335"</f>
        <v>165,9335</v>
      </c>
      <c r="M9" s="7"/>
    </row>
    <row r="10" spans="1:13">
      <c r="B10" s="5" t="s">
        <v>80</v>
      </c>
    </row>
    <row r="11" spans="1:13" ht="16">
      <c r="A11" s="52" t="s">
        <v>133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10" t="s">
        <v>79</v>
      </c>
      <c r="B12" s="9" t="s">
        <v>381</v>
      </c>
      <c r="C12" s="9" t="s">
        <v>382</v>
      </c>
      <c r="D12" s="9" t="s">
        <v>383</v>
      </c>
      <c r="E12" s="9" t="s">
        <v>596</v>
      </c>
      <c r="F12" s="9" t="s">
        <v>581</v>
      </c>
      <c r="G12" s="21" t="s">
        <v>142</v>
      </c>
      <c r="H12" s="21" t="s">
        <v>119</v>
      </c>
      <c r="I12" s="20" t="s">
        <v>143</v>
      </c>
      <c r="J12" s="10"/>
      <c r="K12" s="29" t="str">
        <f>"250,0"</f>
        <v>250,0</v>
      </c>
      <c r="L12" s="10" t="str">
        <f>"155,5000"</f>
        <v>155,5000</v>
      </c>
      <c r="M12" s="9"/>
    </row>
    <row r="13" spans="1:13">
      <c r="A13" s="12" t="s">
        <v>371</v>
      </c>
      <c r="B13" s="11" t="s">
        <v>384</v>
      </c>
      <c r="C13" s="11" t="s">
        <v>385</v>
      </c>
      <c r="D13" s="11" t="s">
        <v>386</v>
      </c>
      <c r="E13" s="11" t="s">
        <v>596</v>
      </c>
      <c r="F13" s="11" t="s">
        <v>14</v>
      </c>
      <c r="G13" s="22" t="s">
        <v>119</v>
      </c>
      <c r="H13" s="22" t="s">
        <v>119</v>
      </c>
      <c r="I13" s="22" t="s">
        <v>119</v>
      </c>
      <c r="J13" s="12"/>
      <c r="K13" s="30">
        <v>0</v>
      </c>
      <c r="L13" s="12" t="str">
        <f>"0,0000"</f>
        <v>0,0000</v>
      </c>
      <c r="M13" s="11" t="s">
        <v>105</v>
      </c>
    </row>
    <row r="14" spans="1:13">
      <c r="B14" s="5" t="s">
        <v>80</v>
      </c>
    </row>
    <row r="15" spans="1:13" ht="16">
      <c r="A15" s="52" t="s">
        <v>54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10" t="s">
        <v>79</v>
      </c>
      <c r="B16" s="9" t="s">
        <v>387</v>
      </c>
      <c r="C16" s="9" t="s">
        <v>388</v>
      </c>
      <c r="D16" s="9" t="s">
        <v>183</v>
      </c>
      <c r="E16" s="9" t="s">
        <v>596</v>
      </c>
      <c r="F16" s="9" t="s">
        <v>581</v>
      </c>
      <c r="G16" s="20" t="s">
        <v>143</v>
      </c>
      <c r="H16" s="21" t="s">
        <v>143</v>
      </c>
      <c r="I16" s="20" t="s">
        <v>157</v>
      </c>
      <c r="J16" s="10"/>
      <c r="K16" s="29" t="str">
        <f>"260,0"</f>
        <v>260,0</v>
      </c>
      <c r="L16" s="10" t="str">
        <f>"153,5820"</f>
        <v>153,5820</v>
      </c>
      <c r="M16" s="9"/>
    </row>
    <row r="17" spans="1:13">
      <c r="A17" s="25" t="s">
        <v>145</v>
      </c>
      <c r="B17" s="24" t="s">
        <v>389</v>
      </c>
      <c r="C17" s="24" t="s">
        <v>390</v>
      </c>
      <c r="D17" s="24" t="s">
        <v>391</v>
      </c>
      <c r="E17" s="24" t="s">
        <v>596</v>
      </c>
      <c r="F17" s="24" t="s">
        <v>14</v>
      </c>
      <c r="G17" s="27" t="s">
        <v>119</v>
      </c>
      <c r="H17" s="26" t="s">
        <v>119</v>
      </c>
      <c r="I17" s="27" t="s">
        <v>143</v>
      </c>
      <c r="J17" s="25"/>
      <c r="K17" s="32" t="str">
        <f>"250,0"</f>
        <v>250,0</v>
      </c>
      <c r="L17" s="25" t="str">
        <f>"150,8000"</f>
        <v>150,8000</v>
      </c>
      <c r="M17" s="24" t="s">
        <v>98</v>
      </c>
    </row>
    <row r="18" spans="1:13">
      <c r="A18" s="25" t="s">
        <v>79</v>
      </c>
      <c r="B18" s="24" t="s">
        <v>389</v>
      </c>
      <c r="C18" s="24" t="s">
        <v>534</v>
      </c>
      <c r="D18" s="24" t="s">
        <v>391</v>
      </c>
      <c r="E18" s="24" t="s">
        <v>600</v>
      </c>
      <c r="F18" s="24" t="s">
        <v>14</v>
      </c>
      <c r="G18" s="27" t="s">
        <v>119</v>
      </c>
      <c r="H18" s="26" t="s">
        <v>119</v>
      </c>
      <c r="I18" s="27" t="s">
        <v>143</v>
      </c>
      <c r="J18" s="25"/>
      <c r="K18" s="32" t="str">
        <f>"250,0"</f>
        <v>250,0</v>
      </c>
      <c r="L18" s="25" t="str">
        <f>"167,9912"</f>
        <v>167,9912</v>
      </c>
      <c r="M18" s="24" t="s">
        <v>98</v>
      </c>
    </row>
    <row r="19" spans="1:13">
      <c r="A19" s="12" t="s">
        <v>79</v>
      </c>
      <c r="B19" s="11" t="s">
        <v>392</v>
      </c>
      <c r="C19" s="11" t="s">
        <v>535</v>
      </c>
      <c r="D19" s="11" t="s">
        <v>393</v>
      </c>
      <c r="E19" s="11" t="s">
        <v>603</v>
      </c>
      <c r="F19" s="11" t="s">
        <v>14</v>
      </c>
      <c r="G19" s="23" t="s">
        <v>131</v>
      </c>
      <c r="H19" s="23" t="s">
        <v>48</v>
      </c>
      <c r="I19" s="23" t="s">
        <v>161</v>
      </c>
      <c r="J19" s="12"/>
      <c r="K19" s="30" t="str">
        <f>"205,0"</f>
        <v>205,0</v>
      </c>
      <c r="L19" s="12" t="str">
        <f>"152,8275"</f>
        <v>152,8275</v>
      </c>
      <c r="M19" s="11" t="s">
        <v>580</v>
      </c>
    </row>
    <row r="20" spans="1:13">
      <c r="B20" s="5" t="s">
        <v>80</v>
      </c>
    </row>
  </sheetData>
  <mergeCells count="15">
    <mergeCell ref="A8:J8"/>
    <mergeCell ref="A11:J11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.83203125" style="5" customWidth="1"/>
    <col min="14" max="16384" width="9.1640625" style="3"/>
  </cols>
  <sheetData>
    <row r="1" spans="1:13" s="2" customFormat="1" ht="29" customHeight="1">
      <c r="A1" s="33" t="s">
        <v>516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9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54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424</v>
      </c>
      <c r="C6" s="7" t="s">
        <v>536</v>
      </c>
      <c r="D6" s="7" t="s">
        <v>425</v>
      </c>
      <c r="E6" s="7" t="s">
        <v>600</v>
      </c>
      <c r="F6" s="7" t="s">
        <v>58</v>
      </c>
      <c r="G6" s="18" t="s">
        <v>426</v>
      </c>
      <c r="H6" s="18" t="s">
        <v>151</v>
      </c>
      <c r="I6" s="18" t="s">
        <v>427</v>
      </c>
      <c r="J6" s="8"/>
      <c r="K6" s="8" t="str">
        <f>"317,5"</f>
        <v>317,5</v>
      </c>
      <c r="L6" s="8" t="str">
        <f>"205,6214"</f>
        <v>205,6214</v>
      </c>
      <c r="M6" s="7"/>
    </row>
    <row r="7" spans="1:13">
      <c r="B7" s="5" t="s">
        <v>80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7.6640625" style="5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4.33203125" style="5" customWidth="1"/>
    <col min="18" max="16384" width="9.1640625" style="3"/>
  </cols>
  <sheetData>
    <row r="1" spans="1:17" s="2" customFormat="1" ht="29" customHeight="1">
      <c r="A1" s="33" t="s">
        <v>582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592</v>
      </c>
      <c r="H3" s="45"/>
      <c r="I3" s="45"/>
      <c r="J3" s="45"/>
      <c r="K3" s="45" t="s">
        <v>501</v>
      </c>
      <c r="L3" s="45"/>
      <c r="M3" s="45"/>
      <c r="N3" s="45"/>
      <c r="O3" s="45" t="s">
        <v>1</v>
      </c>
      <c r="P3" s="45" t="s">
        <v>3</v>
      </c>
      <c r="Q3" s="48" t="s">
        <v>2</v>
      </c>
    </row>
    <row r="4" spans="1:17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49"/>
    </row>
    <row r="5" spans="1:17" ht="16">
      <c r="A5" s="50" t="s">
        <v>81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10" t="s">
        <v>79</v>
      </c>
      <c r="B6" s="9" t="s">
        <v>487</v>
      </c>
      <c r="C6" s="9" t="s">
        <v>488</v>
      </c>
      <c r="D6" s="9" t="s">
        <v>489</v>
      </c>
      <c r="E6" s="9" t="s">
        <v>596</v>
      </c>
      <c r="F6" s="9" t="s">
        <v>552</v>
      </c>
      <c r="G6" s="21" t="s">
        <v>490</v>
      </c>
      <c r="H6" s="20" t="s">
        <v>491</v>
      </c>
      <c r="I6" s="21" t="s">
        <v>491</v>
      </c>
      <c r="J6" s="10"/>
      <c r="K6" s="21" t="s">
        <v>492</v>
      </c>
      <c r="L6" s="21" t="s">
        <v>490</v>
      </c>
      <c r="M6" s="20" t="s">
        <v>491</v>
      </c>
      <c r="N6" s="10"/>
      <c r="O6" s="10" t="str">
        <f>"57,5"</f>
        <v>57,5</v>
      </c>
      <c r="P6" s="10" t="str">
        <f>"72,6915"</f>
        <v>72,6915</v>
      </c>
      <c r="Q6" s="9" t="s">
        <v>588</v>
      </c>
    </row>
    <row r="7" spans="1:17">
      <c r="A7" s="12" t="s">
        <v>145</v>
      </c>
      <c r="B7" s="11" t="s">
        <v>493</v>
      </c>
      <c r="C7" s="11" t="s">
        <v>494</v>
      </c>
      <c r="D7" s="11" t="s">
        <v>495</v>
      </c>
      <c r="E7" s="11" t="s">
        <v>596</v>
      </c>
      <c r="F7" s="11" t="s">
        <v>552</v>
      </c>
      <c r="G7" s="23" t="s">
        <v>496</v>
      </c>
      <c r="H7" s="23" t="s">
        <v>492</v>
      </c>
      <c r="I7" s="23" t="s">
        <v>490</v>
      </c>
      <c r="J7" s="12"/>
      <c r="K7" s="23" t="s">
        <v>492</v>
      </c>
      <c r="L7" s="23" t="s">
        <v>490</v>
      </c>
      <c r="M7" s="22" t="s">
        <v>491</v>
      </c>
      <c r="N7" s="12"/>
      <c r="O7" s="12" t="str">
        <f>"55,0"</f>
        <v>55,0</v>
      </c>
      <c r="P7" s="12" t="str">
        <f>"63,1235"</f>
        <v>63,1235</v>
      </c>
      <c r="Q7" s="11" t="s">
        <v>588</v>
      </c>
    </row>
    <row r="8" spans="1:17">
      <c r="B8" s="5" t="s">
        <v>80</v>
      </c>
    </row>
    <row r="9" spans="1:17" ht="16">
      <c r="A9" s="52" t="s">
        <v>206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7">
      <c r="A10" s="8" t="s">
        <v>79</v>
      </c>
      <c r="B10" s="7" t="s">
        <v>497</v>
      </c>
      <c r="C10" s="7" t="s">
        <v>537</v>
      </c>
      <c r="D10" s="7" t="s">
        <v>498</v>
      </c>
      <c r="E10" s="7" t="s">
        <v>599</v>
      </c>
      <c r="F10" s="7" t="s">
        <v>85</v>
      </c>
      <c r="G10" s="18" t="s">
        <v>499</v>
      </c>
      <c r="H10" s="19" t="s">
        <v>87</v>
      </c>
      <c r="I10" s="19" t="s">
        <v>87</v>
      </c>
      <c r="J10" s="8"/>
      <c r="K10" s="18" t="s">
        <v>491</v>
      </c>
      <c r="L10" s="8"/>
      <c r="M10" s="8"/>
      <c r="N10" s="8"/>
      <c r="O10" s="8" t="str">
        <f>"67,5"</f>
        <v>67,5</v>
      </c>
      <c r="P10" s="8" t="str">
        <f>"58,9563"</f>
        <v>58,9563</v>
      </c>
      <c r="Q10" s="7" t="s">
        <v>588</v>
      </c>
    </row>
    <row r="11" spans="1:17">
      <c r="B11" s="5" t="s">
        <v>80</v>
      </c>
    </row>
    <row r="12" spans="1:17" ht="16">
      <c r="A12" s="52" t="s">
        <v>206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7">
      <c r="A13" s="10" t="s">
        <v>79</v>
      </c>
      <c r="B13" s="9" t="s">
        <v>462</v>
      </c>
      <c r="C13" s="9" t="s">
        <v>538</v>
      </c>
      <c r="D13" s="9" t="s">
        <v>463</v>
      </c>
      <c r="E13" s="9" t="s">
        <v>595</v>
      </c>
      <c r="F13" s="9" t="s">
        <v>14</v>
      </c>
      <c r="G13" s="20" t="s">
        <v>196</v>
      </c>
      <c r="H13" s="21" t="s">
        <v>271</v>
      </c>
      <c r="I13" s="21" t="s">
        <v>19</v>
      </c>
      <c r="J13" s="10"/>
      <c r="K13" s="21" t="s">
        <v>87</v>
      </c>
      <c r="L13" s="21" t="s">
        <v>188</v>
      </c>
      <c r="M13" s="21" t="s">
        <v>464</v>
      </c>
      <c r="N13" s="10"/>
      <c r="O13" s="10" t="str">
        <f>"107,5"</f>
        <v>107,5</v>
      </c>
      <c r="P13" s="10" t="str">
        <f>"78,6201"</f>
        <v>78,6201</v>
      </c>
      <c r="Q13" s="9"/>
    </row>
    <row r="14" spans="1:17">
      <c r="A14" s="12" t="s">
        <v>79</v>
      </c>
      <c r="B14" s="11" t="s">
        <v>454</v>
      </c>
      <c r="C14" s="11" t="s">
        <v>455</v>
      </c>
      <c r="D14" s="11" t="s">
        <v>456</v>
      </c>
      <c r="E14" s="11" t="s">
        <v>596</v>
      </c>
      <c r="F14" s="11" t="s">
        <v>14</v>
      </c>
      <c r="G14" s="23" t="s">
        <v>213</v>
      </c>
      <c r="H14" s="23" t="s">
        <v>21</v>
      </c>
      <c r="I14" s="23" t="s">
        <v>53</v>
      </c>
      <c r="J14" s="12"/>
      <c r="K14" s="23" t="s">
        <v>18</v>
      </c>
      <c r="L14" s="22" t="s">
        <v>19</v>
      </c>
      <c r="M14" s="22" t="s">
        <v>19</v>
      </c>
      <c r="N14" s="12"/>
      <c r="O14" s="12" t="str">
        <f>"150,0"</f>
        <v>150,0</v>
      </c>
      <c r="P14" s="12" t="str">
        <f>"103,4850"</f>
        <v>103,4850</v>
      </c>
      <c r="Q14" s="11"/>
    </row>
    <row r="15" spans="1:17">
      <c r="B15" s="5" t="s">
        <v>80</v>
      </c>
    </row>
    <row r="16" spans="1:17" ht="16">
      <c r="A16" s="52" t="s">
        <v>40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7">
      <c r="A17" s="8" t="s">
        <v>79</v>
      </c>
      <c r="B17" s="7" t="s">
        <v>500</v>
      </c>
      <c r="C17" s="7" t="s">
        <v>539</v>
      </c>
      <c r="D17" s="7" t="s">
        <v>129</v>
      </c>
      <c r="E17" s="7" t="s">
        <v>600</v>
      </c>
      <c r="F17" s="7" t="s">
        <v>552</v>
      </c>
      <c r="G17" s="18" t="s">
        <v>213</v>
      </c>
      <c r="H17" s="19" t="s">
        <v>21</v>
      </c>
      <c r="I17" s="18" t="s">
        <v>21</v>
      </c>
      <c r="J17" s="8"/>
      <c r="K17" s="18" t="s">
        <v>19</v>
      </c>
      <c r="L17" s="18" t="s">
        <v>15</v>
      </c>
      <c r="M17" s="19" t="s">
        <v>16</v>
      </c>
      <c r="N17" s="8"/>
      <c r="O17" s="8" t="str">
        <f>"155,0"</f>
        <v>155,0</v>
      </c>
      <c r="P17" s="8" t="str">
        <f>"109,7467"</f>
        <v>109,7467</v>
      </c>
      <c r="Q17" s="7"/>
    </row>
    <row r="18" spans="1:17">
      <c r="B18" s="5" t="s">
        <v>80</v>
      </c>
    </row>
  </sheetData>
  <mergeCells count="16">
    <mergeCell ref="A9:N9"/>
    <mergeCell ref="A12:N12"/>
    <mergeCell ref="A16:N16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5.5" style="5" customWidth="1"/>
    <col min="18" max="16384" width="9.1640625" style="3"/>
  </cols>
  <sheetData>
    <row r="1" spans="1:17" s="2" customFormat="1" ht="29" customHeight="1">
      <c r="A1" s="33" t="s">
        <v>583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592</v>
      </c>
      <c r="H3" s="45"/>
      <c r="I3" s="45"/>
      <c r="J3" s="45"/>
      <c r="K3" s="45" t="s">
        <v>501</v>
      </c>
      <c r="L3" s="45"/>
      <c r="M3" s="45"/>
      <c r="N3" s="45"/>
      <c r="O3" s="45" t="s">
        <v>1</v>
      </c>
      <c r="P3" s="45" t="s">
        <v>3</v>
      </c>
      <c r="Q3" s="48" t="s">
        <v>2</v>
      </c>
    </row>
    <row r="4" spans="1:17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49"/>
    </row>
    <row r="5" spans="1:17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8" t="s">
        <v>79</v>
      </c>
      <c r="B6" s="7" t="s">
        <v>483</v>
      </c>
      <c r="C6" s="7" t="s">
        <v>484</v>
      </c>
      <c r="D6" s="7" t="s">
        <v>485</v>
      </c>
      <c r="E6" s="7" t="s">
        <v>596</v>
      </c>
      <c r="F6" s="7" t="s">
        <v>486</v>
      </c>
      <c r="G6" s="18" t="s">
        <v>27</v>
      </c>
      <c r="H6" s="19" t="s">
        <v>28</v>
      </c>
      <c r="I6" s="18" t="s">
        <v>28</v>
      </c>
      <c r="J6" s="8"/>
      <c r="K6" s="18" t="s">
        <v>30</v>
      </c>
      <c r="L6" s="18" t="s">
        <v>86</v>
      </c>
      <c r="M6" s="19" t="s">
        <v>20</v>
      </c>
      <c r="N6" s="8"/>
      <c r="O6" s="8" t="str">
        <f>"187,5"</f>
        <v>187,5</v>
      </c>
      <c r="P6" s="8" t="str">
        <f>"115,0781"</f>
        <v>115,0781</v>
      </c>
      <c r="Q6" s="7" t="s">
        <v>589</v>
      </c>
    </row>
    <row r="7" spans="1:17">
      <c r="B7" s="5" t="s">
        <v>80</v>
      </c>
    </row>
    <row r="8" spans="1:17" ht="16">
      <c r="A8" s="52" t="s">
        <v>133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7">
      <c r="A9" s="8" t="s">
        <v>79</v>
      </c>
      <c r="B9" s="7" t="s">
        <v>448</v>
      </c>
      <c r="C9" s="7" t="s">
        <v>449</v>
      </c>
      <c r="D9" s="7" t="s">
        <v>450</v>
      </c>
      <c r="E9" s="7" t="s">
        <v>596</v>
      </c>
      <c r="F9" s="7" t="s">
        <v>451</v>
      </c>
      <c r="G9" s="18" t="s">
        <v>28</v>
      </c>
      <c r="H9" s="18" t="s">
        <v>31</v>
      </c>
      <c r="I9" s="19" t="s">
        <v>298</v>
      </c>
      <c r="J9" s="8"/>
      <c r="K9" s="18" t="s">
        <v>20</v>
      </c>
      <c r="L9" s="19" t="s">
        <v>326</v>
      </c>
      <c r="M9" s="19" t="s">
        <v>326</v>
      </c>
      <c r="N9" s="8"/>
      <c r="O9" s="8" t="str">
        <f>"200,0"</f>
        <v>200,0</v>
      </c>
      <c r="P9" s="8" t="str">
        <f>"117,2700"</f>
        <v>117,2700</v>
      </c>
      <c r="Q9" s="7"/>
    </row>
    <row r="10" spans="1:17">
      <c r="B10" s="5" t="s">
        <v>80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6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5.1640625" style="5" customWidth="1"/>
    <col min="14" max="16384" width="9.1640625" style="3"/>
  </cols>
  <sheetData>
    <row r="1" spans="1:13" s="2" customFormat="1" ht="29" customHeight="1">
      <c r="A1" s="33" t="s">
        <v>584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447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206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454</v>
      </c>
      <c r="C6" s="7" t="s">
        <v>455</v>
      </c>
      <c r="D6" s="7" t="s">
        <v>456</v>
      </c>
      <c r="E6" s="7" t="s">
        <v>596</v>
      </c>
      <c r="F6" s="7" t="s">
        <v>14</v>
      </c>
      <c r="G6" s="18" t="s">
        <v>213</v>
      </c>
      <c r="H6" s="18" t="s">
        <v>21</v>
      </c>
      <c r="I6" s="18" t="s">
        <v>53</v>
      </c>
      <c r="J6" s="8"/>
      <c r="K6" s="8" t="str">
        <f>"95,0"</f>
        <v>95,0</v>
      </c>
      <c r="L6" s="8" t="str">
        <f>"65,5405"</f>
        <v>65,5405</v>
      </c>
      <c r="M6" s="7"/>
    </row>
    <row r="7" spans="1:13">
      <c r="B7" s="5" t="s">
        <v>80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5">
    <pageSetUpPr fitToPage="1"/>
  </sheetPr>
  <dimension ref="A1:U2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9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1640625" style="5" bestFit="1" customWidth="1"/>
    <col min="22" max="16384" width="9.1640625" style="3"/>
  </cols>
  <sheetData>
    <row r="1" spans="1:21" s="2" customFormat="1" ht="29" customHeight="1">
      <c r="A1" s="33" t="s">
        <v>503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8" t="s">
        <v>79</v>
      </c>
      <c r="B6" s="7" t="s">
        <v>11</v>
      </c>
      <c r="C6" s="7" t="s">
        <v>12</v>
      </c>
      <c r="D6" s="7" t="s">
        <v>13</v>
      </c>
      <c r="E6" s="7" t="s">
        <v>595</v>
      </c>
      <c r="F6" s="7" t="s">
        <v>14</v>
      </c>
      <c r="G6" s="18" t="s">
        <v>15</v>
      </c>
      <c r="H6" s="18" t="s">
        <v>16</v>
      </c>
      <c r="I6" s="18" t="s">
        <v>17</v>
      </c>
      <c r="J6" s="8"/>
      <c r="K6" s="18" t="s">
        <v>18</v>
      </c>
      <c r="L6" s="19" t="s">
        <v>19</v>
      </c>
      <c r="M6" s="19" t="s">
        <v>19</v>
      </c>
      <c r="N6" s="8"/>
      <c r="O6" s="18" t="s">
        <v>20</v>
      </c>
      <c r="P6" s="18" t="s">
        <v>21</v>
      </c>
      <c r="Q6" s="18" t="s">
        <v>22</v>
      </c>
      <c r="R6" s="8"/>
      <c r="S6" s="8" t="str">
        <f>"227,5"</f>
        <v>227,5</v>
      </c>
      <c r="T6" s="8" t="str">
        <f>"209,6868"</f>
        <v>209,6868</v>
      </c>
      <c r="U6" s="7" t="s">
        <v>545</v>
      </c>
    </row>
    <row r="7" spans="1:21">
      <c r="B7" s="5" t="s">
        <v>80</v>
      </c>
    </row>
    <row r="8" spans="1:21" ht="16">
      <c r="A8" s="52" t="s">
        <v>23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8" t="s">
        <v>79</v>
      </c>
      <c r="B9" s="7" t="s">
        <v>24</v>
      </c>
      <c r="C9" s="7" t="s">
        <v>25</v>
      </c>
      <c r="D9" s="7" t="s">
        <v>26</v>
      </c>
      <c r="E9" s="7" t="s">
        <v>595</v>
      </c>
      <c r="F9" s="7" t="s">
        <v>547</v>
      </c>
      <c r="G9" s="18" t="s">
        <v>27</v>
      </c>
      <c r="H9" s="18" t="s">
        <v>28</v>
      </c>
      <c r="I9" s="18" t="s">
        <v>29</v>
      </c>
      <c r="J9" s="8"/>
      <c r="K9" s="18" t="s">
        <v>15</v>
      </c>
      <c r="L9" s="18" t="s">
        <v>30</v>
      </c>
      <c r="M9" s="18" t="s">
        <v>17</v>
      </c>
      <c r="N9" s="8"/>
      <c r="O9" s="18" t="s">
        <v>28</v>
      </c>
      <c r="P9" s="18" t="s">
        <v>31</v>
      </c>
      <c r="Q9" s="18" t="s">
        <v>32</v>
      </c>
      <c r="R9" s="8"/>
      <c r="S9" s="8" t="str">
        <f>"320,0"</f>
        <v>320,0</v>
      </c>
      <c r="T9" s="8" t="str">
        <f>"274,5920"</f>
        <v>274,5920</v>
      </c>
      <c r="U9" s="7"/>
    </row>
    <row r="10" spans="1:21">
      <c r="B10" s="5" t="s">
        <v>80</v>
      </c>
    </row>
    <row r="11" spans="1:21" ht="16">
      <c r="A11" s="52" t="s">
        <v>33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8" t="s">
        <v>79</v>
      </c>
      <c r="B12" s="7" t="s">
        <v>34</v>
      </c>
      <c r="C12" s="7" t="s">
        <v>35</v>
      </c>
      <c r="D12" s="7" t="s">
        <v>36</v>
      </c>
      <c r="E12" s="7" t="s">
        <v>595</v>
      </c>
      <c r="F12" s="7" t="s">
        <v>14</v>
      </c>
      <c r="G12" s="19" t="s">
        <v>22</v>
      </c>
      <c r="H12" s="19" t="s">
        <v>22</v>
      </c>
      <c r="I12" s="18" t="s">
        <v>22</v>
      </c>
      <c r="J12" s="8"/>
      <c r="K12" s="18" t="s">
        <v>30</v>
      </c>
      <c r="L12" s="18" t="s">
        <v>37</v>
      </c>
      <c r="M12" s="19" t="s">
        <v>17</v>
      </c>
      <c r="N12" s="8"/>
      <c r="O12" s="19" t="s">
        <v>38</v>
      </c>
      <c r="P12" s="18" t="s">
        <v>38</v>
      </c>
      <c r="Q12" s="18" t="s">
        <v>39</v>
      </c>
      <c r="R12" s="8"/>
      <c r="S12" s="8" t="str">
        <f>"312,5"</f>
        <v>312,5</v>
      </c>
      <c r="T12" s="8" t="str">
        <f>"246,2813"</f>
        <v>246,2813</v>
      </c>
      <c r="U12" s="7"/>
    </row>
    <row r="13" spans="1:21">
      <c r="B13" s="5" t="s">
        <v>80</v>
      </c>
    </row>
    <row r="14" spans="1:21" ht="16">
      <c r="A14" s="52" t="s">
        <v>40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21">
      <c r="A15" s="10" t="s">
        <v>79</v>
      </c>
      <c r="B15" s="9" t="s">
        <v>41</v>
      </c>
      <c r="C15" s="9" t="s">
        <v>42</v>
      </c>
      <c r="D15" s="9" t="s">
        <v>43</v>
      </c>
      <c r="E15" s="9" t="s">
        <v>596</v>
      </c>
      <c r="F15" s="9" t="s">
        <v>14</v>
      </c>
      <c r="G15" s="20" t="s">
        <v>44</v>
      </c>
      <c r="H15" s="21" t="s">
        <v>44</v>
      </c>
      <c r="I15" s="21" t="s">
        <v>45</v>
      </c>
      <c r="J15" s="10"/>
      <c r="K15" s="21" t="s">
        <v>46</v>
      </c>
      <c r="L15" s="21" t="s">
        <v>32</v>
      </c>
      <c r="M15" s="21" t="s">
        <v>47</v>
      </c>
      <c r="N15" s="10"/>
      <c r="O15" s="21" t="s">
        <v>48</v>
      </c>
      <c r="P15" s="21" t="s">
        <v>49</v>
      </c>
      <c r="Q15" s="21" t="s">
        <v>50</v>
      </c>
      <c r="R15" s="10"/>
      <c r="S15" s="10" t="str">
        <f>"535,0"</f>
        <v>535,0</v>
      </c>
      <c r="T15" s="10" t="str">
        <f>"350,3715"</f>
        <v>350,3715</v>
      </c>
      <c r="U15" s="9" t="s">
        <v>545</v>
      </c>
    </row>
    <row r="16" spans="1:21">
      <c r="A16" s="12" t="s">
        <v>79</v>
      </c>
      <c r="B16" s="11" t="s">
        <v>51</v>
      </c>
      <c r="C16" s="11" t="s">
        <v>518</v>
      </c>
      <c r="D16" s="11" t="s">
        <v>52</v>
      </c>
      <c r="E16" s="11" t="s">
        <v>598</v>
      </c>
      <c r="F16" s="11" t="s">
        <v>548</v>
      </c>
      <c r="G16" s="22" t="s">
        <v>27</v>
      </c>
      <c r="H16" s="23" t="s">
        <v>27</v>
      </c>
      <c r="I16" s="22" t="s">
        <v>29</v>
      </c>
      <c r="J16" s="12"/>
      <c r="K16" s="23" t="s">
        <v>21</v>
      </c>
      <c r="L16" s="22" t="s">
        <v>53</v>
      </c>
      <c r="M16" s="23" t="s">
        <v>53</v>
      </c>
      <c r="N16" s="12"/>
      <c r="O16" s="22" t="s">
        <v>29</v>
      </c>
      <c r="P16" s="23" t="s">
        <v>29</v>
      </c>
      <c r="Q16" s="23" t="s">
        <v>31</v>
      </c>
      <c r="R16" s="12"/>
      <c r="S16" s="12" t="str">
        <f>"315,0"</f>
        <v>315,0</v>
      </c>
      <c r="T16" s="12" t="str">
        <f>"241,9830"</f>
        <v>241,9830</v>
      </c>
      <c r="U16" s="11" t="s">
        <v>549</v>
      </c>
    </row>
    <row r="17" spans="1:21">
      <c r="B17" s="5" t="s">
        <v>80</v>
      </c>
    </row>
    <row r="18" spans="1:21" ht="16">
      <c r="A18" s="52" t="s">
        <v>54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1">
      <c r="A19" s="8" t="s">
        <v>79</v>
      </c>
      <c r="B19" s="7" t="s">
        <v>55</v>
      </c>
      <c r="C19" s="7" t="s">
        <v>56</v>
      </c>
      <c r="D19" s="7" t="s">
        <v>57</v>
      </c>
      <c r="E19" s="7" t="s">
        <v>596</v>
      </c>
      <c r="F19" s="7" t="s">
        <v>58</v>
      </c>
      <c r="G19" s="18" t="s">
        <v>59</v>
      </c>
      <c r="H19" s="18" t="s">
        <v>60</v>
      </c>
      <c r="I19" s="18" t="s">
        <v>61</v>
      </c>
      <c r="J19" s="8"/>
      <c r="K19" s="18" t="s">
        <v>62</v>
      </c>
      <c r="L19" s="18" t="s">
        <v>63</v>
      </c>
      <c r="M19" s="8"/>
      <c r="N19" s="8"/>
      <c r="O19" s="18" t="s">
        <v>64</v>
      </c>
      <c r="P19" s="18" t="s">
        <v>65</v>
      </c>
      <c r="Q19" s="18" t="s">
        <v>66</v>
      </c>
      <c r="R19" s="8"/>
      <c r="S19" s="8" t="str">
        <f>"790,0"</f>
        <v>790,0</v>
      </c>
      <c r="T19" s="8" t="str">
        <f>"478,7400"</f>
        <v>478,7400</v>
      </c>
      <c r="U19" s="7" t="s">
        <v>67</v>
      </c>
    </row>
    <row r="20" spans="1:21">
      <c r="B20" s="5" t="s">
        <v>80</v>
      </c>
    </row>
  </sheetData>
  <mergeCells count="18">
    <mergeCell ref="A5:R5"/>
    <mergeCell ref="A8:R8"/>
    <mergeCell ref="A11:R11"/>
    <mergeCell ref="A14:R14"/>
    <mergeCell ref="A18:R18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7.1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7.5" style="6" bestFit="1" customWidth="1"/>
    <col min="13" max="13" width="24.6640625" style="5" customWidth="1"/>
    <col min="14" max="16384" width="9.1640625" style="3"/>
  </cols>
  <sheetData>
    <row r="1" spans="1:13" s="2" customFormat="1" ht="29" customHeight="1">
      <c r="A1" s="33" t="s">
        <v>585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447</v>
      </c>
      <c r="H3" s="45"/>
      <c r="I3" s="45"/>
      <c r="J3" s="45"/>
      <c r="K3" s="53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54"/>
      <c r="L4" s="44"/>
      <c r="M4" s="49"/>
    </row>
    <row r="5" spans="1:13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  <c r="K5" s="6"/>
    </row>
    <row r="6" spans="1:13" ht="14" thickBot="1">
      <c r="A6" s="8" t="s">
        <v>79</v>
      </c>
      <c r="B6" s="7" t="s">
        <v>483</v>
      </c>
      <c r="C6" s="7" t="s">
        <v>484</v>
      </c>
      <c r="D6" s="7" t="s">
        <v>485</v>
      </c>
      <c r="E6" s="7" t="s">
        <v>596</v>
      </c>
      <c r="F6" s="7" t="s">
        <v>486</v>
      </c>
      <c r="G6" s="18" t="s">
        <v>27</v>
      </c>
      <c r="H6" s="19" t="s">
        <v>28</v>
      </c>
      <c r="I6" s="18" t="s">
        <v>28</v>
      </c>
      <c r="J6" s="8"/>
      <c r="K6" s="8" t="str">
        <f>"110,0"</f>
        <v>110,0</v>
      </c>
      <c r="L6" s="8" t="str">
        <f>"70,4220"</f>
        <v>70,4220</v>
      </c>
      <c r="M6" s="7" t="s">
        <v>589</v>
      </c>
    </row>
    <row r="7" spans="1:13" ht="16">
      <c r="A7" s="50" t="s">
        <v>133</v>
      </c>
      <c r="B7" s="50"/>
      <c r="C7" s="51"/>
      <c r="D7" s="51"/>
      <c r="E7" s="51"/>
      <c r="F7" s="51"/>
      <c r="G7" s="51"/>
      <c r="H7" s="51"/>
      <c r="I7" s="51"/>
      <c r="J7" s="51"/>
    </row>
    <row r="8" spans="1:13">
      <c r="A8" s="10" t="s">
        <v>79</v>
      </c>
      <c r="B8" s="9" t="s">
        <v>448</v>
      </c>
      <c r="C8" s="9" t="s">
        <v>449</v>
      </c>
      <c r="D8" s="9" t="s">
        <v>450</v>
      </c>
      <c r="E8" s="9" t="s">
        <v>596</v>
      </c>
      <c r="F8" s="9" t="s">
        <v>451</v>
      </c>
      <c r="G8" s="21" t="s">
        <v>28</v>
      </c>
      <c r="H8" s="21" t="s">
        <v>31</v>
      </c>
      <c r="I8" s="20" t="s">
        <v>298</v>
      </c>
      <c r="J8" s="10"/>
      <c r="K8" s="29" t="str">
        <f>"120,0"</f>
        <v>120,0</v>
      </c>
      <c r="L8" s="10" t="str">
        <f>"70,3620"</f>
        <v>70,3620</v>
      </c>
      <c r="M8" s="9"/>
    </row>
    <row r="9" spans="1:13">
      <c r="A9" s="12" t="s">
        <v>371</v>
      </c>
      <c r="B9" s="11" t="s">
        <v>452</v>
      </c>
      <c r="C9" s="11" t="s">
        <v>540</v>
      </c>
      <c r="D9" s="11" t="s">
        <v>453</v>
      </c>
      <c r="E9" s="11" t="s">
        <v>599</v>
      </c>
      <c r="F9" s="11" t="s">
        <v>14</v>
      </c>
      <c r="G9" s="22" t="s">
        <v>19</v>
      </c>
      <c r="H9" s="22" t="s">
        <v>19</v>
      </c>
      <c r="I9" s="22" t="s">
        <v>30</v>
      </c>
      <c r="J9" s="12"/>
      <c r="K9" s="30">
        <v>0</v>
      </c>
      <c r="L9" s="12" t="str">
        <f>"0,0000"</f>
        <v>0,0000</v>
      </c>
      <c r="M9" s="11"/>
    </row>
    <row r="10" spans="1:13">
      <c r="B10" s="5" t="s">
        <v>80</v>
      </c>
    </row>
  </sheetData>
  <mergeCells count="13">
    <mergeCell ref="A7:J7"/>
    <mergeCell ref="B3:B4"/>
    <mergeCell ref="A5:J5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1640625" style="5" bestFit="1" customWidth="1"/>
    <col min="7" max="9" width="4.5" style="6" customWidth="1"/>
    <col min="10" max="10" width="4.83203125" style="6" customWidth="1"/>
    <col min="11" max="11" width="10.5" style="28" bestFit="1" customWidth="1"/>
    <col min="12" max="12" width="10.6640625" style="6" customWidth="1"/>
    <col min="13" max="13" width="23.6640625" style="5" customWidth="1"/>
    <col min="14" max="16384" width="9.1640625" style="3"/>
  </cols>
  <sheetData>
    <row r="1" spans="1:13" s="2" customFormat="1" ht="29" customHeight="1">
      <c r="A1" s="33" t="s">
        <v>586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592</v>
      </c>
      <c r="H3" s="45"/>
      <c r="I3" s="45"/>
      <c r="J3" s="45"/>
      <c r="K3" s="53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54"/>
      <c r="L4" s="44"/>
      <c r="M4" s="49"/>
    </row>
    <row r="5" spans="1:13" ht="16">
      <c r="A5" s="50" t="s">
        <v>23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457</v>
      </c>
      <c r="C6" s="7" t="s">
        <v>458</v>
      </c>
      <c r="D6" s="7" t="s">
        <v>459</v>
      </c>
      <c r="E6" s="7" t="s">
        <v>596</v>
      </c>
      <c r="F6" s="7" t="s">
        <v>14</v>
      </c>
      <c r="G6" s="18" t="s">
        <v>188</v>
      </c>
      <c r="H6" s="18" t="s">
        <v>196</v>
      </c>
      <c r="I6" s="18" t="s">
        <v>18</v>
      </c>
      <c r="J6" s="8"/>
      <c r="K6" s="31" t="str">
        <f>"55,0"</f>
        <v>55,0</v>
      </c>
      <c r="L6" s="8" t="str">
        <f>"45,9553"</f>
        <v>45,9553</v>
      </c>
      <c r="M6" s="7"/>
    </row>
    <row r="7" spans="1:13">
      <c r="B7" s="5" t="s">
        <v>80</v>
      </c>
    </row>
    <row r="8" spans="1:13" ht="16">
      <c r="A8" s="52" t="s">
        <v>206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0" t="s">
        <v>79</v>
      </c>
      <c r="B9" s="9" t="s">
        <v>460</v>
      </c>
      <c r="C9" s="9" t="s">
        <v>541</v>
      </c>
      <c r="D9" s="9" t="s">
        <v>461</v>
      </c>
      <c r="E9" s="9" t="s">
        <v>595</v>
      </c>
      <c r="F9" s="9" t="s">
        <v>590</v>
      </c>
      <c r="G9" s="20" t="s">
        <v>188</v>
      </c>
      <c r="H9" s="21" t="s">
        <v>277</v>
      </c>
      <c r="I9" s="21" t="s">
        <v>196</v>
      </c>
      <c r="J9" s="10"/>
      <c r="K9" s="29" t="str">
        <f>"52,5"</f>
        <v>52,5</v>
      </c>
      <c r="L9" s="10" t="str">
        <f>"36,1830"</f>
        <v>36,1830</v>
      </c>
      <c r="M9" s="9"/>
    </row>
    <row r="10" spans="1:13">
      <c r="A10" s="25" t="s">
        <v>145</v>
      </c>
      <c r="B10" s="24" t="s">
        <v>462</v>
      </c>
      <c r="C10" s="24" t="s">
        <v>538</v>
      </c>
      <c r="D10" s="24" t="s">
        <v>463</v>
      </c>
      <c r="E10" s="24" t="s">
        <v>595</v>
      </c>
      <c r="F10" s="24" t="s">
        <v>14</v>
      </c>
      <c r="G10" s="26" t="s">
        <v>87</v>
      </c>
      <c r="H10" s="26" t="s">
        <v>188</v>
      </c>
      <c r="I10" s="26" t="s">
        <v>464</v>
      </c>
      <c r="J10" s="25"/>
      <c r="K10" s="32" t="str">
        <f>"47,5"</f>
        <v>47,5</v>
      </c>
      <c r="L10" s="25" t="str">
        <f>"34,7391"</f>
        <v>34,7391</v>
      </c>
      <c r="M10" s="24"/>
    </row>
    <row r="11" spans="1:13">
      <c r="A11" s="25" t="s">
        <v>79</v>
      </c>
      <c r="B11" s="24" t="s">
        <v>465</v>
      </c>
      <c r="C11" s="24" t="s">
        <v>542</v>
      </c>
      <c r="D11" s="24" t="s">
        <v>466</v>
      </c>
      <c r="E11" s="24" t="s">
        <v>597</v>
      </c>
      <c r="F11" s="24" t="s">
        <v>14</v>
      </c>
      <c r="G11" s="26" t="s">
        <v>464</v>
      </c>
      <c r="H11" s="26" t="s">
        <v>18</v>
      </c>
      <c r="I11" s="26" t="s">
        <v>19</v>
      </c>
      <c r="J11" s="25"/>
      <c r="K11" s="32" t="str">
        <f>"60,0"</f>
        <v>60,0</v>
      </c>
      <c r="L11" s="25" t="str">
        <f>"42,2910"</f>
        <v>42,2910</v>
      </c>
      <c r="M11" s="24" t="s">
        <v>467</v>
      </c>
    </row>
    <row r="12" spans="1:13">
      <c r="A12" s="25" t="s">
        <v>79</v>
      </c>
      <c r="B12" s="24" t="s">
        <v>468</v>
      </c>
      <c r="C12" s="24" t="s">
        <v>469</v>
      </c>
      <c r="D12" s="24" t="s">
        <v>470</v>
      </c>
      <c r="E12" s="24" t="s">
        <v>596</v>
      </c>
      <c r="F12" s="24" t="s">
        <v>14</v>
      </c>
      <c r="G12" s="26" t="s">
        <v>277</v>
      </c>
      <c r="H12" s="26" t="s">
        <v>18</v>
      </c>
      <c r="I12" s="26" t="s">
        <v>19</v>
      </c>
      <c r="J12" s="25"/>
      <c r="K12" s="32" t="str">
        <f>"60,0"</f>
        <v>60,0</v>
      </c>
      <c r="L12" s="25" t="str">
        <f>"44,5170"</f>
        <v>44,5170</v>
      </c>
      <c r="M12" s="24"/>
    </row>
    <row r="13" spans="1:13">
      <c r="A13" s="25" t="s">
        <v>145</v>
      </c>
      <c r="B13" s="24" t="s">
        <v>471</v>
      </c>
      <c r="C13" s="24" t="s">
        <v>472</v>
      </c>
      <c r="D13" s="24" t="s">
        <v>473</v>
      </c>
      <c r="E13" s="24" t="s">
        <v>596</v>
      </c>
      <c r="F13" s="24" t="s">
        <v>14</v>
      </c>
      <c r="G13" s="26" t="s">
        <v>464</v>
      </c>
      <c r="H13" s="26" t="s">
        <v>18</v>
      </c>
      <c r="I13" s="26" t="s">
        <v>19</v>
      </c>
      <c r="J13" s="25"/>
      <c r="K13" s="32" t="str">
        <f>"60,0"</f>
        <v>60,0</v>
      </c>
      <c r="L13" s="25" t="str">
        <f>"41,9850"</f>
        <v>41,9850</v>
      </c>
      <c r="M13" s="24"/>
    </row>
    <row r="14" spans="1:13">
      <c r="A14" s="12" t="s">
        <v>371</v>
      </c>
      <c r="B14" s="11" t="s">
        <v>294</v>
      </c>
      <c r="C14" s="11" t="s">
        <v>295</v>
      </c>
      <c r="D14" s="11" t="s">
        <v>296</v>
      </c>
      <c r="E14" s="11" t="s">
        <v>596</v>
      </c>
      <c r="F14" s="11" t="s">
        <v>544</v>
      </c>
      <c r="G14" s="22" t="s">
        <v>18</v>
      </c>
      <c r="H14" s="22" t="s">
        <v>18</v>
      </c>
      <c r="I14" s="22" t="s">
        <v>18</v>
      </c>
      <c r="J14" s="12"/>
      <c r="K14" s="30">
        <v>0</v>
      </c>
      <c r="L14" s="12" t="str">
        <f>"0,0000"</f>
        <v>0,0000</v>
      </c>
      <c r="M14" s="11"/>
    </row>
    <row r="15" spans="1:13">
      <c r="B15" s="5" t="s">
        <v>80</v>
      </c>
    </row>
    <row r="16" spans="1:13" ht="16">
      <c r="A16" s="52" t="s">
        <v>99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3">
      <c r="A17" s="10" t="s">
        <v>79</v>
      </c>
      <c r="B17" s="9" t="s">
        <v>474</v>
      </c>
      <c r="C17" s="9" t="s">
        <v>475</v>
      </c>
      <c r="D17" s="9" t="s">
        <v>476</v>
      </c>
      <c r="E17" s="9" t="s">
        <v>596</v>
      </c>
      <c r="F17" s="9" t="s">
        <v>14</v>
      </c>
      <c r="G17" s="21" t="s">
        <v>399</v>
      </c>
      <c r="H17" s="21" t="s">
        <v>16</v>
      </c>
      <c r="I17" s="20" t="s">
        <v>37</v>
      </c>
      <c r="J17" s="10"/>
      <c r="K17" s="29" t="str">
        <f>"67,5"</f>
        <v>67,5</v>
      </c>
      <c r="L17" s="10" t="str">
        <f>"43,5442"</f>
        <v>43,5442</v>
      </c>
      <c r="M17" s="9" t="s">
        <v>553</v>
      </c>
    </row>
    <row r="18" spans="1:13">
      <c r="A18" s="12" t="s">
        <v>371</v>
      </c>
      <c r="B18" s="11" t="s">
        <v>477</v>
      </c>
      <c r="C18" s="11" t="s">
        <v>478</v>
      </c>
      <c r="D18" s="11" t="s">
        <v>479</v>
      </c>
      <c r="E18" s="11" t="s">
        <v>596</v>
      </c>
      <c r="F18" s="11" t="s">
        <v>14</v>
      </c>
      <c r="G18" s="22" t="s">
        <v>271</v>
      </c>
      <c r="H18" s="22" t="s">
        <v>271</v>
      </c>
      <c r="I18" s="22" t="s">
        <v>271</v>
      </c>
      <c r="J18" s="12"/>
      <c r="K18" s="30">
        <v>0</v>
      </c>
      <c r="L18" s="12" t="str">
        <f>"0,0000"</f>
        <v>0,0000</v>
      </c>
      <c r="M18" s="11"/>
    </row>
    <row r="19" spans="1:13">
      <c r="B19" s="5" t="s">
        <v>80</v>
      </c>
    </row>
    <row r="20" spans="1:13" ht="16">
      <c r="A20" s="52" t="s">
        <v>246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3">
      <c r="A21" s="8" t="s">
        <v>79</v>
      </c>
      <c r="B21" s="7" t="s">
        <v>353</v>
      </c>
      <c r="C21" s="7" t="s">
        <v>354</v>
      </c>
      <c r="D21" s="7" t="s">
        <v>355</v>
      </c>
      <c r="E21" s="7" t="s">
        <v>596</v>
      </c>
      <c r="F21" s="7" t="s">
        <v>570</v>
      </c>
      <c r="G21" s="18" t="s">
        <v>30</v>
      </c>
      <c r="H21" s="19" t="s">
        <v>89</v>
      </c>
      <c r="I21" s="19" t="s">
        <v>89</v>
      </c>
      <c r="J21" s="8"/>
      <c r="K21" s="31" t="str">
        <f>"70,0"</f>
        <v>70,0</v>
      </c>
      <c r="L21" s="8" t="str">
        <f>"38,2305"</f>
        <v>38,2305</v>
      </c>
      <c r="M21" s="7" t="s">
        <v>357</v>
      </c>
    </row>
    <row r="22" spans="1:13">
      <c r="B22" s="5" t="s">
        <v>80</v>
      </c>
    </row>
    <row r="23" spans="1:13">
      <c r="B23" s="5" t="s">
        <v>80</v>
      </c>
    </row>
    <row r="24" spans="1:13">
      <c r="B24" s="5" t="s">
        <v>80</v>
      </c>
    </row>
    <row r="25" spans="1:13" ht="18">
      <c r="B25" s="13" t="s">
        <v>68</v>
      </c>
      <c r="C25" s="13"/>
      <c r="F25" s="3"/>
    </row>
    <row r="26" spans="1:13" ht="16">
      <c r="B26" s="14" t="s">
        <v>69</v>
      </c>
      <c r="C26" s="14"/>
      <c r="F26" s="3"/>
    </row>
    <row r="27" spans="1:13" ht="14">
      <c r="B27" s="15"/>
      <c r="C27" s="16" t="s">
        <v>76</v>
      </c>
      <c r="F27" s="3"/>
    </row>
    <row r="28" spans="1:13" ht="14">
      <c r="B28" s="17" t="s">
        <v>70</v>
      </c>
      <c r="C28" s="17" t="s">
        <v>71</v>
      </c>
      <c r="D28" s="17" t="s">
        <v>72</v>
      </c>
      <c r="E28" s="17" t="s">
        <v>260</v>
      </c>
      <c r="F28" s="17" t="s">
        <v>446</v>
      </c>
    </row>
    <row r="29" spans="1:13">
      <c r="B29" s="5" t="s">
        <v>457</v>
      </c>
      <c r="C29" s="5" t="s">
        <v>76</v>
      </c>
      <c r="D29" s="6" t="s">
        <v>74</v>
      </c>
      <c r="E29" s="6" t="s">
        <v>18</v>
      </c>
      <c r="F29" s="6" t="s">
        <v>480</v>
      </c>
    </row>
    <row r="30" spans="1:13">
      <c r="B30" s="5" t="s">
        <v>468</v>
      </c>
      <c r="C30" s="5" t="s">
        <v>76</v>
      </c>
      <c r="D30" s="6" t="s">
        <v>366</v>
      </c>
      <c r="E30" s="6" t="s">
        <v>19</v>
      </c>
      <c r="F30" s="6" t="s">
        <v>481</v>
      </c>
    </row>
    <row r="31" spans="1:13">
      <c r="B31" s="5" t="s">
        <v>474</v>
      </c>
      <c r="C31" s="5" t="s">
        <v>76</v>
      </c>
      <c r="D31" s="6" t="s">
        <v>144</v>
      </c>
      <c r="E31" s="6" t="s">
        <v>16</v>
      </c>
      <c r="F31" s="6" t="s">
        <v>482</v>
      </c>
    </row>
    <row r="32" spans="1:13">
      <c r="B32" s="5" t="s">
        <v>80</v>
      </c>
    </row>
  </sheetData>
  <mergeCells count="15">
    <mergeCell ref="A8:J8"/>
    <mergeCell ref="A16:J16"/>
    <mergeCell ref="A20:J2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7" width="4.5" style="6" customWidth="1"/>
    <col min="8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3" t="s">
        <v>587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592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133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448</v>
      </c>
      <c r="C6" s="7" t="s">
        <v>449</v>
      </c>
      <c r="D6" s="7" t="s">
        <v>450</v>
      </c>
      <c r="E6" s="7" t="s">
        <v>596</v>
      </c>
      <c r="F6" s="7" t="s">
        <v>451</v>
      </c>
      <c r="G6" s="18" t="s">
        <v>20</v>
      </c>
      <c r="H6" s="19" t="s">
        <v>326</v>
      </c>
      <c r="I6" s="19" t="s">
        <v>326</v>
      </c>
      <c r="J6" s="8"/>
      <c r="K6" s="8" t="str">
        <f>"80,0"</f>
        <v>80,0</v>
      </c>
      <c r="L6" s="8" t="str">
        <f>"46,9080"</f>
        <v>46,9080</v>
      </c>
      <c r="M6" s="7"/>
    </row>
    <row r="7" spans="1:13">
      <c r="B7" s="5" t="s">
        <v>80</v>
      </c>
    </row>
    <row r="8" spans="1:13" ht="16">
      <c r="A8" s="52" t="s">
        <v>255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79</v>
      </c>
      <c r="B9" s="7" t="s">
        <v>256</v>
      </c>
      <c r="C9" s="7" t="s">
        <v>257</v>
      </c>
      <c r="D9" s="7" t="s">
        <v>258</v>
      </c>
      <c r="E9" s="7" t="s">
        <v>596</v>
      </c>
      <c r="F9" s="7" t="s">
        <v>14</v>
      </c>
      <c r="G9" s="18" t="s">
        <v>53</v>
      </c>
      <c r="H9" s="18" t="s">
        <v>27</v>
      </c>
      <c r="I9" s="18" t="s">
        <v>203</v>
      </c>
      <c r="J9" s="8"/>
      <c r="K9" s="8" t="str">
        <f>"102,5"</f>
        <v>102,5</v>
      </c>
      <c r="L9" s="8" t="str">
        <f>"54,9943"</f>
        <v>54,9943</v>
      </c>
      <c r="M9" s="7" t="s">
        <v>574</v>
      </c>
    </row>
    <row r="10" spans="1:13">
      <c r="B10" s="5" t="s">
        <v>80</v>
      </c>
    </row>
    <row r="11" spans="1:13">
      <c r="B11" s="5" t="s">
        <v>80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15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5" style="5" bestFit="1" customWidth="1"/>
    <col min="22" max="16384" width="9.1640625" style="3"/>
  </cols>
  <sheetData>
    <row r="1" spans="1:21" s="2" customFormat="1" ht="29" customHeight="1">
      <c r="A1" s="33" t="s">
        <v>504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99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10" t="s">
        <v>79</v>
      </c>
      <c r="B6" s="9" t="s">
        <v>167</v>
      </c>
      <c r="C6" s="9" t="s">
        <v>168</v>
      </c>
      <c r="D6" s="9" t="s">
        <v>169</v>
      </c>
      <c r="E6" s="9" t="s">
        <v>595</v>
      </c>
      <c r="F6" s="9" t="s">
        <v>14</v>
      </c>
      <c r="G6" s="21" t="s">
        <v>104</v>
      </c>
      <c r="H6" s="21" t="s">
        <v>48</v>
      </c>
      <c r="I6" s="20" t="s">
        <v>161</v>
      </c>
      <c r="J6" s="10"/>
      <c r="K6" s="20" t="s">
        <v>31</v>
      </c>
      <c r="L6" s="21" t="s">
        <v>32</v>
      </c>
      <c r="M6" s="21" t="s">
        <v>47</v>
      </c>
      <c r="N6" s="10"/>
      <c r="O6" s="21" t="s">
        <v>63</v>
      </c>
      <c r="P6" s="21" t="s">
        <v>104</v>
      </c>
      <c r="Q6" s="21" t="s">
        <v>170</v>
      </c>
      <c r="R6" s="10"/>
      <c r="S6" s="10" t="str">
        <f>"530,0"</f>
        <v>530,0</v>
      </c>
      <c r="T6" s="10" t="str">
        <f>"360,7180"</f>
        <v>360,7180</v>
      </c>
      <c r="U6" s="9"/>
    </row>
    <row r="7" spans="1:21">
      <c r="A7" s="12" t="s">
        <v>79</v>
      </c>
      <c r="B7" s="11" t="s">
        <v>171</v>
      </c>
      <c r="C7" s="11" t="s">
        <v>172</v>
      </c>
      <c r="D7" s="11" t="s">
        <v>173</v>
      </c>
      <c r="E7" s="11" t="s">
        <v>596</v>
      </c>
      <c r="F7" s="11" t="s">
        <v>550</v>
      </c>
      <c r="G7" s="23" t="s">
        <v>161</v>
      </c>
      <c r="H7" s="22" t="s">
        <v>111</v>
      </c>
      <c r="I7" s="22" t="s">
        <v>174</v>
      </c>
      <c r="J7" s="12"/>
      <c r="K7" s="23" t="s">
        <v>47</v>
      </c>
      <c r="L7" s="23" t="s">
        <v>117</v>
      </c>
      <c r="M7" s="22" t="s">
        <v>95</v>
      </c>
      <c r="N7" s="12"/>
      <c r="O7" s="23" t="s">
        <v>50</v>
      </c>
      <c r="P7" s="23" t="s">
        <v>113</v>
      </c>
      <c r="Q7" s="23" t="s">
        <v>118</v>
      </c>
      <c r="R7" s="12"/>
      <c r="S7" s="12" t="str">
        <f>"580,0"</f>
        <v>580,0</v>
      </c>
      <c r="T7" s="12" t="str">
        <f>"409,5380"</f>
        <v>409,5380</v>
      </c>
      <c r="U7" s="11"/>
    </row>
    <row r="8" spans="1:21">
      <c r="B8" s="5" t="s">
        <v>80</v>
      </c>
    </row>
    <row r="9" spans="1:21" ht="16">
      <c r="A9" s="52" t="s">
        <v>133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21">
      <c r="A10" s="8" t="s">
        <v>79</v>
      </c>
      <c r="B10" s="7" t="s">
        <v>175</v>
      </c>
      <c r="C10" s="7" t="s">
        <v>519</v>
      </c>
      <c r="D10" s="7" t="s">
        <v>154</v>
      </c>
      <c r="E10" s="7" t="s">
        <v>599</v>
      </c>
      <c r="F10" s="7" t="s">
        <v>14</v>
      </c>
      <c r="G10" s="18" t="s">
        <v>104</v>
      </c>
      <c r="H10" s="18" t="s">
        <v>48</v>
      </c>
      <c r="I10" s="19" t="s">
        <v>111</v>
      </c>
      <c r="J10" s="8"/>
      <c r="K10" s="18" t="s">
        <v>176</v>
      </c>
      <c r="L10" s="18" t="s">
        <v>38</v>
      </c>
      <c r="M10" s="19" t="s">
        <v>39</v>
      </c>
      <c r="N10" s="8"/>
      <c r="O10" s="18" t="s">
        <v>170</v>
      </c>
      <c r="P10" s="18" t="s">
        <v>111</v>
      </c>
      <c r="Q10" s="18" t="s">
        <v>112</v>
      </c>
      <c r="R10" s="8"/>
      <c r="S10" s="8" t="str">
        <f>"557,5"</f>
        <v>557,5</v>
      </c>
      <c r="T10" s="8" t="str">
        <f>"350,6287"</f>
        <v>350,6287</v>
      </c>
      <c r="U10" s="7" t="s">
        <v>545</v>
      </c>
    </row>
    <row r="11" spans="1:21">
      <c r="B11" s="5" t="s">
        <v>80</v>
      </c>
    </row>
    <row r="12" spans="1:21" ht="16">
      <c r="A12" s="52" t="s">
        <v>54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21">
      <c r="A13" s="10" t="s">
        <v>79</v>
      </c>
      <c r="B13" s="9" t="s">
        <v>177</v>
      </c>
      <c r="C13" s="9" t="s">
        <v>178</v>
      </c>
      <c r="D13" s="9" t="s">
        <v>179</v>
      </c>
      <c r="E13" s="9" t="s">
        <v>596</v>
      </c>
      <c r="F13" s="9" t="s">
        <v>14</v>
      </c>
      <c r="G13" s="21" t="s">
        <v>111</v>
      </c>
      <c r="H13" s="21" t="s">
        <v>112</v>
      </c>
      <c r="I13" s="21" t="s">
        <v>118</v>
      </c>
      <c r="J13" s="10"/>
      <c r="K13" s="21" t="s">
        <v>31</v>
      </c>
      <c r="L13" s="21" t="s">
        <v>32</v>
      </c>
      <c r="M13" s="20" t="s">
        <v>39</v>
      </c>
      <c r="N13" s="10"/>
      <c r="O13" s="21" t="s">
        <v>113</v>
      </c>
      <c r="P13" s="21" t="s">
        <v>125</v>
      </c>
      <c r="Q13" s="21" t="s">
        <v>180</v>
      </c>
      <c r="R13" s="10"/>
      <c r="S13" s="10" t="str">
        <f>"617,5"</f>
        <v>617,5</v>
      </c>
      <c r="T13" s="10" t="str">
        <f>"369,8825"</f>
        <v>369,8825</v>
      </c>
      <c r="U13" s="9"/>
    </row>
    <row r="14" spans="1:21">
      <c r="A14" s="12" t="s">
        <v>145</v>
      </c>
      <c r="B14" s="11" t="s">
        <v>181</v>
      </c>
      <c r="C14" s="11" t="s">
        <v>182</v>
      </c>
      <c r="D14" s="11" t="s">
        <v>183</v>
      </c>
      <c r="E14" s="11" t="s">
        <v>596</v>
      </c>
      <c r="F14" s="11" t="s">
        <v>14</v>
      </c>
      <c r="G14" s="23" t="s">
        <v>174</v>
      </c>
      <c r="H14" s="23" t="s">
        <v>50</v>
      </c>
      <c r="I14" s="23" t="s">
        <v>113</v>
      </c>
      <c r="J14" s="12"/>
      <c r="K14" s="23" t="s">
        <v>38</v>
      </c>
      <c r="L14" s="23" t="s">
        <v>39</v>
      </c>
      <c r="M14" s="22" t="s">
        <v>95</v>
      </c>
      <c r="N14" s="12"/>
      <c r="O14" s="23" t="s">
        <v>112</v>
      </c>
      <c r="P14" s="23" t="s">
        <v>184</v>
      </c>
      <c r="Q14" s="12"/>
      <c r="R14" s="12"/>
      <c r="S14" s="12" t="str">
        <f>"610,0"</f>
        <v>610,0</v>
      </c>
      <c r="T14" s="12" t="str">
        <f>"360,3270"</f>
        <v>360,3270</v>
      </c>
      <c r="U14" s="11"/>
    </row>
    <row r="15" spans="1:21">
      <c r="B15" s="5" t="s">
        <v>80</v>
      </c>
    </row>
  </sheetData>
  <mergeCells count="16">
    <mergeCell ref="A9:R9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13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7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6640625" style="5" customWidth="1"/>
    <col min="22" max="16384" width="9.1640625" style="3"/>
  </cols>
  <sheetData>
    <row r="1" spans="1:21" s="2" customFormat="1" ht="29" customHeight="1">
      <c r="A1" s="33" t="s">
        <v>505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133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10" t="s">
        <v>79</v>
      </c>
      <c r="B6" s="9" t="s">
        <v>146</v>
      </c>
      <c r="C6" s="9" t="s">
        <v>147</v>
      </c>
      <c r="D6" s="9" t="s">
        <v>148</v>
      </c>
      <c r="E6" s="9" t="s">
        <v>596</v>
      </c>
      <c r="F6" s="9" t="s">
        <v>149</v>
      </c>
      <c r="G6" s="20" t="s">
        <v>142</v>
      </c>
      <c r="H6" s="21" t="s">
        <v>142</v>
      </c>
      <c r="I6" s="21" t="s">
        <v>119</v>
      </c>
      <c r="J6" s="10"/>
      <c r="K6" s="21" t="s">
        <v>62</v>
      </c>
      <c r="L6" s="21" t="s">
        <v>45</v>
      </c>
      <c r="M6" s="20" t="s">
        <v>63</v>
      </c>
      <c r="N6" s="10"/>
      <c r="O6" s="21" t="s">
        <v>150</v>
      </c>
      <c r="P6" s="21" t="s">
        <v>61</v>
      </c>
      <c r="Q6" s="21" t="s">
        <v>151</v>
      </c>
      <c r="R6" s="10"/>
      <c r="S6" s="10" t="str">
        <f>"725,0"</f>
        <v>725,0</v>
      </c>
      <c r="T6" s="10" t="str">
        <f>"446,2375"</f>
        <v>446,2375</v>
      </c>
      <c r="U6" s="9"/>
    </row>
    <row r="7" spans="1:21">
      <c r="A7" s="25" t="s">
        <v>145</v>
      </c>
      <c r="B7" s="24" t="s">
        <v>152</v>
      </c>
      <c r="C7" s="24" t="s">
        <v>153</v>
      </c>
      <c r="D7" s="24" t="s">
        <v>154</v>
      </c>
      <c r="E7" s="24" t="s">
        <v>596</v>
      </c>
      <c r="F7" s="24" t="s">
        <v>58</v>
      </c>
      <c r="G7" s="26" t="s">
        <v>113</v>
      </c>
      <c r="H7" s="26" t="s">
        <v>142</v>
      </c>
      <c r="I7" s="26" t="s">
        <v>119</v>
      </c>
      <c r="J7" s="25"/>
      <c r="K7" s="26" t="s">
        <v>47</v>
      </c>
      <c r="L7" s="26" t="s">
        <v>95</v>
      </c>
      <c r="M7" s="25"/>
      <c r="N7" s="25"/>
      <c r="O7" s="26" t="s">
        <v>111</v>
      </c>
      <c r="P7" s="26" t="s">
        <v>112</v>
      </c>
      <c r="Q7" s="26" t="s">
        <v>75</v>
      </c>
      <c r="R7" s="25"/>
      <c r="S7" s="25" t="str">
        <f>"622,5"</f>
        <v>622,5</v>
      </c>
      <c r="T7" s="25" t="str">
        <f>"380,8455"</f>
        <v>380,8455</v>
      </c>
      <c r="U7" s="24"/>
    </row>
    <row r="8" spans="1:21">
      <c r="A8" s="25" t="s">
        <v>79</v>
      </c>
      <c r="B8" s="24" t="s">
        <v>155</v>
      </c>
      <c r="C8" s="24" t="s">
        <v>520</v>
      </c>
      <c r="D8" s="24" t="s">
        <v>156</v>
      </c>
      <c r="E8" s="24" t="s">
        <v>599</v>
      </c>
      <c r="F8" s="24" t="s">
        <v>58</v>
      </c>
      <c r="G8" s="26" t="s">
        <v>157</v>
      </c>
      <c r="H8" s="26" t="s">
        <v>151</v>
      </c>
      <c r="I8" s="26" t="s">
        <v>158</v>
      </c>
      <c r="J8" s="25"/>
      <c r="K8" s="26" t="s">
        <v>44</v>
      </c>
      <c r="L8" s="26" t="s">
        <v>45</v>
      </c>
      <c r="M8" s="26" t="s">
        <v>63</v>
      </c>
      <c r="N8" s="25"/>
      <c r="O8" s="26" t="s">
        <v>157</v>
      </c>
      <c r="P8" s="27" t="s">
        <v>151</v>
      </c>
      <c r="Q8" s="27" t="s">
        <v>151</v>
      </c>
      <c r="R8" s="25"/>
      <c r="S8" s="25" t="str">
        <f>"770,0"</f>
        <v>770,0</v>
      </c>
      <c r="T8" s="25" t="str">
        <f>"479,9455"</f>
        <v>479,9455</v>
      </c>
      <c r="U8" s="24"/>
    </row>
    <row r="9" spans="1:21">
      <c r="A9" s="12" t="s">
        <v>79</v>
      </c>
      <c r="B9" s="11" t="s">
        <v>159</v>
      </c>
      <c r="C9" s="11" t="s">
        <v>521</v>
      </c>
      <c r="D9" s="11" t="s">
        <v>160</v>
      </c>
      <c r="E9" s="11" t="s">
        <v>600</v>
      </c>
      <c r="F9" s="11" t="s">
        <v>58</v>
      </c>
      <c r="G9" s="23" t="s">
        <v>161</v>
      </c>
      <c r="H9" s="23" t="s">
        <v>112</v>
      </c>
      <c r="I9" s="23" t="s">
        <v>118</v>
      </c>
      <c r="J9" s="12"/>
      <c r="K9" s="23" t="s">
        <v>32</v>
      </c>
      <c r="L9" s="22" t="s">
        <v>117</v>
      </c>
      <c r="M9" s="22" t="s">
        <v>117</v>
      </c>
      <c r="N9" s="12"/>
      <c r="O9" s="23" t="s">
        <v>111</v>
      </c>
      <c r="P9" s="23" t="s">
        <v>113</v>
      </c>
      <c r="Q9" s="23" t="s">
        <v>142</v>
      </c>
      <c r="R9" s="12"/>
      <c r="S9" s="12" t="str">
        <f>"605,0"</f>
        <v>605,0</v>
      </c>
      <c r="T9" s="12" t="str">
        <f>"395,1049"</f>
        <v>395,1049</v>
      </c>
      <c r="U9" s="11"/>
    </row>
    <row r="10" spans="1:21">
      <c r="B10" s="5" t="s">
        <v>80</v>
      </c>
    </row>
    <row r="11" spans="1:21" ht="16">
      <c r="A11" s="52" t="s">
        <v>54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8" t="s">
        <v>79</v>
      </c>
      <c r="B12" s="7" t="s">
        <v>162</v>
      </c>
      <c r="C12" s="7" t="s">
        <v>163</v>
      </c>
      <c r="D12" s="7" t="s">
        <v>164</v>
      </c>
      <c r="E12" s="7" t="s">
        <v>596</v>
      </c>
      <c r="F12" s="7" t="s">
        <v>14</v>
      </c>
      <c r="G12" s="18" t="s">
        <v>119</v>
      </c>
      <c r="H12" s="18" t="s">
        <v>60</v>
      </c>
      <c r="I12" s="19" t="s">
        <v>61</v>
      </c>
      <c r="J12" s="8"/>
      <c r="K12" s="18" t="s">
        <v>32</v>
      </c>
      <c r="L12" s="18" t="s">
        <v>117</v>
      </c>
      <c r="M12" s="18" t="s">
        <v>96</v>
      </c>
      <c r="N12" s="8"/>
      <c r="O12" s="18" t="s">
        <v>113</v>
      </c>
      <c r="P12" s="18" t="s">
        <v>119</v>
      </c>
      <c r="Q12" s="18" t="s">
        <v>165</v>
      </c>
      <c r="R12" s="8"/>
      <c r="S12" s="8" t="str">
        <f>"690,0"</f>
        <v>690,0</v>
      </c>
      <c r="T12" s="8" t="str">
        <f>"408,5490"</f>
        <v>408,5490</v>
      </c>
      <c r="U12" s="7" t="s">
        <v>551</v>
      </c>
    </row>
    <row r="13" spans="1:21">
      <c r="B13" s="5" t="s">
        <v>80</v>
      </c>
    </row>
  </sheetData>
  <mergeCells count="15"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6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3.33203125" style="5" customWidth="1"/>
    <col min="18" max="16384" width="9.1640625" style="3"/>
  </cols>
  <sheetData>
    <row r="1" spans="1:17" s="2" customFormat="1" ht="29" customHeight="1">
      <c r="A1" s="33" t="s">
        <v>506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</v>
      </c>
      <c r="P3" s="45" t="s">
        <v>3</v>
      </c>
      <c r="Q3" s="48" t="s">
        <v>2</v>
      </c>
    </row>
    <row r="4" spans="1:17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49"/>
    </row>
    <row r="5" spans="1:17" ht="16">
      <c r="A5" s="50" t="s">
        <v>33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10" t="s">
        <v>79</v>
      </c>
      <c r="B6" s="9" t="s">
        <v>397</v>
      </c>
      <c r="C6" s="9" t="s">
        <v>439</v>
      </c>
      <c r="D6" s="9" t="s">
        <v>398</v>
      </c>
      <c r="E6" s="9" t="s">
        <v>596</v>
      </c>
      <c r="F6" s="9" t="s">
        <v>14</v>
      </c>
      <c r="G6" s="21" t="s">
        <v>399</v>
      </c>
      <c r="H6" s="21" t="s">
        <v>16</v>
      </c>
      <c r="I6" s="20" t="s">
        <v>30</v>
      </c>
      <c r="J6" s="10"/>
      <c r="K6" s="21" t="s">
        <v>95</v>
      </c>
      <c r="L6" s="21" t="s">
        <v>97</v>
      </c>
      <c r="M6" s="20" t="s">
        <v>109</v>
      </c>
      <c r="N6" s="10"/>
      <c r="O6" s="10" t="str">
        <f>"220,0"</f>
        <v>220,0</v>
      </c>
      <c r="P6" s="10" t="str">
        <f>"224,5320"</f>
        <v>224,5320</v>
      </c>
      <c r="Q6" s="9" t="s">
        <v>553</v>
      </c>
    </row>
    <row r="7" spans="1:17">
      <c r="A7" s="12" t="s">
        <v>79</v>
      </c>
      <c r="B7" s="11" t="s">
        <v>397</v>
      </c>
      <c r="C7" s="11" t="s">
        <v>522</v>
      </c>
      <c r="D7" s="11" t="s">
        <v>398</v>
      </c>
      <c r="E7" s="11" t="s">
        <v>600</v>
      </c>
      <c r="F7" s="11" t="s">
        <v>14</v>
      </c>
      <c r="G7" s="23" t="s">
        <v>399</v>
      </c>
      <c r="H7" s="23" t="s">
        <v>16</v>
      </c>
      <c r="I7" s="22" t="s">
        <v>30</v>
      </c>
      <c r="J7" s="12"/>
      <c r="K7" s="23" t="s">
        <v>95</v>
      </c>
      <c r="L7" s="23" t="s">
        <v>97</v>
      </c>
      <c r="M7" s="22" t="s">
        <v>109</v>
      </c>
      <c r="N7" s="12"/>
      <c r="O7" s="12" t="str">
        <f>"220,0"</f>
        <v>220,0</v>
      </c>
      <c r="P7" s="12" t="str">
        <f>"250,1286"</f>
        <v>250,1286</v>
      </c>
      <c r="Q7" s="11" t="s">
        <v>553</v>
      </c>
    </row>
    <row r="8" spans="1:17">
      <c r="B8" s="5" t="s">
        <v>80</v>
      </c>
    </row>
    <row r="9" spans="1:17" ht="16">
      <c r="A9" s="52" t="s">
        <v>206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7">
      <c r="A10" s="8" t="s">
        <v>79</v>
      </c>
      <c r="B10" s="7" t="s">
        <v>440</v>
      </c>
      <c r="C10" s="7" t="s">
        <v>523</v>
      </c>
      <c r="D10" s="7" t="s">
        <v>441</v>
      </c>
      <c r="E10" s="7" t="s">
        <v>600</v>
      </c>
      <c r="F10" s="7" t="s">
        <v>552</v>
      </c>
      <c r="G10" s="18" t="s">
        <v>87</v>
      </c>
      <c r="H10" s="18" t="s">
        <v>88</v>
      </c>
      <c r="I10" s="18" t="s">
        <v>188</v>
      </c>
      <c r="J10" s="8"/>
      <c r="K10" s="18" t="s">
        <v>21</v>
      </c>
      <c r="L10" s="18" t="s">
        <v>27</v>
      </c>
      <c r="M10" s="18" t="s">
        <v>110</v>
      </c>
      <c r="N10" s="8"/>
      <c r="O10" s="8" t="str">
        <f>"150,0"</f>
        <v>150,0</v>
      </c>
      <c r="P10" s="8" t="str">
        <f>"153,7120"</f>
        <v>153,7120</v>
      </c>
      <c r="Q10" s="7"/>
    </row>
    <row r="11" spans="1:17">
      <c r="B11" s="5" t="s">
        <v>80</v>
      </c>
    </row>
    <row r="12" spans="1:17" ht="16">
      <c r="A12" s="52" t="s">
        <v>133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7">
      <c r="A13" s="8" t="s">
        <v>79</v>
      </c>
      <c r="B13" s="7" t="s">
        <v>337</v>
      </c>
      <c r="C13" s="7" t="s">
        <v>338</v>
      </c>
      <c r="D13" s="7" t="s">
        <v>339</v>
      </c>
      <c r="E13" s="7" t="s">
        <v>596</v>
      </c>
      <c r="F13" s="7" t="s">
        <v>14</v>
      </c>
      <c r="G13" s="18" t="s">
        <v>31</v>
      </c>
      <c r="H13" s="18" t="s">
        <v>298</v>
      </c>
      <c r="I13" s="19" t="s">
        <v>46</v>
      </c>
      <c r="J13" s="8"/>
      <c r="K13" s="18" t="s">
        <v>45</v>
      </c>
      <c r="L13" s="19" t="s">
        <v>141</v>
      </c>
      <c r="M13" s="18" t="s">
        <v>131</v>
      </c>
      <c r="N13" s="8"/>
      <c r="O13" s="8" t="str">
        <f>"307,5"</f>
        <v>307,5</v>
      </c>
      <c r="P13" s="8" t="str">
        <f>"192,9870"</f>
        <v>192,9870</v>
      </c>
      <c r="Q13" s="7" t="s">
        <v>554</v>
      </c>
    </row>
    <row r="14" spans="1:17">
      <c r="B14" s="5" t="s">
        <v>80</v>
      </c>
    </row>
  </sheetData>
  <mergeCells count="15">
    <mergeCell ref="A9:N9"/>
    <mergeCell ref="A12:N12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8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9" style="5" customWidth="1"/>
    <col min="7" max="9" width="4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1640625" style="5" customWidth="1"/>
    <col min="18" max="16384" width="9.1640625" style="3"/>
  </cols>
  <sheetData>
    <row r="1" spans="1:17" s="2" customFormat="1" ht="29" customHeight="1">
      <c r="A1" s="33" t="s">
        <v>507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</v>
      </c>
      <c r="P3" s="45" t="s">
        <v>3</v>
      </c>
      <c r="Q3" s="48" t="s">
        <v>2</v>
      </c>
    </row>
    <row r="4" spans="1:17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49"/>
    </row>
    <row r="5" spans="1:17" ht="16">
      <c r="A5" s="50" t="s">
        <v>99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10" t="s">
        <v>79</v>
      </c>
      <c r="B6" s="9" t="s">
        <v>433</v>
      </c>
      <c r="C6" s="9" t="s">
        <v>434</v>
      </c>
      <c r="D6" s="9" t="s">
        <v>435</v>
      </c>
      <c r="E6" s="9" t="s">
        <v>595</v>
      </c>
      <c r="F6" s="9" t="s">
        <v>547</v>
      </c>
      <c r="G6" s="21" t="s">
        <v>15</v>
      </c>
      <c r="H6" s="21" t="s">
        <v>30</v>
      </c>
      <c r="I6" s="20" t="s">
        <v>20</v>
      </c>
      <c r="J6" s="10"/>
      <c r="K6" s="20" t="s">
        <v>28</v>
      </c>
      <c r="L6" s="21" t="s">
        <v>28</v>
      </c>
      <c r="M6" s="21" t="s">
        <v>31</v>
      </c>
      <c r="N6" s="10"/>
      <c r="O6" s="10" t="str">
        <f>"190,0"</f>
        <v>190,0</v>
      </c>
      <c r="P6" s="10" t="str">
        <f>"129,5040"</f>
        <v>129,5040</v>
      </c>
      <c r="Q6" s="9" t="s">
        <v>436</v>
      </c>
    </row>
    <row r="7" spans="1:17">
      <c r="A7" s="12" t="s">
        <v>79</v>
      </c>
      <c r="B7" s="11" t="s">
        <v>437</v>
      </c>
      <c r="C7" s="11" t="s">
        <v>524</v>
      </c>
      <c r="D7" s="11" t="s">
        <v>438</v>
      </c>
      <c r="E7" s="11" t="s">
        <v>601</v>
      </c>
      <c r="F7" s="11" t="s">
        <v>14</v>
      </c>
      <c r="G7" s="23" t="s">
        <v>21</v>
      </c>
      <c r="H7" s="23" t="s">
        <v>53</v>
      </c>
      <c r="I7" s="22" t="s">
        <v>22</v>
      </c>
      <c r="J7" s="12"/>
      <c r="K7" s="23" t="s">
        <v>28</v>
      </c>
      <c r="L7" s="22" t="s">
        <v>31</v>
      </c>
      <c r="M7" s="23" t="s">
        <v>31</v>
      </c>
      <c r="N7" s="12"/>
      <c r="O7" s="12" t="str">
        <f>"215,0"</f>
        <v>215,0</v>
      </c>
      <c r="P7" s="12" t="str">
        <f>"246,4251"</f>
        <v>246,4251</v>
      </c>
      <c r="Q7" s="11"/>
    </row>
    <row r="8" spans="1:17">
      <c r="B8" s="5" t="s">
        <v>80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8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33" t="s">
        <v>508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7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133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430</v>
      </c>
      <c r="C6" s="7" t="s">
        <v>431</v>
      </c>
      <c r="D6" s="7" t="s">
        <v>432</v>
      </c>
      <c r="E6" s="7" t="s">
        <v>595</v>
      </c>
      <c r="F6" s="7" t="s">
        <v>85</v>
      </c>
      <c r="G6" s="18" t="s">
        <v>117</v>
      </c>
      <c r="H6" s="19" t="s">
        <v>96</v>
      </c>
      <c r="I6" s="19" t="s">
        <v>96</v>
      </c>
      <c r="J6" s="8"/>
      <c r="K6" s="8" t="str">
        <f>"140,0"</f>
        <v>140,0</v>
      </c>
      <c r="L6" s="8" t="str">
        <f>"88,7880"</f>
        <v>88,7880</v>
      </c>
      <c r="M6" s="7"/>
    </row>
    <row r="7" spans="1:13">
      <c r="B7" s="5" t="s">
        <v>80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5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33" t="s">
        <v>509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7</v>
      </c>
      <c r="H3" s="45"/>
      <c r="I3" s="45"/>
      <c r="J3" s="45"/>
      <c r="K3" s="45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33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79</v>
      </c>
      <c r="B6" s="7" t="s">
        <v>428</v>
      </c>
      <c r="C6" s="7" t="s">
        <v>525</v>
      </c>
      <c r="D6" s="7" t="s">
        <v>429</v>
      </c>
      <c r="E6" s="7" t="s">
        <v>600</v>
      </c>
      <c r="F6" s="7" t="s">
        <v>14</v>
      </c>
      <c r="G6" s="18" t="s">
        <v>17</v>
      </c>
      <c r="H6" s="19" t="s">
        <v>213</v>
      </c>
      <c r="I6" s="18" t="s">
        <v>213</v>
      </c>
      <c r="J6" s="8"/>
      <c r="K6" s="8" t="str">
        <f>"85,0"</f>
        <v>85,0</v>
      </c>
      <c r="L6" s="8" t="str">
        <f>"98,2314"</f>
        <v>98,2314</v>
      </c>
      <c r="M6" s="7"/>
    </row>
    <row r="7" spans="1:13">
      <c r="B7" s="5" t="s">
        <v>80</v>
      </c>
    </row>
    <row r="8" spans="1:13" ht="16">
      <c r="A8" s="52" t="s">
        <v>206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79</v>
      </c>
      <c r="B9" s="7" t="s">
        <v>378</v>
      </c>
      <c r="C9" s="7" t="s">
        <v>379</v>
      </c>
      <c r="D9" s="7" t="s">
        <v>380</v>
      </c>
      <c r="E9" s="7" t="s">
        <v>595</v>
      </c>
      <c r="F9" s="7" t="s">
        <v>547</v>
      </c>
      <c r="G9" s="19" t="s">
        <v>46</v>
      </c>
      <c r="H9" s="18" t="s">
        <v>32</v>
      </c>
      <c r="I9" s="18" t="s">
        <v>117</v>
      </c>
      <c r="J9" s="8"/>
      <c r="K9" s="8" t="str">
        <f>"140,0"</f>
        <v>140,0</v>
      </c>
      <c r="L9" s="8" t="str">
        <f>"101,7940"</f>
        <v>101,7940</v>
      </c>
      <c r="M9" s="7"/>
    </row>
    <row r="10" spans="1:13">
      <c r="B10" s="5" t="s">
        <v>80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62"/>
  <sheetViews>
    <sheetView workbookViewId="0">
      <selection activeCell="E52" sqref="E52"/>
    </sheetView>
  </sheetViews>
  <sheetFormatPr baseColWidth="10" defaultColWidth="9.1640625" defaultRowHeight="13"/>
  <cols>
    <col min="1" max="1" width="7.5" style="5" bestFit="1" customWidth="1"/>
    <col min="2" max="2" width="24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1.6640625" style="5" bestFit="1" customWidth="1"/>
    <col min="14" max="16384" width="9.1640625" style="3"/>
  </cols>
  <sheetData>
    <row r="1" spans="1:13" s="2" customFormat="1" ht="29" customHeight="1">
      <c r="A1" s="33" t="s">
        <v>510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591</v>
      </c>
      <c r="B3" s="46" t="s">
        <v>0</v>
      </c>
      <c r="C3" s="43" t="s">
        <v>593</v>
      </c>
      <c r="D3" s="43" t="s">
        <v>6</v>
      </c>
      <c r="E3" s="45" t="s">
        <v>594</v>
      </c>
      <c r="F3" s="45" t="s">
        <v>5</v>
      </c>
      <c r="G3" s="45" t="s">
        <v>8</v>
      </c>
      <c r="H3" s="45"/>
      <c r="I3" s="45"/>
      <c r="J3" s="45"/>
      <c r="K3" s="53" t="s">
        <v>265</v>
      </c>
      <c r="L3" s="45" t="s">
        <v>3</v>
      </c>
      <c r="M3" s="48" t="s">
        <v>2</v>
      </c>
    </row>
    <row r="4" spans="1:13" s="1" customFormat="1" ht="21" customHeight="1" thickBot="1">
      <c r="A4" s="42"/>
      <c r="B4" s="47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54"/>
      <c r="L4" s="44"/>
      <c r="M4" s="49"/>
    </row>
    <row r="5" spans="1:13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0" t="s">
        <v>79</v>
      </c>
      <c r="B6" s="9" t="s">
        <v>268</v>
      </c>
      <c r="C6" s="9" t="s">
        <v>269</v>
      </c>
      <c r="D6" s="9" t="s">
        <v>270</v>
      </c>
      <c r="E6" s="9" t="s">
        <v>596</v>
      </c>
      <c r="F6" s="9" t="s">
        <v>14</v>
      </c>
      <c r="G6" s="20" t="s">
        <v>18</v>
      </c>
      <c r="H6" s="21" t="s">
        <v>18</v>
      </c>
      <c r="I6" s="20" t="s">
        <v>271</v>
      </c>
      <c r="J6" s="10"/>
      <c r="K6" s="29" t="str">
        <f>"55,0"</f>
        <v>55,0</v>
      </c>
      <c r="L6" s="10" t="str">
        <f>"67,0670"</f>
        <v>67,0670</v>
      </c>
      <c r="M6" s="9" t="s">
        <v>272</v>
      </c>
    </row>
    <row r="7" spans="1:13">
      <c r="A7" s="12" t="s">
        <v>145</v>
      </c>
      <c r="B7" s="11" t="s">
        <v>273</v>
      </c>
      <c r="C7" s="11" t="s">
        <v>274</v>
      </c>
      <c r="D7" s="11" t="s">
        <v>275</v>
      </c>
      <c r="E7" s="11" t="s">
        <v>596</v>
      </c>
      <c r="F7" s="11" t="s">
        <v>276</v>
      </c>
      <c r="G7" s="22" t="s">
        <v>277</v>
      </c>
      <c r="H7" s="23" t="s">
        <v>277</v>
      </c>
      <c r="I7" s="23" t="s">
        <v>18</v>
      </c>
      <c r="J7" s="12"/>
      <c r="K7" s="30" t="str">
        <f>"55,0"</f>
        <v>55,0</v>
      </c>
      <c r="L7" s="12" t="str">
        <f>"65,0760"</f>
        <v>65,0760</v>
      </c>
      <c r="M7" s="11" t="s">
        <v>556</v>
      </c>
    </row>
    <row r="8" spans="1:13">
      <c r="B8" s="5" t="s">
        <v>80</v>
      </c>
    </row>
    <row r="9" spans="1:13" ht="16">
      <c r="A9" s="52" t="s">
        <v>33</v>
      </c>
      <c r="B9" s="52"/>
      <c r="C9" s="52"/>
      <c r="D9" s="52"/>
      <c r="E9" s="52"/>
      <c r="F9" s="52"/>
      <c r="G9" s="52"/>
      <c r="H9" s="52"/>
      <c r="I9" s="52"/>
      <c r="J9" s="52"/>
    </row>
    <row r="10" spans="1:13">
      <c r="A10" s="8" t="s">
        <v>79</v>
      </c>
      <c r="B10" s="7" t="s">
        <v>278</v>
      </c>
      <c r="C10" s="7" t="s">
        <v>279</v>
      </c>
      <c r="D10" s="7" t="s">
        <v>280</v>
      </c>
      <c r="E10" s="7" t="s">
        <v>596</v>
      </c>
      <c r="F10" s="7" t="s">
        <v>14</v>
      </c>
      <c r="G10" s="18" t="s">
        <v>188</v>
      </c>
      <c r="H10" s="18" t="s">
        <v>277</v>
      </c>
      <c r="I10" s="19" t="s">
        <v>196</v>
      </c>
      <c r="J10" s="8"/>
      <c r="K10" s="31" t="str">
        <f>"50,0"</f>
        <v>50,0</v>
      </c>
      <c r="L10" s="8" t="str">
        <f>"52,4550"</f>
        <v>52,4550</v>
      </c>
      <c r="M10" s="7" t="s">
        <v>557</v>
      </c>
    </row>
    <row r="11" spans="1:13">
      <c r="B11" s="5" t="s">
        <v>80</v>
      </c>
    </row>
    <row r="12" spans="1:13" ht="16">
      <c r="A12" s="52" t="s">
        <v>23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8" t="s">
        <v>79</v>
      </c>
      <c r="B13" s="7" t="s">
        <v>197</v>
      </c>
      <c r="C13" s="7" t="s">
        <v>198</v>
      </c>
      <c r="D13" s="7" t="s">
        <v>199</v>
      </c>
      <c r="E13" s="7" t="s">
        <v>596</v>
      </c>
      <c r="F13" s="7" t="s">
        <v>565</v>
      </c>
      <c r="G13" s="18" t="s">
        <v>27</v>
      </c>
      <c r="H13" s="19" t="s">
        <v>94</v>
      </c>
      <c r="I13" s="19" t="s">
        <v>94</v>
      </c>
      <c r="J13" s="8"/>
      <c r="K13" s="31" t="str">
        <f>"100,0"</f>
        <v>100,0</v>
      </c>
      <c r="L13" s="8" t="str">
        <f>"88,5900"</f>
        <v>88,5900</v>
      </c>
      <c r="M13" s="7"/>
    </row>
    <row r="14" spans="1:13">
      <c r="B14" s="5" t="s">
        <v>80</v>
      </c>
    </row>
    <row r="15" spans="1:13" ht="16">
      <c r="A15" s="52" t="s">
        <v>206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10" t="s">
        <v>79</v>
      </c>
      <c r="B16" s="9" t="s">
        <v>281</v>
      </c>
      <c r="C16" s="9" t="s">
        <v>282</v>
      </c>
      <c r="D16" s="9" t="s">
        <v>283</v>
      </c>
      <c r="E16" s="9" t="s">
        <v>595</v>
      </c>
      <c r="F16" s="9" t="s">
        <v>566</v>
      </c>
      <c r="G16" s="21" t="s">
        <v>31</v>
      </c>
      <c r="H16" s="21" t="s">
        <v>46</v>
      </c>
      <c r="I16" s="20" t="s">
        <v>284</v>
      </c>
      <c r="J16" s="10"/>
      <c r="K16" s="29" t="str">
        <f>"125,0"</f>
        <v>125,0</v>
      </c>
      <c r="L16" s="10" t="str">
        <f>"92,0875"</f>
        <v>92,0875</v>
      </c>
      <c r="M16" s="9" t="s">
        <v>558</v>
      </c>
    </row>
    <row r="17" spans="1:13">
      <c r="A17" s="25" t="s">
        <v>145</v>
      </c>
      <c r="B17" s="24" t="s">
        <v>285</v>
      </c>
      <c r="C17" s="24" t="s">
        <v>286</v>
      </c>
      <c r="D17" s="24" t="s">
        <v>287</v>
      </c>
      <c r="E17" s="24" t="s">
        <v>595</v>
      </c>
      <c r="F17" s="24" t="s">
        <v>14</v>
      </c>
      <c r="G17" s="27" t="s">
        <v>53</v>
      </c>
      <c r="H17" s="26" t="s">
        <v>27</v>
      </c>
      <c r="I17" s="27" t="s">
        <v>110</v>
      </c>
      <c r="J17" s="25"/>
      <c r="K17" s="32" t="str">
        <f>"100,0"</f>
        <v>100,0</v>
      </c>
      <c r="L17" s="25" t="str">
        <f>"72,2100"</f>
        <v>72,2100</v>
      </c>
      <c r="M17" s="24" t="s">
        <v>559</v>
      </c>
    </row>
    <row r="18" spans="1:13">
      <c r="A18" s="25" t="s">
        <v>79</v>
      </c>
      <c r="B18" s="24" t="s">
        <v>288</v>
      </c>
      <c r="C18" s="24" t="s">
        <v>289</v>
      </c>
      <c r="D18" s="24" t="s">
        <v>290</v>
      </c>
      <c r="E18" s="24" t="s">
        <v>596</v>
      </c>
      <c r="F18" s="24" t="s">
        <v>14</v>
      </c>
      <c r="G18" s="26" t="s">
        <v>32</v>
      </c>
      <c r="H18" s="26" t="s">
        <v>47</v>
      </c>
      <c r="I18" s="26" t="s">
        <v>117</v>
      </c>
      <c r="J18" s="25"/>
      <c r="K18" s="32" t="str">
        <f>"140,0"</f>
        <v>140,0</v>
      </c>
      <c r="L18" s="25" t="str">
        <f>"103,7960"</f>
        <v>103,7960</v>
      </c>
      <c r="M18" s="24" t="s">
        <v>545</v>
      </c>
    </row>
    <row r="19" spans="1:13">
      <c r="A19" s="25" t="s">
        <v>145</v>
      </c>
      <c r="B19" s="24" t="s">
        <v>291</v>
      </c>
      <c r="C19" s="24" t="s">
        <v>292</v>
      </c>
      <c r="D19" s="24" t="s">
        <v>293</v>
      </c>
      <c r="E19" s="24" t="s">
        <v>596</v>
      </c>
      <c r="F19" s="24" t="s">
        <v>14</v>
      </c>
      <c r="G19" s="26" t="s">
        <v>46</v>
      </c>
      <c r="H19" s="26" t="s">
        <v>32</v>
      </c>
      <c r="I19" s="27" t="s">
        <v>176</v>
      </c>
      <c r="J19" s="25"/>
      <c r="K19" s="32" t="str">
        <f>"130,0"</f>
        <v>130,0</v>
      </c>
      <c r="L19" s="25" t="str">
        <f>"92,9760"</f>
        <v>92,9760</v>
      </c>
      <c r="M19" s="24" t="s">
        <v>560</v>
      </c>
    </row>
    <row r="20" spans="1:13">
      <c r="A20" s="25" t="s">
        <v>266</v>
      </c>
      <c r="B20" s="24" t="s">
        <v>294</v>
      </c>
      <c r="C20" s="24" t="s">
        <v>295</v>
      </c>
      <c r="D20" s="24" t="s">
        <v>296</v>
      </c>
      <c r="E20" s="24" t="s">
        <v>596</v>
      </c>
      <c r="F20" s="24" t="s">
        <v>544</v>
      </c>
      <c r="G20" s="26" t="s">
        <v>297</v>
      </c>
      <c r="H20" s="26" t="s">
        <v>298</v>
      </c>
      <c r="I20" s="27" t="s">
        <v>46</v>
      </c>
      <c r="J20" s="25"/>
      <c r="K20" s="32" t="str">
        <f>"122,5"</f>
        <v>122,5</v>
      </c>
      <c r="L20" s="25" t="str">
        <f>"88,3715"</f>
        <v>88,3715</v>
      </c>
      <c r="M20" s="24"/>
    </row>
    <row r="21" spans="1:13">
      <c r="A21" s="25" t="s">
        <v>267</v>
      </c>
      <c r="B21" s="24" t="s">
        <v>299</v>
      </c>
      <c r="C21" s="24" t="s">
        <v>300</v>
      </c>
      <c r="D21" s="24" t="s">
        <v>301</v>
      </c>
      <c r="E21" s="24" t="s">
        <v>596</v>
      </c>
      <c r="F21" s="24" t="s">
        <v>14</v>
      </c>
      <c r="G21" s="26" t="s">
        <v>28</v>
      </c>
      <c r="H21" s="27" t="s">
        <v>29</v>
      </c>
      <c r="I21" s="26" t="s">
        <v>297</v>
      </c>
      <c r="J21" s="25"/>
      <c r="K21" s="32" t="str">
        <f>"117,5"</f>
        <v>117,5</v>
      </c>
      <c r="L21" s="25" t="str">
        <f>"88,4422"</f>
        <v>88,4422</v>
      </c>
      <c r="M21" s="24" t="s">
        <v>105</v>
      </c>
    </row>
    <row r="22" spans="1:13">
      <c r="A22" s="12" t="s">
        <v>371</v>
      </c>
      <c r="B22" s="11" t="s">
        <v>302</v>
      </c>
      <c r="C22" s="11" t="s">
        <v>303</v>
      </c>
      <c r="D22" s="11" t="s">
        <v>304</v>
      </c>
      <c r="E22" s="11" t="s">
        <v>596</v>
      </c>
      <c r="F22" s="11" t="s">
        <v>305</v>
      </c>
      <c r="G22" s="22" t="s">
        <v>31</v>
      </c>
      <c r="H22" s="22" t="s">
        <v>32</v>
      </c>
      <c r="I22" s="22" t="s">
        <v>32</v>
      </c>
      <c r="J22" s="12"/>
      <c r="K22" s="30">
        <v>0</v>
      </c>
      <c r="L22" s="12" t="str">
        <f>"0,0000"</f>
        <v>0,0000</v>
      </c>
      <c r="M22" s="11" t="s">
        <v>561</v>
      </c>
    </row>
    <row r="23" spans="1:13">
      <c r="B23" s="5" t="s">
        <v>80</v>
      </c>
    </row>
    <row r="24" spans="1:13" ht="16">
      <c r="A24" s="52" t="s">
        <v>99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13">
      <c r="A25" s="10" t="s">
        <v>79</v>
      </c>
      <c r="B25" s="9" t="s">
        <v>306</v>
      </c>
      <c r="C25" s="9" t="s">
        <v>307</v>
      </c>
      <c r="D25" s="9" t="s">
        <v>308</v>
      </c>
      <c r="E25" s="9" t="s">
        <v>596</v>
      </c>
      <c r="F25" s="9" t="s">
        <v>14</v>
      </c>
      <c r="G25" s="21" t="s">
        <v>47</v>
      </c>
      <c r="H25" s="20" t="s">
        <v>39</v>
      </c>
      <c r="I25" s="20" t="s">
        <v>39</v>
      </c>
      <c r="J25" s="10"/>
      <c r="K25" s="29" t="str">
        <f>"135,0"</f>
        <v>135,0</v>
      </c>
      <c r="L25" s="10" t="str">
        <f>"93,5955"</f>
        <v>93,5955</v>
      </c>
      <c r="M25" s="9" t="s">
        <v>560</v>
      </c>
    </row>
    <row r="26" spans="1:13">
      <c r="A26" s="25" t="s">
        <v>145</v>
      </c>
      <c r="B26" s="24" t="s">
        <v>309</v>
      </c>
      <c r="C26" s="24" t="s">
        <v>310</v>
      </c>
      <c r="D26" s="24" t="s">
        <v>311</v>
      </c>
      <c r="E26" s="24" t="s">
        <v>596</v>
      </c>
      <c r="F26" s="24" t="s">
        <v>14</v>
      </c>
      <c r="G26" s="26" t="s">
        <v>284</v>
      </c>
      <c r="H26" s="26" t="s">
        <v>47</v>
      </c>
      <c r="I26" s="27" t="s">
        <v>39</v>
      </c>
      <c r="J26" s="25"/>
      <c r="K26" s="32" t="str">
        <f>"135,0"</f>
        <v>135,0</v>
      </c>
      <c r="L26" s="25" t="str">
        <f>"91,1115"</f>
        <v>91,1115</v>
      </c>
      <c r="M26" s="24"/>
    </row>
    <row r="27" spans="1:13">
      <c r="A27" s="25" t="s">
        <v>266</v>
      </c>
      <c r="B27" s="24" t="s">
        <v>312</v>
      </c>
      <c r="C27" s="24" t="s">
        <v>313</v>
      </c>
      <c r="D27" s="24" t="s">
        <v>314</v>
      </c>
      <c r="E27" s="24" t="s">
        <v>596</v>
      </c>
      <c r="F27" s="24" t="s">
        <v>14</v>
      </c>
      <c r="G27" s="26" t="s">
        <v>110</v>
      </c>
      <c r="H27" s="26" t="s">
        <v>28</v>
      </c>
      <c r="I27" s="26" t="s">
        <v>94</v>
      </c>
      <c r="J27" s="25"/>
      <c r="K27" s="32" t="str">
        <f>"112,5"</f>
        <v>112,5</v>
      </c>
      <c r="L27" s="25" t="str">
        <f>"77,6137"</f>
        <v>77,6137</v>
      </c>
      <c r="M27" s="24" t="s">
        <v>562</v>
      </c>
    </row>
    <row r="28" spans="1:13">
      <c r="A28" s="12" t="s">
        <v>79</v>
      </c>
      <c r="B28" s="11" t="s">
        <v>315</v>
      </c>
      <c r="C28" s="11" t="s">
        <v>526</v>
      </c>
      <c r="D28" s="11" t="s">
        <v>316</v>
      </c>
      <c r="E28" s="11" t="s">
        <v>599</v>
      </c>
      <c r="F28" s="11" t="s">
        <v>567</v>
      </c>
      <c r="G28" s="23" t="s">
        <v>110</v>
      </c>
      <c r="H28" s="23" t="s">
        <v>28</v>
      </c>
      <c r="I28" s="22" t="s">
        <v>94</v>
      </c>
      <c r="J28" s="12"/>
      <c r="K28" s="30" t="str">
        <f>"110,0"</f>
        <v>110,0</v>
      </c>
      <c r="L28" s="12" t="str">
        <f>"74,5549"</f>
        <v>74,5549</v>
      </c>
      <c r="M28" s="11" t="s">
        <v>563</v>
      </c>
    </row>
    <row r="29" spans="1:13">
      <c r="B29" s="5" t="s">
        <v>80</v>
      </c>
    </row>
    <row r="30" spans="1:13" ht="16">
      <c r="A30" s="52" t="s">
        <v>40</v>
      </c>
      <c r="B30" s="52"/>
      <c r="C30" s="52"/>
      <c r="D30" s="52"/>
      <c r="E30" s="52"/>
      <c r="F30" s="52"/>
      <c r="G30" s="52"/>
      <c r="H30" s="52"/>
      <c r="I30" s="52"/>
      <c r="J30" s="52"/>
    </row>
    <row r="31" spans="1:13">
      <c r="A31" s="8" t="s">
        <v>79</v>
      </c>
      <c r="B31" s="7" t="s">
        <v>317</v>
      </c>
      <c r="C31" s="7" t="s">
        <v>318</v>
      </c>
      <c r="D31" s="7" t="s">
        <v>319</v>
      </c>
      <c r="E31" s="7" t="s">
        <v>596</v>
      </c>
      <c r="F31" s="7" t="s">
        <v>320</v>
      </c>
      <c r="G31" s="18" t="s">
        <v>117</v>
      </c>
      <c r="H31" s="19" t="s">
        <v>132</v>
      </c>
      <c r="I31" s="18" t="s">
        <v>97</v>
      </c>
      <c r="J31" s="8"/>
      <c r="K31" s="31" t="str">
        <f>"152,5"</f>
        <v>152,5</v>
      </c>
      <c r="L31" s="8" t="str">
        <f>"98,2100"</f>
        <v>98,2100</v>
      </c>
      <c r="M31" s="7"/>
    </row>
    <row r="32" spans="1:13">
      <c r="B32" s="5" t="s">
        <v>80</v>
      </c>
    </row>
    <row r="33" spans="1:13" ht="16">
      <c r="A33" s="52" t="s">
        <v>133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3">
      <c r="A34" s="10" t="s">
        <v>79</v>
      </c>
      <c r="B34" s="9" t="s">
        <v>321</v>
      </c>
      <c r="C34" s="9" t="s">
        <v>322</v>
      </c>
      <c r="D34" s="9" t="s">
        <v>156</v>
      </c>
      <c r="E34" s="9" t="s">
        <v>595</v>
      </c>
      <c r="F34" s="9" t="s">
        <v>14</v>
      </c>
      <c r="G34" s="21" t="s">
        <v>176</v>
      </c>
      <c r="H34" s="21" t="s">
        <v>117</v>
      </c>
      <c r="I34" s="20" t="s">
        <v>132</v>
      </c>
      <c r="J34" s="10"/>
      <c r="K34" s="29" t="str">
        <f>"140,0"</f>
        <v>140,0</v>
      </c>
      <c r="L34" s="10" t="str">
        <f>"86,0580"</f>
        <v>86,0580</v>
      </c>
      <c r="M34" s="9" t="s">
        <v>560</v>
      </c>
    </row>
    <row r="35" spans="1:13">
      <c r="A35" s="25" t="s">
        <v>145</v>
      </c>
      <c r="B35" s="24" t="s">
        <v>323</v>
      </c>
      <c r="C35" s="24" t="s">
        <v>324</v>
      </c>
      <c r="D35" s="24" t="s">
        <v>325</v>
      </c>
      <c r="E35" s="24" t="s">
        <v>595</v>
      </c>
      <c r="F35" s="24" t="s">
        <v>14</v>
      </c>
      <c r="G35" s="26" t="s">
        <v>86</v>
      </c>
      <c r="H35" s="26" t="s">
        <v>89</v>
      </c>
      <c r="I35" s="27" t="s">
        <v>326</v>
      </c>
      <c r="J35" s="25"/>
      <c r="K35" s="32" t="str">
        <f>"82,5"</f>
        <v>82,5</v>
      </c>
      <c r="L35" s="25" t="str">
        <f>"51,2408"</f>
        <v>51,2408</v>
      </c>
      <c r="M35" s="24" t="s">
        <v>560</v>
      </c>
    </row>
    <row r="36" spans="1:13">
      <c r="A36" s="25" t="s">
        <v>79</v>
      </c>
      <c r="B36" s="24" t="s">
        <v>327</v>
      </c>
      <c r="C36" s="24" t="s">
        <v>328</v>
      </c>
      <c r="D36" s="24" t="s">
        <v>329</v>
      </c>
      <c r="E36" s="24" t="s">
        <v>596</v>
      </c>
      <c r="F36" s="24" t="s">
        <v>320</v>
      </c>
      <c r="G36" s="26" t="s">
        <v>330</v>
      </c>
      <c r="H36" s="26" t="s">
        <v>44</v>
      </c>
      <c r="I36" s="27" t="s">
        <v>62</v>
      </c>
      <c r="J36" s="25"/>
      <c r="K36" s="32" t="str">
        <f>"165,0"</f>
        <v>165,0</v>
      </c>
      <c r="L36" s="25" t="str">
        <f>"103,4880"</f>
        <v>103,4880</v>
      </c>
      <c r="M36" s="24"/>
    </row>
    <row r="37" spans="1:13">
      <c r="A37" s="25" t="s">
        <v>145</v>
      </c>
      <c r="B37" s="24" t="s">
        <v>331</v>
      </c>
      <c r="C37" s="24" t="s">
        <v>332</v>
      </c>
      <c r="D37" s="24" t="s">
        <v>333</v>
      </c>
      <c r="E37" s="24" t="s">
        <v>596</v>
      </c>
      <c r="F37" s="24" t="s">
        <v>547</v>
      </c>
      <c r="G37" s="26" t="s">
        <v>117</v>
      </c>
      <c r="H37" s="26" t="s">
        <v>96</v>
      </c>
      <c r="I37" s="26" t="s">
        <v>44</v>
      </c>
      <c r="J37" s="25"/>
      <c r="K37" s="32" t="str">
        <f>"165,0"</f>
        <v>165,0</v>
      </c>
      <c r="L37" s="25" t="str">
        <f>"103,3890"</f>
        <v>103,3890</v>
      </c>
      <c r="M37" s="24"/>
    </row>
    <row r="38" spans="1:13">
      <c r="A38" s="25" t="s">
        <v>266</v>
      </c>
      <c r="B38" s="24" t="s">
        <v>334</v>
      </c>
      <c r="C38" s="24" t="s">
        <v>335</v>
      </c>
      <c r="D38" s="24" t="s">
        <v>156</v>
      </c>
      <c r="E38" s="24" t="s">
        <v>596</v>
      </c>
      <c r="F38" s="24" t="s">
        <v>14</v>
      </c>
      <c r="G38" s="26" t="s">
        <v>96</v>
      </c>
      <c r="H38" s="27" t="s">
        <v>330</v>
      </c>
      <c r="I38" s="27" t="s">
        <v>336</v>
      </c>
      <c r="J38" s="25"/>
      <c r="K38" s="32" t="str">
        <f>"150,0"</f>
        <v>150,0</v>
      </c>
      <c r="L38" s="25" t="str">
        <f>"92,2050"</f>
        <v>92,2050</v>
      </c>
      <c r="M38" s="24" t="s">
        <v>564</v>
      </c>
    </row>
    <row r="39" spans="1:13">
      <c r="A39" s="25" t="s">
        <v>267</v>
      </c>
      <c r="B39" s="24" t="s">
        <v>337</v>
      </c>
      <c r="C39" s="24" t="s">
        <v>338</v>
      </c>
      <c r="D39" s="24" t="s">
        <v>339</v>
      </c>
      <c r="E39" s="24" t="s">
        <v>596</v>
      </c>
      <c r="F39" s="24" t="s">
        <v>14</v>
      </c>
      <c r="G39" s="26" t="s">
        <v>31</v>
      </c>
      <c r="H39" s="26" t="s">
        <v>298</v>
      </c>
      <c r="I39" s="27" t="s">
        <v>46</v>
      </c>
      <c r="J39" s="25"/>
      <c r="K39" s="32" t="str">
        <f>"122,5"</f>
        <v>122,5</v>
      </c>
      <c r="L39" s="25" t="str">
        <f>"76,8810"</f>
        <v>76,8810</v>
      </c>
      <c r="M39" s="24" t="s">
        <v>554</v>
      </c>
    </row>
    <row r="40" spans="1:13">
      <c r="A40" s="12" t="s">
        <v>79</v>
      </c>
      <c r="B40" s="11" t="s">
        <v>340</v>
      </c>
      <c r="C40" s="11" t="s">
        <v>527</v>
      </c>
      <c r="D40" s="11" t="s">
        <v>341</v>
      </c>
      <c r="E40" s="11" t="s">
        <v>599</v>
      </c>
      <c r="F40" s="11" t="s">
        <v>320</v>
      </c>
      <c r="G40" s="23" t="s">
        <v>342</v>
      </c>
      <c r="H40" s="23" t="s">
        <v>45</v>
      </c>
      <c r="I40" s="22" t="s">
        <v>63</v>
      </c>
      <c r="J40" s="12"/>
      <c r="K40" s="30" t="str">
        <f>"175,0"</f>
        <v>175,0</v>
      </c>
      <c r="L40" s="12" t="str">
        <f>"112,5980"</f>
        <v>112,5980</v>
      </c>
      <c r="M40" s="11" t="s">
        <v>558</v>
      </c>
    </row>
    <row r="41" spans="1:13">
      <c r="B41" s="5" t="s">
        <v>80</v>
      </c>
    </row>
    <row r="42" spans="1:13" ht="16">
      <c r="A42" s="52" t="s">
        <v>54</v>
      </c>
      <c r="B42" s="52"/>
      <c r="C42" s="52"/>
      <c r="D42" s="52"/>
      <c r="E42" s="52"/>
      <c r="F42" s="52"/>
      <c r="G42" s="52"/>
      <c r="H42" s="52"/>
      <c r="I42" s="52"/>
      <c r="J42" s="52"/>
    </row>
    <row r="43" spans="1:13">
      <c r="A43" s="10" t="s">
        <v>79</v>
      </c>
      <c r="B43" s="9" t="s">
        <v>343</v>
      </c>
      <c r="C43" s="9" t="s">
        <v>344</v>
      </c>
      <c r="D43" s="9" t="s">
        <v>345</v>
      </c>
      <c r="E43" s="9" t="s">
        <v>596</v>
      </c>
      <c r="F43" s="9" t="s">
        <v>568</v>
      </c>
      <c r="G43" s="21" t="s">
        <v>170</v>
      </c>
      <c r="H43" s="21" t="s">
        <v>254</v>
      </c>
      <c r="I43" s="20" t="s">
        <v>346</v>
      </c>
      <c r="J43" s="10"/>
      <c r="K43" s="29" t="str">
        <f>"202,5"</f>
        <v>202,5</v>
      </c>
      <c r="L43" s="10" t="str">
        <f>"120,4470"</f>
        <v>120,4470</v>
      </c>
      <c r="M43" s="9"/>
    </row>
    <row r="44" spans="1:13">
      <c r="A44" s="12" t="s">
        <v>145</v>
      </c>
      <c r="B44" s="11" t="s">
        <v>347</v>
      </c>
      <c r="C44" s="11" t="s">
        <v>348</v>
      </c>
      <c r="D44" s="11" t="s">
        <v>349</v>
      </c>
      <c r="E44" s="11" t="s">
        <v>596</v>
      </c>
      <c r="F44" s="11" t="s">
        <v>569</v>
      </c>
      <c r="G44" s="23" t="s">
        <v>109</v>
      </c>
      <c r="H44" s="22" t="s">
        <v>342</v>
      </c>
      <c r="I44" s="23" t="s">
        <v>342</v>
      </c>
      <c r="J44" s="12"/>
      <c r="K44" s="30" t="str">
        <f>"167,5"</f>
        <v>167,5</v>
      </c>
      <c r="L44" s="12" t="str">
        <f>"100,6843"</f>
        <v>100,6843</v>
      </c>
      <c r="M44" s="11" t="s">
        <v>357</v>
      </c>
    </row>
    <row r="45" spans="1:13">
      <c r="B45" s="5" t="s">
        <v>80</v>
      </c>
    </row>
    <row r="46" spans="1:13" ht="16">
      <c r="A46" s="52" t="s">
        <v>246</v>
      </c>
      <c r="B46" s="52"/>
      <c r="C46" s="52"/>
      <c r="D46" s="52"/>
      <c r="E46" s="52"/>
      <c r="F46" s="52"/>
      <c r="G46" s="52"/>
      <c r="H46" s="52"/>
      <c r="I46" s="52"/>
      <c r="J46" s="52"/>
    </row>
    <row r="47" spans="1:13">
      <c r="A47" s="10" t="s">
        <v>79</v>
      </c>
      <c r="B47" s="9" t="s">
        <v>350</v>
      </c>
      <c r="C47" s="9" t="s">
        <v>351</v>
      </c>
      <c r="D47" s="9" t="s">
        <v>352</v>
      </c>
      <c r="E47" s="9" t="s">
        <v>596</v>
      </c>
      <c r="F47" s="9" t="s">
        <v>320</v>
      </c>
      <c r="G47" s="21" t="s">
        <v>63</v>
      </c>
      <c r="H47" s="21" t="s">
        <v>170</v>
      </c>
      <c r="I47" s="21" t="s">
        <v>254</v>
      </c>
      <c r="J47" s="10"/>
      <c r="K47" s="29" t="str">
        <f>"202,5"</f>
        <v>202,5</v>
      </c>
      <c r="L47" s="10" t="str">
        <f>"117,2475"</f>
        <v>117,2475</v>
      </c>
      <c r="M47" s="9"/>
    </row>
    <row r="48" spans="1:13">
      <c r="A48" s="25" t="s">
        <v>145</v>
      </c>
      <c r="B48" s="24" t="s">
        <v>353</v>
      </c>
      <c r="C48" s="24" t="s">
        <v>354</v>
      </c>
      <c r="D48" s="24" t="s">
        <v>355</v>
      </c>
      <c r="E48" s="24" t="s">
        <v>596</v>
      </c>
      <c r="F48" s="24" t="s">
        <v>570</v>
      </c>
      <c r="G48" s="26" t="s">
        <v>44</v>
      </c>
      <c r="H48" s="27" t="s">
        <v>356</v>
      </c>
      <c r="I48" s="27" t="s">
        <v>356</v>
      </c>
      <c r="J48" s="25"/>
      <c r="K48" s="32" t="str">
        <f>"165,0"</f>
        <v>165,0</v>
      </c>
      <c r="L48" s="25" t="str">
        <f>"94,1160"</f>
        <v>94,1160</v>
      </c>
      <c r="M48" s="24" t="s">
        <v>357</v>
      </c>
    </row>
    <row r="49" spans="1:13">
      <c r="A49" s="12" t="s">
        <v>266</v>
      </c>
      <c r="B49" s="11" t="s">
        <v>358</v>
      </c>
      <c r="C49" s="11" t="s">
        <v>359</v>
      </c>
      <c r="D49" s="11" t="s">
        <v>360</v>
      </c>
      <c r="E49" s="11" t="s">
        <v>596</v>
      </c>
      <c r="F49" s="11" t="s">
        <v>14</v>
      </c>
      <c r="G49" s="23" t="s">
        <v>330</v>
      </c>
      <c r="H49" s="22" t="s">
        <v>336</v>
      </c>
      <c r="I49" s="12"/>
      <c r="J49" s="12"/>
      <c r="K49" s="30" t="str">
        <f>"157,5"</f>
        <v>157,5</v>
      </c>
      <c r="L49" s="12" t="str">
        <f>"90,5152"</f>
        <v>90,5152</v>
      </c>
      <c r="M49" s="11" t="s">
        <v>560</v>
      </c>
    </row>
    <row r="50" spans="1:13">
      <c r="B50" s="5" t="s">
        <v>80</v>
      </c>
    </row>
    <row r="51" spans="1:13" ht="16">
      <c r="A51" s="52" t="s">
        <v>361</v>
      </c>
      <c r="B51" s="52"/>
      <c r="C51" s="52"/>
      <c r="D51" s="52"/>
      <c r="E51" s="52"/>
      <c r="F51" s="52"/>
      <c r="G51" s="52"/>
      <c r="H51" s="52"/>
      <c r="I51" s="52"/>
      <c r="J51" s="52"/>
    </row>
    <row r="52" spans="1:13">
      <c r="A52" s="8" t="s">
        <v>79</v>
      </c>
      <c r="B52" s="7" t="s">
        <v>362</v>
      </c>
      <c r="C52" s="7" t="s">
        <v>363</v>
      </c>
      <c r="D52" s="7" t="s">
        <v>364</v>
      </c>
      <c r="E52" s="7" t="s">
        <v>596</v>
      </c>
      <c r="F52" s="7" t="s">
        <v>320</v>
      </c>
      <c r="G52" s="18" t="s">
        <v>45</v>
      </c>
      <c r="H52" s="19" t="s">
        <v>365</v>
      </c>
      <c r="I52" s="8"/>
      <c r="J52" s="8"/>
      <c r="K52" s="31" t="str">
        <f>"175,0"</f>
        <v>175,0</v>
      </c>
      <c r="L52" s="8" t="str">
        <f>"97,5625"</f>
        <v>97,5625</v>
      </c>
      <c r="M52" s="7"/>
    </row>
    <row r="53" spans="1:13">
      <c r="B53" s="5" t="s">
        <v>80</v>
      </c>
    </row>
    <row r="54" spans="1:13">
      <c r="B54" s="5" t="s">
        <v>80</v>
      </c>
    </row>
    <row r="55" spans="1:13">
      <c r="B55" s="5" t="s">
        <v>80</v>
      </c>
    </row>
    <row r="56" spans="1:13" ht="18">
      <c r="B56" s="13" t="s">
        <v>68</v>
      </c>
      <c r="C56" s="13"/>
      <c r="F56" s="3"/>
    </row>
    <row r="57" spans="1:13" ht="16">
      <c r="B57" s="14" t="s">
        <v>69</v>
      </c>
      <c r="C57" s="14"/>
      <c r="F57" s="3"/>
    </row>
    <row r="58" spans="1:13" ht="14">
      <c r="B58" s="15"/>
      <c r="C58" s="16" t="s">
        <v>76</v>
      </c>
      <c r="F58" s="3"/>
    </row>
    <row r="59" spans="1:13" ht="14">
      <c r="B59" s="17" t="s">
        <v>70</v>
      </c>
      <c r="C59" s="17" t="s">
        <v>71</v>
      </c>
      <c r="D59" s="17" t="s">
        <v>555</v>
      </c>
      <c r="E59" s="17" t="s">
        <v>260</v>
      </c>
      <c r="F59" s="17" t="s">
        <v>73</v>
      </c>
    </row>
    <row r="60" spans="1:13">
      <c r="B60" s="5" t="s">
        <v>343</v>
      </c>
      <c r="C60" s="5" t="s">
        <v>76</v>
      </c>
      <c r="D60" s="6" t="s">
        <v>77</v>
      </c>
      <c r="E60" s="6" t="s">
        <v>254</v>
      </c>
      <c r="F60" s="6" t="s">
        <v>367</v>
      </c>
    </row>
    <row r="61" spans="1:13">
      <c r="B61" s="5" t="s">
        <v>350</v>
      </c>
      <c r="C61" s="5" t="s">
        <v>76</v>
      </c>
      <c r="D61" s="6" t="s">
        <v>368</v>
      </c>
      <c r="E61" s="6" t="s">
        <v>254</v>
      </c>
      <c r="F61" s="6" t="s">
        <v>369</v>
      </c>
    </row>
    <row r="62" spans="1:13">
      <c r="B62" s="5" t="s">
        <v>288</v>
      </c>
      <c r="C62" s="5" t="s">
        <v>76</v>
      </c>
      <c r="D62" s="6" t="s">
        <v>366</v>
      </c>
      <c r="E62" s="6" t="s">
        <v>117</v>
      </c>
      <c r="F62" s="6" t="s">
        <v>370</v>
      </c>
    </row>
  </sheetData>
  <mergeCells count="21">
    <mergeCell ref="A42:J42"/>
    <mergeCell ref="A46:J46"/>
    <mergeCell ref="A51:J51"/>
    <mergeCell ref="B3:B4"/>
    <mergeCell ref="A9:J9"/>
    <mergeCell ref="A12:J12"/>
    <mergeCell ref="A15:J15"/>
    <mergeCell ref="A24:J24"/>
    <mergeCell ref="A30:J30"/>
    <mergeCell ref="A33:J33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однопетельная ДК</vt:lpstr>
      <vt:lpstr>IPL Тяга без экипировки ДК</vt:lpstr>
      <vt:lpstr>IPL Тяга без экипировки</vt:lpstr>
      <vt:lpstr>IPL Тяга многослой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2020-12-13T13:22:32Z</dcterms:modified>
</cp:coreProperties>
</file>