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5/Февраль/"/>
    </mc:Choice>
  </mc:AlternateContent>
  <xr:revisionPtr revIDLastSave="0" documentId="13_ncr:1_{A337B6AF-2AE4-7241-9398-F8ADA5D24FC7}" xr6:coauthVersionLast="45" xr6:coauthVersionMax="45" xr10:uidLastSave="{00000000-0000-0000-0000-000000000000}"/>
  <bookViews>
    <workbookView xWindow="940" yWindow="620" windowWidth="27860" windowHeight="15160" activeTab="3" xr2:uid="{00000000-000D-0000-FFFF-FFFF00000000}"/>
  </bookViews>
  <sheets>
    <sheet name="WRPF ПЛ без экипировки" sheetId="5" r:id="rId1"/>
    <sheet name="WRPF Жим лежа без экип" sheetId="6" r:id="rId2"/>
    <sheet name="WRPF Тяга без экипировки" sheetId="7" r:id="rId3"/>
    <sheet name="WRPF Строгий подъём на бицепс" sheetId="9" r:id="rId4"/>
  </sheets>
  <definedNames>
    <definedName name="_FilterDatabase" localSheetId="0" hidden="1">'WRPF ПЛ без экипировки'!$A$1:$S$3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" i="9" l="1"/>
  <c r="L6" i="9"/>
  <c r="L9" i="9"/>
  <c r="K12" i="9"/>
  <c r="L12" i="9"/>
  <c r="K15" i="9"/>
  <c r="L15" i="9"/>
  <c r="K16" i="9"/>
  <c r="L16" i="9"/>
  <c r="K19" i="9"/>
  <c r="L19" i="9"/>
  <c r="K20" i="9"/>
  <c r="L20" i="9"/>
  <c r="K23" i="9"/>
  <c r="L23" i="9"/>
  <c r="K24" i="9"/>
  <c r="L24" i="9"/>
  <c r="K25" i="9"/>
  <c r="L25" i="9"/>
  <c r="K28" i="9"/>
  <c r="L28" i="9"/>
  <c r="K29" i="9"/>
  <c r="L29" i="9"/>
  <c r="K30" i="9"/>
  <c r="L30" i="9"/>
  <c r="L31" i="9"/>
  <c r="K32" i="9"/>
  <c r="L32" i="9"/>
  <c r="K35" i="9"/>
  <c r="L35" i="9"/>
  <c r="K36" i="9"/>
  <c r="L36" i="9"/>
  <c r="L37" i="9"/>
  <c r="K38" i="9"/>
  <c r="L38" i="9"/>
  <c r="K39" i="9"/>
  <c r="L39" i="9"/>
  <c r="K42" i="9"/>
  <c r="L42" i="9"/>
  <c r="K45" i="9"/>
  <c r="L45" i="9"/>
  <c r="K48" i="9"/>
  <c r="L48" i="9"/>
  <c r="K51" i="9"/>
  <c r="L51" i="9"/>
  <c r="K52" i="9"/>
  <c r="L52" i="9"/>
  <c r="L46" i="7" l="1"/>
  <c r="K46" i="7"/>
  <c r="L43" i="7"/>
  <c r="K43" i="7"/>
  <c r="L40" i="7"/>
  <c r="K40" i="7"/>
  <c r="L37" i="7"/>
  <c r="K37" i="7"/>
  <c r="L36" i="7"/>
  <c r="K36" i="7"/>
  <c r="L35" i="7"/>
  <c r="K35" i="7"/>
  <c r="L34" i="7"/>
  <c r="K34" i="7"/>
  <c r="L33" i="7"/>
  <c r="K33" i="7"/>
  <c r="L30" i="7"/>
  <c r="K30" i="7"/>
  <c r="L29" i="7"/>
  <c r="K29" i="7"/>
  <c r="L28" i="7"/>
  <c r="K28" i="7"/>
  <c r="L25" i="7"/>
  <c r="K25" i="7"/>
  <c r="L24" i="7"/>
  <c r="K24" i="7"/>
  <c r="L21" i="7"/>
  <c r="K21" i="7"/>
  <c r="L20" i="7"/>
  <c r="K20" i="7"/>
  <c r="L17" i="7"/>
  <c r="K17" i="7"/>
  <c r="L14" i="7"/>
  <c r="K14" i="7"/>
  <c r="L13" i="7"/>
  <c r="K13" i="7"/>
  <c r="L10" i="7"/>
  <c r="K10" i="7"/>
  <c r="L7" i="7"/>
  <c r="K7" i="7"/>
  <c r="L6" i="7"/>
  <c r="K6" i="7"/>
  <c r="L71" i="6"/>
  <c r="K71" i="6"/>
  <c r="L70" i="6"/>
  <c r="K70" i="6"/>
  <c r="L69" i="6"/>
  <c r="K69" i="6"/>
  <c r="L66" i="6"/>
  <c r="K66" i="6"/>
  <c r="L65" i="6"/>
  <c r="K65" i="6"/>
  <c r="L64" i="6"/>
  <c r="K64" i="6"/>
  <c r="L61" i="6"/>
  <c r="K61" i="6"/>
  <c r="L60" i="6"/>
  <c r="K60" i="6"/>
  <c r="L59" i="6"/>
  <c r="K59" i="6"/>
  <c r="L56" i="6"/>
  <c r="K56" i="6"/>
  <c r="L55" i="6"/>
  <c r="K55" i="6"/>
  <c r="L54" i="6"/>
  <c r="K54" i="6"/>
  <c r="L53" i="6"/>
  <c r="K53" i="6"/>
  <c r="L52" i="6"/>
  <c r="K52" i="6"/>
  <c r="L51" i="6"/>
  <c r="K51" i="6"/>
  <c r="L48" i="6"/>
  <c r="K48" i="6"/>
  <c r="L47" i="6"/>
  <c r="K47" i="6"/>
  <c r="L46" i="6"/>
  <c r="K46" i="6"/>
  <c r="L43" i="6"/>
  <c r="K43" i="6"/>
  <c r="L42" i="6"/>
  <c r="K42" i="6"/>
  <c r="L41" i="6"/>
  <c r="K41" i="6"/>
  <c r="L38" i="6"/>
  <c r="K38" i="6"/>
  <c r="L37" i="6"/>
  <c r="K37" i="6"/>
  <c r="L36" i="6"/>
  <c r="K36" i="6"/>
  <c r="L33" i="6"/>
  <c r="K33" i="6"/>
  <c r="L32" i="6"/>
  <c r="K32" i="6"/>
  <c r="L31" i="6"/>
  <c r="K31" i="6"/>
  <c r="L28" i="6"/>
  <c r="K28" i="6"/>
  <c r="L27" i="6"/>
  <c r="K27" i="6"/>
  <c r="L26" i="6"/>
  <c r="K26" i="6"/>
  <c r="L23" i="6"/>
  <c r="K23" i="6"/>
  <c r="L20" i="6"/>
  <c r="K20" i="6"/>
  <c r="L19" i="6"/>
  <c r="K19" i="6"/>
  <c r="L16" i="6"/>
  <c r="L15" i="6"/>
  <c r="K15" i="6"/>
  <c r="L12" i="6"/>
  <c r="K12" i="6"/>
  <c r="L11" i="6"/>
  <c r="K11" i="6"/>
  <c r="L10" i="6"/>
  <c r="K10" i="6"/>
  <c r="L7" i="6"/>
  <c r="K7" i="6"/>
  <c r="L6" i="6"/>
  <c r="K6" i="6"/>
  <c r="T65" i="5"/>
  <c r="S65" i="5"/>
  <c r="T64" i="5"/>
  <c r="S64" i="5"/>
  <c r="T61" i="5"/>
  <c r="S61" i="5"/>
  <c r="T60" i="5"/>
  <c r="S60" i="5"/>
  <c r="T57" i="5"/>
  <c r="S57" i="5"/>
  <c r="T54" i="5"/>
  <c r="S54" i="5"/>
  <c r="T51" i="5"/>
  <c r="S51" i="5"/>
  <c r="T50" i="5"/>
  <c r="S50" i="5"/>
  <c r="T47" i="5"/>
  <c r="S47" i="5"/>
  <c r="T46" i="5"/>
  <c r="S46" i="5"/>
  <c r="T43" i="5"/>
  <c r="S43" i="5"/>
  <c r="T42" i="5"/>
  <c r="S42" i="5"/>
  <c r="T41" i="5"/>
  <c r="S41" i="5"/>
  <c r="T40" i="5"/>
  <c r="S40" i="5"/>
  <c r="T39" i="5"/>
  <c r="S39" i="5"/>
  <c r="T38" i="5"/>
  <c r="S38" i="5"/>
  <c r="T37" i="5"/>
  <c r="S37" i="5"/>
  <c r="T36" i="5"/>
  <c r="S36" i="5"/>
  <c r="T33" i="5"/>
  <c r="S33" i="5"/>
  <c r="T32" i="5"/>
  <c r="S32" i="5"/>
  <c r="T29" i="5"/>
  <c r="S29" i="5"/>
  <c r="T26" i="5"/>
  <c r="S26" i="5"/>
  <c r="T23" i="5"/>
  <c r="S23" i="5"/>
  <c r="T20" i="5"/>
  <c r="S20" i="5"/>
  <c r="T19" i="5"/>
  <c r="S19" i="5"/>
  <c r="T16" i="5"/>
  <c r="S16" i="5"/>
  <c r="T13" i="5"/>
  <c r="S13" i="5"/>
  <c r="T10" i="5"/>
  <c r="S10" i="5"/>
  <c r="T9" i="5"/>
  <c r="S9" i="5"/>
  <c r="T6" i="5"/>
  <c r="S6" i="5"/>
</calcChain>
</file>

<file path=xl/sharedStrings.xml><?xml version="1.0" encoding="utf-8"?>
<sst xmlns="http://schemas.openxmlformats.org/spreadsheetml/2006/main" count="1620" uniqueCount="482">
  <si>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</si>
  <si>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</si>
  <si>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</si>
  <si>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</si>
  <si>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</si>
  <si>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</si>
  <si>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</si>
  <si>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</si>
  <si>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</si>
  <si>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</si>
  <si>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48</t>
  </si>
  <si>
    <t xml:space="preserve">Косяк Екатерина </t>
  </si>
  <si>
    <t>Открытая (07.02.2006)/19</t>
  </si>
  <si>
    <t>45,20</t>
  </si>
  <si>
    <t>80,0</t>
  </si>
  <si>
    <t>90,0</t>
  </si>
  <si>
    <t>95,0</t>
  </si>
  <si>
    <t>42,5</t>
  </si>
  <si>
    <t>47,5</t>
  </si>
  <si>
    <t>50,0</t>
  </si>
  <si>
    <t>105,0</t>
  </si>
  <si>
    <t>110,0</t>
  </si>
  <si>
    <t>ВЕСОВАЯ КАТЕГОРИЯ   52</t>
  </si>
  <si>
    <t xml:space="preserve">Зайникаева Ксения </t>
  </si>
  <si>
    <t>Юниорки (06.02.2004)/21</t>
  </si>
  <si>
    <t>52,00</t>
  </si>
  <si>
    <t>100,0</t>
  </si>
  <si>
    <t>102,5</t>
  </si>
  <si>
    <t>52,5</t>
  </si>
  <si>
    <t>115,0</t>
  </si>
  <si>
    <t>Открытая (06.02.2004)/21</t>
  </si>
  <si>
    <t>ВЕСОВАЯ КАТЕГОРИЯ   60</t>
  </si>
  <si>
    <t>Юниорки (22.01.2003)/22</t>
  </si>
  <si>
    <t>59,20</t>
  </si>
  <si>
    <t>60,0</t>
  </si>
  <si>
    <t>ВЕСОВАЯ КАТЕГОРИЯ   67.5</t>
  </si>
  <si>
    <t>63,60</t>
  </si>
  <si>
    <t>65,0</t>
  </si>
  <si>
    <t>70,0</t>
  </si>
  <si>
    <t>75,0</t>
  </si>
  <si>
    <t>37,5</t>
  </si>
  <si>
    <t>40,0</t>
  </si>
  <si>
    <t>85,0</t>
  </si>
  <si>
    <t>ВЕСОВАЯ КАТЕГОРИЯ   82.5</t>
  </si>
  <si>
    <t xml:space="preserve">Берх Татьяна </t>
  </si>
  <si>
    <t>Открытая (09.10.1983)/41</t>
  </si>
  <si>
    <t>78,80</t>
  </si>
  <si>
    <t>45,0</t>
  </si>
  <si>
    <t>107,5</t>
  </si>
  <si>
    <t>Открытая (02.11.1987)/37</t>
  </si>
  <si>
    <t>78,70</t>
  </si>
  <si>
    <t>ВЕСОВАЯ КАТЕГОРИЯ   90+</t>
  </si>
  <si>
    <t>Открытая (05.12.2009)/15</t>
  </si>
  <si>
    <t>109,90</t>
  </si>
  <si>
    <t>55,0</t>
  </si>
  <si>
    <t>57,5</t>
  </si>
  <si>
    <t>120,0</t>
  </si>
  <si>
    <t>125,0</t>
  </si>
  <si>
    <t>Юноши 17-19 (11.12.2011)/13</t>
  </si>
  <si>
    <t>46,00</t>
  </si>
  <si>
    <t>82,5</t>
  </si>
  <si>
    <t>ВЕСОВАЯ КАТЕГОРИЯ   56</t>
  </si>
  <si>
    <t xml:space="preserve">Мальцев Семен </t>
  </si>
  <si>
    <t>Юноши 17-19 (24.12.2008)/16</t>
  </si>
  <si>
    <t>53,80</t>
  </si>
  <si>
    <t>140,0</t>
  </si>
  <si>
    <t>145,0</t>
  </si>
  <si>
    <t>150,0</t>
  </si>
  <si>
    <t>Юноши 17-19 (09.03.2010)/14</t>
  </si>
  <si>
    <t>58,60</t>
  </si>
  <si>
    <t>Юноши 17-19 (08.02.2011)/14</t>
  </si>
  <si>
    <t>58,10</t>
  </si>
  <si>
    <t>112,5</t>
  </si>
  <si>
    <t>60,50</t>
  </si>
  <si>
    <t>135,0</t>
  </si>
  <si>
    <t>142,5</t>
  </si>
  <si>
    <t>63,30</t>
  </si>
  <si>
    <t>155,0</t>
  </si>
  <si>
    <t>63,90</t>
  </si>
  <si>
    <t>64,20</t>
  </si>
  <si>
    <t>117,5</t>
  </si>
  <si>
    <t>122,5</t>
  </si>
  <si>
    <t xml:space="preserve">Гайфулин Давлет </t>
  </si>
  <si>
    <t>Юниоры (03.04.2004)/20</t>
  </si>
  <si>
    <t>63,70</t>
  </si>
  <si>
    <t>130,0</t>
  </si>
  <si>
    <t>160,0</t>
  </si>
  <si>
    <t>Юниоры (07.06.2005)/19</t>
  </si>
  <si>
    <t>67,50</t>
  </si>
  <si>
    <t>162,5</t>
  </si>
  <si>
    <t xml:space="preserve">Прокопец Арсений </t>
  </si>
  <si>
    <t>Юниоры (02.07.2003)/21</t>
  </si>
  <si>
    <t>65,90</t>
  </si>
  <si>
    <t>172,5</t>
  </si>
  <si>
    <t>180,0</t>
  </si>
  <si>
    <t>Юниоры (21.08.2004)/20</t>
  </si>
  <si>
    <t>170,0</t>
  </si>
  <si>
    <t>ВЕСОВАЯ КАТЕГОРИЯ   75</t>
  </si>
  <si>
    <t>71,80</t>
  </si>
  <si>
    <t>72,5</t>
  </si>
  <si>
    <t xml:space="preserve">Герасименко Николай </t>
  </si>
  <si>
    <t>Юниоры (20.05.2004)/20</t>
  </si>
  <si>
    <t>74,80</t>
  </si>
  <si>
    <t>87,5o</t>
  </si>
  <si>
    <t>200,0</t>
  </si>
  <si>
    <t>80,70</t>
  </si>
  <si>
    <t>92,5</t>
  </si>
  <si>
    <t>97,5</t>
  </si>
  <si>
    <t>Юниоры (18.11.2004)/20</t>
  </si>
  <si>
    <t>82,40</t>
  </si>
  <si>
    <t>ВЕСОВАЯ КАТЕГОРИЯ   90</t>
  </si>
  <si>
    <t xml:space="preserve">Гусилетов Андрей </t>
  </si>
  <si>
    <t>Открытая (28.10.1999)/25</t>
  </si>
  <si>
    <t>89,30</t>
  </si>
  <si>
    <t>260,0</t>
  </si>
  <si>
    <t>270,0</t>
  </si>
  <si>
    <t>275,0</t>
  </si>
  <si>
    <t>280,0</t>
  </si>
  <si>
    <t>ВЕСОВАЯ КАТЕГОРИЯ   100</t>
  </si>
  <si>
    <t xml:space="preserve">Городницкий Леонид </t>
  </si>
  <si>
    <t>94,40</t>
  </si>
  <si>
    <t>192,5</t>
  </si>
  <si>
    <t>205,0</t>
  </si>
  <si>
    <t>215,0</t>
  </si>
  <si>
    <t>225,0</t>
  </si>
  <si>
    <t>230,0</t>
  </si>
  <si>
    <t>ВЕСОВАЯ КАТЕГОРИЯ   110</t>
  </si>
  <si>
    <t xml:space="preserve">Суриков Владислав </t>
  </si>
  <si>
    <t>105,00</t>
  </si>
  <si>
    <t>190,0</t>
  </si>
  <si>
    <t>210,0</t>
  </si>
  <si>
    <t>106,40</t>
  </si>
  <si>
    <t>185,0</t>
  </si>
  <si>
    <t>87,5</t>
  </si>
  <si>
    <t>212,5</t>
  </si>
  <si>
    <t>ВЕСОВАЯ КАТЕГОРИЯ   125</t>
  </si>
  <si>
    <t xml:space="preserve">Пахомов Павел </t>
  </si>
  <si>
    <t>Открытая (02.04.1986)/38</t>
  </si>
  <si>
    <t>123,40</t>
  </si>
  <si>
    <t>220,0</t>
  </si>
  <si>
    <t>240,0</t>
  </si>
  <si>
    <t>255,0</t>
  </si>
  <si>
    <t xml:space="preserve">Жолобов Сергей </t>
  </si>
  <si>
    <t>Открытая (18.09.1993)/31</t>
  </si>
  <si>
    <t>122,10</t>
  </si>
  <si>
    <t>165,0</t>
  </si>
  <si>
    <t xml:space="preserve">Абсолютный зачёт </t>
  </si>
  <si>
    <t xml:space="preserve">Женщины </t>
  </si>
  <si>
    <t xml:space="preserve">ФИО </t>
  </si>
  <si>
    <t xml:space="preserve">Возрастная группа </t>
  </si>
  <si>
    <t xml:space="preserve">Сумма </t>
  </si>
  <si>
    <t xml:space="preserve">Wilks </t>
  </si>
  <si>
    <t>67.5</t>
  </si>
  <si>
    <t xml:space="preserve">Юниоры </t>
  </si>
  <si>
    <t>52</t>
  </si>
  <si>
    <t>60</t>
  </si>
  <si>
    <t xml:space="preserve">Открытая </t>
  </si>
  <si>
    <t>48</t>
  </si>
  <si>
    <t>82.5</t>
  </si>
  <si>
    <t xml:space="preserve">Мужчины </t>
  </si>
  <si>
    <t xml:space="preserve">Юноши </t>
  </si>
  <si>
    <t>100</t>
  </si>
  <si>
    <t>56</t>
  </si>
  <si>
    <t>110</t>
  </si>
  <si>
    <t>75</t>
  </si>
  <si>
    <t>90</t>
  </si>
  <si>
    <t>125</t>
  </si>
  <si>
    <t>1</t>
  </si>
  <si>
    <t>Косяк Екатерина</t>
  </si>
  <si>
    <t>Зайникаева Ксения</t>
  </si>
  <si>
    <t>Вегеря Алина</t>
  </si>
  <si>
    <t>Ананчук Александра</t>
  </si>
  <si>
    <t>Берх Татьяна</t>
  </si>
  <si>
    <t>-</t>
  </si>
  <si>
    <t>Кузнецова Нина</t>
  </si>
  <si>
    <t>Шибких Светлана</t>
  </si>
  <si>
    <t>Афонькин Виталий</t>
  </si>
  <si>
    <t>Мальцев Семен</t>
  </si>
  <si>
    <t>Гуслин Михаил</t>
  </si>
  <si>
    <t>2</t>
  </si>
  <si>
    <t>Шестунов Сергей</t>
  </si>
  <si>
    <t>Бусыгин Кирилл</t>
  </si>
  <si>
    <t>Богер Егор</t>
  </si>
  <si>
    <t>3</t>
  </si>
  <si>
    <t>Каледин Максим</t>
  </si>
  <si>
    <t>4</t>
  </si>
  <si>
    <t>Макеров Арсений</t>
  </si>
  <si>
    <t>Гайфулин Давлет</t>
  </si>
  <si>
    <t>Захаров Тимур</t>
  </si>
  <si>
    <t>Прокопец Арсений</t>
  </si>
  <si>
    <t>Рыбин Кирилл</t>
  </si>
  <si>
    <t>Тимохин Андрей</t>
  </si>
  <si>
    <t>Герасименко Николай</t>
  </si>
  <si>
    <t>Федоров Евгений</t>
  </si>
  <si>
    <t>Карпов Дмитрий</t>
  </si>
  <si>
    <t>Гусилетов Андрей</t>
  </si>
  <si>
    <t>Городницкий Леонид</t>
  </si>
  <si>
    <t>Суриков Владислав</t>
  </si>
  <si>
    <t>Харченко Иван</t>
  </si>
  <si>
    <t>Пахомов Павел</t>
  </si>
  <si>
    <t>Жолобов Сергей</t>
  </si>
  <si>
    <t>Юниорки (22.09.2004)/20</t>
  </si>
  <si>
    <t>53,50</t>
  </si>
  <si>
    <t>67,5</t>
  </si>
  <si>
    <t xml:space="preserve">Мусихина Екатерина </t>
  </si>
  <si>
    <t>Открытая (11.10.2000)/24</t>
  </si>
  <si>
    <t>55,30</t>
  </si>
  <si>
    <t>Открытая (23.02.1999)/26</t>
  </si>
  <si>
    <t>52,90</t>
  </si>
  <si>
    <t>60,00</t>
  </si>
  <si>
    <t>Открытая (08.09.1998)/26</t>
  </si>
  <si>
    <t>Открытая (22.11.1998)/26</t>
  </si>
  <si>
    <t>62,00</t>
  </si>
  <si>
    <t>Открытая (16.07.1996)/28</t>
  </si>
  <si>
    <t>66,50</t>
  </si>
  <si>
    <t>Открытая (09.08.1994)/30</t>
  </si>
  <si>
    <t>79,50</t>
  </si>
  <si>
    <t>47,5o</t>
  </si>
  <si>
    <t xml:space="preserve">Массольд Оксана </t>
  </si>
  <si>
    <t>Открытая (27.06.1982)/42</t>
  </si>
  <si>
    <t>85,50</t>
  </si>
  <si>
    <t>Открытая (11.06.1972)/52</t>
  </si>
  <si>
    <t>89,50</t>
  </si>
  <si>
    <t>Открытая (08.07.2005)/19</t>
  </si>
  <si>
    <t>87,00</t>
  </si>
  <si>
    <t xml:space="preserve">Курышин Платон </t>
  </si>
  <si>
    <t>54,50</t>
  </si>
  <si>
    <t>52,30</t>
  </si>
  <si>
    <t>58,50</t>
  </si>
  <si>
    <t>62,5</t>
  </si>
  <si>
    <t>59,70</t>
  </si>
  <si>
    <t>30,0</t>
  </si>
  <si>
    <t>32,5</t>
  </si>
  <si>
    <t>35,0</t>
  </si>
  <si>
    <t xml:space="preserve">Колесник Михаил </t>
  </si>
  <si>
    <t>61,00</t>
  </si>
  <si>
    <t>Открытая (18.06.1998)/26</t>
  </si>
  <si>
    <t>66,90</t>
  </si>
  <si>
    <t>73,70</t>
  </si>
  <si>
    <t>72,80</t>
  </si>
  <si>
    <t>Открытая (22.08.1989)/35</t>
  </si>
  <si>
    <t>73,40</t>
  </si>
  <si>
    <t xml:space="preserve">Кубляков Илья </t>
  </si>
  <si>
    <t>80,00</t>
  </si>
  <si>
    <t>79,10</t>
  </si>
  <si>
    <t>Открытая (20.02.1994)/31</t>
  </si>
  <si>
    <t>78,50</t>
  </si>
  <si>
    <t>Открытая (01.07.1995)/29</t>
  </si>
  <si>
    <t>81,10</t>
  </si>
  <si>
    <t>Открытая (17.12.2001)/23</t>
  </si>
  <si>
    <t>81,70</t>
  </si>
  <si>
    <t>80,20</t>
  </si>
  <si>
    <t>85,30</t>
  </si>
  <si>
    <t xml:space="preserve">Гришко Станислав </t>
  </si>
  <si>
    <t>Открытая (12.03.1993)/31</t>
  </si>
  <si>
    <t>86,10</t>
  </si>
  <si>
    <t>152,5</t>
  </si>
  <si>
    <t xml:space="preserve">Кузнецов И. </t>
  </si>
  <si>
    <t>89,20</t>
  </si>
  <si>
    <t xml:space="preserve">Глушков Константин </t>
  </si>
  <si>
    <t>105,70</t>
  </si>
  <si>
    <t xml:space="preserve">Михеда Алексей </t>
  </si>
  <si>
    <t>108,40</t>
  </si>
  <si>
    <t>157,5</t>
  </si>
  <si>
    <t xml:space="preserve">Логушкин Владимир </t>
  </si>
  <si>
    <t>100,60</t>
  </si>
  <si>
    <t xml:space="preserve">Шестунов Александр </t>
  </si>
  <si>
    <t>Открытая (03.04.1981)/43</t>
  </si>
  <si>
    <t>123,80</t>
  </si>
  <si>
    <t xml:space="preserve">Результат </t>
  </si>
  <si>
    <t xml:space="preserve">Мастера </t>
  </si>
  <si>
    <t>Результат</t>
  </si>
  <si>
    <t>Кузнецова Арина</t>
  </si>
  <si>
    <t>Мусихина Екатерина</t>
  </si>
  <si>
    <t>Новикова Лидия</t>
  </si>
  <si>
    <t>Скобелина Анна</t>
  </si>
  <si>
    <t>Кремезных Екатерина</t>
  </si>
  <si>
    <t>Колмагорова Марина</t>
  </si>
  <si>
    <t>Старожилова Татьяна</t>
  </si>
  <si>
    <t>Чайка Ирина</t>
  </si>
  <si>
    <t>Массольд Оксана</t>
  </si>
  <si>
    <t>Шипунова Ольга</t>
  </si>
  <si>
    <t>Харина Ксения</t>
  </si>
  <si>
    <t>Курышин Платон</t>
  </si>
  <si>
    <t>Кутузов Тимофей</t>
  </si>
  <si>
    <t>Сулоев Тимур</t>
  </si>
  <si>
    <t>Дмитриев Артем</t>
  </si>
  <si>
    <t>Денисенко Владимир</t>
  </si>
  <si>
    <t>Лосев Артур</t>
  </si>
  <si>
    <t>Колесник Михаил</t>
  </si>
  <si>
    <t>Хламов Роман</t>
  </si>
  <si>
    <t>Дубинин Никита</t>
  </si>
  <si>
    <t>Ленинг Роман</t>
  </si>
  <si>
    <t>Бобков Илья</t>
  </si>
  <si>
    <t>Голубев Александр</t>
  </si>
  <si>
    <t>Кубляков Илья</t>
  </si>
  <si>
    <t>Азарников Тимофей</t>
  </si>
  <si>
    <t>Колбасов Андрей</t>
  </si>
  <si>
    <t>Гусаров Евгений</t>
  </si>
  <si>
    <t>Мартынов Александр</t>
  </si>
  <si>
    <t>Немченко Сергей</t>
  </si>
  <si>
    <t>Харжевский Роберт</t>
  </si>
  <si>
    <t>Гришко Станислав</t>
  </si>
  <si>
    <t>Анохин Фёдор</t>
  </si>
  <si>
    <t>Глушков Константин</t>
  </si>
  <si>
    <t>Михеда Алексей</t>
  </si>
  <si>
    <t>Логушкин Владимир</t>
  </si>
  <si>
    <t>Шестунов Александр</t>
  </si>
  <si>
    <t xml:space="preserve">Гуцал София </t>
  </si>
  <si>
    <t>Открытая (18.11.2000)/24</t>
  </si>
  <si>
    <t xml:space="preserve">Роор Вера </t>
  </si>
  <si>
    <t>Открытая (07.12.2003)/21</t>
  </si>
  <si>
    <t>64,80</t>
  </si>
  <si>
    <t>Открытая (14.04.2008)/16</t>
  </si>
  <si>
    <t>66,10</t>
  </si>
  <si>
    <t>Открытая (22.09.1997)/27</t>
  </si>
  <si>
    <t>88,30</t>
  </si>
  <si>
    <t xml:space="preserve">Юрьев Анатолий </t>
  </si>
  <si>
    <t>Открытая (08.10.1998)/26</t>
  </si>
  <si>
    <t>73,60</t>
  </si>
  <si>
    <t>70,90</t>
  </si>
  <si>
    <t xml:space="preserve">Коченов Денис </t>
  </si>
  <si>
    <t>82,10</t>
  </si>
  <si>
    <t>80,90</t>
  </si>
  <si>
    <t>132,5</t>
  </si>
  <si>
    <t xml:space="preserve">Волокитин Роман </t>
  </si>
  <si>
    <t>Юниоры (12.01.2004)/21</t>
  </si>
  <si>
    <t>88,80</t>
  </si>
  <si>
    <t>235,0</t>
  </si>
  <si>
    <t xml:space="preserve">Полосин Сергей </t>
  </si>
  <si>
    <t>Открытая (27.09.1983)/41</t>
  </si>
  <si>
    <t>89,60</t>
  </si>
  <si>
    <t>250,0</t>
  </si>
  <si>
    <t>Открытая (12.01.2004)/21</t>
  </si>
  <si>
    <t>Открытая (23.11.1999)/25</t>
  </si>
  <si>
    <t>94,70</t>
  </si>
  <si>
    <t xml:space="preserve">Тактаев Николай </t>
  </si>
  <si>
    <t>Открытая (13.09.1996)/28</t>
  </si>
  <si>
    <t>106,90</t>
  </si>
  <si>
    <t>292,5</t>
  </si>
  <si>
    <t>Открытая (24.02.2001)/23</t>
  </si>
  <si>
    <t>125,00</t>
  </si>
  <si>
    <t>Гуцал София</t>
  </si>
  <si>
    <t>Роор Вера</t>
  </si>
  <si>
    <t>Татаринова Екатерина</t>
  </si>
  <si>
    <t>Пантелеймонова Екатерина</t>
  </si>
  <si>
    <t>Юрьев Анатолий</t>
  </si>
  <si>
    <t>Осипов Илья</t>
  </si>
  <si>
    <t>Айтмухаметов Жамбул</t>
  </si>
  <si>
    <t>Коченов Денис</t>
  </si>
  <si>
    <t>Козлов Егор</t>
  </si>
  <si>
    <t>Пашков Анатолий</t>
  </si>
  <si>
    <t>Волокитин Роман</t>
  </si>
  <si>
    <t>Полосин Сергей</t>
  </si>
  <si>
    <t>Сидоров Вячеслав</t>
  </si>
  <si>
    <t>Тактаев Николай</t>
  </si>
  <si>
    <t>Мешканцов Всеволод</t>
  </si>
  <si>
    <t>Юноши</t>
  </si>
  <si>
    <t>Юноши (01.07.2008)/16</t>
  </si>
  <si>
    <t>Юноши (23.11.2008)/16</t>
  </si>
  <si>
    <t>Мастера (01.09.1947)/77</t>
  </si>
  <si>
    <t>Юноши (18.05.2009)/15</t>
  </si>
  <si>
    <t>Юноши (27.12.2008)/16</t>
  </si>
  <si>
    <t>Мастера (27.09.1983)/41</t>
  </si>
  <si>
    <t>Мастера (16.05.1950)/74</t>
  </si>
  <si>
    <t>Девушки (04.04.2005)/19</t>
  </si>
  <si>
    <t>Юноши (02.03.2008)/16</t>
  </si>
  <si>
    <t>Юноши (05.06.2007)/17</t>
  </si>
  <si>
    <t>Юноши (23.12.2009)/15</t>
  </si>
  <si>
    <t>Юноши (10.09.2011)/13</t>
  </si>
  <si>
    <t>175,0</t>
  </si>
  <si>
    <t>Юноши (14.08.2009)/15</t>
  </si>
  <si>
    <t>Юноши (12.12.2006)/18</t>
  </si>
  <si>
    <t>Юноши (02.03.2006)/18</t>
  </si>
  <si>
    <t>Юноши (10.11.2008)/16</t>
  </si>
  <si>
    <t>Девушки (23.01.2012)/13</t>
  </si>
  <si>
    <t>Юноши (16.09.2009)/15</t>
  </si>
  <si>
    <t>Юноши (08.06.2009)/15</t>
  </si>
  <si>
    <t>Юноши (03.09.2011)/13</t>
  </si>
  <si>
    <t>Юноши (02.03.2009)/15</t>
  </si>
  <si>
    <t>Юноши (08.08.2010)/14</t>
  </si>
  <si>
    <t>Юноши (27.01.2011)/14</t>
  </si>
  <si>
    <t>Юноши (21.02.2000)/25</t>
  </si>
  <si>
    <t>Юноши (14.05.2010)/14</t>
  </si>
  <si>
    <t>Юноши (27.10.2011)/13</t>
  </si>
  <si>
    <t>Юноши (18.02.2008)/17</t>
  </si>
  <si>
    <t>Юноши (13.02.2008)/17</t>
  </si>
  <si>
    <t>Мастера (21.03.1961)/63</t>
  </si>
  <si>
    <t>Юноши (26.03.2008)/16</t>
  </si>
  <si>
    <t>Мастера (07.04.1975)/49</t>
  </si>
  <si>
    <t>Юноши (12.07.2006)/18</t>
  </si>
  <si>
    <t>Мастера (31.07.1975)/49</t>
  </si>
  <si>
    <t>Мастера (15.05.1959)/65</t>
  </si>
  <si>
    <t>Мастера (03.04.1981)/43</t>
  </si>
  <si>
    <t>Мастера</t>
  </si>
  <si>
    <t xml:space="preserve">Gloss </t>
  </si>
  <si>
    <t xml:space="preserve">Мазуров Иван </t>
  </si>
  <si>
    <t xml:space="preserve">Чекрыгин Иван </t>
  </si>
  <si>
    <t xml:space="preserve">Погорелко Михаил </t>
  </si>
  <si>
    <t xml:space="preserve">Ленинг Роман </t>
  </si>
  <si>
    <t xml:space="preserve">Зуева Анна </t>
  </si>
  <si>
    <t xml:space="preserve">Гердт Антонина </t>
  </si>
  <si>
    <t xml:space="preserve">Авдеева Евгения </t>
  </si>
  <si>
    <t>93,30</t>
  </si>
  <si>
    <t>Открытая (07.03.1995)/29</t>
  </si>
  <si>
    <t>Решетников Павел</t>
  </si>
  <si>
    <t>88,70</t>
  </si>
  <si>
    <t>Открытая (06.09.1988)/36</t>
  </si>
  <si>
    <t>Мазуров Иван</t>
  </si>
  <si>
    <t>76,50</t>
  </si>
  <si>
    <t>Открытая (23.09.2002)/22</t>
  </si>
  <si>
    <t>Вячкуткин Роман</t>
  </si>
  <si>
    <t>69,00</t>
  </si>
  <si>
    <t>Открытая (26.01.1996)/29</t>
  </si>
  <si>
    <t>Синицын Даниил</t>
  </si>
  <si>
    <t>75,00</t>
  </si>
  <si>
    <t>Открытая (15.03.1999)/25</t>
  </si>
  <si>
    <t>Чекрыгин Иван</t>
  </si>
  <si>
    <t>72,60</t>
  </si>
  <si>
    <t>Оглоблин Даниил</t>
  </si>
  <si>
    <t>69,90</t>
  </si>
  <si>
    <t>Сабко Даниил</t>
  </si>
  <si>
    <t>65,00</t>
  </si>
  <si>
    <t>Открытая (08.01.1998)/27</t>
  </si>
  <si>
    <t>Каузов Андрей</t>
  </si>
  <si>
    <t>Сидоров Тимофей</t>
  </si>
  <si>
    <t>65,40</t>
  </si>
  <si>
    <t>Шмаков Роман</t>
  </si>
  <si>
    <t>Боков Тимур</t>
  </si>
  <si>
    <t>58,80</t>
  </si>
  <si>
    <t>Башкатов Артем</t>
  </si>
  <si>
    <t>54,60</t>
  </si>
  <si>
    <t>Погорелко Михаил</t>
  </si>
  <si>
    <t>25,0</t>
  </si>
  <si>
    <t>22,5</t>
  </si>
  <si>
    <t>20,0</t>
  </si>
  <si>
    <t>Открытая (14.03.1991)/33</t>
  </si>
  <si>
    <t>Куликова Анастасия</t>
  </si>
  <si>
    <t>58,40</t>
  </si>
  <si>
    <t>Открытая (11.11.1989)/35</t>
  </si>
  <si>
    <t>Авдеева Евгения</t>
  </si>
  <si>
    <t>27,5</t>
  </si>
  <si>
    <t>54,90</t>
  </si>
  <si>
    <t>Открытая (27.05.1987)/37</t>
  </si>
  <si>
    <t>Зуева Анна</t>
  </si>
  <si>
    <t>46,90</t>
  </si>
  <si>
    <t>Открытая (27.12.1982)/42</t>
  </si>
  <si>
    <t>Гердт Антонина</t>
  </si>
  <si>
    <t>Юноши (20.06.2008)/16</t>
  </si>
  <si>
    <t>Юноши (15.01.2008)/17</t>
  </si>
  <si>
    <t>Юноши (22.02.2008)/17</t>
  </si>
  <si>
    <t>Юноши (08.02.2011)/14</t>
  </si>
  <si>
    <t>Юноши (07.04.2009)/15</t>
  </si>
  <si>
    <t>Юноши (29.09.2008)/16</t>
  </si>
  <si>
    <t>Юноши (17.05.2008)/16</t>
  </si>
  <si>
    <t>Юноши (25.03.2008)/16</t>
  </si>
  <si>
    <t>Ефимов Андрей</t>
  </si>
  <si>
    <t>Воронова Юлия</t>
  </si>
  <si>
    <t>Клюкин Дмитрий</t>
  </si>
  <si>
    <t>Юноши (27.11.2009)/15</t>
  </si>
  <si>
    <t>265,0</t>
  </si>
  <si>
    <t>Весовая категория</t>
  </si>
  <si>
    <t>Чукмаров Азис</t>
  </si>
  <si>
    <t>VI Открытый Кубок города Новоалтайска
WRPF Пауэрлифтинг без экипировки
Новоалтайск/Алтайский край, 23 февраля 2025 года</t>
  </si>
  <si>
    <t>VI Открытый Кубок города Новоалтайска
WRPF Жим лежа без экипировки
Новоалтайск/Алтайский край, 23 февраля 2025 года</t>
  </si>
  <si>
    <t>VI Открытый Кубок города Новоалтайска
WRPF Становая тяга без экипировки
Новоалтайск/Алтайский край, 23 февраля 2025 года</t>
  </si>
  <si>
    <t>VI Открытый Кубок города Новоалтайска
WRPF Строгий подъем штанги на бицепс
Новоалтайск/Алтайский край, 23 февраля 2025 года</t>
  </si>
  <si>
    <t>Кузнецов Илья</t>
  </si>
  <si>
    <t>жим</t>
  </si>
  <si>
    <t>№</t>
  </si>
  <si>
    <t>Алтайский край, Барнаул</t>
  </si>
  <si>
    <t>Алтайский край, Новоалтайск</t>
  </si>
  <si>
    <t>Алтайский край, Змеиногорск</t>
  </si>
  <si>
    <t>Алтайский край, Алейск</t>
  </si>
  <si>
    <t xml:space="preserve">Москва </t>
  </si>
  <si>
    <t>Алтайский край, Рубцовск</t>
  </si>
  <si>
    <t xml:space="preserve">
Дата рождения/Возраст</t>
  </si>
  <si>
    <t>Возрастная группа</t>
  </si>
  <si>
    <t>O</t>
  </si>
  <si>
    <t>J</t>
  </si>
  <si>
    <t>T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</si>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</sst>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0" fillId="0" borderId="0" xfId="0" applyNumberFormat="1"/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94"/>
  <sheetViews>
    <sheetView topLeftCell="A24" zoomScaleNormal="100" workbookViewId="0">
      <selection activeCell="E66" sqref="E66"/>
    </sheetView>
  </sheetViews>
  <sheetFormatPr baseColWidth="10" defaultColWidth="9.1640625" defaultRowHeight="13"/>
  <cols>
    <col min="1" max="1" width="7.33203125" style="5" bestFit="1" customWidth="1"/>
    <col min="2" max="2" width="22.6640625" style="5" customWidth="1"/>
    <col min="3" max="3" width="27.83203125" style="5" customWidth="1"/>
    <col min="4" max="4" width="20.83203125" style="5" bestFit="1" customWidth="1"/>
    <col min="5" max="5" width="10.1640625" style="19" bestFit="1" customWidth="1"/>
    <col min="6" max="6" width="43" style="5" customWidth="1"/>
    <col min="7" max="8" width="5.6640625" style="27" bestFit="1" customWidth="1"/>
    <col min="9" max="9" width="5.6640625" style="27" customWidth="1"/>
    <col min="10" max="10" width="4.33203125" style="27" bestFit="1" customWidth="1"/>
    <col min="11" max="12" width="5.6640625" style="27" bestFit="1" customWidth="1"/>
    <col min="13" max="13" width="5.6640625" style="27" customWidth="1"/>
    <col min="14" max="14" width="4.33203125" style="27" bestFit="1" customWidth="1"/>
    <col min="15" max="17" width="5.6640625" style="27" bestFit="1" customWidth="1"/>
    <col min="18" max="18" width="4.5" style="27" customWidth="1"/>
    <col min="19" max="19" width="7.6640625" style="6" bestFit="1" customWidth="1"/>
    <col min="20" max="20" width="8.5" style="6" bestFit="1" customWidth="1"/>
    <col min="21" max="21" width="21.5" style="5" customWidth="1"/>
    <col min="22" max="16384" width="9.1640625" style="3"/>
  </cols>
  <sheetData>
    <row r="1" spans="1:21" s="2" customFormat="1" ht="29" customHeight="1">
      <c r="A1" s="56" t="s">
        <v>463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9"/>
    </row>
    <row r="2" spans="1:21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3"/>
    </row>
    <row r="3" spans="1:21" s="1" customFormat="1" ht="12.75" customHeight="1">
      <c r="A3" s="65" t="s">
        <v>469</v>
      </c>
      <c r="B3" s="50" t="s">
        <v>0</v>
      </c>
      <c r="C3" s="67" t="s">
        <v>476</v>
      </c>
      <c r="D3" s="67" t="s">
        <v>6</v>
      </c>
      <c r="E3" s="54" t="s">
        <v>477</v>
      </c>
      <c r="F3" s="64" t="s">
        <v>5</v>
      </c>
      <c r="G3" s="64" t="s">
        <v>7</v>
      </c>
      <c r="H3" s="64"/>
      <c r="I3" s="64"/>
      <c r="J3" s="64"/>
      <c r="K3" s="64" t="s">
        <v>8</v>
      </c>
      <c r="L3" s="64"/>
      <c r="M3" s="64"/>
      <c r="N3" s="64"/>
      <c r="O3" s="64" t="s">
        <v>9</v>
      </c>
      <c r="P3" s="64"/>
      <c r="Q3" s="64"/>
      <c r="R3" s="64"/>
      <c r="S3" s="54" t="s">
        <v>1</v>
      </c>
      <c r="T3" s="54" t="s">
        <v>3</v>
      </c>
      <c r="U3" s="69" t="s">
        <v>2</v>
      </c>
    </row>
    <row r="4" spans="1:21" s="1" customFormat="1" ht="21" customHeight="1" thickBot="1">
      <c r="A4" s="66"/>
      <c r="B4" s="51"/>
      <c r="C4" s="68"/>
      <c r="D4" s="68"/>
      <c r="E4" s="55"/>
      <c r="F4" s="6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5"/>
      <c r="T4" s="55"/>
      <c r="U4" s="70"/>
    </row>
    <row r="5" spans="1:21" ht="16">
      <c r="A5" s="52" t="s">
        <v>10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>
      <c r="A6" s="31" t="s">
        <v>167</v>
      </c>
      <c r="B6" s="7" t="s">
        <v>168</v>
      </c>
      <c r="C6" s="7" t="s">
        <v>12</v>
      </c>
      <c r="D6" s="7" t="s">
        <v>13</v>
      </c>
      <c r="E6" s="8" t="s">
        <v>478</v>
      </c>
      <c r="F6" s="7" t="s">
        <v>470</v>
      </c>
      <c r="G6" s="29" t="s">
        <v>14</v>
      </c>
      <c r="H6" s="29" t="s">
        <v>15</v>
      </c>
      <c r="I6" s="30" t="s">
        <v>16</v>
      </c>
      <c r="J6" s="31"/>
      <c r="K6" s="29" t="s">
        <v>17</v>
      </c>
      <c r="L6" s="29" t="s">
        <v>18</v>
      </c>
      <c r="M6" s="29" t="s">
        <v>19</v>
      </c>
      <c r="N6" s="31"/>
      <c r="O6" s="29" t="s">
        <v>15</v>
      </c>
      <c r="P6" s="29" t="s">
        <v>20</v>
      </c>
      <c r="Q6" s="30" t="s">
        <v>21</v>
      </c>
      <c r="R6" s="31"/>
      <c r="S6" s="9" t="str">
        <f>"245,0"</f>
        <v>245,0</v>
      </c>
      <c r="T6" s="9" t="str">
        <f>"338,7125"</f>
        <v>338,7125</v>
      </c>
      <c r="U6" s="7" t="s">
        <v>458</v>
      </c>
    </row>
    <row r="8" spans="1:21" ht="16">
      <c r="A8" s="48" t="s">
        <v>22</v>
      </c>
      <c r="B8" s="48"/>
      <c r="C8" s="48"/>
      <c r="D8" s="48"/>
      <c r="E8" s="49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21">
      <c r="A9" s="34" t="s">
        <v>167</v>
      </c>
      <c r="B9" s="10" t="s">
        <v>169</v>
      </c>
      <c r="C9" s="10" t="s">
        <v>24</v>
      </c>
      <c r="D9" s="10" t="s">
        <v>25</v>
      </c>
      <c r="E9" s="11" t="s">
        <v>479</v>
      </c>
      <c r="F9" s="10" t="s">
        <v>471</v>
      </c>
      <c r="G9" s="32" t="s">
        <v>16</v>
      </c>
      <c r="H9" s="32" t="s">
        <v>26</v>
      </c>
      <c r="I9" s="33" t="s">
        <v>27</v>
      </c>
      <c r="J9" s="34"/>
      <c r="K9" s="32" t="s">
        <v>19</v>
      </c>
      <c r="L9" s="33" t="s">
        <v>28</v>
      </c>
      <c r="M9" s="33" t="s">
        <v>28</v>
      </c>
      <c r="N9" s="34"/>
      <c r="O9" s="32" t="s">
        <v>20</v>
      </c>
      <c r="P9" s="32" t="s">
        <v>21</v>
      </c>
      <c r="Q9" s="32" t="s">
        <v>29</v>
      </c>
      <c r="R9" s="34"/>
      <c r="S9" s="12" t="str">
        <f>"265,0"</f>
        <v>265,0</v>
      </c>
      <c r="T9" s="12" t="str">
        <f>"330,3490"</f>
        <v>330,3490</v>
      </c>
      <c r="U9" s="10" t="s">
        <v>456</v>
      </c>
    </row>
    <row r="10" spans="1:21">
      <c r="A10" s="37" t="s">
        <v>167</v>
      </c>
      <c r="B10" s="13" t="s">
        <v>169</v>
      </c>
      <c r="C10" s="13" t="s">
        <v>30</v>
      </c>
      <c r="D10" s="13" t="s">
        <v>25</v>
      </c>
      <c r="E10" s="14" t="s">
        <v>478</v>
      </c>
      <c r="F10" s="13" t="s">
        <v>471</v>
      </c>
      <c r="G10" s="35" t="s">
        <v>16</v>
      </c>
      <c r="H10" s="35" t="s">
        <v>26</v>
      </c>
      <c r="I10" s="36" t="s">
        <v>27</v>
      </c>
      <c r="J10" s="37"/>
      <c r="K10" s="35" t="s">
        <v>19</v>
      </c>
      <c r="L10" s="36" t="s">
        <v>28</v>
      </c>
      <c r="M10" s="36" t="s">
        <v>28</v>
      </c>
      <c r="N10" s="37"/>
      <c r="O10" s="35" t="s">
        <v>20</v>
      </c>
      <c r="P10" s="35" t="s">
        <v>21</v>
      </c>
      <c r="Q10" s="35" t="s">
        <v>29</v>
      </c>
      <c r="R10" s="37"/>
      <c r="S10" s="15" t="str">
        <f>"265,0"</f>
        <v>265,0</v>
      </c>
      <c r="T10" s="15" t="str">
        <f>"330,3490"</f>
        <v>330,3490</v>
      </c>
      <c r="U10" s="13" t="s">
        <v>456</v>
      </c>
    </row>
    <row r="12" spans="1:21" ht="16">
      <c r="A12" s="48" t="s">
        <v>31</v>
      </c>
      <c r="B12" s="48"/>
      <c r="C12" s="48"/>
      <c r="D12" s="48"/>
      <c r="E12" s="49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1:21">
      <c r="A13" s="31" t="s">
        <v>167</v>
      </c>
      <c r="B13" s="7" t="s">
        <v>170</v>
      </c>
      <c r="C13" s="7" t="s">
        <v>32</v>
      </c>
      <c r="D13" s="7" t="s">
        <v>33</v>
      </c>
      <c r="E13" s="8" t="s">
        <v>479</v>
      </c>
      <c r="F13" s="7" t="s">
        <v>470</v>
      </c>
      <c r="G13" s="29" t="s">
        <v>15</v>
      </c>
      <c r="H13" s="30" t="s">
        <v>26</v>
      </c>
      <c r="I13" s="30" t="s">
        <v>26</v>
      </c>
      <c r="J13" s="31"/>
      <c r="K13" s="29" t="s">
        <v>28</v>
      </c>
      <c r="L13" s="29" t="s">
        <v>55</v>
      </c>
      <c r="M13" s="30" t="s">
        <v>34</v>
      </c>
      <c r="N13" s="31"/>
      <c r="O13" s="29" t="s">
        <v>39</v>
      </c>
      <c r="P13" s="29" t="s">
        <v>42</v>
      </c>
      <c r="Q13" s="30" t="s">
        <v>16</v>
      </c>
      <c r="R13" s="31"/>
      <c r="S13" s="9" t="str">
        <f>"232.50o"</f>
        <v>232.50o</v>
      </c>
      <c r="T13" s="9" t="str">
        <f>"261,9345"</f>
        <v>261,9345</v>
      </c>
      <c r="U13" s="7" t="s">
        <v>355</v>
      </c>
    </row>
    <row r="15" spans="1:21" ht="16">
      <c r="A15" s="48" t="s">
        <v>35</v>
      </c>
      <c r="B15" s="48"/>
      <c r="C15" s="48"/>
      <c r="D15" s="48"/>
      <c r="E15" s="49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</row>
    <row r="16" spans="1:21">
      <c r="A16" s="31" t="s">
        <v>167</v>
      </c>
      <c r="B16" s="7" t="s">
        <v>171</v>
      </c>
      <c r="C16" s="7" t="s">
        <v>365</v>
      </c>
      <c r="D16" s="7" t="s">
        <v>36</v>
      </c>
      <c r="E16" s="8" t="s">
        <v>480</v>
      </c>
      <c r="F16" s="7" t="s">
        <v>470</v>
      </c>
      <c r="G16" s="29" t="s">
        <v>37</v>
      </c>
      <c r="H16" s="29" t="s">
        <v>38</v>
      </c>
      <c r="I16" s="29" t="s">
        <v>39</v>
      </c>
      <c r="J16" s="31"/>
      <c r="K16" s="29" t="s">
        <v>40</v>
      </c>
      <c r="L16" s="29" t="s">
        <v>41</v>
      </c>
      <c r="M16" s="29" t="s">
        <v>17</v>
      </c>
      <c r="N16" s="31"/>
      <c r="O16" s="29" t="s">
        <v>42</v>
      </c>
      <c r="P16" s="29" t="s">
        <v>15</v>
      </c>
      <c r="Q16" s="29" t="s">
        <v>16</v>
      </c>
      <c r="R16" s="31"/>
      <c r="S16" s="9" t="str">
        <f>"212,5"</f>
        <v>212,5</v>
      </c>
      <c r="T16" s="9" t="str">
        <f>"226,5888"</f>
        <v>226,5888</v>
      </c>
      <c r="U16" s="7"/>
    </row>
    <row r="18" spans="1:21" ht="16">
      <c r="A18" s="48" t="s">
        <v>43</v>
      </c>
      <c r="B18" s="48"/>
      <c r="C18" s="48"/>
      <c r="D18" s="48"/>
      <c r="E18" s="49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</row>
    <row r="19" spans="1:21">
      <c r="A19" s="34" t="s">
        <v>167</v>
      </c>
      <c r="B19" s="10" t="s">
        <v>172</v>
      </c>
      <c r="C19" s="10" t="s">
        <v>45</v>
      </c>
      <c r="D19" s="10" t="s">
        <v>46</v>
      </c>
      <c r="E19" s="11" t="s">
        <v>478</v>
      </c>
      <c r="F19" s="10" t="s">
        <v>470</v>
      </c>
      <c r="G19" s="32" t="s">
        <v>42</v>
      </c>
      <c r="H19" s="32" t="s">
        <v>106</v>
      </c>
      <c r="I19" s="32" t="s">
        <v>107</v>
      </c>
      <c r="J19" s="34"/>
      <c r="K19" s="32" t="s">
        <v>47</v>
      </c>
      <c r="L19" s="33" t="s">
        <v>18</v>
      </c>
      <c r="M19" s="33" t="s">
        <v>18</v>
      </c>
      <c r="N19" s="34"/>
      <c r="O19" s="33" t="s">
        <v>48</v>
      </c>
      <c r="P19" s="32" t="s">
        <v>48</v>
      </c>
      <c r="Q19" s="32" t="s">
        <v>29</v>
      </c>
      <c r="R19" s="34"/>
      <c r="S19" s="12" t="str">
        <f>"257.50o"</f>
        <v>257.50o</v>
      </c>
      <c r="T19" s="12" t="str">
        <f>"237,6468"</f>
        <v>237,6468</v>
      </c>
      <c r="U19" s="10" t="s">
        <v>462</v>
      </c>
    </row>
    <row r="20" spans="1:21">
      <c r="A20" s="37" t="s">
        <v>173</v>
      </c>
      <c r="B20" s="13" t="s">
        <v>174</v>
      </c>
      <c r="C20" s="13" t="s">
        <v>49</v>
      </c>
      <c r="D20" s="13" t="s">
        <v>50</v>
      </c>
      <c r="E20" s="14" t="s">
        <v>478</v>
      </c>
      <c r="F20" s="13" t="s">
        <v>471</v>
      </c>
      <c r="G20" s="35" t="s">
        <v>42</v>
      </c>
      <c r="H20" s="36" t="s">
        <v>15</v>
      </c>
      <c r="I20" s="36" t="s">
        <v>15</v>
      </c>
      <c r="J20" s="37"/>
      <c r="K20" s="36" t="s">
        <v>47</v>
      </c>
      <c r="L20" s="36" t="s">
        <v>47</v>
      </c>
      <c r="M20" s="36" t="s">
        <v>47</v>
      </c>
      <c r="N20" s="37"/>
      <c r="O20" s="36"/>
      <c r="P20" s="37"/>
      <c r="Q20" s="37"/>
      <c r="R20" s="37"/>
      <c r="S20" s="15" t="str">
        <f>"0.00"</f>
        <v>0.00</v>
      </c>
      <c r="T20" s="15" t="str">
        <f>"0,0000"</f>
        <v>0,0000</v>
      </c>
      <c r="U20" s="13" t="s">
        <v>456</v>
      </c>
    </row>
    <row r="22" spans="1:21" ht="16">
      <c r="A22" s="48" t="s">
        <v>51</v>
      </c>
      <c r="B22" s="48"/>
      <c r="C22" s="48"/>
      <c r="D22" s="48"/>
      <c r="E22" s="49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</row>
    <row r="23" spans="1:21">
      <c r="A23" s="31" t="s">
        <v>167</v>
      </c>
      <c r="B23" s="7" t="s">
        <v>175</v>
      </c>
      <c r="C23" s="7" t="s">
        <v>52</v>
      </c>
      <c r="D23" s="7" t="s">
        <v>53</v>
      </c>
      <c r="E23" s="8" t="s">
        <v>478</v>
      </c>
      <c r="F23" s="7" t="s">
        <v>471</v>
      </c>
      <c r="G23" s="29" t="s">
        <v>15</v>
      </c>
      <c r="H23" s="29" t="s">
        <v>16</v>
      </c>
      <c r="I23" s="29" t="s">
        <v>27</v>
      </c>
      <c r="J23" s="31"/>
      <c r="K23" s="29" t="s">
        <v>54</v>
      </c>
      <c r="L23" s="29" t="s">
        <v>55</v>
      </c>
      <c r="M23" s="29" t="s">
        <v>34</v>
      </c>
      <c r="N23" s="31"/>
      <c r="O23" s="29" t="s">
        <v>21</v>
      </c>
      <c r="P23" s="29" t="s">
        <v>56</v>
      </c>
      <c r="Q23" s="29" t="s">
        <v>57</v>
      </c>
      <c r="R23" s="31"/>
      <c r="S23" s="9" t="str">
        <f>"287,5"</f>
        <v>287,5</v>
      </c>
      <c r="T23" s="9" t="str">
        <f>"233,7950"</f>
        <v>233,7950</v>
      </c>
      <c r="U23" s="7" t="s">
        <v>456</v>
      </c>
    </row>
    <row r="25" spans="1:21" ht="16">
      <c r="A25" s="48" t="s">
        <v>22</v>
      </c>
      <c r="B25" s="48"/>
      <c r="C25" s="48"/>
      <c r="D25" s="48"/>
      <c r="E25" s="49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</row>
    <row r="26" spans="1:21">
      <c r="A26" s="31" t="s">
        <v>167</v>
      </c>
      <c r="B26" s="7" t="s">
        <v>176</v>
      </c>
      <c r="C26" s="7" t="s">
        <v>58</v>
      </c>
      <c r="D26" s="7" t="s">
        <v>59</v>
      </c>
      <c r="E26" s="8" t="s">
        <v>480</v>
      </c>
      <c r="F26" s="7" t="s">
        <v>471</v>
      </c>
      <c r="G26" s="29" t="s">
        <v>38</v>
      </c>
      <c r="H26" s="29" t="s">
        <v>14</v>
      </c>
      <c r="I26" s="29" t="s">
        <v>60</v>
      </c>
      <c r="J26" s="31"/>
      <c r="K26" s="29" t="s">
        <v>47</v>
      </c>
      <c r="L26" s="30" t="s">
        <v>19</v>
      </c>
      <c r="M26" s="29" t="s">
        <v>19</v>
      </c>
      <c r="N26" s="31"/>
      <c r="O26" s="29" t="s">
        <v>15</v>
      </c>
      <c r="P26" s="29" t="s">
        <v>26</v>
      </c>
      <c r="Q26" s="29" t="s">
        <v>21</v>
      </c>
      <c r="R26" s="31"/>
      <c r="S26" s="9" t="str">
        <f>"242,5"</f>
        <v>242,5</v>
      </c>
      <c r="T26" s="9" t="str">
        <f>"272,4973"</f>
        <v>272,4973</v>
      </c>
      <c r="U26" s="7" t="s">
        <v>456</v>
      </c>
    </row>
    <row r="28" spans="1:21" ht="16">
      <c r="A28" s="48" t="s">
        <v>61</v>
      </c>
      <c r="B28" s="48"/>
      <c r="C28" s="48"/>
      <c r="D28" s="48"/>
      <c r="E28" s="49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</row>
    <row r="29" spans="1:21">
      <c r="A29" s="31" t="s">
        <v>167</v>
      </c>
      <c r="B29" s="7" t="s">
        <v>177</v>
      </c>
      <c r="C29" s="7" t="s">
        <v>63</v>
      </c>
      <c r="D29" s="7" t="s">
        <v>64</v>
      </c>
      <c r="E29" s="8" t="s">
        <v>480</v>
      </c>
      <c r="F29" s="7" t="s">
        <v>471</v>
      </c>
      <c r="G29" s="30" t="s">
        <v>21</v>
      </c>
      <c r="H29" s="29" t="s">
        <v>21</v>
      </c>
      <c r="I29" s="29" t="s">
        <v>29</v>
      </c>
      <c r="J29" s="31"/>
      <c r="K29" s="29" t="s">
        <v>34</v>
      </c>
      <c r="L29" s="29" t="s">
        <v>37</v>
      </c>
      <c r="M29" s="30" t="s">
        <v>38</v>
      </c>
      <c r="N29" s="31"/>
      <c r="O29" s="29" t="s">
        <v>65</v>
      </c>
      <c r="P29" s="29" t="s">
        <v>66</v>
      </c>
      <c r="Q29" s="30" t="s">
        <v>67</v>
      </c>
      <c r="R29" s="31"/>
      <c r="S29" s="9" t="str">
        <f>"325,0"</f>
        <v>325,0</v>
      </c>
      <c r="T29" s="9" t="str">
        <f>"307,9050"</f>
        <v>307,9050</v>
      </c>
      <c r="U29" s="7" t="s">
        <v>456</v>
      </c>
    </row>
    <row r="31" spans="1:21" ht="16">
      <c r="A31" s="48" t="s">
        <v>31</v>
      </c>
      <c r="B31" s="48"/>
      <c r="C31" s="48"/>
      <c r="D31" s="48"/>
      <c r="E31" s="49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</row>
    <row r="32" spans="1:21">
      <c r="A32" s="34" t="s">
        <v>167</v>
      </c>
      <c r="B32" s="10" t="s">
        <v>178</v>
      </c>
      <c r="C32" s="10" t="s">
        <v>68</v>
      </c>
      <c r="D32" s="10" t="s">
        <v>69</v>
      </c>
      <c r="E32" s="11" t="s">
        <v>480</v>
      </c>
      <c r="F32" s="10" t="s">
        <v>471</v>
      </c>
      <c r="G32" s="33" t="s">
        <v>15</v>
      </c>
      <c r="H32" s="33" t="s">
        <v>15</v>
      </c>
      <c r="I32" s="32" t="s">
        <v>15</v>
      </c>
      <c r="J32" s="34"/>
      <c r="K32" s="33" t="s">
        <v>54</v>
      </c>
      <c r="L32" s="32" t="s">
        <v>54</v>
      </c>
      <c r="M32" s="32" t="s">
        <v>55</v>
      </c>
      <c r="N32" s="34"/>
      <c r="O32" s="32" t="s">
        <v>29</v>
      </c>
      <c r="P32" s="32" t="s">
        <v>56</v>
      </c>
      <c r="Q32" s="32" t="s">
        <v>57</v>
      </c>
      <c r="R32" s="34"/>
      <c r="S32" s="12" t="str">
        <f>"272,5"</f>
        <v>272,5</v>
      </c>
      <c r="T32" s="12" t="str">
        <f>"237,5382"</f>
        <v>237,5382</v>
      </c>
      <c r="U32" s="10" t="s">
        <v>456</v>
      </c>
    </row>
    <row r="33" spans="1:21">
      <c r="A33" s="37" t="s">
        <v>179</v>
      </c>
      <c r="B33" s="13" t="s">
        <v>180</v>
      </c>
      <c r="C33" s="13" t="s">
        <v>70</v>
      </c>
      <c r="D33" s="13" t="s">
        <v>71</v>
      </c>
      <c r="E33" s="14" t="s">
        <v>480</v>
      </c>
      <c r="F33" s="13" t="s">
        <v>472</v>
      </c>
      <c r="G33" s="35" t="s">
        <v>34</v>
      </c>
      <c r="H33" s="35" t="s">
        <v>37</v>
      </c>
      <c r="I33" s="36" t="s">
        <v>39</v>
      </c>
      <c r="J33" s="37"/>
      <c r="K33" s="35" t="s">
        <v>19</v>
      </c>
      <c r="L33" s="36" t="s">
        <v>34</v>
      </c>
      <c r="M33" s="36" t="s">
        <v>34</v>
      </c>
      <c r="N33" s="37"/>
      <c r="O33" s="35" t="s">
        <v>26</v>
      </c>
      <c r="P33" s="35" t="s">
        <v>72</v>
      </c>
      <c r="Q33" s="35" t="s">
        <v>56</v>
      </c>
      <c r="R33" s="37"/>
      <c r="S33" s="15" t="str">
        <f>"235,0"</f>
        <v>235,0</v>
      </c>
      <c r="T33" s="15" t="str">
        <f>"206,4945"</f>
        <v>206,4945</v>
      </c>
      <c r="U33" s="13" t="s">
        <v>307</v>
      </c>
    </row>
    <row r="35" spans="1:21" ht="16">
      <c r="A35" s="48" t="s">
        <v>35</v>
      </c>
      <c r="B35" s="48"/>
      <c r="C35" s="48"/>
      <c r="D35" s="48"/>
      <c r="E35" s="49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</row>
    <row r="36" spans="1:21">
      <c r="A36" s="34" t="s">
        <v>167</v>
      </c>
      <c r="B36" s="10" t="s">
        <v>181</v>
      </c>
      <c r="C36" s="10" t="s">
        <v>366</v>
      </c>
      <c r="D36" s="10" t="s">
        <v>73</v>
      </c>
      <c r="E36" s="11" t="s">
        <v>480</v>
      </c>
      <c r="F36" s="10" t="s">
        <v>471</v>
      </c>
      <c r="G36" s="32" t="s">
        <v>20</v>
      </c>
      <c r="H36" s="32" t="s">
        <v>72</v>
      </c>
      <c r="I36" s="32" t="s">
        <v>56</v>
      </c>
      <c r="J36" s="34"/>
      <c r="K36" s="32" t="s">
        <v>39</v>
      </c>
      <c r="L36" s="32" t="s">
        <v>14</v>
      </c>
      <c r="M36" s="33" t="s">
        <v>42</v>
      </c>
      <c r="N36" s="34"/>
      <c r="O36" s="32" t="s">
        <v>74</v>
      </c>
      <c r="P36" s="32" t="s">
        <v>75</v>
      </c>
      <c r="Q36" s="33" t="s">
        <v>67</v>
      </c>
      <c r="R36" s="34"/>
      <c r="S36" s="12" t="str">
        <f>"342,5"</f>
        <v>342,5</v>
      </c>
      <c r="T36" s="12" t="str">
        <f>"289,9262"</f>
        <v>289,9262</v>
      </c>
      <c r="U36" s="10" t="s">
        <v>457</v>
      </c>
    </row>
    <row r="37" spans="1:21">
      <c r="A37" s="39" t="s">
        <v>179</v>
      </c>
      <c r="B37" s="16" t="s">
        <v>182</v>
      </c>
      <c r="C37" s="16" t="s">
        <v>367</v>
      </c>
      <c r="D37" s="16" t="s">
        <v>76</v>
      </c>
      <c r="E37" s="17" t="s">
        <v>480</v>
      </c>
      <c r="F37" s="16" t="s">
        <v>472</v>
      </c>
      <c r="G37" s="38" t="s">
        <v>15</v>
      </c>
      <c r="H37" s="38" t="s">
        <v>26</v>
      </c>
      <c r="I37" s="38" t="s">
        <v>29</v>
      </c>
      <c r="J37" s="39"/>
      <c r="K37" s="40" t="s">
        <v>38</v>
      </c>
      <c r="L37" s="38" t="s">
        <v>39</v>
      </c>
      <c r="M37" s="40" t="s">
        <v>14</v>
      </c>
      <c r="N37" s="39"/>
      <c r="O37" s="40" t="s">
        <v>56</v>
      </c>
      <c r="P37" s="38" t="s">
        <v>74</v>
      </c>
      <c r="Q37" s="40" t="s">
        <v>77</v>
      </c>
      <c r="R37" s="39"/>
      <c r="S37" s="18" t="str">
        <f>"325,0"</f>
        <v>325,0</v>
      </c>
      <c r="T37" s="18" t="str">
        <f>"264,3225"</f>
        <v>264,3225</v>
      </c>
      <c r="U37" s="16" t="s">
        <v>307</v>
      </c>
    </row>
    <row r="38" spans="1:21">
      <c r="A38" s="39" t="s">
        <v>183</v>
      </c>
      <c r="B38" s="16" t="s">
        <v>184</v>
      </c>
      <c r="C38" s="16" t="s">
        <v>368</v>
      </c>
      <c r="D38" s="16" t="s">
        <v>78</v>
      </c>
      <c r="E38" s="17" t="s">
        <v>480</v>
      </c>
      <c r="F38" s="16" t="s">
        <v>471</v>
      </c>
      <c r="G38" s="40" t="s">
        <v>20</v>
      </c>
      <c r="H38" s="38" t="s">
        <v>21</v>
      </c>
      <c r="I38" s="40" t="s">
        <v>29</v>
      </c>
      <c r="J38" s="39"/>
      <c r="K38" s="38" t="s">
        <v>37</v>
      </c>
      <c r="L38" s="40" t="s">
        <v>38</v>
      </c>
      <c r="M38" s="38" t="s">
        <v>38</v>
      </c>
      <c r="N38" s="39"/>
      <c r="O38" s="38" t="s">
        <v>29</v>
      </c>
      <c r="P38" s="38" t="s">
        <v>56</v>
      </c>
      <c r="Q38" s="38" t="s">
        <v>57</v>
      </c>
      <c r="R38" s="39"/>
      <c r="S38" s="18" t="str">
        <f>"305,0"</f>
        <v>305,0</v>
      </c>
      <c r="T38" s="18" t="str">
        <f>"246,0435"</f>
        <v>246,0435</v>
      </c>
      <c r="U38" s="16" t="s">
        <v>456</v>
      </c>
    </row>
    <row r="39" spans="1:21">
      <c r="A39" s="39" t="s">
        <v>185</v>
      </c>
      <c r="B39" s="16" t="s">
        <v>186</v>
      </c>
      <c r="C39" s="16" t="s">
        <v>369</v>
      </c>
      <c r="D39" s="16" t="s">
        <v>79</v>
      </c>
      <c r="E39" s="17" t="s">
        <v>480</v>
      </c>
      <c r="F39" s="16" t="s">
        <v>470</v>
      </c>
      <c r="G39" s="38" t="s">
        <v>26</v>
      </c>
      <c r="H39" s="38" t="s">
        <v>21</v>
      </c>
      <c r="I39" s="40" t="s">
        <v>80</v>
      </c>
      <c r="J39" s="39"/>
      <c r="K39" s="38" t="s">
        <v>54</v>
      </c>
      <c r="L39" s="38" t="s">
        <v>55</v>
      </c>
      <c r="M39" s="38" t="s">
        <v>34</v>
      </c>
      <c r="N39" s="39"/>
      <c r="O39" s="40" t="s">
        <v>21</v>
      </c>
      <c r="P39" s="38" t="s">
        <v>80</v>
      </c>
      <c r="Q39" s="38" t="s">
        <v>81</v>
      </c>
      <c r="R39" s="39"/>
      <c r="S39" s="18" t="str">
        <f>"292,5"</f>
        <v>292,5</v>
      </c>
      <c r="T39" s="18" t="str">
        <f>"235,0237"</f>
        <v>235,0237</v>
      </c>
      <c r="U39" s="16" t="s">
        <v>462</v>
      </c>
    </row>
    <row r="40" spans="1:21">
      <c r="A40" s="39" t="s">
        <v>167</v>
      </c>
      <c r="B40" s="16" t="s">
        <v>187</v>
      </c>
      <c r="C40" s="16" t="s">
        <v>83</v>
      </c>
      <c r="D40" s="16" t="s">
        <v>84</v>
      </c>
      <c r="E40" s="17" t="s">
        <v>479</v>
      </c>
      <c r="F40" s="16" t="s">
        <v>471</v>
      </c>
      <c r="G40" s="38" t="s">
        <v>85</v>
      </c>
      <c r="H40" s="40" t="s">
        <v>65</v>
      </c>
      <c r="I40" s="40" t="s">
        <v>75</v>
      </c>
      <c r="J40" s="39"/>
      <c r="K40" s="38" t="s">
        <v>42</v>
      </c>
      <c r="L40" s="40" t="s">
        <v>16</v>
      </c>
      <c r="M40" s="40" t="s">
        <v>16</v>
      </c>
      <c r="N40" s="39"/>
      <c r="O40" s="40" t="s">
        <v>67</v>
      </c>
      <c r="P40" s="38" t="s">
        <v>67</v>
      </c>
      <c r="Q40" s="40" t="s">
        <v>86</v>
      </c>
      <c r="R40" s="39"/>
      <c r="S40" s="18" t="str">
        <f>"365,0"</f>
        <v>365,0</v>
      </c>
      <c r="T40" s="18" t="str">
        <f>"295,2485"</f>
        <v>295,2485</v>
      </c>
      <c r="U40" s="16" t="s">
        <v>458</v>
      </c>
    </row>
    <row r="41" spans="1:21">
      <c r="A41" s="39" t="s">
        <v>179</v>
      </c>
      <c r="B41" s="16" t="s">
        <v>188</v>
      </c>
      <c r="C41" s="16" t="s">
        <v>87</v>
      </c>
      <c r="D41" s="16" t="s">
        <v>88</v>
      </c>
      <c r="E41" s="17" t="s">
        <v>479</v>
      </c>
      <c r="F41" s="16" t="s">
        <v>470</v>
      </c>
      <c r="G41" s="38" t="s">
        <v>26</v>
      </c>
      <c r="H41" s="38" t="s">
        <v>72</v>
      </c>
      <c r="I41" s="40" t="s">
        <v>80</v>
      </c>
      <c r="J41" s="39"/>
      <c r="K41" s="38" t="s">
        <v>38</v>
      </c>
      <c r="L41" s="40" t="s">
        <v>14</v>
      </c>
      <c r="M41" s="38" t="s">
        <v>14</v>
      </c>
      <c r="N41" s="39"/>
      <c r="O41" s="38" t="s">
        <v>74</v>
      </c>
      <c r="P41" s="38" t="s">
        <v>77</v>
      </c>
      <c r="Q41" s="38" t="s">
        <v>89</v>
      </c>
      <c r="R41" s="39"/>
      <c r="S41" s="18" t="str">
        <f>"355,0"</f>
        <v>355,0</v>
      </c>
      <c r="T41" s="18" t="str">
        <f>"273,7050"</f>
        <v>273,7050</v>
      </c>
      <c r="U41" s="16" t="s">
        <v>355</v>
      </c>
    </row>
    <row r="42" spans="1:21">
      <c r="A42" s="39" t="s">
        <v>183</v>
      </c>
      <c r="B42" s="16" t="s">
        <v>189</v>
      </c>
      <c r="C42" s="16" t="s">
        <v>91</v>
      </c>
      <c r="D42" s="16" t="s">
        <v>92</v>
      </c>
      <c r="E42" s="17" t="s">
        <v>479</v>
      </c>
      <c r="F42" s="16" t="s">
        <v>470</v>
      </c>
      <c r="G42" s="40" t="s">
        <v>56</v>
      </c>
      <c r="H42" s="38" t="s">
        <v>56</v>
      </c>
      <c r="I42" s="40" t="s">
        <v>85</v>
      </c>
      <c r="J42" s="39"/>
      <c r="K42" s="38" t="s">
        <v>38</v>
      </c>
      <c r="L42" s="40" t="s">
        <v>14</v>
      </c>
      <c r="M42" s="40" t="s">
        <v>14</v>
      </c>
      <c r="N42" s="39"/>
      <c r="O42" s="38" t="s">
        <v>86</v>
      </c>
      <c r="P42" s="40" t="s">
        <v>93</v>
      </c>
      <c r="Q42" s="40" t="s">
        <v>94</v>
      </c>
      <c r="R42" s="39"/>
      <c r="S42" s="18" t="str">
        <f>"350.00o"</f>
        <v>350.00o</v>
      </c>
      <c r="T42" s="18" t="str">
        <f>"275,1700"</f>
        <v>275,1700</v>
      </c>
      <c r="U42" s="16" t="s">
        <v>355</v>
      </c>
    </row>
    <row r="43" spans="1:21">
      <c r="A43" s="37" t="s">
        <v>173</v>
      </c>
      <c r="B43" s="13" t="s">
        <v>190</v>
      </c>
      <c r="C43" s="13" t="s">
        <v>95</v>
      </c>
      <c r="D43" s="13" t="s">
        <v>76</v>
      </c>
      <c r="E43" s="14" t="s">
        <v>479</v>
      </c>
      <c r="F43" s="13" t="s">
        <v>470</v>
      </c>
      <c r="G43" s="35" t="s">
        <v>21</v>
      </c>
      <c r="H43" s="35" t="s">
        <v>81</v>
      </c>
      <c r="I43" s="36" t="s">
        <v>85</v>
      </c>
      <c r="J43" s="37"/>
      <c r="K43" s="36" t="s">
        <v>26</v>
      </c>
      <c r="L43" s="36" t="s">
        <v>26</v>
      </c>
      <c r="M43" s="36" t="s">
        <v>26</v>
      </c>
      <c r="N43" s="37"/>
      <c r="O43" s="36" t="s">
        <v>96</v>
      </c>
      <c r="P43" s="37"/>
      <c r="Q43" s="37"/>
      <c r="R43" s="37"/>
      <c r="S43" s="15" t="str">
        <f>"0.00"</f>
        <v>0.00</v>
      </c>
      <c r="T43" s="15" t="str">
        <f>"0,0000"</f>
        <v>0,0000</v>
      </c>
      <c r="U43" s="13" t="s">
        <v>355</v>
      </c>
    </row>
    <row r="45" spans="1:21" ht="16">
      <c r="A45" s="48" t="s">
        <v>97</v>
      </c>
      <c r="B45" s="48"/>
      <c r="C45" s="48"/>
      <c r="D45" s="48"/>
      <c r="E45" s="49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</row>
    <row r="46" spans="1:21">
      <c r="A46" s="34" t="s">
        <v>167</v>
      </c>
      <c r="B46" s="10" t="s">
        <v>191</v>
      </c>
      <c r="C46" s="10" t="s">
        <v>459</v>
      </c>
      <c r="D46" s="10" t="s">
        <v>98</v>
      </c>
      <c r="E46" s="11" t="s">
        <v>480</v>
      </c>
      <c r="F46" s="10" t="s">
        <v>470</v>
      </c>
      <c r="G46" s="32" t="s">
        <v>16</v>
      </c>
      <c r="H46" s="32" t="s">
        <v>27</v>
      </c>
      <c r="I46" s="32" t="s">
        <v>72</v>
      </c>
      <c r="J46" s="34"/>
      <c r="K46" s="32" t="s">
        <v>99</v>
      </c>
      <c r="L46" s="32" t="s">
        <v>39</v>
      </c>
      <c r="M46" s="32" t="s">
        <v>14</v>
      </c>
      <c r="N46" s="34"/>
      <c r="O46" s="32" t="s">
        <v>74</v>
      </c>
      <c r="P46" s="32" t="s">
        <v>75</v>
      </c>
      <c r="Q46" s="33" t="s">
        <v>67</v>
      </c>
      <c r="R46" s="34"/>
      <c r="S46" s="12" t="str">
        <f>"335,0"</f>
        <v>335,0</v>
      </c>
      <c r="T46" s="12" t="str">
        <f>"246,2920"</f>
        <v>246,2920</v>
      </c>
      <c r="U46" s="10" t="s">
        <v>457</v>
      </c>
    </row>
    <row r="47" spans="1:21">
      <c r="A47" s="37" t="s">
        <v>167</v>
      </c>
      <c r="B47" s="13" t="s">
        <v>192</v>
      </c>
      <c r="C47" s="13" t="s">
        <v>101</v>
      </c>
      <c r="D47" s="13" t="s">
        <v>102</v>
      </c>
      <c r="E47" s="14" t="s">
        <v>479</v>
      </c>
      <c r="F47" s="13" t="s">
        <v>470</v>
      </c>
      <c r="G47" s="35" t="s">
        <v>66</v>
      </c>
      <c r="H47" s="35" t="s">
        <v>256</v>
      </c>
      <c r="I47" s="36" t="s">
        <v>86</v>
      </c>
      <c r="J47" s="37"/>
      <c r="K47" s="35" t="s">
        <v>103</v>
      </c>
      <c r="L47" s="35" t="s">
        <v>106</v>
      </c>
      <c r="M47" s="35" t="s">
        <v>16</v>
      </c>
      <c r="N47" s="37"/>
      <c r="O47" s="35" t="s">
        <v>370</v>
      </c>
      <c r="P47" s="35" t="s">
        <v>129</v>
      </c>
      <c r="Q47" s="36" t="s">
        <v>104</v>
      </c>
      <c r="R47" s="37"/>
      <c r="S47" s="15" t="str">
        <f>"437.50o"</f>
        <v>437.50o</v>
      </c>
      <c r="T47" s="15" t="str">
        <f>"312,3313"</f>
        <v>312,3313</v>
      </c>
      <c r="U47" s="13" t="s">
        <v>355</v>
      </c>
    </row>
    <row r="49" spans="1:21" ht="16">
      <c r="A49" s="48" t="s">
        <v>43</v>
      </c>
      <c r="B49" s="48"/>
      <c r="C49" s="48"/>
      <c r="D49" s="48"/>
      <c r="E49" s="49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</row>
    <row r="50" spans="1:21">
      <c r="A50" s="34" t="s">
        <v>167</v>
      </c>
      <c r="B50" s="10" t="s">
        <v>193</v>
      </c>
      <c r="C50" s="10" t="s">
        <v>371</v>
      </c>
      <c r="D50" s="10" t="s">
        <v>105</v>
      </c>
      <c r="E50" s="11" t="s">
        <v>480</v>
      </c>
      <c r="F50" s="10" t="s">
        <v>470</v>
      </c>
      <c r="G50" s="32" t="s">
        <v>26</v>
      </c>
      <c r="H50" s="32" t="s">
        <v>20</v>
      </c>
      <c r="I50" s="32" t="s">
        <v>29</v>
      </c>
      <c r="J50" s="34"/>
      <c r="K50" s="32" t="s">
        <v>106</v>
      </c>
      <c r="L50" s="33" t="s">
        <v>107</v>
      </c>
      <c r="M50" s="33" t="s">
        <v>27</v>
      </c>
      <c r="N50" s="34"/>
      <c r="O50" s="32" t="s">
        <v>65</v>
      </c>
      <c r="P50" s="32" t="s">
        <v>67</v>
      </c>
      <c r="Q50" s="32" t="s">
        <v>86</v>
      </c>
      <c r="R50" s="34"/>
      <c r="S50" s="12" t="str">
        <f>"367,5"</f>
        <v>367,5</v>
      </c>
      <c r="T50" s="12" t="str">
        <f>"249,5325"</f>
        <v>249,5325</v>
      </c>
      <c r="U50" s="10" t="s">
        <v>457</v>
      </c>
    </row>
    <row r="51" spans="1:21">
      <c r="A51" s="37" t="s">
        <v>173</v>
      </c>
      <c r="B51" s="13" t="s">
        <v>194</v>
      </c>
      <c r="C51" s="13" t="s">
        <v>108</v>
      </c>
      <c r="D51" s="13" t="s">
        <v>109</v>
      </c>
      <c r="E51" s="14" t="s">
        <v>479</v>
      </c>
      <c r="F51" s="13" t="s">
        <v>470</v>
      </c>
      <c r="G51" s="35" t="s">
        <v>94</v>
      </c>
      <c r="H51" s="36" t="s">
        <v>104</v>
      </c>
      <c r="I51" s="36" t="s">
        <v>104</v>
      </c>
      <c r="J51" s="37"/>
      <c r="K51" s="36" t="s">
        <v>26</v>
      </c>
      <c r="L51" s="36" t="s">
        <v>26</v>
      </c>
      <c r="M51" s="36" t="s">
        <v>26</v>
      </c>
      <c r="N51" s="37"/>
      <c r="O51" s="36" t="s">
        <v>94</v>
      </c>
      <c r="P51" s="37"/>
      <c r="Q51" s="37"/>
      <c r="R51" s="37"/>
      <c r="S51" s="15" t="str">
        <f>"0.00"</f>
        <v>0.00</v>
      </c>
      <c r="T51" s="15" t="str">
        <f>"0,0000"</f>
        <v>0,0000</v>
      </c>
      <c r="U51" s="13" t="s">
        <v>355</v>
      </c>
    </row>
    <row r="53" spans="1:21" ht="16">
      <c r="A53" s="48" t="s">
        <v>110</v>
      </c>
      <c r="B53" s="48"/>
      <c r="C53" s="48"/>
      <c r="D53" s="48"/>
      <c r="E53" s="49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</row>
    <row r="54" spans="1:21">
      <c r="A54" s="31" t="s">
        <v>167</v>
      </c>
      <c r="B54" s="7" t="s">
        <v>195</v>
      </c>
      <c r="C54" s="7" t="s">
        <v>112</v>
      </c>
      <c r="D54" s="7" t="s">
        <v>113</v>
      </c>
      <c r="E54" s="8" t="s">
        <v>478</v>
      </c>
      <c r="F54" s="7" t="s">
        <v>470</v>
      </c>
      <c r="G54" s="30" t="s">
        <v>114</v>
      </c>
      <c r="H54" s="29" t="s">
        <v>114</v>
      </c>
      <c r="I54" s="30" t="s">
        <v>115</v>
      </c>
      <c r="J54" s="31"/>
      <c r="K54" s="29" t="s">
        <v>29</v>
      </c>
      <c r="L54" s="29" t="s">
        <v>57</v>
      </c>
      <c r="M54" s="30" t="s">
        <v>85</v>
      </c>
      <c r="N54" s="31"/>
      <c r="O54" s="29" t="s">
        <v>460</v>
      </c>
      <c r="P54" s="30" t="s">
        <v>116</v>
      </c>
      <c r="Q54" s="30" t="s">
        <v>117</v>
      </c>
      <c r="R54" s="31"/>
      <c r="S54" s="9" t="str">
        <f>"650.00o"</f>
        <v>650.00o</v>
      </c>
      <c r="T54" s="9" t="str">
        <f>"416,6500"</f>
        <v>416,6500</v>
      </c>
      <c r="U54" s="7" t="s">
        <v>355</v>
      </c>
    </row>
    <row r="56" spans="1:21" ht="16">
      <c r="A56" s="48" t="s">
        <v>118</v>
      </c>
      <c r="B56" s="48"/>
      <c r="C56" s="48"/>
      <c r="D56" s="48"/>
      <c r="E56" s="49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</row>
    <row r="57" spans="1:21">
      <c r="A57" s="31" t="s">
        <v>167</v>
      </c>
      <c r="B57" s="7" t="s">
        <v>196</v>
      </c>
      <c r="C57" s="7" t="s">
        <v>372</v>
      </c>
      <c r="D57" s="7" t="s">
        <v>120</v>
      </c>
      <c r="E57" s="8" t="s">
        <v>480</v>
      </c>
      <c r="F57" s="7" t="s">
        <v>470</v>
      </c>
      <c r="G57" s="29" t="s">
        <v>121</v>
      </c>
      <c r="H57" s="29" t="s">
        <v>104</v>
      </c>
      <c r="I57" s="29" t="s">
        <v>122</v>
      </c>
      <c r="J57" s="31"/>
      <c r="K57" s="29" t="s">
        <v>29</v>
      </c>
      <c r="L57" s="30" t="s">
        <v>56</v>
      </c>
      <c r="M57" s="30" t="s">
        <v>56</v>
      </c>
      <c r="N57" s="31"/>
      <c r="O57" s="29" t="s">
        <v>123</v>
      </c>
      <c r="P57" s="29" t="s">
        <v>124</v>
      </c>
      <c r="Q57" s="30" t="s">
        <v>125</v>
      </c>
      <c r="R57" s="31"/>
      <c r="S57" s="9" t="str">
        <f>"545,0"</f>
        <v>545,0</v>
      </c>
      <c r="T57" s="9" t="str">
        <f>"339,9710"</f>
        <v>339,9710</v>
      </c>
      <c r="U57" s="7" t="s">
        <v>457</v>
      </c>
    </row>
    <row r="59" spans="1:21" ht="16">
      <c r="A59" s="48" t="s">
        <v>126</v>
      </c>
      <c r="B59" s="48"/>
      <c r="C59" s="48"/>
      <c r="D59" s="48"/>
      <c r="E59" s="49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</row>
    <row r="60" spans="1:21">
      <c r="A60" s="34" t="s">
        <v>167</v>
      </c>
      <c r="B60" s="10" t="s">
        <v>197</v>
      </c>
      <c r="C60" s="10" t="s">
        <v>373</v>
      </c>
      <c r="D60" s="10" t="s">
        <v>128</v>
      </c>
      <c r="E60" s="11" t="s">
        <v>480</v>
      </c>
      <c r="F60" s="10" t="s">
        <v>471</v>
      </c>
      <c r="G60" s="32" t="s">
        <v>129</v>
      </c>
      <c r="H60" s="33" t="s">
        <v>104</v>
      </c>
      <c r="I60" s="33" t="s">
        <v>104</v>
      </c>
      <c r="J60" s="34"/>
      <c r="K60" s="33" t="s">
        <v>21</v>
      </c>
      <c r="L60" s="32" t="s">
        <v>21</v>
      </c>
      <c r="M60" s="33" t="s">
        <v>29</v>
      </c>
      <c r="N60" s="34"/>
      <c r="O60" s="32" t="s">
        <v>104</v>
      </c>
      <c r="P60" s="32" t="s">
        <v>130</v>
      </c>
      <c r="Q60" s="34"/>
      <c r="R60" s="34"/>
      <c r="S60" s="12" t="str">
        <f>"510,0"</f>
        <v>510,0</v>
      </c>
      <c r="T60" s="12" t="str">
        <f>"304,7760"</f>
        <v>304,7760</v>
      </c>
      <c r="U60" s="10" t="s">
        <v>456</v>
      </c>
    </row>
    <row r="61" spans="1:21">
      <c r="A61" s="37" t="s">
        <v>179</v>
      </c>
      <c r="B61" s="13" t="s">
        <v>198</v>
      </c>
      <c r="C61" s="13" t="s">
        <v>374</v>
      </c>
      <c r="D61" s="13" t="s">
        <v>131</v>
      </c>
      <c r="E61" s="14" t="s">
        <v>480</v>
      </c>
      <c r="F61" s="13" t="s">
        <v>470</v>
      </c>
      <c r="G61" s="36" t="s">
        <v>132</v>
      </c>
      <c r="H61" s="36" t="s">
        <v>132</v>
      </c>
      <c r="I61" s="35" t="s">
        <v>132</v>
      </c>
      <c r="J61" s="37"/>
      <c r="K61" s="35" t="s">
        <v>133</v>
      </c>
      <c r="L61" s="36" t="s">
        <v>106</v>
      </c>
      <c r="M61" s="36" t="s">
        <v>106</v>
      </c>
      <c r="N61" s="37"/>
      <c r="O61" s="35" t="s">
        <v>129</v>
      </c>
      <c r="P61" s="35" t="s">
        <v>122</v>
      </c>
      <c r="Q61" s="36" t="s">
        <v>134</v>
      </c>
      <c r="R61" s="37"/>
      <c r="S61" s="15" t="str">
        <f>"477,5"</f>
        <v>477,5</v>
      </c>
      <c r="T61" s="15" t="str">
        <f>"284,0170"</f>
        <v>284,0170</v>
      </c>
      <c r="U61" s="13" t="s">
        <v>462</v>
      </c>
    </row>
    <row r="63" spans="1:21" ht="16">
      <c r="A63" s="48" t="s">
        <v>135</v>
      </c>
      <c r="B63" s="48"/>
      <c r="C63" s="48"/>
      <c r="D63" s="48"/>
      <c r="E63" s="49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</row>
    <row r="64" spans="1:21">
      <c r="A64" s="34" t="s">
        <v>167</v>
      </c>
      <c r="B64" s="10" t="s">
        <v>199</v>
      </c>
      <c r="C64" s="10" t="s">
        <v>137</v>
      </c>
      <c r="D64" s="10" t="s">
        <v>138</v>
      </c>
      <c r="E64" s="11" t="s">
        <v>478</v>
      </c>
      <c r="F64" s="10" t="s">
        <v>470</v>
      </c>
      <c r="G64" s="32" t="s">
        <v>94</v>
      </c>
      <c r="H64" s="32" t="s">
        <v>104</v>
      </c>
      <c r="I64" s="34"/>
      <c r="J64" s="34"/>
      <c r="K64" s="32" t="s">
        <v>65</v>
      </c>
      <c r="L64" s="32" t="s">
        <v>67</v>
      </c>
      <c r="M64" s="32" t="s">
        <v>77</v>
      </c>
      <c r="N64" s="34"/>
      <c r="O64" s="32" t="s">
        <v>139</v>
      </c>
      <c r="P64" s="32" t="s">
        <v>140</v>
      </c>
      <c r="Q64" s="32" t="s">
        <v>141</v>
      </c>
      <c r="R64" s="34"/>
      <c r="S64" s="12" t="str">
        <f>"610,0"</f>
        <v>610,0</v>
      </c>
      <c r="T64" s="12" t="str">
        <f>"348,5540"</f>
        <v>348,5540</v>
      </c>
      <c r="U64" s="10"/>
    </row>
    <row r="65" spans="1:21">
      <c r="A65" s="37" t="s">
        <v>179</v>
      </c>
      <c r="B65" s="13" t="s">
        <v>200</v>
      </c>
      <c r="C65" s="13" t="s">
        <v>143</v>
      </c>
      <c r="D65" s="13" t="s">
        <v>144</v>
      </c>
      <c r="E65" s="14" t="s">
        <v>478</v>
      </c>
      <c r="F65" s="13" t="s">
        <v>471</v>
      </c>
      <c r="G65" s="35" t="s">
        <v>86</v>
      </c>
      <c r="H65" s="35" t="s">
        <v>145</v>
      </c>
      <c r="I65" s="36" t="s">
        <v>96</v>
      </c>
      <c r="J65" s="37"/>
      <c r="K65" s="36" t="s">
        <v>56</v>
      </c>
      <c r="L65" s="36" t="s">
        <v>56</v>
      </c>
      <c r="M65" s="35" t="s">
        <v>56</v>
      </c>
      <c r="N65" s="37"/>
      <c r="O65" s="36" t="s">
        <v>125</v>
      </c>
      <c r="P65" s="35" t="s">
        <v>140</v>
      </c>
      <c r="Q65" s="36" t="s">
        <v>114</v>
      </c>
      <c r="R65" s="37"/>
      <c r="S65" s="15" t="str">
        <f>"525,0"</f>
        <v>525,0</v>
      </c>
      <c r="T65" s="15" t="str">
        <f>"300,6675"</f>
        <v>300,6675</v>
      </c>
      <c r="U65" s="13"/>
    </row>
    <row r="69" spans="1:21" ht="18">
      <c r="B69" s="20" t="s">
        <v>146</v>
      </c>
      <c r="C69" s="20"/>
    </row>
    <row r="70" spans="1:21" ht="16">
      <c r="B70" s="21" t="s">
        <v>147</v>
      </c>
      <c r="C70" s="21"/>
    </row>
    <row r="71" spans="1:21" ht="14">
      <c r="B71" s="22"/>
      <c r="C71" s="23" t="s">
        <v>156</v>
      </c>
    </row>
    <row r="72" spans="1:21" ht="14">
      <c r="B72" s="24" t="s">
        <v>148</v>
      </c>
      <c r="C72" s="24" t="s">
        <v>149</v>
      </c>
      <c r="D72" s="24" t="s">
        <v>461</v>
      </c>
      <c r="E72" s="25" t="s">
        <v>150</v>
      </c>
      <c r="F72" s="24" t="s">
        <v>151</v>
      </c>
    </row>
    <row r="73" spans="1:21">
      <c r="B73" s="5" t="s">
        <v>11</v>
      </c>
      <c r="C73" s="5" t="s">
        <v>156</v>
      </c>
      <c r="D73" s="27" t="s">
        <v>157</v>
      </c>
      <c r="E73" s="28">
        <v>245</v>
      </c>
      <c r="F73" s="26">
        <v>338.71251285076102</v>
      </c>
    </row>
    <row r="74" spans="1:21">
      <c r="B74" s="5" t="s">
        <v>23</v>
      </c>
      <c r="C74" s="5" t="s">
        <v>156</v>
      </c>
      <c r="D74" s="27" t="s">
        <v>154</v>
      </c>
      <c r="E74" s="28">
        <v>265</v>
      </c>
      <c r="F74" s="26">
        <v>330.34900844097098</v>
      </c>
    </row>
    <row r="75" spans="1:21">
      <c r="B75" s="5" t="s">
        <v>44</v>
      </c>
      <c r="C75" s="5" t="s">
        <v>156</v>
      </c>
      <c r="D75" s="27" t="s">
        <v>158</v>
      </c>
      <c r="E75" s="28">
        <v>257.5</v>
      </c>
      <c r="F75" s="26">
        <v>237.646755427122</v>
      </c>
    </row>
    <row r="77" spans="1:21" ht="16">
      <c r="B77" s="21" t="s">
        <v>159</v>
      </c>
      <c r="C77" s="21"/>
    </row>
    <row r="78" spans="1:21" ht="14">
      <c r="B78" s="22"/>
      <c r="C78" s="23" t="s">
        <v>160</v>
      </c>
    </row>
    <row r="79" spans="1:21" ht="14">
      <c r="B79" s="24" t="s">
        <v>148</v>
      </c>
      <c r="C79" s="24" t="s">
        <v>149</v>
      </c>
      <c r="D79" s="24" t="s">
        <v>461</v>
      </c>
      <c r="E79" s="25" t="s">
        <v>150</v>
      </c>
      <c r="F79" s="24" t="s">
        <v>151</v>
      </c>
    </row>
    <row r="80" spans="1:21">
      <c r="B80" s="5" t="s">
        <v>119</v>
      </c>
      <c r="C80" s="5" t="s">
        <v>160</v>
      </c>
      <c r="D80" s="27" t="s">
        <v>161</v>
      </c>
      <c r="E80" s="28">
        <v>545</v>
      </c>
      <c r="F80" s="26">
        <v>339.97098892927198</v>
      </c>
    </row>
    <row r="81" spans="2:7">
      <c r="B81" s="5" t="s">
        <v>62</v>
      </c>
      <c r="C81" s="5" t="s">
        <v>160</v>
      </c>
      <c r="D81" s="27" t="s">
        <v>162</v>
      </c>
      <c r="E81" s="28">
        <v>325</v>
      </c>
      <c r="F81" s="26">
        <v>307.90499150752999</v>
      </c>
    </row>
    <row r="82" spans="2:7">
      <c r="B82" s="5" t="s">
        <v>127</v>
      </c>
      <c r="C82" s="5" t="s">
        <v>357</v>
      </c>
      <c r="D82" s="27" t="s">
        <v>163</v>
      </c>
      <c r="E82" s="28">
        <v>510</v>
      </c>
      <c r="F82" s="26">
        <v>304.77599143981899</v>
      </c>
    </row>
    <row r="84" spans="2:7" ht="14">
      <c r="B84" s="22"/>
      <c r="C84" s="23" t="s">
        <v>153</v>
      </c>
    </row>
    <row r="85" spans="2:7" ht="14">
      <c r="B85" s="24" t="s">
        <v>148</v>
      </c>
      <c r="C85" s="24" t="s">
        <v>149</v>
      </c>
      <c r="D85" s="24" t="s">
        <v>461</v>
      </c>
      <c r="E85" s="25" t="s">
        <v>150</v>
      </c>
      <c r="F85" s="24" t="s">
        <v>151</v>
      </c>
    </row>
    <row r="86" spans="2:7">
      <c r="B86" s="5" t="s">
        <v>100</v>
      </c>
      <c r="C86" s="5" t="s">
        <v>153</v>
      </c>
      <c r="D86" s="27" t="s">
        <v>164</v>
      </c>
      <c r="E86" s="28">
        <v>437.5</v>
      </c>
      <c r="F86" s="26">
        <v>312.331262975931</v>
      </c>
    </row>
    <row r="87" spans="2:7">
      <c r="B87" s="5" t="s">
        <v>82</v>
      </c>
      <c r="C87" s="5" t="s">
        <v>153</v>
      </c>
      <c r="D87" s="27" t="s">
        <v>152</v>
      </c>
      <c r="E87" s="28">
        <v>365</v>
      </c>
      <c r="F87" s="26">
        <v>295.24849951267203</v>
      </c>
    </row>
    <row r="88" spans="2:7">
      <c r="B88" s="5" t="s">
        <v>90</v>
      </c>
      <c r="C88" s="5" t="s">
        <v>153</v>
      </c>
      <c r="D88" s="27" t="s">
        <v>152</v>
      </c>
      <c r="E88" s="28">
        <v>350</v>
      </c>
      <c r="F88" s="26">
        <v>275.16999542713199</v>
      </c>
    </row>
    <row r="90" spans="2:7" ht="14">
      <c r="B90" s="22"/>
      <c r="C90" s="23" t="s">
        <v>156</v>
      </c>
    </row>
    <row r="91" spans="2:7" ht="14">
      <c r="B91" s="24" t="s">
        <v>148</v>
      </c>
      <c r="C91" s="24" t="s">
        <v>149</v>
      </c>
      <c r="D91" s="24" t="s">
        <v>461</v>
      </c>
      <c r="E91" s="25" t="s">
        <v>150</v>
      </c>
      <c r="F91" s="24" t="s">
        <v>151</v>
      </c>
    </row>
    <row r="92" spans="2:7">
      <c r="B92" s="5" t="s">
        <v>111</v>
      </c>
      <c r="C92" s="5" t="s">
        <v>156</v>
      </c>
      <c r="D92" s="27" t="s">
        <v>165</v>
      </c>
      <c r="E92" s="28">
        <v>650</v>
      </c>
      <c r="F92" s="26">
        <v>416.649982333183</v>
      </c>
    </row>
    <row r="93" spans="2:7">
      <c r="B93" s="5" t="s">
        <v>136</v>
      </c>
      <c r="C93" s="5" t="s">
        <v>156</v>
      </c>
      <c r="D93" s="27" t="s">
        <v>166</v>
      </c>
      <c r="E93" s="28">
        <v>610</v>
      </c>
      <c r="F93" s="26">
        <v>348.55399191379502</v>
      </c>
      <c r="G93" s="5"/>
    </row>
    <row r="94" spans="2:7">
      <c r="B94" s="5" t="s">
        <v>142</v>
      </c>
      <c r="C94" s="5" t="s">
        <v>156</v>
      </c>
      <c r="D94" s="27" t="s">
        <v>166</v>
      </c>
      <c r="E94" s="28">
        <v>525</v>
      </c>
      <c r="F94" s="26">
        <v>300.66751241684</v>
      </c>
    </row>
  </sheetData>
  <mergeCells count="29">
    <mergeCell ref="A18:R18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63:R63"/>
    <mergeCell ref="B3:B4"/>
    <mergeCell ref="A45:R45"/>
    <mergeCell ref="A49:R49"/>
    <mergeCell ref="A53:R53"/>
    <mergeCell ref="A56:R56"/>
    <mergeCell ref="A59:R59"/>
    <mergeCell ref="A22:R22"/>
    <mergeCell ref="A25:R25"/>
    <mergeCell ref="A28:R28"/>
    <mergeCell ref="A31:R31"/>
    <mergeCell ref="A35:R35"/>
    <mergeCell ref="A5:R5"/>
    <mergeCell ref="A8:R8"/>
    <mergeCell ref="A12:R12"/>
    <mergeCell ref="A15:R15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"/>
  <sheetViews>
    <sheetView topLeftCell="A30" zoomScaleNormal="100" workbookViewId="0">
      <selection activeCell="E72" sqref="E72"/>
    </sheetView>
  </sheetViews>
  <sheetFormatPr baseColWidth="10" defaultColWidth="9.1640625" defaultRowHeight="13"/>
  <cols>
    <col min="1" max="1" width="7.33203125" style="5" bestFit="1" customWidth="1"/>
    <col min="2" max="2" width="22.33203125" style="5" customWidth="1"/>
    <col min="3" max="3" width="27.83203125" style="5" customWidth="1"/>
    <col min="4" max="4" width="20.83203125" style="5" bestFit="1" customWidth="1"/>
    <col min="5" max="5" width="10.1640625" style="19" bestFit="1" customWidth="1"/>
    <col min="6" max="6" width="32.33203125" style="5" customWidth="1"/>
    <col min="7" max="9" width="5.6640625" style="27" bestFit="1" customWidth="1"/>
    <col min="10" max="10" width="4.33203125" style="27" customWidth="1"/>
    <col min="11" max="11" width="10.5" style="28" bestFit="1" customWidth="1"/>
    <col min="12" max="12" width="8.5" style="6" bestFit="1" customWidth="1"/>
    <col min="13" max="13" width="20.5" style="5" customWidth="1"/>
    <col min="14" max="16384" width="9.1640625" style="3"/>
  </cols>
  <sheetData>
    <row r="1" spans="1:13" s="2" customFormat="1" ht="29" customHeight="1">
      <c r="A1" s="56" t="s">
        <v>464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5" t="s">
        <v>469</v>
      </c>
      <c r="B3" s="50" t="s">
        <v>0</v>
      </c>
      <c r="C3" s="67" t="s">
        <v>476</v>
      </c>
      <c r="D3" s="67" t="s">
        <v>6</v>
      </c>
      <c r="E3" s="54" t="s">
        <v>477</v>
      </c>
      <c r="F3" s="64" t="s">
        <v>5</v>
      </c>
      <c r="G3" s="64" t="s">
        <v>8</v>
      </c>
      <c r="H3" s="64"/>
      <c r="I3" s="64"/>
      <c r="J3" s="64"/>
      <c r="K3" s="71" t="s">
        <v>271</v>
      </c>
      <c r="L3" s="54" t="s">
        <v>3</v>
      </c>
      <c r="M3" s="69" t="s">
        <v>2</v>
      </c>
    </row>
    <row r="4" spans="1:13" s="1" customFormat="1" ht="21" customHeight="1" thickBot="1">
      <c r="A4" s="66"/>
      <c r="B4" s="51"/>
      <c r="C4" s="68"/>
      <c r="D4" s="68"/>
      <c r="E4" s="55"/>
      <c r="F4" s="68"/>
      <c r="G4" s="4">
        <v>1</v>
      </c>
      <c r="H4" s="4">
        <v>2</v>
      </c>
      <c r="I4" s="4">
        <v>3</v>
      </c>
      <c r="J4" s="4" t="s">
        <v>4</v>
      </c>
      <c r="K4" s="72"/>
      <c r="L4" s="55"/>
      <c r="M4" s="70"/>
    </row>
    <row r="5" spans="1:13" ht="16">
      <c r="A5" s="52" t="s">
        <v>22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34" t="s">
        <v>167</v>
      </c>
      <c r="B6" s="10" t="s">
        <v>169</v>
      </c>
      <c r="C6" s="10" t="s">
        <v>24</v>
      </c>
      <c r="D6" s="10" t="s">
        <v>25</v>
      </c>
      <c r="E6" s="11" t="s">
        <v>479</v>
      </c>
      <c r="F6" s="10" t="s">
        <v>471</v>
      </c>
      <c r="G6" s="32" t="s">
        <v>19</v>
      </c>
      <c r="H6" s="33" t="s">
        <v>28</v>
      </c>
      <c r="I6" s="33" t="s">
        <v>28</v>
      </c>
      <c r="J6" s="34"/>
      <c r="K6" s="43" t="str">
        <f>"50,0"</f>
        <v>50,0</v>
      </c>
      <c r="L6" s="12" t="str">
        <f>"62,3300"</f>
        <v>62,3300</v>
      </c>
      <c r="M6" s="10" t="s">
        <v>456</v>
      </c>
    </row>
    <row r="7" spans="1:13">
      <c r="A7" s="37" t="s">
        <v>167</v>
      </c>
      <c r="B7" s="13" t="s">
        <v>169</v>
      </c>
      <c r="C7" s="13" t="s">
        <v>30</v>
      </c>
      <c r="D7" s="13" t="s">
        <v>25</v>
      </c>
      <c r="E7" s="14" t="s">
        <v>478</v>
      </c>
      <c r="F7" s="13" t="s">
        <v>471</v>
      </c>
      <c r="G7" s="35" t="s">
        <v>19</v>
      </c>
      <c r="H7" s="36" t="s">
        <v>28</v>
      </c>
      <c r="I7" s="36" t="s">
        <v>28</v>
      </c>
      <c r="J7" s="37"/>
      <c r="K7" s="44" t="str">
        <f>"50,0"</f>
        <v>50,0</v>
      </c>
      <c r="L7" s="15" t="str">
        <f>"62,3300"</f>
        <v>62,3300</v>
      </c>
      <c r="M7" s="13" t="s">
        <v>456</v>
      </c>
    </row>
    <row r="9" spans="1:13" ht="16">
      <c r="A9" s="48" t="s">
        <v>61</v>
      </c>
      <c r="B9" s="48"/>
      <c r="C9" s="48"/>
      <c r="D9" s="48"/>
      <c r="E9" s="49"/>
      <c r="F9" s="48"/>
      <c r="G9" s="48"/>
      <c r="H9" s="48"/>
      <c r="I9" s="48"/>
      <c r="J9" s="48"/>
    </row>
    <row r="10" spans="1:13">
      <c r="A10" s="34" t="s">
        <v>167</v>
      </c>
      <c r="B10" s="10" t="s">
        <v>272</v>
      </c>
      <c r="C10" s="10" t="s">
        <v>201</v>
      </c>
      <c r="D10" s="10" t="s">
        <v>202</v>
      </c>
      <c r="E10" s="11" t="s">
        <v>479</v>
      </c>
      <c r="F10" s="10" t="s">
        <v>470</v>
      </c>
      <c r="G10" s="32" t="s">
        <v>37</v>
      </c>
      <c r="H10" s="32" t="s">
        <v>203</v>
      </c>
      <c r="I10" s="32" t="s">
        <v>38</v>
      </c>
      <c r="J10" s="34"/>
      <c r="K10" s="43" t="str">
        <f>"70,0"</f>
        <v>70,0</v>
      </c>
      <c r="L10" s="12" t="str">
        <f>"85,3580"</f>
        <v>85,3580</v>
      </c>
      <c r="M10" s="10" t="s">
        <v>457</v>
      </c>
    </row>
    <row r="11" spans="1:13">
      <c r="A11" s="39" t="s">
        <v>167</v>
      </c>
      <c r="B11" s="16" t="s">
        <v>273</v>
      </c>
      <c r="C11" s="16" t="s">
        <v>205</v>
      </c>
      <c r="D11" s="16" t="s">
        <v>206</v>
      </c>
      <c r="E11" s="17" t="s">
        <v>478</v>
      </c>
      <c r="F11" s="16" t="s">
        <v>471</v>
      </c>
      <c r="G11" s="38" t="s">
        <v>47</v>
      </c>
      <c r="H11" s="38" t="s">
        <v>19</v>
      </c>
      <c r="I11" s="40" t="s">
        <v>28</v>
      </c>
      <c r="J11" s="39"/>
      <c r="K11" s="45" t="str">
        <f>"50,0"</f>
        <v>50,0</v>
      </c>
      <c r="L11" s="18" t="str">
        <f>"59,4150"</f>
        <v>59,4150</v>
      </c>
      <c r="M11" s="16" t="s">
        <v>456</v>
      </c>
    </row>
    <row r="12" spans="1:13">
      <c r="A12" s="37" t="s">
        <v>179</v>
      </c>
      <c r="B12" s="13" t="s">
        <v>274</v>
      </c>
      <c r="C12" s="13" t="s">
        <v>207</v>
      </c>
      <c r="D12" s="13" t="s">
        <v>208</v>
      </c>
      <c r="E12" s="14" t="s">
        <v>478</v>
      </c>
      <c r="F12" s="13" t="s">
        <v>470</v>
      </c>
      <c r="G12" s="35" t="s">
        <v>41</v>
      </c>
      <c r="H12" s="35" t="s">
        <v>17</v>
      </c>
      <c r="I12" s="36" t="s">
        <v>47</v>
      </c>
      <c r="J12" s="37"/>
      <c r="K12" s="44" t="str">
        <f>"42,5"</f>
        <v>42,5</v>
      </c>
      <c r="L12" s="15" t="str">
        <f>"52,2835"</f>
        <v>52,2835</v>
      </c>
      <c r="M12" s="13" t="s">
        <v>457</v>
      </c>
    </row>
    <row r="14" spans="1:13" ht="16">
      <c r="A14" s="48" t="s">
        <v>31</v>
      </c>
      <c r="B14" s="48"/>
      <c r="C14" s="48"/>
      <c r="D14" s="48"/>
      <c r="E14" s="49"/>
      <c r="F14" s="48"/>
      <c r="G14" s="48"/>
      <c r="H14" s="48"/>
      <c r="I14" s="48"/>
      <c r="J14" s="48"/>
    </row>
    <row r="15" spans="1:13">
      <c r="A15" s="34" t="s">
        <v>167</v>
      </c>
      <c r="B15" s="10" t="s">
        <v>275</v>
      </c>
      <c r="C15" s="10" t="s">
        <v>375</v>
      </c>
      <c r="D15" s="10" t="s">
        <v>209</v>
      </c>
      <c r="E15" s="11" t="s">
        <v>480</v>
      </c>
      <c r="F15" s="10" t="s">
        <v>470</v>
      </c>
      <c r="G15" s="33" t="s">
        <v>40</v>
      </c>
      <c r="H15" s="32" t="s">
        <v>40</v>
      </c>
      <c r="I15" s="32" t="s">
        <v>41</v>
      </c>
      <c r="J15" s="34"/>
      <c r="K15" s="43" t="str">
        <f>"40,0"</f>
        <v>40,0</v>
      </c>
      <c r="L15" s="12" t="str">
        <f>"44,5960"</f>
        <v>44,5960</v>
      </c>
      <c r="M15" s="10" t="s">
        <v>457</v>
      </c>
    </row>
    <row r="16" spans="1:13">
      <c r="A16" s="37" t="s">
        <v>173</v>
      </c>
      <c r="B16" s="13" t="s">
        <v>276</v>
      </c>
      <c r="C16" s="13" t="s">
        <v>210</v>
      </c>
      <c r="D16" s="13" t="s">
        <v>209</v>
      </c>
      <c r="E16" s="14" t="s">
        <v>478</v>
      </c>
      <c r="F16" s="13" t="s">
        <v>471</v>
      </c>
      <c r="G16" s="36" t="s">
        <v>19</v>
      </c>
      <c r="H16" s="37"/>
      <c r="I16" s="37"/>
      <c r="J16" s="37"/>
      <c r="K16" s="44">
        <v>0</v>
      </c>
      <c r="L16" s="15" t="str">
        <f>"0,0000"</f>
        <v>0,0000</v>
      </c>
      <c r="M16" s="13" t="s">
        <v>456</v>
      </c>
    </row>
    <row r="18" spans="1:13" ht="16">
      <c r="A18" s="48" t="s">
        <v>35</v>
      </c>
      <c r="B18" s="48"/>
      <c r="C18" s="48"/>
      <c r="D18" s="48"/>
      <c r="E18" s="49"/>
      <c r="F18" s="48"/>
      <c r="G18" s="48"/>
      <c r="H18" s="48"/>
      <c r="I18" s="48"/>
      <c r="J18" s="48"/>
    </row>
    <row r="19" spans="1:13">
      <c r="A19" s="34" t="s">
        <v>167</v>
      </c>
      <c r="B19" s="10" t="s">
        <v>277</v>
      </c>
      <c r="C19" s="10" t="s">
        <v>211</v>
      </c>
      <c r="D19" s="10" t="s">
        <v>212</v>
      </c>
      <c r="E19" s="11" t="s">
        <v>478</v>
      </c>
      <c r="F19" s="10" t="s">
        <v>470</v>
      </c>
      <c r="G19" s="32" t="s">
        <v>17</v>
      </c>
      <c r="H19" s="32" t="s">
        <v>47</v>
      </c>
      <c r="I19" s="32" t="s">
        <v>19</v>
      </c>
      <c r="J19" s="34"/>
      <c r="K19" s="43" t="str">
        <f>"50,0"</f>
        <v>50,0</v>
      </c>
      <c r="L19" s="12" t="str">
        <f>"54,3550"</f>
        <v>54,3550</v>
      </c>
      <c r="M19" s="10" t="s">
        <v>457</v>
      </c>
    </row>
    <row r="20" spans="1:13">
      <c r="A20" s="37" t="s">
        <v>179</v>
      </c>
      <c r="B20" s="13" t="s">
        <v>278</v>
      </c>
      <c r="C20" s="13" t="s">
        <v>213</v>
      </c>
      <c r="D20" s="13" t="s">
        <v>214</v>
      </c>
      <c r="E20" s="14" t="s">
        <v>478</v>
      </c>
      <c r="F20" s="13" t="s">
        <v>470</v>
      </c>
      <c r="G20" s="35" t="s">
        <v>41</v>
      </c>
      <c r="H20" s="35" t="s">
        <v>17</v>
      </c>
      <c r="I20" s="35" t="s">
        <v>18</v>
      </c>
      <c r="J20" s="37"/>
      <c r="K20" s="44" t="str">
        <f>"47,5"</f>
        <v>47,5</v>
      </c>
      <c r="L20" s="15" t="str">
        <f>"49,0058"</f>
        <v>49,0058</v>
      </c>
      <c r="M20" s="13" t="s">
        <v>457</v>
      </c>
    </row>
    <row r="22" spans="1:13" ht="16">
      <c r="A22" s="48" t="s">
        <v>43</v>
      </c>
      <c r="B22" s="48"/>
      <c r="C22" s="48"/>
      <c r="D22" s="48"/>
      <c r="E22" s="49"/>
      <c r="F22" s="48"/>
      <c r="G22" s="48"/>
      <c r="H22" s="48"/>
      <c r="I22" s="48"/>
      <c r="J22" s="48"/>
    </row>
    <row r="23" spans="1:13">
      <c r="A23" s="31" t="s">
        <v>167</v>
      </c>
      <c r="B23" s="7" t="s">
        <v>279</v>
      </c>
      <c r="C23" s="7" t="s">
        <v>215</v>
      </c>
      <c r="D23" s="7" t="s">
        <v>216</v>
      </c>
      <c r="E23" s="8" t="s">
        <v>478</v>
      </c>
      <c r="F23" s="7" t="s">
        <v>471</v>
      </c>
      <c r="G23" s="30" t="s">
        <v>18</v>
      </c>
      <c r="H23" s="29" t="s">
        <v>217</v>
      </c>
      <c r="I23" s="30" t="s">
        <v>28</v>
      </c>
      <c r="J23" s="31"/>
      <c r="K23" s="46" t="str">
        <f>"47,5"</f>
        <v>47,5</v>
      </c>
      <c r="L23" s="9" t="str">
        <f>"43,6145"</f>
        <v>43,6145</v>
      </c>
      <c r="M23" s="7" t="s">
        <v>355</v>
      </c>
    </row>
    <row r="25" spans="1:13" ht="16">
      <c r="A25" s="48" t="s">
        <v>110</v>
      </c>
      <c r="B25" s="48"/>
      <c r="C25" s="48"/>
      <c r="D25" s="48"/>
      <c r="E25" s="49"/>
      <c r="F25" s="48"/>
      <c r="G25" s="48"/>
      <c r="H25" s="48"/>
      <c r="I25" s="48"/>
      <c r="J25" s="48"/>
    </row>
    <row r="26" spans="1:13">
      <c r="A26" s="34" t="s">
        <v>167</v>
      </c>
      <c r="B26" s="10" t="s">
        <v>280</v>
      </c>
      <c r="C26" s="10" t="s">
        <v>219</v>
      </c>
      <c r="D26" s="10" t="s">
        <v>220</v>
      </c>
      <c r="E26" s="11" t="s">
        <v>478</v>
      </c>
      <c r="F26" s="10" t="s">
        <v>471</v>
      </c>
      <c r="G26" s="32" t="s">
        <v>38</v>
      </c>
      <c r="H26" s="32" t="s">
        <v>99</v>
      </c>
      <c r="I26" s="33" t="s">
        <v>39</v>
      </c>
      <c r="J26" s="34"/>
      <c r="K26" s="43" t="str">
        <f>"72,5"</f>
        <v>72,5</v>
      </c>
      <c r="L26" s="12" t="str">
        <f>"64,0973"</f>
        <v>64,0973</v>
      </c>
      <c r="M26" s="10" t="s">
        <v>456</v>
      </c>
    </row>
    <row r="27" spans="1:13">
      <c r="A27" s="39" t="s">
        <v>179</v>
      </c>
      <c r="B27" s="16" t="s">
        <v>281</v>
      </c>
      <c r="C27" s="16" t="s">
        <v>221</v>
      </c>
      <c r="D27" s="16" t="s">
        <v>222</v>
      </c>
      <c r="E27" s="17" t="s">
        <v>478</v>
      </c>
      <c r="F27" s="16" t="s">
        <v>470</v>
      </c>
      <c r="G27" s="38" t="s">
        <v>18</v>
      </c>
      <c r="H27" s="38" t="s">
        <v>28</v>
      </c>
      <c r="I27" s="38" t="s">
        <v>55</v>
      </c>
      <c r="J27" s="39"/>
      <c r="K27" s="45" t="str">
        <f>"57,5"</f>
        <v>57,5</v>
      </c>
      <c r="L27" s="18" t="str">
        <f>"49,8008"</f>
        <v>49,8008</v>
      </c>
      <c r="M27" s="16" t="s">
        <v>457</v>
      </c>
    </row>
    <row r="28" spans="1:13">
      <c r="A28" s="37" t="s">
        <v>173</v>
      </c>
      <c r="B28" s="13" t="s">
        <v>282</v>
      </c>
      <c r="C28" s="13" t="s">
        <v>223</v>
      </c>
      <c r="D28" s="13" t="s">
        <v>224</v>
      </c>
      <c r="E28" s="14" t="s">
        <v>478</v>
      </c>
      <c r="F28" s="13" t="s">
        <v>470</v>
      </c>
      <c r="G28" s="36" t="s">
        <v>37</v>
      </c>
      <c r="H28" s="36" t="s">
        <v>203</v>
      </c>
      <c r="I28" s="36" t="s">
        <v>203</v>
      </c>
      <c r="J28" s="37"/>
      <c r="K28" s="44" t="str">
        <f>"0.00"</f>
        <v>0.00</v>
      </c>
      <c r="L28" s="15" t="str">
        <f>"0,0000"</f>
        <v>0,0000</v>
      </c>
      <c r="M28" s="13" t="s">
        <v>457</v>
      </c>
    </row>
    <row r="30" spans="1:13" ht="16">
      <c r="A30" s="48" t="s">
        <v>61</v>
      </c>
      <c r="B30" s="48"/>
      <c r="C30" s="48"/>
      <c r="D30" s="48"/>
      <c r="E30" s="49"/>
      <c r="F30" s="48"/>
      <c r="G30" s="48"/>
      <c r="H30" s="48"/>
      <c r="I30" s="48"/>
      <c r="J30" s="48"/>
    </row>
    <row r="31" spans="1:13">
      <c r="A31" s="34" t="s">
        <v>167</v>
      </c>
      <c r="B31" s="10" t="s">
        <v>283</v>
      </c>
      <c r="C31" s="10" t="s">
        <v>376</v>
      </c>
      <c r="D31" s="10" t="s">
        <v>226</v>
      </c>
      <c r="E31" s="11" t="s">
        <v>480</v>
      </c>
      <c r="F31" s="10" t="s">
        <v>470</v>
      </c>
      <c r="G31" s="32" t="s">
        <v>26</v>
      </c>
      <c r="H31" s="33" t="s">
        <v>20</v>
      </c>
      <c r="I31" s="33" t="s">
        <v>20</v>
      </c>
      <c r="J31" s="34"/>
      <c r="K31" s="43" t="str">
        <f>"100,0"</f>
        <v>100,0</v>
      </c>
      <c r="L31" s="12" t="str">
        <f>"93,5200"</f>
        <v>93,5200</v>
      </c>
      <c r="M31" s="10"/>
    </row>
    <row r="32" spans="1:13">
      <c r="A32" s="39" t="s">
        <v>179</v>
      </c>
      <c r="B32" s="16" t="s">
        <v>284</v>
      </c>
      <c r="C32" s="16" t="s">
        <v>377</v>
      </c>
      <c r="D32" s="16" t="s">
        <v>227</v>
      </c>
      <c r="E32" s="17" t="s">
        <v>480</v>
      </c>
      <c r="F32" s="16" t="s">
        <v>471</v>
      </c>
      <c r="G32" s="40" t="s">
        <v>38</v>
      </c>
      <c r="H32" s="38" t="s">
        <v>38</v>
      </c>
      <c r="I32" s="40" t="s">
        <v>39</v>
      </c>
      <c r="J32" s="39"/>
      <c r="K32" s="45" t="str">
        <f>"70,0"</f>
        <v>70,0</v>
      </c>
      <c r="L32" s="18" t="str">
        <f>"68,2780"</f>
        <v>68,2780</v>
      </c>
      <c r="M32" s="16" t="s">
        <v>456</v>
      </c>
    </row>
    <row r="33" spans="1:13">
      <c r="A33" s="37" t="s">
        <v>183</v>
      </c>
      <c r="B33" s="13" t="s">
        <v>285</v>
      </c>
      <c r="C33" s="13" t="s">
        <v>378</v>
      </c>
      <c r="D33" s="13" t="s">
        <v>64</v>
      </c>
      <c r="E33" s="14" t="s">
        <v>480</v>
      </c>
      <c r="F33" s="13" t="s">
        <v>471</v>
      </c>
      <c r="G33" s="35" t="s">
        <v>19</v>
      </c>
      <c r="H33" s="36" t="s">
        <v>54</v>
      </c>
      <c r="I33" s="36" t="s">
        <v>54</v>
      </c>
      <c r="J33" s="37"/>
      <c r="K33" s="44" t="str">
        <f>"50,0"</f>
        <v>50,0</v>
      </c>
      <c r="L33" s="15" t="str">
        <f>"47,3700"</f>
        <v>47,3700</v>
      </c>
      <c r="M33" s="13" t="s">
        <v>456</v>
      </c>
    </row>
    <row r="35" spans="1:13" ht="16">
      <c r="A35" s="48" t="s">
        <v>31</v>
      </c>
      <c r="B35" s="48"/>
      <c r="C35" s="48"/>
      <c r="D35" s="48"/>
      <c r="E35" s="49"/>
      <c r="F35" s="48"/>
      <c r="G35" s="48"/>
      <c r="H35" s="48"/>
      <c r="I35" s="48"/>
      <c r="J35" s="48"/>
    </row>
    <row r="36" spans="1:13">
      <c r="A36" s="34" t="s">
        <v>167</v>
      </c>
      <c r="B36" s="10" t="s">
        <v>286</v>
      </c>
      <c r="C36" s="10" t="s">
        <v>379</v>
      </c>
      <c r="D36" s="10" t="s">
        <v>209</v>
      </c>
      <c r="E36" s="11" t="s">
        <v>480</v>
      </c>
      <c r="F36" s="10" t="s">
        <v>470</v>
      </c>
      <c r="G36" s="32" t="s">
        <v>99</v>
      </c>
      <c r="H36" s="32" t="s">
        <v>39</v>
      </c>
      <c r="I36" s="33" t="s">
        <v>14</v>
      </c>
      <c r="J36" s="34"/>
      <c r="K36" s="43" t="str">
        <f>"75,0"</f>
        <v>75,0</v>
      </c>
      <c r="L36" s="12" t="str">
        <f>"63,9675"</f>
        <v>63,9675</v>
      </c>
      <c r="M36" s="10" t="s">
        <v>457</v>
      </c>
    </row>
    <row r="37" spans="1:13">
      <c r="A37" s="39" t="s">
        <v>179</v>
      </c>
      <c r="B37" s="16" t="s">
        <v>287</v>
      </c>
      <c r="C37" s="16" t="s">
        <v>380</v>
      </c>
      <c r="D37" s="16" t="s">
        <v>228</v>
      </c>
      <c r="E37" s="17" t="s">
        <v>480</v>
      </c>
      <c r="F37" s="16" t="s">
        <v>471</v>
      </c>
      <c r="G37" s="40" t="s">
        <v>229</v>
      </c>
      <c r="H37" s="38" t="s">
        <v>229</v>
      </c>
      <c r="I37" s="40" t="s">
        <v>37</v>
      </c>
      <c r="J37" s="39"/>
      <c r="K37" s="45" t="str">
        <f>"62,5"</f>
        <v>62,5</v>
      </c>
      <c r="L37" s="18" t="str">
        <f>"54,5687"</f>
        <v>54,5687</v>
      </c>
      <c r="M37" s="16" t="s">
        <v>462</v>
      </c>
    </row>
    <row r="38" spans="1:13">
      <c r="A38" s="37" t="s">
        <v>183</v>
      </c>
      <c r="B38" s="13" t="s">
        <v>288</v>
      </c>
      <c r="C38" s="13" t="s">
        <v>381</v>
      </c>
      <c r="D38" s="13" t="s">
        <v>230</v>
      </c>
      <c r="E38" s="14" t="s">
        <v>480</v>
      </c>
      <c r="F38" s="13" t="s">
        <v>470</v>
      </c>
      <c r="G38" s="35" t="s">
        <v>231</v>
      </c>
      <c r="H38" s="35" t="s">
        <v>232</v>
      </c>
      <c r="I38" s="35" t="s">
        <v>233</v>
      </c>
      <c r="J38" s="37"/>
      <c r="K38" s="44" t="str">
        <f>"35,0"</f>
        <v>35,0</v>
      </c>
      <c r="L38" s="15" t="str">
        <f>"29,9880"</f>
        <v>29,9880</v>
      </c>
      <c r="M38" s="13" t="s">
        <v>457</v>
      </c>
    </row>
    <row r="40" spans="1:13" ht="16">
      <c r="A40" s="48" t="s">
        <v>35</v>
      </c>
      <c r="B40" s="48"/>
      <c r="C40" s="48"/>
      <c r="D40" s="48"/>
      <c r="E40" s="49"/>
      <c r="F40" s="48"/>
      <c r="G40" s="48"/>
      <c r="H40" s="48"/>
      <c r="I40" s="48"/>
      <c r="J40" s="48"/>
    </row>
    <row r="41" spans="1:13">
      <c r="A41" s="34" t="s">
        <v>167</v>
      </c>
      <c r="B41" s="10" t="s">
        <v>289</v>
      </c>
      <c r="C41" s="10" t="s">
        <v>359</v>
      </c>
      <c r="D41" s="10" t="s">
        <v>235</v>
      </c>
      <c r="E41" s="11" t="s">
        <v>480</v>
      </c>
      <c r="F41" s="10" t="s">
        <v>470</v>
      </c>
      <c r="G41" s="32" t="s">
        <v>14</v>
      </c>
      <c r="H41" s="32" t="s">
        <v>133</v>
      </c>
      <c r="I41" s="33" t="s">
        <v>16</v>
      </c>
      <c r="J41" s="34"/>
      <c r="K41" s="43" t="str">
        <f>"87,5"</f>
        <v>87,5</v>
      </c>
      <c r="L41" s="12" t="str">
        <f>"73,5175"</f>
        <v>73,5175</v>
      </c>
      <c r="M41" s="10"/>
    </row>
    <row r="42" spans="1:13">
      <c r="A42" s="39" t="s">
        <v>179</v>
      </c>
      <c r="B42" s="16" t="s">
        <v>290</v>
      </c>
      <c r="C42" s="16" t="s">
        <v>382</v>
      </c>
      <c r="D42" s="16" t="s">
        <v>79</v>
      </c>
      <c r="E42" s="17" t="s">
        <v>480</v>
      </c>
      <c r="F42" s="16" t="s">
        <v>471</v>
      </c>
      <c r="G42" s="38" t="s">
        <v>47</v>
      </c>
      <c r="H42" s="38" t="s">
        <v>19</v>
      </c>
      <c r="I42" s="38" t="s">
        <v>28</v>
      </c>
      <c r="J42" s="39"/>
      <c r="K42" s="45" t="str">
        <f>"52,5"</f>
        <v>52,5</v>
      </c>
      <c r="L42" s="18" t="str">
        <f>"42,1837"</f>
        <v>42,1837</v>
      </c>
      <c r="M42" s="16" t="s">
        <v>456</v>
      </c>
    </row>
    <row r="43" spans="1:13">
      <c r="A43" s="37" t="s">
        <v>167</v>
      </c>
      <c r="B43" s="13" t="s">
        <v>291</v>
      </c>
      <c r="C43" s="13" t="s">
        <v>236</v>
      </c>
      <c r="D43" s="13" t="s">
        <v>237</v>
      </c>
      <c r="E43" s="14" t="s">
        <v>478</v>
      </c>
      <c r="F43" s="13" t="s">
        <v>470</v>
      </c>
      <c r="G43" s="35" t="s">
        <v>20</v>
      </c>
      <c r="H43" s="36" t="s">
        <v>21</v>
      </c>
      <c r="I43" s="36" t="s">
        <v>21</v>
      </c>
      <c r="J43" s="37"/>
      <c r="K43" s="44" t="str">
        <f>"105,0"</f>
        <v>105,0</v>
      </c>
      <c r="L43" s="15" t="str">
        <f>"81,5430"</f>
        <v>81,5430</v>
      </c>
      <c r="M43" s="13" t="s">
        <v>457</v>
      </c>
    </row>
    <row r="45" spans="1:13" ht="16">
      <c r="A45" s="48" t="s">
        <v>97</v>
      </c>
      <c r="B45" s="48"/>
      <c r="C45" s="48"/>
      <c r="D45" s="48"/>
      <c r="E45" s="49"/>
      <c r="F45" s="48"/>
      <c r="G45" s="48"/>
      <c r="H45" s="48"/>
      <c r="I45" s="48"/>
      <c r="J45" s="48"/>
    </row>
    <row r="46" spans="1:13">
      <c r="A46" s="34" t="s">
        <v>167</v>
      </c>
      <c r="B46" s="10" t="s">
        <v>292</v>
      </c>
      <c r="C46" s="10" t="s">
        <v>383</v>
      </c>
      <c r="D46" s="10" t="s">
        <v>238</v>
      </c>
      <c r="E46" s="11" t="s">
        <v>480</v>
      </c>
      <c r="F46" s="10" t="s">
        <v>473</v>
      </c>
      <c r="G46" s="33" t="s">
        <v>26</v>
      </c>
      <c r="H46" s="32" t="s">
        <v>20</v>
      </c>
      <c r="I46" s="32" t="s">
        <v>21</v>
      </c>
      <c r="J46" s="34"/>
      <c r="K46" s="43" t="str">
        <f>"110,0"</f>
        <v>110,0</v>
      </c>
      <c r="L46" s="12" t="str">
        <f>"79,3540"</f>
        <v>79,3540</v>
      </c>
      <c r="M46" s="10"/>
    </row>
    <row r="47" spans="1:13">
      <c r="A47" s="39" t="s">
        <v>179</v>
      </c>
      <c r="B47" s="16" t="s">
        <v>293</v>
      </c>
      <c r="C47" s="16" t="s">
        <v>384</v>
      </c>
      <c r="D47" s="16" t="s">
        <v>239</v>
      </c>
      <c r="E47" s="17" t="s">
        <v>480</v>
      </c>
      <c r="F47" s="16" t="s">
        <v>471</v>
      </c>
      <c r="G47" s="38" t="s">
        <v>19</v>
      </c>
      <c r="H47" s="38" t="s">
        <v>54</v>
      </c>
      <c r="I47" s="38" t="s">
        <v>34</v>
      </c>
      <c r="J47" s="39"/>
      <c r="K47" s="45" t="str">
        <f>"60,0"</f>
        <v>60,0</v>
      </c>
      <c r="L47" s="18" t="str">
        <f>"43,6680"</f>
        <v>43,6680</v>
      </c>
      <c r="M47" s="16" t="s">
        <v>456</v>
      </c>
    </row>
    <row r="48" spans="1:13">
      <c r="A48" s="37" t="s">
        <v>167</v>
      </c>
      <c r="B48" s="13" t="s">
        <v>294</v>
      </c>
      <c r="C48" s="13" t="s">
        <v>240</v>
      </c>
      <c r="D48" s="13" t="s">
        <v>241</v>
      </c>
      <c r="E48" s="14" t="s">
        <v>478</v>
      </c>
      <c r="F48" s="13" t="s">
        <v>470</v>
      </c>
      <c r="G48" s="35" t="s">
        <v>48</v>
      </c>
      <c r="H48" s="36" t="s">
        <v>72</v>
      </c>
      <c r="I48" s="36" t="s">
        <v>72</v>
      </c>
      <c r="J48" s="37"/>
      <c r="K48" s="44" t="str">
        <f>"107,5"</f>
        <v>107,5</v>
      </c>
      <c r="L48" s="15" t="str">
        <f>"77,7763"</f>
        <v>77,7763</v>
      </c>
      <c r="M48" s="13" t="s">
        <v>355</v>
      </c>
    </row>
    <row r="50" spans="1:13" ht="16">
      <c r="A50" s="48" t="s">
        <v>43</v>
      </c>
      <c r="B50" s="48"/>
      <c r="C50" s="48"/>
      <c r="D50" s="48"/>
      <c r="E50" s="49"/>
      <c r="F50" s="48"/>
      <c r="G50" s="48"/>
      <c r="H50" s="48"/>
      <c r="I50" s="48"/>
      <c r="J50" s="48"/>
    </row>
    <row r="51" spans="1:13">
      <c r="A51" s="34" t="s">
        <v>167</v>
      </c>
      <c r="B51" s="10" t="s">
        <v>295</v>
      </c>
      <c r="C51" s="10" t="s">
        <v>385</v>
      </c>
      <c r="D51" s="10" t="s">
        <v>243</v>
      </c>
      <c r="E51" s="11" t="s">
        <v>480</v>
      </c>
      <c r="F51" s="10" t="s">
        <v>470</v>
      </c>
      <c r="G51" s="32" t="s">
        <v>29</v>
      </c>
      <c r="H51" s="32" t="s">
        <v>56</v>
      </c>
      <c r="I51" s="33" t="s">
        <v>57</v>
      </c>
      <c r="J51" s="34"/>
      <c r="K51" s="43" t="str">
        <f>"120,0"</f>
        <v>120,0</v>
      </c>
      <c r="L51" s="12" t="str">
        <f>"81,9240"</f>
        <v>81,9240</v>
      </c>
      <c r="M51" s="10"/>
    </row>
    <row r="52" spans="1:13">
      <c r="A52" s="39" t="s">
        <v>179</v>
      </c>
      <c r="B52" s="16" t="s">
        <v>296</v>
      </c>
      <c r="C52" s="16" t="s">
        <v>386</v>
      </c>
      <c r="D52" s="16" t="s">
        <v>244</v>
      </c>
      <c r="E52" s="17" t="s">
        <v>480</v>
      </c>
      <c r="F52" s="16" t="s">
        <v>470</v>
      </c>
      <c r="G52" s="38" t="s">
        <v>42</v>
      </c>
      <c r="H52" s="38" t="s">
        <v>15</v>
      </c>
      <c r="I52" s="40" t="s">
        <v>16</v>
      </c>
      <c r="J52" s="39"/>
      <c r="K52" s="45" t="str">
        <f>"90,0"</f>
        <v>90,0</v>
      </c>
      <c r="L52" s="18" t="str">
        <f>"61,8840"</f>
        <v>61,8840</v>
      </c>
      <c r="M52" s="16" t="s">
        <v>462</v>
      </c>
    </row>
    <row r="53" spans="1:13">
      <c r="A53" s="39" t="s">
        <v>167</v>
      </c>
      <c r="B53" s="16" t="s">
        <v>297</v>
      </c>
      <c r="C53" s="16" t="s">
        <v>245</v>
      </c>
      <c r="D53" s="16" t="s">
        <v>246</v>
      </c>
      <c r="E53" s="17" t="s">
        <v>478</v>
      </c>
      <c r="F53" s="16" t="s">
        <v>470</v>
      </c>
      <c r="G53" s="38" t="s">
        <v>48</v>
      </c>
      <c r="H53" s="38" t="s">
        <v>29</v>
      </c>
      <c r="I53" s="40" t="s">
        <v>56</v>
      </c>
      <c r="J53" s="39"/>
      <c r="K53" s="45" t="str">
        <f>"115,0"</f>
        <v>115,0</v>
      </c>
      <c r="L53" s="18" t="str">
        <f>"79,4650"</f>
        <v>79,4650</v>
      </c>
      <c r="M53" s="16" t="s">
        <v>355</v>
      </c>
    </row>
    <row r="54" spans="1:13">
      <c r="A54" s="39" t="s">
        <v>179</v>
      </c>
      <c r="B54" s="16" t="s">
        <v>298</v>
      </c>
      <c r="C54" s="16" t="s">
        <v>247</v>
      </c>
      <c r="D54" s="16" t="s">
        <v>248</v>
      </c>
      <c r="E54" s="17" t="s">
        <v>478</v>
      </c>
      <c r="F54" s="16" t="s">
        <v>471</v>
      </c>
      <c r="G54" s="38" t="s">
        <v>26</v>
      </c>
      <c r="H54" s="38" t="s">
        <v>20</v>
      </c>
      <c r="I54" s="40" t="s">
        <v>21</v>
      </c>
      <c r="J54" s="39"/>
      <c r="K54" s="45" t="str">
        <f>"105,0"</f>
        <v>105,0</v>
      </c>
      <c r="L54" s="18" t="str">
        <f>"71,0745"</f>
        <v>71,0745</v>
      </c>
      <c r="M54" s="16" t="s">
        <v>456</v>
      </c>
    </row>
    <row r="55" spans="1:13">
      <c r="A55" s="39" t="s">
        <v>183</v>
      </c>
      <c r="B55" s="16" t="s">
        <v>299</v>
      </c>
      <c r="C55" s="16" t="s">
        <v>249</v>
      </c>
      <c r="D55" s="16" t="s">
        <v>250</v>
      </c>
      <c r="E55" s="17" t="s">
        <v>478</v>
      </c>
      <c r="F55" s="16" t="s">
        <v>470</v>
      </c>
      <c r="G55" s="38" t="s">
        <v>107</v>
      </c>
      <c r="H55" s="38" t="s">
        <v>27</v>
      </c>
      <c r="I55" s="40" t="s">
        <v>48</v>
      </c>
      <c r="J55" s="39"/>
      <c r="K55" s="45" t="str">
        <f>"102,5"</f>
        <v>102,5</v>
      </c>
      <c r="L55" s="18" t="str">
        <f>"69,0748"</f>
        <v>69,0748</v>
      </c>
      <c r="M55" s="16" t="s">
        <v>457</v>
      </c>
    </row>
    <row r="56" spans="1:13">
      <c r="A56" s="37" t="s">
        <v>167</v>
      </c>
      <c r="B56" s="13" t="s">
        <v>300</v>
      </c>
      <c r="C56" s="13" t="s">
        <v>387</v>
      </c>
      <c r="D56" s="13" t="s">
        <v>251</v>
      </c>
      <c r="E56" s="14" t="s">
        <v>481</v>
      </c>
      <c r="F56" s="13" t="s">
        <v>471</v>
      </c>
      <c r="G56" s="35" t="s">
        <v>14</v>
      </c>
      <c r="H56" s="35" t="s">
        <v>42</v>
      </c>
      <c r="I56" s="36" t="s">
        <v>133</v>
      </c>
      <c r="J56" s="37"/>
      <c r="K56" s="44" t="str">
        <f>"85,0"</f>
        <v>85,0</v>
      </c>
      <c r="L56" s="15" t="str">
        <f>"85,1659"</f>
        <v>85,1659</v>
      </c>
      <c r="M56" s="13" t="s">
        <v>456</v>
      </c>
    </row>
    <row r="58" spans="1:13" ht="16">
      <c r="A58" s="48" t="s">
        <v>110</v>
      </c>
      <c r="B58" s="48"/>
      <c r="C58" s="48"/>
      <c r="D58" s="48"/>
      <c r="E58" s="49"/>
      <c r="F58" s="48"/>
      <c r="G58" s="48"/>
      <c r="H58" s="48"/>
      <c r="I58" s="48"/>
      <c r="J58" s="48"/>
    </row>
    <row r="59" spans="1:13">
      <c r="A59" s="34" t="s">
        <v>167</v>
      </c>
      <c r="B59" s="10" t="s">
        <v>301</v>
      </c>
      <c r="C59" s="10" t="s">
        <v>388</v>
      </c>
      <c r="D59" s="10" t="s">
        <v>252</v>
      </c>
      <c r="E59" s="11" t="s">
        <v>480</v>
      </c>
      <c r="F59" s="10" t="s">
        <v>471</v>
      </c>
      <c r="G59" s="32" t="s">
        <v>56</v>
      </c>
      <c r="H59" s="33" t="s">
        <v>85</v>
      </c>
      <c r="I59" s="33" t="s">
        <v>74</v>
      </c>
      <c r="J59" s="34"/>
      <c r="K59" s="43" t="str">
        <f>"120,0"</f>
        <v>120,0</v>
      </c>
      <c r="L59" s="12" t="str">
        <f>"78,8400"</f>
        <v>78,8400</v>
      </c>
      <c r="M59" s="10" t="s">
        <v>456</v>
      </c>
    </row>
    <row r="60" spans="1:13">
      <c r="A60" s="39" t="s">
        <v>167</v>
      </c>
      <c r="B60" s="16" t="s">
        <v>302</v>
      </c>
      <c r="C60" s="16" t="s">
        <v>254</v>
      </c>
      <c r="D60" s="16" t="s">
        <v>255</v>
      </c>
      <c r="E60" s="17" t="s">
        <v>478</v>
      </c>
      <c r="F60" s="16" t="s">
        <v>474</v>
      </c>
      <c r="G60" s="38" t="s">
        <v>256</v>
      </c>
      <c r="H60" s="40" t="s">
        <v>77</v>
      </c>
      <c r="I60" s="38" t="s">
        <v>77</v>
      </c>
      <c r="J60" s="39"/>
      <c r="K60" s="45" t="str">
        <f>"155,0"</f>
        <v>155,0</v>
      </c>
      <c r="L60" s="18" t="str">
        <f>"101,3080"</f>
        <v>101,3080</v>
      </c>
      <c r="M60" s="16" t="s">
        <v>257</v>
      </c>
    </row>
    <row r="61" spans="1:13">
      <c r="A61" s="37" t="s">
        <v>167</v>
      </c>
      <c r="B61" s="13" t="s">
        <v>303</v>
      </c>
      <c r="C61" s="13" t="s">
        <v>389</v>
      </c>
      <c r="D61" s="13" t="s">
        <v>258</v>
      </c>
      <c r="E61" s="14" t="s">
        <v>481</v>
      </c>
      <c r="F61" s="13" t="s">
        <v>471</v>
      </c>
      <c r="G61" s="35" t="s">
        <v>74</v>
      </c>
      <c r="H61" s="36" t="s">
        <v>65</v>
      </c>
      <c r="I61" s="36" t="s">
        <v>75</v>
      </c>
      <c r="J61" s="37"/>
      <c r="K61" s="44" t="str">
        <f>"135,0"</f>
        <v>135,0</v>
      </c>
      <c r="L61" s="15" t="str">
        <f>"98,0035"</f>
        <v>98,0035</v>
      </c>
      <c r="M61" s="13" t="s">
        <v>456</v>
      </c>
    </row>
    <row r="63" spans="1:13" ht="16">
      <c r="A63" s="48" t="s">
        <v>126</v>
      </c>
      <c r="B63" s="48"/>
      <c r="C63" s="48"/>
      <c r="D63" s="48"/>
      <c r="E63" s="49"/>
      <c r="F63" s="48"/>
      <c r="G63" s="48"/>
      <c r="H63" s="48"/>
      <c r="I63" s="48"/>
      <c r="J63" s="48"/>
    </row>
    <row r="64" spans="1:13">
      <c r="A64" s="34" t="s">
        <v>167</v>
      </c>
      <c r="B64" s="10" t="s">
        <v>304</v>
      </c>
      <c r="C64" s="10" t="s">
        <v>390</v>
      </c>
      <c r="D64" s="10" t="s">
        <v>260</v>
      </c>
      <c r="E64" s="11" t="s">
        <v>480</v>
      </c>
      <c r="F64" s="10" t="s">
        <v>470</v>
      </c>
      <c r="G64" s="33" t="s">
        <v>56</v>
      </c>
      <c r="H64" s="32" t="s">
        <v>85</v>
      </c>
      <c r="I64" s="32" t="s">
        <v>66</v>
      </c>
      <c r="J64" s="34"/>
      <c r="K64" s="43" t="str">
        <f>"145,0"</f>
        <v>145,0</v>
      </c>
      <c r="L64" s="12" t="str">
        <f>"86,4490"</f>
        <v>86,4490</v>
      </c>
      <c r="M64" s="10" t="s">
        <v>458</v>
      </c>
    </row>
    <row r="65" spans="1:13">
      <c r="A65" s="39" t="s">
        <v>167</v>
      </c>
      <c r="B65" s="16" t="s">
        <v>305</v>
      </c>
      <c r="C65" s="16" t="s">
        <v>391</v>
      </c>
      <c r="D65" s="16" t="s">
        <v>262</v>
      </c>
      <c r="E65" s="17" t="s">
        <v>481</v>
      </c>
      <c r="F65" s="16" t="s">
        <v>471</v>
      </c>
      <c r="G65" s="38" t="s">
        <v>67</v>
      </c>
      <c r="H65" s="38" t="s">
        <v>77</v>
      </c>
      <c r="I65" s="40" t="s">
        <v>263</v>
      </c>
      <c r="J65" s="39"/>
      <c r="K65" s="45" t="str">
        <f>"155,0"</f>
        <v>155,0</v>
      </c>
      <c r="L65" s="18" t="str">
        <f>"103,7320"</f>
        <v>103,7320</v>
      </c>
      <c r="M65" s="16" t="s">
        <v>456</v>
      </c>
    </row>
    <row r="66" spans="1:13">
      <c r="A66" s="37" t="s">
        <v>179</v>
      </c>
      <c r="B66" s="13" t="s">
        <v>306</v>
      </c>
      <c r="C66" s="13" t="s">
        <v>392</v>
      </c>
      <c r="D66" s="13" t="s">
        <v>265</v>
      </c>
      <c r="E66" s="14" t="s">
        <v>481</v>
      </c>
      <c r="F66" s="13" t="s">
        <v>471</v>
      </c>
      <c r="G66" s="35" t="s">
        <v>26</v>
      </c>
      <c r="H66" s="35" t="s">
        <v>20</v>
      </c>
      <c r="I66" s="35" t="s">
        <v>72</v>
      </c>
      <c r="J66" s="37"/>
      <c r="K66" s="44" t="str">
        <f>"112,5"</f>
        <v>112,5</v>
      </c>
      <c r="L66" s="15" t="str">
        <f>"104,7020"</f>
        <v>104,7020</v>
      </c>
      <c r="M66" s="13" t="s">
        <v>456</v>
      </c>
    </row>
    <row r="68" spans="1:13" ht="16">
      <c r="A68" s="48" t="s">
        <v>135</v>
      </c>
      <c r="B68" s="48"/>
      <c r="C68" s="48"/>
      <c r="D68" s="48"/>
      <c r="E68" s="49"/>
      <c r="F68" s="48"/>
      <c r="G68" s="48"/>
      <c r="H68" s="48"/>
      <c r="I68" s="48"/>
      <c r="J68" s="48"/>
    </row>
    <row r="69" spans="1:13">
      <c r="A69" s="34" t="s">
        <v>167</v>
      </c>
      <c r="B69" s="10" t="s">
        <v>307</v>
      </c>
      <c r="C69" s="10" t="s">
        <v>267</v>
      </c>
      <c r="D69" s="10" t="s">
        <v>268</v>
      </c>
      <c r="E69" s="11" t="s">
        <v>478</v>
      </c>
      <c r="F69" s="10" t="s">
        <v>472</v>
      </c>
      <c r="G69" s="32" t="s">
        <v>94</v>
      </c>
      <c r="H69" s="32" t="s">
        <v>129</v>
      </c>
      <c r="I69" s="32" t="s">
        <v>104</v>
      </c>
      <c r="J69" s="34"/>
      <c r="K69" s="43" t="str">
        <f>"200,0"</f>
        <v>200,0</v>
      </c>
      <c r="L69" s="12" t="str">
        <f>"114,2000"</f>
        <v>114,2000</v>
      </c>
      <c r="M69" s="10"/>
    </row>
    <row r="70" spans="1:13">
      <c r="A70" s="39" t="s">
        <v>179</v>
      </c>
      <c r="B70" s="16" t="s">
        <v>199</v>
      </c>
      <c r="C70" s="16" t="s">
        <v>137</v>
      </c>
      <c r="D70" s="16" t="s">
        <v>138</v>
      </c>
      <c r="E70" s="17" t="s">
        <v>478</v>
      </c>
      <c r="F70" s="16" t="s">
        <v>470</v>
      </c>
      <c r="G70" s="38" t="s">
        <v>65</v>
      </c>
      <c r="H70" s="38" t="s">
        <v>67</v>
      </c>
      <c r="I70" s="38" t="s">
        <v>77</v>
      </c>
      <c r="J70" s="39"/>
      <c r="K70" s="45" t="str">
        <f>"155,0"</f>
        <v>155,0</v>
      </c>
      <c r="L70" s="18" t="str">
        <f>"88,5670"</f>
        <v>88,5670</v>
      </c>
      <c r="M70" s="16"/>
    </row>
    <row r="71" spans="1:13">
      <c r="A71" s="37" t="s">
        <v>167</v>
      </c>
      <c r="B71" s="13" t="s">
        <v>307</v>
      </c>
      <c r="C71" s="13" t="s">
        <v>393</v>
      </c>
      <c r="D71" s="13" t="s">
        <v>268</v>
      </c>
      <c r="E71" s="14" t="s">
        <v>481</v>
      </c>
      <c r="F71" s="13" t="s">
        <v>472</v>
      </c>
      <c r="G71" s="35" t="s">
        <v>94</v>
      </c>
      <c r="H71" s="35" t="s">
        <v>129</v>
      </c>
      <c r="I71" s="35" t="s">
        <v>104</v>
      </c>
      <c r="J71" s="37"/>
      <c r="K71" s="44" t="str">
        <f>"200,0"</f>
        <v>200,0</v>
      </c>
      <c r="L71" s="15" t="str">
        <f>"117,3976"</f>
        <v>117,3976</v>
      </c>
      <c r="M71" s="13"/>
    </row>
    <row r="73" spans="1:13">
      <c r="M73" s="6"/>
    </row>
    <row r="74" spans="1:13">
      <c r="M74" s="6"/>
    </row>
    <row r="75" spans="1:13" ht="18">
      <c r="B75" s="20" t="s">
        <v>146</v>
      </c>
      <c r="C75" s="20"/>
      <c r="M75" s="6"/>
    </row>
    <row r="76" spans="1:13" ht="16">
      <c r="B76" s="21" t="s">
        <v>147</v>
      </c>
      <c r="C76" s="21"/>
      <c r="M76" s="6"/>
    </row>
    <row r="77" spans="1:13" ht="14">
      <c r="B77" s="22"/>
      <c r="C77" s="23" t="s">
        <v>156</v>
      </c>
      <c r="M77" s="6"/>
    </row>
    <row r="78" spans="1:13" ht="14">
      <c r="B78" s="24" t="s">
        <v>148</v>
      </c>
      <c r="C78" s="24" t="s">
        <v>149</v>
      </c>
      <c r="D78" s="24" t="s">
        <v>461</v>
      </c>
      <c r="E78" s="25" t="s">
        <v>269</v>
      </c>
      <c r="F78" s="24" t="s">
        <v>151</v>
      </c>
      <c r="M78" s="6"/>
    </row>
    <row r="79" spans="1:13">
      <c r="B79" s="5" t="s">
        <v>218</v>
      </c>
      <c r="C79" s="5" t="s">
        <v>156</v>
      </c>
      <c r="D79" s="27" t="s">
        <v>165</v>
      </c>
      <c r="E79" s="28">
        <v>72.5</v>
      </c>
      <c r="F79" s="26">
        <v>64.097251445054994</v>
      </c>
      <c r="M79" s="6"/>
    </row>
    <row r="80" spans="1:13">
      <c r="B80" s="5" t="s">
        <v>23</v>
      </c>
      <c r="C80" s="5" t="s">
        <v>156</v>
      </c>
      <c r="D80" s="27" t="s">
        <v>154</v>
      </c>
      <c r="E80" s="28">
        <v>50</v>
      </c>
      <c r="F80" s="26">
        <v>62.330001592636101</v>
      </c>
      <c r="M80" s="6"/>
    </row>
    <row r="81" spans="2:13">
      <c r="B81" s="5" t="s">
        <v>204</v>
      </c>
      <c r="C81" s="5" t="s">
        <v>156</v>
      </c>
      <c r="D81" s="27" t="s">
        <v>162</v>
      </c>
      <c r="E81" s="28">
        <v>50</v>
      </c>
      <c r="F81" s="26">
        <v>59.4150006771088</v>
      </c>
      <c r="M81" s="6"/>
    </row>
    <row r="82" spans="2:13">
      <c r="M82" s="6"/>
    </row>
    <row r="83" spans="2:13" ht="16">
      <c r="B83" s="21" t="s">
        <v>159</v>
      </c>
      <c r="C83" s="21"/>
      <c r="M83" s="6"/>
    </row>
    <row r="84" spans="2:13" ht="14">
      <c r="B84" s="22"/>
      <c r="C84" s="23" t="s">
        <v>160</v>
      </c>
      <c r="M84" s="6"/>
    </row>
    <row r="85" spans="2:13" ht="14">
      <c r="B85" s="24" t="s">
        <v>148</v>
      </c>
      <c r="C85" s="24" t="s">
        <v>149</v>
      </c>
      <c r="D85" s="24" t="s">
        <v>461</v>
      </c>
      <c r="E85" s="25" t="s">
        <v>269</v>
      </c>
      <c r="F85" s="24" t="s">
        <v>151</v>
      </c>
      <c r="M85" s="6"/>
    </row>
    <row r="86" spans="2:13">
      <c r="B86" s="5" t="s">
        <v>225</v>
      </c>
      <c r="C86" s="5" t="s">
        <v>357</v>
      </c>
      <c r="D86" s="27" t="s">
        <v>162</v>
      </c>
      <c r="E86" s="28">
        <v>100</v>
      </c>
      <c r="F86" s="26">
        <v>93.519997596740694</v>
      </c>
      <c r="M86" s="6"/>
    </row>
    <row r="87" spans="2:13">
      <c r="B87" s="5" t="s">
        <v>259</v>
      </c>
      <c r="C87" s="5" t="s">
        <v>357</v>
      </c>
      <c r="D87" s="27" t="s">
        <v>163</v>
      </c>
      <c r="E87" s="28">
        <v>145</v>
      </c>
      <c r="F87" s="26">
        <v>86.448998451232896</v>
      </c>
      <c r="M87" s="6"/>
    </row>
    <row r="88" spans="2:13">
      <c r="B88" s="5" t="s">
        <v>242</v>
      </c>
      <c r="C88" s="5" t="s">
        <v>160</v>
      </c>
      <c r="D88" s="27" t="s">
        <v>158</v>
      </c>
      <c r="E88" s="28">
        <v>120</v>
      </c>
      <c r="F88" s="26">
        <v>81.923997402191205</v>
      </c>
      <c r="M88" s="6"/>
    </row>
    <row r="89" spans="2:13">
      <c r="M89" s="6"/>
    </row>
    <row r="90" spans="2:13" ht="14">
      <c r="B90" s="22"/>
      <c r="C90" s="23" t="s">
        <v>156</v>
      </c>
      <c r="M90" s="6"/>
    </row>
    <row r="91" spans="2:13" ht="14">
      <c r="B91" s="24" t="s">
        <v>148</v>
      </c>
      <c r="C91" s="24" t="s">
        <v>149</v>
      </c>
      <c r="D91" s="24" t="s">
        <v>461</v>
      </c>
      <c r="E91" s="25" t="s">
        <v>269</v>
      </c>
      <c r="F91" s="24" t="s">
        <v>151</v>
      </c>
      <c r="M91" s="6"/>
    </row>
    <row r="92" spans="2:13">
      <c r="B92" s="5" t="s">
        <v>266</v>
      </c>
      <c r="C92" s="5" t="s">
        <v>156</v>
      </c>
      <c r="D92" s="27" t="s">
        <v>166</v>
      </c>
      <c r="E92" s="28">
        <v>200</v>
      </c>
      <c r="F92" s="26">
        <v>114.199995994568</v>
      </c>
      <c r="M92" s="6"/>
    </row>
    <row r="93" spans="2:13">
      <c r="B93" s="5" t="s">
        <v>253</v>
      </c>
      <c r="C93" s="5" t="s">
        <v>156</v>
      </c>
      <c r="D93" s="27" t="s">
        <v>165</v>
      </c>
      <c r="E93" s="28">
        <v>155</v>
      </c>
      <c r="F93" s="26">
        <v>101.307996511459</v>
      </c>
      <c r="M93" s="6"/>
    </row>
    <row r="94" spans="2:13">
      <c r="B94" s="5" t="s">
        <v>136</v>
      </c>
      <c r="C94" s="5" t="s">
        <v>156</v>
      </c>
      <c r="D94" s="27" t="s">
        <v>166</v>
      </c>
      <c r="E94" s="28">
        <v>155</v>
      </c>
      <c r="F94" s="26">
        <v>88.5669979453087</v>
      </c>
      <c r="M94" s="6"/>
    </row>
    <row r="95" spans="2:13">
      <c r="M95" s="6"/>
    </row>
    <row r="96" spans="2:13" ht="14">
      <c r="B96" s="22"/>
      <c r="C96" s="23" t="s">
        <v>270</v>
      </c>
      <c r="M96" s="6"/>
    </row>
    <row r="97" spans="2:13" ht="14">
      <c r="B97" s="24" t="s">
        <v>148</v>
      </c>
      <c r="C97" s="24" t="s">
        <v>149</v>
      </c>
      <c r="D97" s="24" t="s">
        <v>461</v>
      </c>
      <c r="E97" s="25" t="s">
        <v>269</v>
      </c>
      <c r="F97" s="24" t="s">
        <v>151</v>
      </c>
      <c r="M97" s="6"/>
    </row>
    <row r="98" spans="2:13">
      <c r="B98" s="5" t="s">
        <v>266</v>
      </c>
      <c r="C98" s="5" t="s">
        <v>270</v>
      </c>
      <c r="D98" s="27" t="s">
        <v>166</v>
      </c>
      <c r="E98" s="28">
        <v>200</v>
      </c>
      <c r="F98" s="26">
        <v>117.397595882416</v>
      </c>
      <c r="M98" s="6"/>
    </row>
    <row r="99" spans="2:13">
      <c r="B99" s="5" t="s">
        <v>264</v>
      </c>
      <c r="C99" s="5" t="s">
        <v>394</v>
      </c>
      <c r="D99" s="27" t="s">
        <v>163</v>
      </c>
      <c r="E99" s="28">
        <v>112.5</v>
      </c>
      <c r="F99" s="26">
        <v>104.70198546052001</v>
      </c>
      <c r="G99" s="5"/>
      <c r="M99" s="6"/>
    </row>
    <row r="100" spans="2:13">
      <c r="B100" s="5" t="s">
        <v>261</v>
      </c>
      <c r="C100" s="5" t="s">
        <v>270</v>
      </c>
      <c r="D100" s="27" t="s">
        <v>163</v>
      </c>
      <c r="E100" s="28">
        <v>155</v>
      </c>
      <c r="F100" s="26">
        <v>103.731950962543</v>
      </c>
    </row>
  </sheetData>
  <mergeCells count="25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68:J68"/>
    <mergeCell ref="B3:B4"/>
    <mergeCell ref="A35:J35"/>
    <mergeCell ref="A40:J40"/>
    <mergeCell ref="A45:J45"/>
    <mergeCell ref="A50:J50"/>
    <mergeCell ref="A58:J58"/>
    <mergeCell ref="A63:J63"/>
    <mergeCell ref="A9:J9"/>
    <mergeCell ref="A14:J14"/>
    <mergeCell ref="A18:J18"/>
    <mergeCell ref="A22:J22"/>
    <mergeCell ref="A25:J25"/>
    <mergeCell ref="A30:J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9"/>
  <sheetViews>
    <sheetView topLeftCell="A21" zoomScaleNormal="100" workbookViewId="0">
      <selection activeCell="E47" sqref="E47"/>
    </sheetView>
  </sheetViews>
  <sheetFormatPr baseColWidth="10" defaultColWidth="9.1640625" defaultRowHeight="13"/>
  <cols>
    <col min="1" max="1" width="7.33203125" style="5" bestFit="1" customWidth="1"/>
    <col min="2" max="2" width="25.33203125" style="5" bestFit="1" customWidth="1"/>
    <col min="3" max="3" width="27.5" style="5" bestFit="1" customWidth="1"/>
    <col min="4" max="4" width="20.83203125" style="5" bestFit="1" customWidth="1"/>
    <col min="5" max="5" width="10.1640625" style="19" bestFit="1" customWidth="1"/>
    <col min="6" max="6" width="34.33203125" style="5" customWidth="1"/>
    <col min="7" max="10" width="5.6640625" style="27" bestFit="1" customWidth="1"/>
    <col min="11" max="11" width="11.33203125" style="6" customWidth="1"/>
    <col min="12" max="12" width="8.5" style="6" bestFit="1" customWidth="1"/>
    <col min="13" max="13" width="23.5" style="5" customWidth="1"/>
    <col min="14" max="16384" width="9.1640625" style="3"/>
  </cols>
  <sheetData>
    <row r="1" spans="1:13" s="2" customFormat="1" ht="29" customHeight="1">
      <c r="A1" s="56" t="s">
        <v>465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5" t="s">
        <v>469</v>
      </c>
      <c r="B3" s="50" t="s">
        <v>0</v>
      </c>
      <c r="C3" s="67" t="s">
        <v>476</v>
      </c>
      <c r="D3" s="67" t="s">
        <v>6</v>
      </c>
      <c r="E3" s="54" t="s">
        <v>477</v>
      </c>
      <c r="F3" s="64" t="s">
        <v>5</v>
      </c>
      <c r="G3" s="64" t="s">
        <v>9</v>
      </c>
      <c r="H3" s="64"/>
      <c r="I3" s="64"/>
      <c r="J3" s="64"/>
      <c r="K3" s="54" t="s">
        <v>271</v>
      </c>
      <c r="L3" s="54" t="s">
        <v>3</v>
      </c>
      <c r="M3" s="69" t="s">
        <v>2</v>
      </c>
    </row>
    <row r="4" spans="1:13" s="1" customFormat="1" ht="21" customHeight="1" thickBot="1">
      <c r="A4" s="66"/>
      <c r="B4" s="51"/>
      <c r="C4" s="68"/>
      <c r="D4" s="68"/>
      <c r="E4" s="55"/>
      <c r="F4" s="68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70"/>
    </row>
    <row r="5" spans="1:13" ht="16">
      <c r="A5" s="52" t="s">
        <v>22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34" t="s">
        <v>167</v>
      </c>
      <c r="B6" s="10" t="s">
        <v>169</v>
      </c>
      <c r="C6" s="10" t="s">
        <v>24</v>
      </c>
      <c r="D6" s="10" t="s">
        <v>25</v>
      </c>
      <c r="E6" s="11" t="s">
        <v>479</v>
      </c>
      <c r="F6" s="10" t="s">
        <v>471</v>
      </c>
      <c r="G6" s="32" t="s">
        <v>20</v>
      </c>
      <c r="H6" s="32" t="s">
        <v>21</v>
      </c>
      <c r="I6" s="32" t="s">
        <v>29</v>
      </c>
      <c r="J6" s="34"/>
      <c r="K6" s="12" t="str">
        <f>"115,0"</f>
        <v>115,0</v>
      </c>
      <c r="L6" s="12" t="str">
        <f>"143,3590"</f>
        <v>143,3590</v>
      </c>
      <c r="M6" s="10" t="s">
        <v>456</v>
      </c>
    </row>
    <row r="7" spans="1:13">
      <c r="A7" s="37" t="s">
        <v>167</v>
      </c>
      <c r="B7" s="13" t="s">
        <v>169</v>
      </c>
      <c r="C7" s="13" t="s">
        <v>30</v>
      </c>
      <c r="D7" s="13" t="s">
        <v>25</v>
      </c>
      <c r="E7" s="14" t="s">
        <v>478</v>
      </c>
      <c r="F7" s="13" t="s">
        <v>471</v>
      </c>
      <c r="G7" s="35" t="s">
        <v>20</v>
      </c>
      <c r="H7" s="35" t="s">
        <v>21</v>
      </c>
      <c r="I7" s="35" t="s">
        <v>29</v>
      </c>
      <c r="J7" s="37"/>
      <c r="K7" s="15" t="str">
        <f>"115,0"</f>
        <v>115,0</v>
      </c>
      <c r="L7" s="15" t="str">
        <f>"143,3590"</f>
        <v>143,3590</v>
      </c>
      <c r="M7" s="13" t="s">
        <v>456</v>
      </c>
    </row>
    <row r="9" spans="1:13" ht="16">
      <c r="A9" s="48" t="s">
        <v>31</v>
      </c>
      <c r="B9" s="48"/>
      <c r="C9" s="48"/>
      <c r="D9" s="48"/>
      <c r="E9" s="49"/>
      <c r="F9" s="48"/>
      <c r="G9" s="48"/>
      <c r="H9" s="48"/>
      <c r="I9" s="48"/>
      <c r="J9" s="48"/>
    </row>
    <row r="10" spans="1:13">
      <c r="A10" s="31" t="s">
        <v>167</v>
      </c>
      <c r="B10" s="7" t="s">
        <v>342</v>
      </c>
      <c r="C10" s="7" t="s">
        <v>309</v>
      </c>
      <c r="D10" s="7" t="s">
        <v>69</v>
      </c>
      <c r="E10" s="8" t="s">
        <v>478</v>
      </c>
      <c r="F10" s="7" t="s">
        <v>470</v>
      </c>
      <c r="G10" s="29" t="s">
        <v>16</v>
      </c>
      <c r="H10" s="29" t="s">
        <v>21</v>
      </c>
      <c r="I10" s="29" t="s">
        <v>29</v>
      </c>
      <c r="J10" s="31"/>
      <c r="K10" s="9" t="str">
        <f>"115,0"</f>
        <v>115,0</v>
      </c>
      <c r="L10" s="9" t="str">
        <f>"130,5825"</f>
        <v>130,5825</v>
      </c>
      <c r="M10" s="7" t="s">
        <v>355</v>
      </c>
    </row>
    <row r="12" spans="1:13" ht="16">
      <c r="A12" s="48" t="s">
        <v>35</v>
      </c>
      <c r="B12" s="48"/>
      <c r="C12" s="48"/>
      <c r="D12" s="48"/>
      <c r="E12" s="49"/>
      <c r="F12" s="48"/>
      <c r="G12" s="48"/>
      <c r="H12" s="48"/>
      <c r="I12" s="48"/>
      <c r="J12" s="48"/>
    </row>
    <row r="13" spans="1:13">
      <c r="A13" s="34" t="s">
        <v>167</v>
      </c>
      <c r="B13" s="10" t="s">
        <v>343</v>
      </c>
      <c r="C13" s="10" t="s">
        <v>311</v>
      </c>
      <c r="D13" s="10" t="s">
        <v>312</v>
      </c>
      <c r="E13" s="11" t="s">
        <v>478</v>
      </c>
      <c r="F13" s="10" t="s">
        <v>470</v>
      </c>
      <c r="G13" s="32" t="s">
        <v>15</v>
      </c>
      <c r="H13" s="33" t="s">
        <v>16</v>
      </c>
      <c r="I13" s="32" t="s">
        <v>26</v>
      </c>
      <c r="J13" s="34"/>
      <c r="K13" s="12" t="str">
        <f>"100,0"</f>
        <v>100,0</v>
      </c>
      <c r="L13" s="12" t="str">
        <f>"105,1500"</f>
        <v>105,1500</v>
      </c>
      <c r="M13" s="10"/>
    </row>
    <row r="14" spans="1:13">
      <c r="A14" s="37" t="s">
        <v>179</v>
      </c>
      <c r="B14" s="13" t="s">
        <v>344</v>
      </c>
      <c r="C14" s="13" t="s">
        <v>313</v>
      </c>
      <c r="D14" s="13" t="s">
        <v>314</v>
      </c>
      <c r="E14" s="14" t="s">
        <v>478</v>
      </c>
      <c r="F14" s="13" t="s">
        <v>470</v>
      </c>
      <c r="G14" s="35" t="s">
        <v>38</v>
      </c>
      <c r="H14" s="35" t="s">
        <v>39</v>
      </c>
      <c r="I14" s="35" t="s">
        <v>14</v>
      </c>
      <c r="J14" s="37"/>
      <c r="K14" s="15" t="str">
        <f>"80,0"</f>
        <v>80,0</v>
      </c>
      <c r="L14" s="15" t="str">
        <f>"82,8960"</f>
        <v>82,8960</v>
      </c>
      <c r="M14" s="13"/>
    </row>
    <row r="16" spans="1:13" ht="16">
      <c r="A16" s="48" t="s">
        <v>110</v>
      </c>
      <c r="B16" s="48"/>
      <c r="C16" s="48"/>
      <c r="D16" s="48"/>
      <c r="E16" s="49"/>
      <c r="F16" s="48"/>
      <c r="G16" s="48"/>
      <c r="H16" s="48"/>
      <c r="I16" s="48"/>
      <c r="J16" s="48"/>
    </row>
    <row r="17" spans="1:13">
      <c r="A17" s="31" t="s">
        <v>167</v>
      </c>
      <c r="B17" s="7" t="s">
        <v>345</v>
      </c>
      <c r="C17" s="7" t="s">
        <v>315</v>
      </c>
      <c r="D17" s="7" t="s">
        <v>316</v>
      </c>
      <c r="E17" s="8" t="s">
        <v>478</v>
      </c>
      <c r="F17" s="7" t="s">
        <v>471</v>
      </c>
      <c r="G17" s="29" t="s">
        <v>14</v>
      </c>
      <c r="H17" s="29" t="s">
        <v>15</v>
      </c>
      <c r="I17" s="29" t="s">
        <v>20</v>
      </c>
      <c r="J17" s="31"/>
      <c r="K17" s="9" t="str">
        <f>"105,0"</f>
        <v>105,0</v>
      </c>
      <c r="L17" s="9" t="str">
        <f>"91,4655"</f>
        <v>91,4655</v>
      </c>
      <c r="M17" s="7" t="s">
        <v>456</v>
      </c>
    </row>
    <row r="19" spans="1:13" ht="16">
      <c r="A19" s="48" t="s">
        <v>35</v>
      </c>
      <c r="B19" s="48"/>
      <c r="C19" s="48"/>
      <c r="D19" s="48"/>
      <c r="E19" s="49"/>
      <c r="F19" s="48"/>
      <c r="G19" s="48"/>
      <c r="H19" s="48"/>
      <c r="I19" s="48"/>
      <c r="J19" s="48"/>
    </row>
    <row r="20" spans="1:13">
      <c r="A20" s="34" t="s">
        <v>167</v>
      </c>
      <c r="B20" s="10" t="s">
        <v>346</v>
      </c>
      <c r="C20" s="10" t="s">
        <v>358</v>
      </c>
      <c r="D20" s="10" t="s">
        <v>84</v>
      </c>
      <c r="E20" s="11" t="s">
        <v>480</v>
      </c>
      <c r="F20" s="10" t="s">
        <v>471</v>
      </c>
      <c r="G20" s="32" t="s">
        <v>86</v>
      </c>
      <c r="H20" s="32" t="s">
        <v>96</v>
      </c>
      <c r="I20" s="33" t="s">
        <v>94</v>
      </c>
      <c r="J20" s="34"/>
      <c r="K20" s="12" t="str">
        <f>"170,0"</f>
        <v>170,0</v>
      </c>
      <c r="L20" s="12" t="str">
        <f>"137,5130"</f>
        <v>137,5130</v>
      </c>
      <c r="M20" s="10" t="s">
        <v>456</v>
      </c>
    </row>
    <row r="21" spans="1:13">
      <c r="A21" s="37" t="s">
        <v>179</v>
      </c>
      <c r="B21" s="13" t="s">
        <v>289</v>
      </c>
      <c r="C21" s="13" t="s">
        <v>359</v>
      </c>
      <c r="D21" s="13" t="s">
        <v>235</v>
      </c>
      <c r="E21" s="14" t="s">
        <v>480</v>
      </c>
      <c r="F21" s="13" t="s">
        <v>470</v>
      </c>
      <c r="G21" s="35" t="s">
        <v>56</v>
      </c>
      <c r="H21" s="35" t="s">
        <v>74</v>
      </c>
      <c r="I21" s="35" t="s">
        <v>66</v>
      </c>
      <c r="J21" s="35" t="s">
        <v>77</v>
      </c>
      <c r="K21" s="15" t="str">
        <f>"145,0"</f>
        <v>145,0</v>
      </c>
      <c r="L21" s="15" t="str">
        <f>"121,8290"</f>
        <v>121,8290</v>
      </c>
      <c r="M21" s="13"/>
    </row>
    <row r="23" spans="1:13" ht="16">
      <c r="A23" s="48" t="s">
        <v>97</v>
      </c>
      <c r="B23" s="48"/>
      <c r="C23" s="48"/>
      <c r="D23" s="48"/>
      <c r="E23" s="49"/>
      <c r="F23" s="48"/>
      <c r="G23" s="48"/>
      <c r="H23" s="48"/>
      <c r="I23" s="48"/>
      <c r="J23" s="48"/>
    </row>
    <row r="24" spans="1:13">
      <c r="A24" s="34" t="s">
        <v>167</v>
      </c>
      <c r="B24" s="10" t="s">
        <v>347</v>
      </c>
      <c r="C24" s="10" t="s">
        <v>318</v>
      </c>
      <c r="D24" s="10" t="s">
        <v>319</v>
      </c>
      <c r="E24" s="11" t="s">
        <v>478</v>
      </c>
      <c r="F24" s="10" t="s">
        <v>470</v>
      </c>
      <c r="G24" s="32" t="s">
        <v>94</v>
      </c>
      <c r="H24" s="32" t="s">
        <v>129</v>
      </c>
      <c r="I24" s="33" t="s">
        <v>104</v>
      </c>
      <c r="J24" s="34"/>
      <c r="K24" s="12" t="str">
        <f>"190,0"</f>
        <v>190,0</v>
      </c>
      <c r="L24" s="12" t="str">
        <f>"137,1990"</f>
        <v>137,1990</v>
      </c>
      <c r="M24" s="10" t="s">
        <v>457</v>
      </c>
    </row>
    <row r="25" spans="1:13">
      <c r="A25" s="37" t="s">
        <v>167</v>
      </c>
      <c r="B25" s="13" t="s">
        <v>348</v>
      </c>
      <c r="C25" s="13" t="s">
        <v>360</v>
      </c>
      <c r="D25" s="13" t="s">
        <v>320</v>
      </c>
      <c r="E25" s="14" t="s">
        <v>481</v>
      </c>
      <c r="F25" s="13" t="s">
        <v>471</v>
      </c>
      <c r="G25" s="36" t="s">
        <v>65</v>
      </c>
      <c r="H25" s="35" t="s">
        <v>66</v>
      </c>
      <c r="I25" s="35" t="s">
        <v>67</v>
      </c>
      <c r="J25" s="37"/>
      <c r="K25" s="15" t="str">
        <f>"150,0"</f>
        <v>150,0</v>
      </c>
      <c r="L25" s="15" t="str">
        <f>"220,4334"</f>
        <v>220,4334</v>
      </c>
      <c r="M25" s="13" t="s">
        <v>456</v>
      </c>
    </row>
    <row r="27" spans="1:13" ht="16">
      <c r="A27" s="48" t="s">
        <v>43</v>
      </c>
      <c r="B27" s="48"/>
      <c r="C27" s="48"/>
      <c r="D27" s="48"/>
      <c r="E27" s="49"/>
      <c r="F27" s="48"/>
      <c r="G27" s="48"/>
      <c r="H27" s="48"/>
      <c r="I27" s="48"/>
      <c r="J27" s="48"/>
    </row>
    <row r="28" spans="1:13">
      <c r="A28" s="34" t="s">
        <v>167</v>
      </c>
      <c r="B28" s="10" t="s">
        <v>349</v>
      </c>
      <c r="C28" s="10" t="s">
        <v>361</v>
      </c>
      <c r="D28" s="10" t="s">
        <v>322</v>
      </c>
      <c r="E28" s="11" t="s">
        <v>480</v>
      </c>
      <c r="F28" s="10" t="s">
        <v>475</v>
      </c>
      <c r="G28" s="32" t="s">
        <v>67</v>
      </c>
      <c r="H28" s="33" t="s">
        <v>145</v>
      </c>
      <c r="I28" s="32" t="s">
        <v>145</v>
      </c>
      <c r="J28" s="34"/>
      <c r="K28" s="12" t="str">
        <f>"165,0"</f>
        <v>165,0</v>
      </c>
      <c r="L28" s="12" t="str">
        <f>"110,8635"</f>
        <v>110,8635</v>
      </c>
      <c r="M28" s="10" t="s">
        <v>456</v>
      </c>
    </row>
    <row r="29" spans="1:13">
      <c r="A29" s="39" t="s">
        <v>167</v>
      </c>
      <c r="B29" s="16" t="s">
        <v>350</v>
      </c>
      <c r="C29" s="16" t="s">
        <v>362</v>
      </c>
      <c r="D29" s="16" t="s">
        <v>109</v>
      </c>
      <c r="E29" s="17" t="s">
        <v>480</v>
      </c>
      <c r="F29" s="16" t="s">
        <v>471</v>
      </c>
      <c r="G29" s="38" t="s">
        <v>65</v>
      </c>
      <c r="H29" s="38" t="s">
        <v>67</v>
      </c>
      <c r="I29" s="38" t="s">
        <v>86</v>
      </c>
      <c r="J29" s="39"/>
      <c r="K29" s="18" t="str">
        <f>"160,0"</f>
        <v>160,0</v>
      </c>
      <c r="L29" s="18" t="str">
        <f>"107,2640"</f>
        <v>107,2640</v>
      </c>
      <c r="M29" s="16" t="s">
        <v>456</v>
      </c>
    </row>
    <row r="30" spans="1:13">
      <c r="A30" s="37" t="s">
        <v>167</v>
      </c>
      <c r="B30" s="13" t="s">
        <v>351</v>
      </c>
      <c r="C30" s="13" t="s">
        <v>364</v>
      </c>
      <c r="D30" s="13" t="s">
        <v>323</v>
      </c>
      <c r="E30" s="14" t="s">
        <v>481</v>
      </c>
      <c r="F30" s="13" t="s">
        <v>471</v>
      </c>
      <c r="G30" s="35" t="s">
        <v>324</v>
      </c>
      <c r="H30" s="36" t="s">
        <v>75</v>
      </c>
      <c r="I30" s="37"/>
      <c r="J30" s="37"/>
      <c r="K30" s="15" t="str">
        <f>"132,5"</f>
        <v>132,5</v>
      </c>
      <c r="L30" s="15" t="str">
        <f>"167,0685"</f>
        <v>167,0685</v>
      </c>
      <c r="M30" s="13" t="s">
        <v>456</v>
      </c>
    </row>
    <row r="32" spans="1:13" ht="16">
      <c r="A32" s="48" t="s">
        <v>110</v>
      </c>
      <c r="B32" s="48"/>
      <c r="C32" s="48"/>
      <c r="D32" s="48"/>
      <c r="E32" s="49"/>
      <c r="F32" s="48"/>
      <c r="G32" s="48"/>
      <c r="H32" s="48"/>
      <c r="I32" s="48"/>
      <c r="J32" s="48"/>
    </row>
    <row r="33" spans="1:13">
      <c r="A33" s="34" t="s">
        <v>167</v>
      </c>
      <c r="B33" s="10" t="s">
        <v>352</v>
      </c>
      <c r="C33" s="10" t="s">
        <v>326</v>
      </c>
      <c r="D33" s="10" t="s">
        <v>327</v>
      </c>
      <c r="E33" s="11" t="s">
        <v>479</v>
      </c>
      <c r="F33" s="10" t="s">
        <v>471</v>
      </c>
      <c r="G33" s="32" t="s">
        <v>125</v>
      </c>
      <c r="H33" s="32" t="s">
        <v>328</v>
      </c>
      <c r="I33" s="33" t="s">
        <v>140</v>
      </c>
      <c r="J33" s="34"/>
      <c r="K33" s="12" t="str">
        <f>"235,0"</f>
        <v>235,0</v>
      </c>
      <c r="L33" s="12" t="str">
        <f>"151,0580"</f>
        <v>151,0580</v>
      </c>
      <c r="M33" s="10" t="s">
        <v>353</v>
      </c>
    </row>
    <row r="34" spans="1:13">
      <c r="A34" s="39" t="s">
        <v>167</v>
      </c>
      <c r="B34" s="16" t="s">
        <v>353</v>
      </c>
      <c r="C34" s="16" t="s">
        <v>330</v>
      </c>
      <c r="D34" s="16" t="s">
        <v>331</v>
      </c>
      <c r="E34" s="17" t="s">
        <v>478</v>
      </c>
      <c r="F34" s="16" t="s">
        <v>471</v>
      </c>
      <c r="G34" s="38" t="s">
        <v>140</v>
      </c>
      <c r="H34" s="38" t="s">
        <v>332</v>
      </c>
      <c r="I34" s="39"/>
      <c r="J34" s="39"/>
      <c r="K34" s="18" t="str">
        <f>"250,0"</f>
        <v>250,0</v>
      </c>
      <c r="L34" s="18" t="str">
        <f>"159,9500"</f>
        <v>159,9500</v>
      </c>
      <c r="M34" s="16"/>
    </row>
    <row r="35" spans="1:13">
      <c r="A35" s="39" t="s">
        <v>179</v>
      </c>
      <c r="B35" s="16" t="s">
        <v>352</v>
      </c>
      <c r="C35" s="16" t="s">
        <v>333</v>
      </c>
      <c r="D35" s="16" t="s">
        <v>327</v>
      </c>
      <c r="E35" s="17" t="s">
        <v>478</v>
      </c>
      <c r="F35" s="16" t="s">
        <v>471</v>
      </c>
      <c r="G35" s="38" t="s">
        <v>125</v>
      </c>
      <c r="H35" s="38" t="s">
        <v>328</v>
      </c>
      <c r="I35" s="40" t="s">
        <v>140</v>
      </c>
      <c r="J35" s="39"/>
      <c r="K35" s="18" t="str">
        <f>"235,0"</f>
        <v>235,0</v>
      </c>
      <c r="L35" s="18" t="str">
        <f>"151,0580"</f>
        <v>151,0580</v>
      </c>
      <c r="M35" s="16" t="s">
        <v>353</v>
      </c>
    </row>
    <row r="36" spans="1:13">
      <c r="A36" s="39" t="s">
        <v>173</v>
      </c>
      <c r="B36" s="16" t="s">
        <v>302</v>
      </c>
      <c r="C36" s="16" t="s">
        <v>254</v>
      </c>
      <c r="D36" s="16" t="s">
        <v>255</v>
      </c>
      <c r="E36" s="17" t="s">
        <v>478</v>
      </c>
      <c r="F36" s="16" t="s">
        <v>474</v>
      </c>
      <c r="G36" s="40" t="s">
        <v>104</v>
      </c>
      <c r="H36" s="40" t="s">
        <v>104</v>
      </c>
      <c r="I36" s="40" t="s">
        <v>104</v>
      </c>
      <c r="J36" s="39"/>
      <c r="K36" s="18" t="str">
        <f>"0.00"</f>
        <v>0.00</v>
      </c>
      <c r="L36" s="18" t="str">
        <f>"0,0000"</f>
        <v>0,0000</v>
      </c>
      <c r="M36" s="16" t="s">
        <v>467</v>
      </c>
    </row>
    <row r="37" spans="1:13">
      <c r="A37" s="37" t="s">
        <v>167</v>
      </c>
      <c r="B37" s="13" t="s">
        <v>353</v>
      </c>
      <c r="C37" s="13" t="s">
        <v>363</v>
      </c>
      <c r="D37" s="13" t="s">
        <v>331</v>
      </c>
      <c r="E37" s="14" t="s">
        <v>481</v>
      </c>
      <c r="F37" s="13" t="s">
        <v>471</v>
      </c>
      <c r="G37" s="35" t="s">
        <v>140</v>
      </c>
      <c r="H37" s="35" t="s">
        <v>332</v>
      </c>
      <c r="I37" s="37"/>
      <c r="J37" s="37"/>
      <c r="K37" s="15" t="str">
        <f>"250,0"</f>
        <v>250,0</v>
      </c>
      <c r="L37" s="15" t="str">
        <f>"160,7498"</f>
        <v>160,7498</v>
      </c>
      <c r="M37" s="13"/>
    </row>
    <row r="39" spans="1:13" ht="16">
      <c r="A39" s="48" t="s">
        <v>118</v>
      </c>
      <c r="B39" s="48"/>
      <c r="C39" s="48"/>
      <c r="D39" s="48"/>
      <c r="E39" s="49"/>
      <c r="F39" s="48"/>
      <c r="G39" s="48"/>
      <c r="H39" s="48"/>
      <c r="I39" s="48"/>
      <c r="J39" s="48"/>
    </row>
    <row r="40" spans="1:13">
      <c r="A40" s="31" t="s">
        <v>167</v>
      </c>
      <c r="B40" s="7" t="s">
        <v>354</v>
      </c>
      <c r="C40" s="7" t="s">
        <v>334</v>
      </c>
      <c r="D40" s="7" t="s">
        <v>335</v>
      </c>
      <c r="E40" s="8" t="s">
        <v>478</v>
      </c>
      <c r="F40" s="7" t="s">
        <v>471</v>
      </c>
      <c r="G40" s="29" t="s">
        <v>139</v>
      </c>
      <c r="H40" s="29" t="s">
        <v>125</v>
      </c>
      <c r="I40" s="29" t="s">
        <v>140</v>
      </c>
      <c r="J40" s="31"/>
      <c r="K40" s="9" t="str">
        <f>"240,0"</f>
        <v>240,0</v>
      </c>
      <c r="L40" s="9" t="str">
        <f>"149,4960"</f>
        <v>149,4960</v>
      </c>
      <c r="M40" s="7" t="s">
        <v>456</v>
      </c>
    </row>
    <row r="42" spans="1:13" ht="16">
      <c r="A42" s="48" t="s">
        <v>126</v>
      </c>
      <c r="B42" s="48"/>
      <c r="C42" s="48"/>
      <c r="D42" s="48"/>
      <c r="E42" s="49"/>
      <c r="F42" s="48"/>
      <c r="G42" s="48"/>
      <c r="H42" s="48"/>
      <c r="I42" s="48"/>
      <c r="J42" s="48"/>
    </row>
    <row r="43" spans="1:13">
      <c r="A43" s="31" t="s">
        <v>167</v>
      </c>
      <c r="B43" s="7" t="s">
        <v>355</v>
      </c>
      <c r="C43" s="7" t="s">
        <v>337</v>
      </c>
      <c r="D43" s="7" t="s">
        <v>338</v>
      </c>
      <c r="E43" s="8" t="s">
        <v>478</v>
      </c>
      <c r="F43" s="7" t="s">
        <v>470</v>
      </c>
      <c r="G43" s="29" t="s">
        <v>117</v>
      </c>
      <c r="H43" s="30" t="s">
        <v>339</v>
      </c>
      <c r="I43" s="30" t="s">
        <v>339</v>
      </c>
      <c r="J43" s="31"/>
      <c r="K43" s="9" t="str">
        <f>"280,0"</f>
        <v>280,0</v>
      </c>
      <c r="L43" s="9" t="str">
        <f>"166,2920"</f>
        <v>166,2920</v>
      </c>
      <c r="M43" s="7" t="s">
        <v>355</v>
      </c>
    </row>
    <row r="45" spans="1:13" ht="16">
      <c r="A45" s="48" t="s">
        <v>135</v>
      </c>
      <c r="B45" s="48"/>
      <c r="C45" s="48"/>
      <c r="D45" s="48"/>
      <c r="E45" s="49"/>
      <c r="F45" s="48"/>
      <c r="G45" s="48"/>
      <c r="H45" s="48"/>
      <c r="I45" s="48"/>
      <c r="J45" s="48"/>
    </row>
    <row r="46" spans="1:13">
      <c r="A46" s="31" t="s">
        <v>167</v>
      </c>
      <c r="B46" s="7" t="s">
        <v>356</v>
      </c>
      <c r="C46" s="7" t="s">
        <v>340</v>
      </c>
      <c r="D46" s="7" t="s">
        <v>341</v>
      </c>
      <c r="E46" s="8" t="s">
        <v>478</v>
      </c>
      <c r="F46" s="7" t="s">
        <v>470</v>
      </c>
      <c r="G46" s="29" t="s">
        <v>129</v>
      </c>
      <c r="H46" s="30" t="s">
        <v>122</v>
      </c>
      <c r="I46" s="29" t="s">
        <v>122</v>
      </c>
      <c r="J46" s="31"/>
      <c r="K46" s="9" t="str">
        <f>"205,0"</f>
        <v>205,0</v>
      </c>
      <c r="L46" s="9" t="str">
        <f>"116,8090"</f>
        <v>116,8090</v>
      </c>
      <c r="M46" s="7"/>
    </row>
    <row r="48" spans="1:13">
      <c r="K48" s="27"/>
      <c r="M48" s="6"/>
    </row>
    <row r="49" spans="2:13">
      <c r="K49" s="27"/>
      <c r="M49" s="6"/>
    </row>
    <row r="50" spans="2:13" ht="18">
      <c r="B50" s="20" t="s">
        <v>146</v>
      </c>
      <c r="C50" s="20"/>
      <c r="K50" s="27"/>
      <c r="M50" s="6"/>
    </row>
    <row r="51" spans="2:13" ht="16">
      <c r="B51" s="21" t="s">
        <v>147</v>
      </c>
      <c r="C51" s="21"/>
      <c r="K51" s="27"/>
      <c r="M51" s="6"/>
    </row>
    <row r="52" spans="2:13" ht="14">
      <c r="B52" s="22"/>
      <c r="C52" s="23" t="s">
        <v>156</v>
      </c>
      <c r="K52" s="27"/>
      <c r="M52" s="6"/>
    </row>
    <row r="53" spans="2:13" ht="14">
      <c r="B53" s="24" t="s">
        <v>148</v>
      </c>
      <c r="C53" s="24" t="s">
        <v>149</v>
      </c>
      <c r="D53" s="24" t="s">
        <v>461</v>
      </c>
      <c r="E53" s="25" t="s">
        <v>269</v>
      </c>
      <c r="F53" s="24" t="s">
        <v>151</v>
      </c>
      <c r="K53" s="27"/>
      <c r="M53" s="6"/>
    </row>
    <row r="54" spans="2:13">
      <c r="B54" s="5" t="s">
        <v>23</v>
      </c>
      <c r="C54" s="5" t="s">
        <v>156</v>
      </c>
      <c r="D54" s="27" t="s">
        <v>154</v>
      </c>
      <c r="E54" s="28">
        <v>115</v>
      </c>
      <c r="F54" s="26">
        <v>143.35900366306299</v>
      </c>
      <c r="K54" s="27"/>
      <c r="M54" s="6"/>
    </row>
    <row r="55" spans="2:13">
      <c r="B55" s="5" t="s">
        <v>308</v>
      </c>
      <c r="C55" s="5" t="s">
        <v>156</v>
      </c>
      <c r="D55" s="27" t="s">
        <v>155</v>
      </c>
      <c r="E55" s="28">
        <v>115</v>
      </c>
      <c r="F55" s="26">
        <v>130.582494735718</v>
      </c>
      <c r="K55" s="27"/>
      <c r="M55" s="6"/>
    </row>
    <row r="56" spans="2:13">
      <c r="B56" s="5" t="s">
        <v>310</v>
      </c>
      <c r="C56" s="5" t="s">
        <v>156</v>
      </c>
      <c r="D56" s="27" t="s">
        <v>152</v>
      </c>
      <c r="E56" s="28">
        <v>100</v>
      </c>
      <c r="F56" s="26">
        <v>105.14999628067</v>
      </c>
      <c r="K56" s="27"/>
      <c r="M56" s="6"/>
    </row>
    <row r="57" spans="2:13">
      <c r="K57" s="27"/>
      <c r="M57" s="6"/>
    </row>
    <row r="58" spans="2:13" ht="16">
      <c r="B58" s="21" t="s">
        <v>159</v>
      </c>
      <c r="C58" s="21"/>
      <c r="K58" s="27"/>
      <c r="M58" s="6"/>
    </row>
    <row r="59" spans="2:13" ht="14">
      <c r="B59" s="22"/>
      <c r="C59" s="23" t="s">
        <v>160</v>
      </c>
      <c r="K59" s="27"/>
      <c r="M59" s="6"/>
    </row>
    <row r="60" spans="2:13" ht="14">
      <c r="B60" s="24" t="s">
        <v>148</v>
      </c>
      <c r="C60" s="24" t="s">
        <v>149</v>
      </c>
      <c r="D60" s="24" t="s">
        <v>461</v>
      </c>
      <c r="E60" s="25" t="s">
        <v>269</v>
      </c>
      <c r="F60" s="24" t="s">
        <v>151</v>
      </c>
      <c r="K60" s="27"/>
      <c r="M60" s="6"/>
    </row>
    <row r="61" spans="2:13">
      <c r="B61" s="5" t="s">
        <v>317</v>
      </c>
      <c r="C61" s="5" t="s">
        <v>357</v>
      </c>
      <c r="D61" s="27" t="s">
        <v>152</v>
      </c>
      <c r="E61" s="28">
        <v>170</v>
      </c>
      <c r="F61" s="26">
        <v>137.512999773026</v>
      </c>
      <c r="K61" s="27"/>
      <c r="M61" s="6"/>
    </row>
    <row r="62" spans="2:13">
      <c r="B62" s="5" t="s">
        <v>234</v>
      </c>
      <c r="C62" s="5" t="s">
        <v>357</v>
      </c>
      <c r="D62" s="27" t="s">
        <v>152</v>
      </c>
      <c r="E62" s="28">
        <v>145</v>
      </c>
      <c r="F62" s="26">
        <v>121.82900100946399</v>
      </c>
      <c r="K62" s="27"/>
      <c r="M62" s="6"/>
    </row>
    <row r="63" spans="2:13">
      <c r="B63" s="5" t="s">
        <v>321</v>
      </c>
      <c r="C63" s="5" t="s">
        <v>160</v>
      </c>
      <c r="D63" s="27" t="s">
        <v>158</v>
      </c>
      <c r="E63" s="28">
        <v>165</v>
      </c>
      <c r="F63" s="26">
        <v>110.863495767117</v>
      </c>
      <c r="K63" s="27"/>
      <c r="M63" s="6"/>
    </row>
    <row r="64" spans="2:13">
      <c r="K64" s="27"/>
      <c r="M64" s="6"/>
    </row>
    <row r="65" spans="2:13" ht="14">
      <c r="B65" s="22"/>
      <c r="C65" s="23" t="s">
        <v>156</v>
      </c>
      <c r="K65" s="27"/>
      <c r="M65" s="6"/>
    </row>
    <row r="66" spans="2:13" ht="14">
      <c r="B66" s="24" t="s">
        <v>148</v>
      </c>
      <c r="C66" s="24" t="s">
        <v>149</v>
      </c>
      <c r="D66" s="24" t="s">
        <v>461</v>
      </c>
      <c r="E66" s="25" t="s">
        <v>269</v>
      </c>
      <c r="F66" s="24" t="s">
        <v>151</v>
      </c>
      <c r="K66" s="27"/>
      <c r="M66" s="6"/>
    </row>
    <row r="67" spans="2:13">
      <c r="B67" s="5" t="s">
        <v>336</v>
      </c>
      <c r="C67" s="5" t="s">
        <v>156</v>
      </c>
      <c r="D67" s="27" t="s">
        <v>163</v>
      </c>
      <c r="E67" s="28">
        <v>280</v>
      </c>
      <c r="F67" s="26">
        <v>166.29200696945199</v>
      </c>
      <c r="K67" s="27"/>
      <c r="M67" s="6"/>
    </row>
    <row r="68" spans="2:13">
      <c r="B68" s="5" t="s">
        <v>329</v>
      </c>
      <c r="C68" s="5" t="s">
        <v>156</v>
      </c>
      <c r="D68" s="27" t="s">
        <v>165</v>
      </c>
      <c r="E68" s="28">
        <v>250</v>
      </c>
      <c r="F68" s="26">
        <v>159.95000302791601</v>
      </c>
      <c r="G68" s="5"/>
      <c r="K68" s="27"/>
      <c r="M68" s="6"/>
    </row>
    <row r="69" spans="2:13">
      <c r="B69" s="5" t="s">
        <v>325</v>
      </c>
      <c r="C69" s="5" t="s">
        <v>156</v>
      </c>
      <c r="D69" s="27" t="s">
        <v>165</v>
      </c>
      <c r="E69" s="28">
        <v>235</v>
      </c>
      <c r="F69" s="26">
        <v>151.057993769646</v>
      </c>
      <c r="G69" s="5"/>
      <c r="K69" s="27"/>
      <c r="M69" s="6"/>
    </row>
  </sheetData>
  <mergeCells count="22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2:J32"/>
    <mergeCell ref="A39:J39"/>
    <mergeCell ref="A42:J42"/>
    <mergeCell ref="A45:J45"/>
    <mergeCell ref="B3:B4"/>
    <mergeCell ref="A9:J9"/>
    <mergeCell ref="A12:J12"/>
    <mergeCell ref="A16:J16"/>
    <mergeCell ref="A19:J19"/>
    <mergeCell ref="A23:J23"/>
    <mergeCell ref="A27:J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5"/>
  <sheetViews>
    <sheetView tabSelected="1" zoomScaleNormal="100" workbookViewId="0">
      <selection activeCell="E53" sqref="E53"/>
    </sheetView>
  </sheetViews>
  <sheetFormatPr baseColWidth="10" defaultColWidth="8.83203125" defaultRowHeight="13"/>
  <cols>
    <col min="1" max="1" width="10.33203125" customWidth="1"/>
    <col min="2" max="2" width="26.6640625" customWidth="1"/>
    <col min="3" max="3" width="30.33203125" customWidth="1"/>
    <col min="4" max="4" width="22.33203125" customWidth="1"/>
    <col min="5" max="5" width="16.5" customWidth="1"/>
    <col min="6" max="6" width="32" customWidth="1"/>
    <col min="7" max="10" width="5.33203125" customWidth="1"/>
    <col min="11" max="11" width="14.1640625" style="47" customWidth="1"/>
    <col min="13" max="13" width="23.1640625" customWidth="1"/>
  </cols>
  <sheetData>
    <row r="1" spans="1:13">
      <c r="A1" s="56" t="s">
        <v>466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ht="87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ht="14">
      <c r="A3" s="65" t="s">
        <v>469</v>
      </c>
      <c r="B3" s="50" t="s">
        <v>0</v>
      </c>
      <c r="C3" s="67" t="s">
        <v>476</v>
      </c>
      <c r="D3" s="67" t="s">
        <v>6</v>
      </c>
      <c r="E3" s="54" t="s">
        <v>477</v>
      </c>
      <c r="F3" s="64" t="s">
        <v>5</v>
      </c>
      <c r="G3" s="64" t="s">
        <v>468</v>
      </c>
      <c r="H3" s="64"/>
      <c r="I3" s="64"/>
      <c r="J3" s="64"/>
      <c r="K3" s="71" t="s">
        <v>271</v>
      </c>
      <c r="L3" s="54" t="s">
        <v>3</v>
      </c>
      <c r="M3" s="69" t="s">
        <v>2</v>
      </c>
    </row>
    <row r="4" spans="1:13" ht="15" thickBot="1">
      <c r="A4" s="66"/>
      <c r="B4" s="51"/>
      <c r="C4" s="68"/>
      <c r="D4" s="68"/>
      <c r="E4" s="55"/>
      <c r="F4" s="68"/>
      <c r="G4" s="41">
        <v>1</v>
      </c>
      <c r="H4" s="41">
        <v>2</v>
      </c>
      <c r="I4" s="41">
        <v>3</v>
      </c>
      <c r="J4" s="41" t="s">
        <v>4</v>
      </c>
      <c r="K4" s="72"/>
      <c r="L4" s="55"/>
      <c r="M4" s="70"/>
    </row>
    <row r="5" spans="1:13" ht="16">
      <c r="A5" s="52" t="s">
        <v>10</v>
      </c>
      <c r="B5" s="52"/>
      <c r="C5" s="53"/>
      <c r="D5" s="53"/>
      <c r="E5" s="53"/>
      <c r="F5" s="53"/>
      <c r="G5" s="53"/>
      <c r="H5" s="53"/>
      <c r="I5" s="53"/>
      <c r="J5" s="53"/>
      <c r="K5" s="28"/>
      <c r="L5" s="6"/>
      <c r="M5" s="5"/>
    </row>
    <row r="6" spans="1:13">
      <c r="A6" s="31" t="s">
        <v>167</v>
      </c>
      <c r="B6" s="7" t="s">
        <v>447</v>
      </c>
      <c r="C6" s="7" t="s">
        <v>446</v>
      </c>
      <c r="D6" s="7" t="s">
        <v>445</v>
      </c>
      <c r="E6" s="8" t="s">
        <v>478</v>
      </c>
      <c r="F6" s="7" t="s">
        <v>470</v>
      </c>
      <c r="G6" s="29" t="s">
        <v>435</v>
      </c>
      <c r="H6" s="29" t="s">
        <v>434</v>
      </c>
      <c r="I6" s="29" t="s">
        <v>433</v>
      </c>
      <c r="J6" s="31"/>
      <c r="K6" s="46" t="str">
        <f>"25,0"</f>
        <v>25,0</v>
      </c>
      <c r="L6" s="9" t="str">
        <f>"30,0000"</f>
        <v>30,0000</v>
      </c>
      <c r="M6" s="7" t="s">
        <v>444</v>
      </c>
    </row>
    <row r="7" spans="1:13">
      <c r="A7" s="5"/>
      <c r="B7" s="5"/>
      <c r="C7" s="5"/>
      <c r="D7" s="5"/>
      <c r="E7" s="19"/>
      <c r="F7" s="5"/>
      <c r="G7" s="27"/>
      <c r="H7" s="27"/>
      <c r="I7" s="27"/>
      <c r="J7" s="27"/>
      <c r="K7" s="28"/>
      <c r="L7" s="6"/>
      <c r="M7" s="5"/>
    </row>
    <row r="8" spans="1:13" ht="16">
      <c r="A8" s="48" t="s">
        <v>22</v>
      </c>
      <c r="B8" s="48"/>
      <c r="C8" s="48"/>
      <c r="D8" s="48"/>
      <c r="E8" s="49"/>
      <c r="F8" s="48"/>
      <c r="G8" s="48"/>
      <c r="H8" s="48"/>
      <c r="I8" s="48"/>
      <c r="J8" s="48"/>
      <c r="K8" s="28"/>
      <c r="L8" s="6"/>
      <c r="M8" s="5"/>
    </row>
    <row r="9" spans="1:13">
      <c r="A9" s="31" t="s">
        <v>173</v>
      </c>
      <c r="B9" s="7" t="s">
        <v>169</v>
      </c>
      <c r="C9" s="7" t="s">
        <v>30</v>
      </c>
      <c r="D9" s="7" t="s">
        <v>25</v>
      </c>
      <c r="E9" s="8" t="s">
        <v>478</v>
      </c>
      <c r="F9" s="7" t="s">
        <v>471</v>
      </c>
      <c r="G9" s="30" t="s">
        <v>41</v>
      </c>
      <c r="H9" s="30" t="s">
        <v>41</v>
      </c>
      <c r="I9" s="30" t="s">
        <v>41</v>
      </c>
      <c r="J9" s="31"/>
      <c r="K9" s="46">
        <v>0</v>
      </c>
      <c r="L9" s="9" t="str">
        <f>"0,0000"</f>
        <v>0,0000</v>
      </c>
      <c r="M9" s="7" t="s">
        <v>456</v>
      </c>
    </row>
    <row r="10" spans="1:13">
      <c r="A10" s="5"/>
      <c r="B10" s="5"/>
      <c r="C10" s="5"/>
      <c r="D10" s="5"/>
      <c r="E10" s="19"/>
      <c r="F10" s="5"/>
      <c r="G10" s="27"/>
      <c r="H10" s="27"/>
      <c r="I10" s="27"/>
      <c r="J10" s="27"/>
      <c r="K10" s="28"/>
      <c r="L10" s="6"/>
      <c r="M10" s="5"/>
    </row>
    <row r="11" spans="1:13" ht="16">
      <c r="A11" s="48" t="s">
        <v>61</v>
      </c>
      <c r="B11" s="48"/>
      <c r="C11" s="48"/>
      <c r="D11" s="48"/>
      <c r="E11" s="49"/>
      <c r="F11" s="48"/>
      <c r="G11" s="48"/>
      <c r="H11" s="48"/>
      <c r="I11" s="48"/>
      <c r="J11" s="48"/>
      <c r="K11" s="28"/>
      <c r="L11" s="6"/>
      <c r="M11" s="5"/>
    </row>
    <row r="12" spans="1:13">
      <c r="A12" s="31" t="s">
        <v>167</v>
      </c>
      <c r="B12" s="7" t="s">
        <v>444</v>
      </c>
      <c r="C12" s="7" t="s">
        <v>443</v>
      </c>
      <c r="D12" s="7" t="s">
        <v>442</v>
      </c>
      <c r="E12" s="8" t="s">
        <v>478</v>
      </c>
      <c r="F12" s="7" t="s">
        <v>470</v>
      </c>
      <c r="G12" s="29" t="s">
        <v>434</v>
      </c>
      <c r="H12" s="29" t="s">
        <v>433</v>
      </c>
      <c r="I12" s="29" t="s">
        <v>441</v>
      </c>
      <c r="J12" s="31"/>
      <c r="K12" s="46" t="str">
        <f>"27,5"</f>
        <v>27,5</v>
      </c>
      <c r="L12" s="9" t="str">
        <f>"29,1665"</f>
        <v>29,1665</v>
      </c>
      <c r="M12" s="7"/>
    </row>
    <row r="13" spans="1:13">
      <c r="A13" s="5"/>
      <c r="B13" s="5"/>
      <c r="C13" s="5"/>
      <c r="D13" s="5"/>
      <c r="E13" s="19"/>
      <c r="F13" s="5"/>
      <c r="G13" s="27"/>
      <c r="H13" s="27"/>
      <c r="I13" s="27"/>
      <c r="J13" s="27"/>
      <c r="K13" s="28"/>
      <c r="L13" s="6"/>
      <c r="M13" s="5"/>
    </row>
    <row r="14" spans="1:13" ht="16">
      <c r="A14" s="48" t="s">
        <v>31</v>
      </c>
      <c r="B14" s="48"/>
      <c r="C14" s="48"/>
      <c r="D14" s="48"/>
      <c r="E14" s="49"/>
      <c r="F14" s="48"/>
      <c r="G14" s="48"/>
      <c r="H14" s="48"/>
      <c r="I14" s="48"/>
      <c r="J14" s="48"/>
      <c r="K14" s="28"/>
      <c r="L14" s="6"/>
      <c r="M14" s="5"/>
    </row>
    <row r="15" spans="1:13">
      <c r="A15" s="34" t="s">
        <v>167</v>
      </c>
      <c r="B15" s="10" t="s">
        <v>440</v>
      </c>
      <c r="C15" s="10" t="s">
        <v>439</v>
      </c>
      <c r="D15" s="10" t="s">
        <v>438</v>
      </c>
      <c r="E15" s="11" t="s">
        <v>478</v>
      </c>
      <c r="F15" s="10" t="s">
        <v>470</v>
      </c>
      <c r="G15" s="32" t="s">
        <v>433</v>
      </c>
      <c r="H15" s="32" t="s">
        <v>231</v>
      </c>
      <c r="I15" s="33" t="s">
        <v>232</v>
      </c>
      <c r="J15" s="34"/>
      <c r="K15" s="43" t="str">
        <f>"30,0"</f>
        <v>30,0</v>
      </c>
      <c r="L15" s="12" t="str">
        <f>"30,2790"</f>
        <v>30,2790</v>
      </c>
      <c r="M15" s="10" t="s">
        <v>444</v>
      </c>
    </row>
    <row r="16" spans="1:13">
      <c r="A16" s="37" t="s">
        <v>179</v>
      </c>
      <c r="B16" s="13" t="s">
        <v>437</v>
      </c>
      <c r="C16" s="13" t="s">
        <v>436</v>
      </c>
      <c r="D16" s="13" t="s">
        <v>71</v>
      </c>
      <c r="E16" s="14" t="s">
        <v>478</v>
      </c>
      <c r="F16" s="13" t="s">
        <v>470</v>
      </c>
      <c r="G16" s="35" t="s">
        <v>435</v>
      </c>
      <c r="H16" s="35" t="s">
        <v>434</v>
      </c>
      <c r="I16" s="35" t="s">
        <v>433</v>
      </c>
      <c r="J16" s="37"/>
      <c r="K16" s="44" t="str">
        <f>"25,0"</f>
        <v>25,0</v>
      </c>
      <c r="L16" s="15" t="str">
        <f>"25,3375"</f>
        <v>25,3375</v>
      </c>
      <c r="M16" s="13" t="s">
        <v>444</v>
      </c>
    </row>
    <row r="17" spans="1:13">
      <c r="A17" s="5"/>
      <c r="B17" s="5"/>
      <c r="C17" s="5"/>
      <c r="D17" s="5"/>
      <c r="E17" s="19"/>
      <c r="F17" s="5"/>
      <c r="G17" s="27"/>
      <c r="H17" s="27"/>
      <c r="I17" s="27"/>
      <c r="J17" s="27"/>
      <c r="K17" s="28"/>
      <c r="L17" s="6"/>
      <c r="M17" s="5"/>
    </row>
    <row r="18" spans="1:13" ht="16">
      <c r="A18" s="48" t="s">
        <v>61</v>
      </c>
      <c r="B18" s="48"/>
      <c r="C18" s="48"/>
      <c r="D18" s="48"/>
      <c r="E18" s="49"/>
      <c r="F18" s="48"/>
      <c r="G18" s="48"/>
      <c r="H18" s="48"/>
      <c r="I18" s="48"/>
      <c r="J18" s="48"/>
      <c r="K18" s="28"/>
      <c r="L18" s="6"/>
      <c r="M18" s="5"/>
    </row>
    <row r="19" spans="1:13">
      <c r="A19" s="34" t="s">
        <v>167</v>
      </c>
      <c r="B19" s="10" t="s">
        <v>283</v>
      </c>
      <c r="C19" s="10" t="s">
        <v>376</v>
      </c>
      <c r="D19" s="10" t="s">
        <v>226</v>
      </c>
      <c r="E19" s="11" t="s">
        <v>480</v>
      </c>
      <c r="F19" s="10" t="s">
        <v>470</v>
      </c>
      <c r="G19" s="33" t="s">
        <v>41</v>
      </c>
      <c r="H19" s="32" t="s">
        <v>47</v>
      </c>
      <c r="I19" s="32" t="s">
        <v>18</v>
      </c>
      <c r="J19" s="34"/>
      <c r="K19" s="43" t="str">
        <f>"47,5"</f>
        <v>47,5</v>
      </c>
      <c r="L19" s="12" t="str">
        <f>"43,6240"</f>
        <v>43,6240</v>
      </c>
      <c r="M19" s="10"/>
    </row>
    <row r="20" spans="1:13">
      <c r="A20" s="37" t="s">
        <v>179</v>
      </c>
      <c r="B20" s="13" t="s">
        <v>432</v>
      </c>
      <c r="C20" s="13" t="s">
        <v>448</v>
      </c>
      <c r="D20" s="13" t="s">
        <v>431</v>
      </c>
      <c r="E20" s="14" t="s">
        <v>480</v>
      </c>
      <c r="F20" s="13" t="s">
        <v>470</v>
      </c>
      <c r="G20" s="35" t="s">
        <v>41</v>
      </c>
      <c r="H20" s="35" t="s">
        <v>17</v>
      </c>
      <c r="I20" s="37"/>
      <c r="J20" s="37"/>
      <c r="K20" s="44" t="str">
        <f>"42,5"</f>
        <v>42,5</v>
      </c>
      <c r="L20" s="15" t="str">
        <f>"38,9555"</f>
        <v>38,9555</v>
      </c>
      <c r="M20" s="13"/>
    </row>
    <row r="21" spans="1:13">
      <c r="A21" s="5"/>
      <c r="B21" s="5"/>
      <c r="C21" s="5"/>
      <c r="D21" s="5"/>
      <c r="E21" s="19"/>
      <c r="F21" s="5"/>
      <c r="G21" s="27"/>
      <c r="H21" s="27"/>
      <c r="I21" s="27"/>
      <c r="J21" s="27"/>
      <c r="K21" s="28"/>
      <c r="L21" s="6"/>
      <c r="M21" s="5"/>
    </row>
    <row r="22" spans="1:13" ht="16">
      <c r="A22" s="48" t="s">
        <v>31</v>
      </c>
      <c r="B22" s="48"/>
      <c r="C22" s="48"/>
      <c r="D22" s="48"/>
      <c r="E22" s="49"/>
      <c r="F22" s="48"/>
      <c r="G22" s="48"/>
      <c r="H22" s="48"/>
      <c r="I22" s="48"/>
      <c r="J22" s="48"/>
      <c r="K22" s="28"/>
      <c r="L22" s="6"/>
      <c r="M22" s="5"/>
    </row>
    <row r="23" spans="1:13">
      <c r="A23" s="34" t="s">
        <v>167</v>
      </c>
      <c r="B23" s="10" t="s">
        <v>430</v>
      </c>
      <c r="C23" s="10" t="s">
        <v>449</v>
      </c>
      <c r="D23" s="10" t="s">
        <v>429</v>
      </c>
      <c r="E23" s="11" t="s">
        <v>480</v>
      </c>
      <c r="F23" s="10" t="s">
        <v>470</v>
      </c>
      <c r="G23" s="32" t="s">
        <v>233</v>
      </c>
      <c r="H23" s="32" t="s">
        <v>41</v>
      </c>
      <c r="I23" s="33" t="s">
        <v>47</v>
      </c>
      <c r="J23" s="34"/>
      <c r="K23" s="43" t="str">
        <f>"40,0"</f>
        <v>40,0</v>
      </c>
      <c r="L23" s="12" t="str">
        <f>"33,9800"</f>
        <v>33,9800</v>
      </c>
      <c r="M23" s="10"/>
    </row>
    <row r="24" spans="1:13">
      <c r="A24" s="39" t="s">
        <v>179</v>
      </c>
      <c r="B24" s="16" t="s">
        <v>428</v>
      </c>
      <c r="C24" s="16" t="s">
        <v>450</v>
      </c>
      <c r="D24" s="16" t="s">
        <v>209</v>
      </c>
      <c r="E24" s="17" t="s">
        <v>480</v>
      </c>
      <c r="F24" s="16" t="s">
        <v>471</v>
      </c>
      <c r="G24" s="38" t="s">
        <v>233</v>
      </c>
      <c r="H24" s="38" t="s">
        <v>40</v>
      </c>
      <c r="I24" s="40" t="s">
        <v>41</v>
      </c>
      <c r="J24" s="39"/>
      <c r="K24" s="45" t="str">
        <f>"37,5"</f>
        <v>37,5</v>
      </c>
      <c r="L24" s="18" t="str">
        <f>"31,2319"</f>
        <v>31,2319</v>
      </c>
      <c r="M24" s="16" t="s">
        <v>456</v>
      </c>
    </row>
    <row r="25" spans="1:13">
      <c r="A25" s="37" t="s">
        <v>183</v>
      </c>
      <c r="B25" s="13" t="s">
        <v>180</v>
      </c>
      <c r="C25" s="13" t="s">
        <v>451</v>
      </c>
      <c r="D25" s="13" t="s">
        <v>71</v>
      </c>
      <c r="E25" s="14" t="s">
        <v>480</v>
      </c>
      <c r="F25" s="13" t="s">
        <v>472</v>
      </c>
      <c r="G25" s="36" t="s">
        <v>231</v>
      </c>
      <c r="H25" s="36" t="s">
        <v>231</v>
      </c>
      <c r="I25" s="35" t="s">
        <v>231</v>
      </c>
      <c r="J25" s="37"/>
      <c r="K25" s="44" t="str">
        <f>"30,0"</f>
        <v>30,0</v>
      </c>
      <c r="L25" s="15" t="str">
        <f>"25,7895"</f>
        <v>25,7895</v>
      </c>
      <c r="M25" s="13" t="s">
        <v>307</v>
      </c>
    </row>
    <row r="26" spans="1:13">
      <c r="A26" s="5"/>
      <c r="B26" s="5"/>
      <c r="C26" s="5"/>
      <c r="D26" s="5"/>
      <c r="E26" s="19"/>
      <c r="F26" s="5"/>
      <c r="G26" s="27"/>
      <c r="H26" s="27"/>
      <c r="I26" s="27"/>
      <c r="J26" s="27"/>
      <c r="K26" s="28"/>
      <c r="L26" s="6"/>
      <c r="M26" s="5"/>
    </row>
    <row r="27" spans="1:13" ht="16">
      <c r="A27" s="48" t="s">
        <v>35</v>
      </c>
      <c r="B27" s="48"/>
      <c r="C27" s="48"/>
      <c r="D27" s="48"/>
      <c r="E27" s="49"/>
      <c r="F27" s="48"/>
      <c r="G27" s="48"/>
      <c r="H27" s="48"/>
      <c r="I27" s="48"/>
      <c r="J27" s="48"/>
      <c r="K27" s="28"/>
      <c r="L27" s="6"/>
      <c r="M27" s="5"/>
    </row>
    <row r="28" spans="1:13">
      <c r="A28" s="34" t="s">
        <v>167</v>
      </c>
      <c r="B28" s="10" t="s">
        <v>427</v>
      </c>
      <c r="C28" s="10" t="s">
        <v>452</v>
      </c>
      <c r="D28" s="10" t="s">
        <v>426</v>
      </c>
      <c r="E28" s="11" t="s">
        <v>480</v>
      </c>
      <c r="F28" s="10" t="s">
        <v>471</v>
      </c>
      <c r="G28" s="32" t="s">
        <v>47</v>
      </c>
      <c r="H28" s="32" t="s">
        <v>19</v>
      </c>
      <c r="I28" s="33" t="s">
        <v>28</v>
      </c>
      <c r="J28" s="34"/>
      <c r="K28" s="43" t="str">
        <f>"50,0"</f>
        <v>50,0</v>
      </c>
      <c r="L28" s="12" t="str">
        <f>"38,4550"</f>
        <v>38,4550</v>
      </c>
      <c r="M28" s="10" t="s">
        <v>456</v>
      </c>
    </row>
    <row r="29" spans="1:13">
      <c r="A29" s="39" t="s">
        <v>179</v>
      </c>
      <c r="B29" s="16" t="s">
        <v>289</v>
      </c>
      <c r="C29" s="16" t="s">
        <v>359</v>
      </c>
      <c r="D29" s="16" t="s">
        <v>235</v>
      </c>
      <c r="E29" s="17" t="s">
        <v>480</v>
      </c>
      <c r="F29" s="16" t="s">
        <v>470</v>
      </c>
      <c r="G29" s="38" t="s">
        <v>40</v>
      </c>
      <c r="H29" s="38" t="s">
        <v>18</v>
      </c>
      <c r="I29" s="40" t="s">
        <v>28</v>
      </c>
      <c r="J29" s="39"/>
      <c r="K29" s="45" t="str">
        <f>"47,5"</f>
        <v>47,5</v>
      </c>
      <c r="L29" s="18" t="str">
        <f>"38,9381"</f>
        <v>38,9381</v>
      </c>
      <c r="M29" s="16"/>
    </row>
    <row r="30" spans="1:13">
      <c r="A30" s="39" t="s">
        <v>183</v>
      </c>
      <c r="B30" s="16" t="s">
        <v>182</v>
      </c>
      <c r="C30" s="16" t="s">
        <v>367</v>
      </c>
      <c r="D30" s="16" t="s">
        <v>76</v>
      </c>
      <c r="E30" s="17" t="s">
        <v>480</v>
      </c>
      <c r="F30" s="16" t="s">
        <v>472</v>
      </c>
      <c r="G30" s="38" t="s">
        <v>233</v>
      </c>
      <c r="H30" s="38" t="s">
        <v>41</v>
      </c>
      <c r="I30" s="40" t="s">
        <v>47</v>
      </c>
      <c r="J30" s="39"/>
      <c r="K30" s="45" t="str">
        <f>"40,0"</f>
        <v>40,0</v>
      </c>
      <c r="L30" s="18" t="str">
        <f>"31,6780"</f>
        <v>31,6780</v>
      </c>
      <c r="M30" s="16" t="s">
        <v>307</v>
      </c>
    </row>
    <row r="31" spans="1:13">
      <c r="A31" s="39" t="s">
        <v>173</v>
      </c>
      <c r="B31" s="16" t="s">
        <v>425</v>
      </c>
      <c r="C31" s="16" t="s">
        <v>453</v>
      </c>
      <c r="D31" s="16" t="s">
        <v>92</v>
      </c>
      <c r="E31" s="17" t="s">
        <v>480</v>
      </c>
      <c r="F31" s="16" t="s">
        <v>471</v>
      </c>
      <c r="G31" s="40" t="s">
        <v>54</v>
      </c>
      <c r="H31" s="40" t="s">
        <v>54</v>
      </c>
      <c r="I31" s="40" t="s">
        <v>54</v>
      </c>
      <c r="J31" s="39"/>
      <c r="K31" s="45">
        <v>0</v>
      </c>
      <c r="L31" s="18" t="str">
        <f>"0,0000"</f>
        <v>0,0000</v>
      </c>
      <c r="M31" s="16"/>
    </row>
    <row r="32" spans="1:13">
      <c r="A32" s="37" t="s">
        <v>167</v>
      </c>
      <c r="B32" s="13" t="s">
        <v>424</v>
      </c>
      <c r="C32" s="13" t="s">
        <v>423</v>
      </c>
      <c r="D32" s="13" t="s">
        <v>422</v>
      </c>
      <c r="E32" s="14" t="s">
        <v>478</v>
      </c>
      <c r="F32" s="13" t="s">
        <v>470</v>
      </c>
      <c r="G32" s="35" t="s">
        <v>18</v>
      </c>
      <c r="H32" s="35" t="s">
        <v>28</v>
      </c>
      <c r="I32" s="36" t="s">
        <v>55</v>
      </c>
      <c r="J32" s="37"/>
      <c r="K32" s="44" t="str">
        <f>"52,5"</f>
        <v>52,5</v>
      </c>
      <c r="L32" s="15" t="str">
        <f>"40,5982"</f>
        <v>40,5982</v>
      </c>
      <c r="M32" s="13"/>
    </row>
    <row r="33" spans="1:13">
      <c r="A33" s="5"/>
      <c r="B33" s="5"/>
      <c r="C33" s="5"/>
      <c r="D33" s="5"/>
      <c r="E33" s="19"/>
      <c r="F33" s="5"/>
      <c r="G33" s="27"/>
      <c r="H33" s="27"/>
      <c r="I33" s="27"/>
      <c r="J33" s="27"/>
      <c r="K33" s="28"/>
      <c r="L33" s="6"/>
      <c r="M33" s="5"/>
    </row>
    <row r="34" spans="1:13" ht="16">
      <c r="A34" s="48" t="s">
        <v>97</v>
      </c>
      <c r="B34" s="48"/>
      <c r="C34" s="48"/>
      <c r="D34" s="48"/>
      <c r="E34" s="49"/>
      <c r="F34" s="48"/>
      <c r="G34" s="48"/>
      <c r="H34" s="48"/>
      <c r="I34" s="48"/>
      <c r="J34" s="48"/>
      <c r="K34" s="28"/>
      <c r="L34" s="6"/>
      <c r="M34" s="5"/>
    </row>
    <row r="35" spans="1:13">
      <c r="A35" s="34" t="s">
        <v>167</v>
      </c>
      <c r="B35" s="10" t="s">
        <v>292</v>
      </c>
      <c r="C35" s="10" t="s">
        <v>383</v>
      </c>
      <c r="D35" s="10" t="s">
        <v>238</v>
      </c>
      <c r="E35" s="11" t="s">
        <v>480</v>
      </c>
      <c r="F35" s="10" t="s">
        <v>473</v>
      </c>
      <c r="G35" s="33" t="s">
        <v>19</v>
      </c>
      <c r="H35" s="32" t="s">
        <v>54</v>
      </c>
      <c r="I35" s="32" t="s">
        <v>55</v>
      </c>
      <c r="J35" s="34"/>
      <c r="K35" s="43" t="str">
        <f>"57,5"</f>
        <v>57,5</v>
      </c>
      <c r="L35" s="12" t="str">
        <f>"40,1091"</f>
        <v>40,1091</v>
      </c>
      <c r="M35" s="10"/>
    </row>
    <row r="36" spans="1:13">
      <c r="A36" s="39" t="s">
        <v>179</v>
      </c>
      <c r="B36" s="16" t="s">
        <v>421</v>
      </c>
      <c r="C36" s="16" t="s">
        <v>454</v>
      </c>
      <c r="D36" s="16" t="s">
        <v>420</v>
      </c>
      <c r="E36" s="17" t="s">
        <v>480</v>
      </c>
      <c r="F36" s="16" t="s">
        <v>471</v>
      </c>
      <c r="G36" s="38" t="s">
        <v>18</v>
      </c>
      <c r="H36" s="40" t="s">
        <v>19</v>
      </c>
      <c r="I36" s="40" t="s">
        <v>19</v>
      </c>
      <c r="J36" s="39"/>
      <c r="K36" s="45" t="str">
        <f>"47,5"</f>
        <v>47,5</v>
      </c>
      <c r="L36" s="18" t="str">
        <f>"34,5373"</f>
        <v>34,5373</v>
      </c>
      <c r="M36" s="16"/>
    </row>
    <row r="37" spans="1:13">
      <c r="A37" s="39" t="s">
        <v>173</v>
      </c>
      <c r="B37" s="16" t="s">
        <v>419</v>
      </c>
      <c r="C37" s="16" t="s">
        <v>455</v>
      </c>
      <c r="D37" s="16" t="s">
        <v>418</v>
      </c>
      <c r="E37" s="17" t="s">
        <v>480</v>
      </c>
      <c r="F37" s="16" t="s">
        <v>471</v>
      </c>
      <c r="G37" s="40" t="s">
        <v>18</v>
      </c>
      <c r="H37" s="40" t="s">
        <v>18</v>
      </c>
      <c r="I37" s="40" t="s">
        <v>18</v>
      </c>
      <c r="J37" s="39"/>
      <c r="K37" s="45">
        <v>0</v>
      </c>
      <c r="L37" s="18" t="str">
        <f>"0,0000"</f>
        <v>0,0000</v>
      </c>
      <c r="M37" s="16"/>
    </row>
    <row r="38" spans="1:13">
      <c r="A38" s="39" t="s">
        <v>167</v>
      </c>
      <c r="B38" s="16" t="s">
        <v>417</v>
      </c>
      <c r="C38" s="16" t="s">
        <v>416</v>
      </c>
      <c r="D38" s="16" t="s">
        <v>415</v>
      </c>
      <c r="E38" s="17" t="s">
        <v>478</v>
      </c>
      <c r="F38" s="16" t="s">
        <v>470</v>
      </c>
      <c r="G38" s="40" t="s">
        <v>34</v>
      </c>
      <c r="H38" s="38" t="s">
        <v>37</v>
      </c>
      <c r="I38" s="40" t="s">
        <v>203</v>
      </c>
      <c r="J38" s="39"/>
      <c r="K38" s="45" t="str">
        <f>"65,0"</f>
        <v>65,0</v>
      </c>
      <c r="L38" s="18" t="str">
        <f>"44,7557"</f>
        <v>44,7557</v>
      </c>
      <c r="M38" s="16"/>
    </row>
    <row r="39" spans="1:13">
      <c r="A39" s="37" t="s">
        <v>179</v>
      </c>
      <c r="B39" s="13" t="s">
        <v>414</v>
      </c>
      <c r="C39" s="13" t="s">
        <v>413</v>
      </c>
      <c r="D39" s="13" t="s">
        <v>412</v>
      </c>
      <c r="E39" s="14" t="s">
        <v>478</v>
      </c>
      <c r="F39" s="13" t="s">
        <v>470</v>
      </c>
      <c r="G39" s="35" t="s">
        <v>17</v>
      </c>
      <c r="H39" s="35" t="s">
        <v>47</v>
      </c>
      <c r="I39" s="36" t="s">
        <v>18</v>
      </c>
      <c r="J39" s="37"/>
      <c r="K39" s="44" t="str">
        <f>"45,0"</f>
        <v>45,0</v>
      </c>
      <c r="L39" s="15" t="str">
        <f>"33,0682"</f>
        <v>33,0682</v>
      </c>
      <c r="M39" s="13" t="s">
        <v>444</v>
      </c>
    </row>
    <row r="40" spans="1:13">
      <c r="A40" s="5"/>
      <c r="B40" s="5"/>
      <c r="C40" s="5"/>
      <c r="D40" s="5"/>
      <c r="E40" s="19"/>
      <c r="F40" s="5"/>
      <c r="G40" s="27"/>
      <c r="H40" s="27"/>
      <c r="I40" s="27"/>
      <c r="J40" s="27"/>
      <c r="K40" s="28"/>
      <c r="L40" s="6"/>
      <c r="M40" s="5"/>
    </row>
    <row r="41" spans="1:13" ht="16">
      <c r="A41" s="48" t="s">
        <v>43</v>
      </c>
      <c r="B41" s="48"/>
      <c r="C41" s="48"/>
      <c r="D41" s="48"/>
      <c r="E41" s="49"/>
      <c r="F41" s="48"/>
      <c r="G41" s="48"/>
      <c r="H41" s="48"/>
      <c r="I41" s="48"/>
      <c r="J41" s="48"/>
      <c r="K41" s="28"/>
      <c r="L41" s="6"/>
      <c r="M41" s="5"/>
    </row>
    <row r="42" spans="1:13">
      <c r="A42" s="31" t="s">
        <v>167</v>
      </c>
      <c r="B42" s="7" t="s">
        <v>411</v>
      </c>
      <c r="C42" s="7" t="s">
        <v>410</v>
      </c>
      <c r="D42" s="7" t="s">
        <v>409</v>
      </c>
      <c r="E42" s="8" t="s">
        <v>478</v>
      </c>
      <c r="F42" s="7" t="s">
        <v>470</v>
      </c>
      <c r="G42" s="30" t="s">
        <v>55</v>
      </c>
      <c r="H42" s="29" t="s">
        <v>55</v>
      </c>
      <c r="I42" s="30" t="s">
        <v>229</v>
      </c>
      <c r="J42" s="31"/>
      <c r="K42" s="46" t="str">
        <f>"57,5"</f>
        <v>57,5</v>
      </c>
      <c r="L42" s="9" t="str">
        <f>"39,0195"</f>
        <v>39,0195</v>
      </c>
      <c r="M42" s="7"/>
    </row>
    <row r="43" spans="1:13">
      <c r="A43" s="5"/>
      <c r="B43" s="5"/>
      <c r="C43" s="5"/>
      <c r="D43" s="5"/>
      <c r="E43" s="19"/>
      <c r="F43" s="5"/>
      <c r="G43" s="27"/>
      <c r="H43" s="27"/>
      <c r="I43" s="27"/>
      <c r="J43" s="27"/>
      <c r="K43" s="28"/>
      <c r="L43" s="6"/>
      <c r="M43" s="5"/>
    </row>
    <row r="44" spans="1:13" ht="16">
      <c r="A44" s="48" t="s">
        <v>110</v>
      </c>
      <c r="B44" s="48"/>
      <c r="C44" s="48"/>
      <c r="D44" s="48"/>
      <c r="E44" s="49"/>
      <c r="F44" s="48"/>
      <c r="G44" s="48"/>
      <c r="H44" s="48"/>
      <c r="I44" s="48"/>
      <c r="J44" s="48"/>
      <c r="K44" s="28"/>
      <c r="L44" s="6"/>
      <c r="M44" s="5"/>
    </row>
    <row r="45" spans="1:13">
      <c r="A45" s="31" t="s">
        <v>167</v>
      </c>
      <c r="B45" s="7" t="s">
        <v>408</v>
      </c>
      <c r="C45" s="7" t="s">
        <v>407</v>
      </c>
      <c r="D45" s="7" t="s">
        <v>406</v>
      </c>
      <c r="E45" s="8" t="s">
        <v>478</v>
      </c>
      <c r="F45" s="7" t="s">
        <v>471</v>
      </c>
      <c r="G45" s="30" t="s">
        <v>37</v>
      </c>
      <c r="H45" s="29" t="s">
        <v>38</v>
      </c>
      <c r="I45" s="29" t="s">
        <v>99</v>
      </c>
      <c r="J45" s="31"/>
      <c r="K45" s="46" t="str">
        <f>"72,5"</f>
        <v>72,5</v>
      </c>
      <c r="L45" s="9" t="str">
        <f>"44,7216"</f>
        <v>44,7216</v>
      </c>
      <c r="M45" s="7"/>
    </row>
    <row r="46" spans="1:13">
      <c r="A46" s="5"/>
      <c r="B46" s="5"/>
      <c r="C46" s="5"/>
      <c r="D46" s="5"/>
      <c r="E46" s="19"/>
      <c r="F46" s="5"/>
      <c r="G46" s="27"/>
      <c r="H46" s="27"/>
      <c r="I46" s="27"/>
      <c r="J46" s="27"/>
      <c r="K46" s="28"/>
      <c r="L46" s="6"/>
      <c r="M46" s="5"/>
    </row>
    <row r="47" spans="1:13" ht="16">
      <c r="A47" s="48" t="s">
        <v>118</v>
      </c>
      <c r="B47" s="48"/>
      <c r="C47" s="48"/>
      <c r="D47" s="48"/>
      <c r="E47" s="49"/>
      <c r="F47" s="48"/>
      <c r="G47" s="48"/>
      <c r="H47" s="48"/>
      <c r="I47" s="48"/>
      <c r="J47" s="48"/>
      <c r="K47" s="28"/>
      <c r="L47" s="6"/>
      <c r="M47" s="5"/>
    </row>
    <row r="48" spans="1:13">
      <c r="A48" s="31" t="s">
        <v>167</v>
      </c>
      <c r="B48" s="7" t="s">
        <v>405</v>
      </c>
      <c r="C48" s="7" t="s">
        <v>404</v>
      </c>
      <c r="D48" s="7" t="s">
        <v>403</v>
      </c>
      <c r="E48" s="8" t="s">
        <v>478</v>
      </c>
      <c r="F48" s="7" t="s">
        <v>471</v>
      </c>
      <c r="G48" s="29" t="s">
        <v>37</v>
      </c>
      <c r="H48" s="29" t="s">
        <v>38</v>
      </c>
      <c r="I48" s="30" t="s">
        <v>99</v>
      </c>
      <c r="J48" s="31"/>
      <c r="K48" s="46" t="str">
        <f>"70,0"</f>
        <v>70,0</v>
      </c>
      <c r="L48" s="9" t="str">
        <f>"42,0210"</f>
        <v>42,0210</v>
      </c>
      <c r="M48" s="7" t="s">
        <v>456</v>
      </c>
    </row>
    <row r="49" spans="1:13">
      <c r="A49" s="5"/>
      <c r="B49" s="5"/>
      <c r="C49" s="5"/>
      <c r="D49" s="5"/>
      <c r="E49" s="19"/>
      <c r="F49" s="5"/>
      <c r="G49" s="27"/>
      <c r="H49" s="27"/>
      <c r="I49" s="27"/>
      <c r="J49" s="27"/>
      <c r="K49" s="28"/>
      <c r="L49" s="6"/>
      <c r="M49" s="5"/>
    </row>
    <row r="50" spans="1:13" ht="16">
      <c r="A50" s="48" t="s">
        <v>135</v>
      </c>
      <c r="B50" s="48"/>
      <c r="C50" s="48"/>
      <c r="D50" s="48"/>
      <c r="E50" s="49"/>
      <c r="F50" s="48"/>
      <c r="G50" s="48"/>
      <c r="H50" s="48"/>
      <c r="I50" s="48"/>
      <c r="J50" s="48"/>
      <c r="K50" s="28"/>
      <c r="L50" s="6"/>
      <c r="M50" s="5"/>
    </row>
    <row r="51" spans="1:13">
      <c r="A51" s="34" t="s">
        <v>167</v>
      </c>
      <c r="B51" s="10" t="s">
        <v>307</v>
      </c>
      <c r="C51" s="10" t="s">
        <v>267</v>
      </c>
      <c r="D51" s="10" t="s">
        <v>268</v>
      </c>
      <c r="E51" s="11" t="s">
        <v>478</v>
      </c>
      <c r="F51" s="10" t="s">
        <v>472</v>
      </c>
      <c r="G51" s="32" t="s">
        <v>39</v>
      </c>
      <c r="H51" s="32" t="s">
        <v>60</v>
      </c>
      <c r="I51" s="34"/>
      <c r="J51" s="34"/>
      <c r="K51" s="43" t="str">
        <f>"82,5"</f>
        <v>82,5</v>
      </c>
      <c r="L51" s="12" t="str">
        <f>"45,1151"</f>
        <v>45,1151</v>
      </c>
      <c r="M51" s="10"/>
    </row>
    <row r="52" spans="1:13">
      <c r="A52" s="37" t="s">
        <v>167</v>
      </c>
      <c r="B52" s="13" t="s">
        <v>307</v>
      </c>
      <c r="C52" s="13" t="s">
        <v>393</v>
      </c>
      <c r="D52" s="13" t="s">
        <v>268</v>
      </c>
      <c r="E52" s="14" t="s">
        <v>481</v>
      </c>
      <c r="F52" s="13" t="s">
        <v>472</v>
      </c>
      <c r="G52" s="35" t="s">
        <v>39</v>
      </c>
      <c r="H52" s="35" t="s">
        <v>60</v>
      </c>
      <c r="I52" s="37"/>
      <c r="J52" s="37"/>
      <c r="K52" s="44" t="str">
        <f>"82,5"</f>
        <v>82,5</v>
      </c>
      <c r="L52" s="15" t="str">
        <f>"46,5137"</f>
        <v>46,5137</v>
      </c>
      <c r="M52" s="13"/>
    </row>
    <row r="53" spans="1:13">
      <c r="A53" s="5"/>
      <c r="B53" s="5"/>
      <c r="C53" s="5"/>
      <c r="D53" s="5"/>
      <c r="E53" s="19"/>
      <c r="F53" s="5"/>
      <c r="G53" s="27"/>
      <c r="H53" s="27"/>
      <c r="I53" s="27"/>
      <c r="J53" s="27"/>
      <c r="K53" s="28"/>
      <c r="L53" s="6"/>
      <c r="M53" s="5"/>
    </row>
    <row r="54" spans="1:13">
      <c r="A54" s="5"/>
      <c r="B54" s="5"/>
      <c r="H54" s="27"/>
      <c r="I54" s="27"/>
      <c r="J54" s="27"/>
      <c r="K54" s="28"/>
      <c r="L54" s="6"/>
      <c r="M54" s="6"/>
    </row>
    <row r="55" spans="1:13">
      <c r="A55" s="5"/>
      <c r="B55" s="5"/>
      <c r="H55" s="27"/>
      <c r="I55" s="27"/>
      <c r="J55" s="27"/>
      <c r="K55" s="28"/>
      <c r="L55" s="6"/>
      <c r="M55" s="6"/>
    </row>
    <row r="56" spans="1:13" ht="18">
      <c r="A56" s="5"/>
      <c r="B56" s="20" t="s">
        <v>146</v>
      </c>
      <c r="C56" s="20"/>
      <c r="D56" s="5"/>
      <c r="E56" s="19"/>
      <c r="F56" s="5"/>
      <c r="H56" s="27"/>
      <c r="I56" s="27"/>
      <c r="J56" s="27"/>
      <c r="K56" s="28"/>
      <c r="L56" s="6"/>
      <c r="M56" s="6"/>
    </row>
    <row r="57" spans="1:13" ht="16">
      <c r="A57" s="5"/>
      <c r="B57" s="42" t="s">
        <v>147</v>
      </c>
      <c r="C57" s="42"/>
      <c r="D57" s="5"/>
      <c r="E57" s="19"/>
      <c r="F57" s="5"/>
      <c r="H57" s="27"/>
      <c r="I57" s="27"/>
      <c r="J57" s="27"/>
      <c r="K57" s="28"/>
      <c r="L57" s="6"/>
      <c r="M57" s="6"/>
    </row>
    <row r="58" spans="1:13" ht="14">
      <c r="A58" s="5"/>
      <c r="B58" s="22"/>
      <c r="C58" s="23" t="s">
        <v>156</v>
      </c>
      <c r="D58" s="5"/>
      <c r="E58" s="19"/>
      <c r="F58" s="5"/>
      <c r="H58" s="27"/>
      <c r="I58" s="27"/>
      <c r="J58" s="27"/>
      <c r="K58" s="28"/>
      <c r="L58" s="6"/>
      <c r="M58" s="6"/>
    </row>
    <row r="59" spans="1:13" ht="14">
      <c r="A59" s="5"/>
      <c r="B59" s="24" t="s">
        <v>148</v>
      </c>
      <c r="C59" s="24" t="s">
        <v>149</v>
      </c>
      <c r="D59" s="24" t="s">
        <v>461</v>
      </c>
      <c r="E59" s="25" t="s">
        <v>269</v>
      </c>
      <c r="F59" s="24" t="s">
        <v>395</v>
      </c>
      <c r="H59" s="27"/>
      <c r="I59" s="27"/>
      <c r="J59" s="27"/>
      <c r="K59" s="28"/>
      <c r="L59" s="6"/>
      <c r="M59" s="6"/>
    </row>
    <row r="60" spans="1:13">
      <c r="A60" s="5"/>
      <c r="B60" s="5" t="s">
        <v>402</v>
      </c>
      <c r="C60" s="5" t="s">
        <v>156</v>
      </c>
      <c r="D60" s="27" t="s">
        <v>155</v>
      </c>
      <c r="E60" s="28">
        <v>30</v>
      </c>
      <c r="F60" s="26">
        <v>30.2789998054504</v>
      </c>
      <c r="H60" s="27"/>
      <c r="I60" s="27"/>
      <c r="J60" s="27"/>
      <c r="K60" s="28"/>
      <c r="L60" s="6"/>
      <c r="M60" s="6"/>
    </row>
    <row r="61" spans="1:13">
      <c r="A61" s="5"/>
      <c r="B61" s="5" t="s">
        <v>401</v>
      </c>
      <c r="C61" s="5" t="s">
        <v>156</v>
      </c>
      <c r="D61" s="27" t="s">
        <v>157</v>
      </c>
      <c r="E61" s="28">
        <v>25</v>
      </c>
      <c r="F61" s="26">
        <v>30.000001192092899</v>
      </c>
      <c r="H61" s="27"/>
      <c r="I61" s="27"/>
      <c r="J61" s="27"/>
      <c r="K61" s="28"/>
      <c r="L61" s="6"/>
      <c r="M61" s="6"/>
    </row>
    <row r="62" spans="1:13">
      <c r="A62" s="5"/>
      <c r="B62" s="5" t="s">
        <v>400</v>
      </c>
      <c r="C62" s="5" t="s">
        <v>156</v>
      </c>
      <c r="D62" s="27" t="s">
        <v>162</v>
      </c>
      <c r="E62" s="28">
        <v>27.5</v>
      </c>
      <c r="F62" s="26">
        <v>29.166501164436301</v>
      </c>
      <c r="H62" s="27"/>
      <c r="I62" s="27"/>
      <c r="J62" s="27"/>
      <c r="K62" s="28"/>
      <c r="L62" s="6"/>
      <c r="M62" s="6"/>
    </row>
    <row r="63" spans="1:13">
      <c r="A63" s="5"/>
      <c r="B63" s="5"/>
      <c r="C63" s="5"/>
      <c r="D63" s="5"/>
      <c r="E63" s="19"/>
      <c r="F63" s="5"/>
      <c r="H63" s="27"/>
      <c r="I63" s="27"/>
      <c r="J63" s="27"/>
      <c r="K63" s="28"/>
      <c r="L63" s="6"/>
      <c r="M63" s="6"/>
    </row>
    <row r="64" spans="1:13" ht="16">
      <c r="A64" s="5"/>
      <c r="B64" s="42" t="s">
        <v>159</v>
      </c>
      <c r="C64" s="42"/>
      <c r="D64" s="5"/>
      <c r="E64" s="19"/>
      <c r="F64" s="5"/>
      <c r="H64" s="27"/>
      <c r="I64" s="27"/>
      <c r="J64" s="27"/>
      <c r="K64" s="28"/>
      <c r="L64" s="6"/>
      <c r="M64" s="6"/>
    </row>
    <row r="65" spans="1:13" ht="14">
      <c r="A65" s="5"/>
      <c r="B65" s="22"/>
      <c r="C65" s="23" t="s">
        <v>160</v>
      </c>
      <c r="D65" s="5"/>
      <c r="E65" s="19"/>
      <c r="F65" s="5"/>
      <c r="H65" s="27"/>
      <c r="I65" s="27"/>
      <c r="J65" s="27"/>
      <c r="K65" s="28"/>
      <c r="L65" s="6"/>
      <c r="M65" s="6"/>
    </row>
    <row r="66" spans="1:13" ht="14">
      <c r="A66" s="5"/>
      <c r="B66" s="24" t="s">
        <v>148</v>
      </c>
      <c r="C66" s="24" t="s">
        <v>149</v>
      </c>
      <c r="D66" s="24" t="s">
        <v>461</v>
      </c>
      <c r="E66" s="25" t="s">
        <v>269</v>
      </c>
      <c r="F66" s="24" t="s">
        <v>395</v>
      </c>
      <c r="H66" s="27"/>
      <c r="I66" s="27"/>
      <c r="J66" s="27"/>
      <c r="K66" s="28"/>
      <c r="L66" s="6"/>
      <c r="M66" s="6"/>
    </row>
    <row r="67" spans="1:13">
      <c r="A67" s="5"/>
      <c r="B67" s="5" t="s">
        <v>225</v>
      </c>
      <c r="C67" s="5" t="s">
        <v>160</v>
      </c>
      <c r="D67" s="27" t="s">
        <v>162</v>
      </c>
      <c r="E67" s="28">
        <v>47.5</v>
      </c>
      <c r="F67" s="26">
        <v>43.623999506235101</v>
      </c>
      <c r="H67" s="27"/>
      <c r="I67" s="27"/>
      <c r="J67" s="27"/>
      <c r="K67" s="28"/>
      <c r="L67" s="6"/>
      <c r="M67" s="6"/>
    </row>
    <row r="68" spans="1:13">
      <c r="A68" s="5"/>
      <c r="B68" s="5" t="s">
        <v>399</v>
      </c>
      <c r="C68" s="5" t="s">
        <v>357</v>
      </c>
      <c r="D68" s="27" t="s">
        <v>164</v>
      </c>
      <c r="E68" s="28">
        <v>57.5</v>
      </c>
      <c r="F68" s="26">
        <v>40.109124928712802</v>
      </c>
      <c r="H68" s="27"/>
      <c r="I68" s="27"/>
      <c r="J68" s="27"/>
      <c r="K68" s="28"/>
      <c r="L68" s="6"/>
      <c r="M68" s="6"/>
    </row>
    <row r="69" spans="1:13">
      <c r="A69" s="5"/>
      <c r="B69" s="5" t="s">
        <v>398</v>
      </c>
      <c r="C69" s="5" t="s">
        <v>357</v>
      </c>
      <c r="D69" s="27" t="s">
        <v>162</v>
      </c>
      <c r="E69" s="28">
        <v>42.5</v>
      </c>
      <c r="F69" s="26">
        <v>38.955499529838598</v>
      </c>
      <c r="H69" s="27"/>
      <c r="I69" s="27"/>
      <c r="J69" s="27"/>
      <c r="K69" s="28"/>
      <c r="L69" s="6"/>
      <c r="M69" s="6"/>
    </row>
    <row r="70" spans="1:13">
      <c r="A70" s="5"/>
      <c r="B70" s="5"/>
      <c r="C70" s="5"/>
      <c r="D70" s="5"/>
      <c r="E70" s="19"/>
      <c r="F70" s="5"/>
      <c r="H70" s="27"/>
      <c r="I70" s="27"/>
      <c r="J70" s="27"/>
      <c r="K70" s="28"/>
      <c r="L70" s="6"/>
      <c r="M70" s="6"/>
    </row>
    <row r="71" spans="1:13" ht="14">
      <c r="A71" s="5"/>
      <c r="B71" s="22"/>
      <c r="C71" s="23" t="s">
        <v>156</v>
      </c>
      <c r="D71" s="5"/>
      <c r="E71" s="19"/>
      <c r="F71" s="5"/>
      <c r="H71" s="27"/>
      <c r="I71" s="27"/>
      <c r="J71" s="27"/>
      <c r="K71" s="28"/>
      <c r="L71" s="6"/>
      <c r="M71" s="6"/>
    </row>
    <row r="72" spans="1:13" ht="14">
      <c r="A72" s="5"/>
      <c r="B72" s="24" t="s">
        <v>148</v>
      </c>
      <c r="C72" s="24" t="s">
        <v>149</v>
      </c>
      <c r="D72" s="24" t="s">
        <v>461</v>
      </c>
      <c r="E72" s="25" t="s">
        <v>269</v>
      </c>
      <c r="F72" s="24" t="s">
        <v>395</v>
      </c>
      <c r="H72" s="27"/>
      <c r="I72" s="27"/>
      <c r="J72" s="27"/>
      <c r="K72" s="28"/>
      <c r="L72" s="6"/>
      <c r="M72" s="6"/>
    </row>
    <row r="73" spans="1:13">
      <c r="A73" s="5"/>
      <c r="B73" s="5" t="s">
        <v>266</v>
      </c>
      <c r="C73" s="5" t="s">
        <v>156</v>
      </c>
      <c r="D73" s="27" t="s">
        <v>166</v>
      </c>
      <c r="E73" s="28">
        <v>82.5</v>
      </c>
      <c r="F73" s="26">
        <v>45.115127116441698</v>
      </c>
      <c r="H73" s="27"/>
      <c r="I73" s="27"/>
      <c r="J73" s="27"/>
      <c r="K73" s="28"/>
      <c r="L73" s="6"/>
      <c r="M73" s="6"/>
    </row>
    <row r="74" spans="1:13">
      <c r="A74" s="5"/>
      <c r="B74" s="5" t="s">
        <v>397</v>
      </c>
      <c r="C74" s="5" t="s">
        <v>156</v>
      </c>
      <c r="D74" s="27" t="s">
        <v>164</v>
      </c>
      <c r="E74" s="28">
        <v>65</v>
      </c>
      <c r="F74" s="26">
        <v>44.755749702453599</v>
      </c>
      <c r="G74" s="5"/>
      <c r="H74" s="27"/>
      <c r="I74" s="27"/>
      <c r="J74" s="27"/>
      <c r="K74" s="28"/>
      <c r="L74" s="6"/>
      <c r="M74" s="6"/>
    </row>
    <row r="75" spans="1:13">
      <c r="A75" s="5"/>
      <c r="B75" s="5" t="s">
        <v>396</v>
      </c>
      <c r="C75" s="5" t="s">
        <v>156</v>
      </c>
      <c r="D75" s="27" t="s">
        <v>165</v>
      </c>
      <c r="E75" s="28">
        <v>72.5</v>
      </c>
      <c r="F75" s="26">
        <v>44.721626341342898</v>
      </c>
      <c r="G75" s="5"/>
      <c r="H75" s="27"/>
      <c r="I75" s="27"/>
      <c r="J75" s="27"/>
      <c r="K75" s="28"/>
      <c r="L75" s="6"/>
      <c r="M75" s="6"/>
    </row>
  </sheetData>
  <mergeCells count="23">
    <mergeCell ref="K3:K4"/>
    <mergeCell ref="L3:L4"/>
    <mergeCell ref="A1:M2"/>
    <mergeCell ref="G3:J3"/>
    <mergeCell ref="A3:A4"/>
    <mergeCell ref="C3:C4"/>
    <mergeCell ref="D3:D4"/>
    <mergeCell ref="M3:M4"/>
    <mergeCell ref="F3:F4"/>
    <mergeCell ref="A50:J50"/>
    <mergeCell ref="B3:B4"/>
    <mergeCell ref="A22:J22"/>
    <mergeCell ref="A27:J27"/>
    <mergeCell ref="A34:J34"/>
    <mergeCell ref="A41:J41"/>
    <mergeCell ref="A44:J44"/>
    <mergeCell ref="A5:J5"/>
    <mergeCell ref="A8:J8"/>
    <mergeCell ref="A11:J11"/>
    <mergeCell ref="A14:J14"/>
    <mergeCell ref="A18:J18"/>
    <mergeCell ref="E3:E4"/>
    <mergeCell ref="A47:J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WRPF ПЛ без экипировки</vt:lpstr>
      <vt:lpstr>WRPF Жим лежа без экип</vt:lpstr>
      <vt:lpstr>WRPF Тяга без экипировки</vt:lpstr>
      <vt:lpstr>WRPF Строгий подъём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2025-03-02T16:43:48Z</dcterms:modified>
</cp:coreProperties>
</file>