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Июнь/"/>
    </mc:Choice>
  </mc:AlternateContent>
  <xr:revisionPtr revIDLastSave="0" documentId="13_ncr:1_{2D1DAF61-6BA9-664C-82B4-4945B1820340}" xr6:coauthVersionLast="45" xr6:coauthVersionMax="45" xr10:uidLastSave="{00000000-0000-0000-0000-000000000000}"/>
  <bookViews>
    <workbookView xWindow="480" yWindow="460" windowWidth="28220" windowHeight="15520" firstSheet="12" activeTab="14" xr2:uid="{00000000-000D-0000-FFFF-FFFF00000000}"/>
  </bookViews>
  <sheets>
    <sheet name="IPL ПЛ без экипировки ДК" sheetId="7" r:id="rId1"/>
    <sheet name="IPL ПЛ без экипировки" sheetId="6" r:id="rId2"/>
    <sheet name="IPL ПЛ в бинтах" sheetId="8" r:id="rId3"/>
    <sheet name="IPL Двоеборье без экип ДК" sheetId="15" r:id="rId4"/>
    <sheet name="IPL Присед без экипировки ДК" sheetId="14" r:id="rId5"/>
    <sheet name="IPL Жим без экипировки ДК" sheetId="10" r:id="rId6"/>
    <sheet name="IPL Жим без экипировки" sheetId="9" r:id="rId7"/>
    <sheet name="СПР Жим софт однопетельная ДК" sheetId="25" r:id="rId8"/>
    <sheet name="СПР Жим софт однопетельная" sheetId="24" r:id="rId9"/>
    <sheet name="WRPF Военный жим ДК" sheetId="17" r:id="rId10"/>
    <sheet name="WRPF Военный жим" sheetId="16" r:id="rId11"/>
    <sheet name="СПР Жим СФО" sheetId="18" r:id="rId12"/>
    <sheet name="IPL Тяга без экипировки ДК" sheetId="13" r:id="rId13"/>
    <sheet name="IPL Тяга без экипировки" sheetId="12" r:id="rId14"/>
    <sheet name="СПР Пауэрспорт ДК" sheetId="36" r:id="rId15"/>
    <sheet name="СПР Подъем на бицепс ДК" sheetId="34" r:id="rId16"/>
    <sheet name="WRPF Жим стоя ДК" sheetId="32" r:id="rId17"/>
    <sheet name="СПР Жим стоя" sheetId="31" r:id="rId18"/>
    <sheet name="WRPF Подъем на бицепс ДК" sheetId="21" r:id="rId19"/>
    <sheet name="WRPF Подъем на бицепс" sheetId="20" r:id="rId20"/>
    <sheet name="WRPF Экстрем. бицепс ДК" sheetId="39" r:id="rId21"/>
    <sheet name="WRPF Экстрем. бицепс" sheetId="40" r:id="rId22"/>
  </sheets>
  <calcPr calcId="125725" refMode="R1C1" calcCompleted="0"/>
</workbook>
</file>

<file path=xl/calcChain.xml><?xml version="1.0" encoding="utf-8"?>
<calcChain xmlns="http://schemas.openxmlformats.org/spreadsheetml/2006/main">
  <c r="L6" i="40" l="1"/>
  <c r="K6" i="40"/>
  <c r="L6" i="39"/>
  <c r="K6" i="39"/>
  <c r="P6" i="36"/>
  <c r="O6" i="36"/>
  <c r="L17" i="34"/>
  <c r="K17" i="34"/>
  <c r="L16" i="34"/>
  <c r="K16" i="34"/>
  <c r="L13" i="34"/>
  <c r="K13" i="34"/>
  <c r="L10" i="34"/>
  <c r="L9" i="34"/>
  <c r="K9" i="34"/>
  <c r="L6" i="34"/>
  <c r="K6" i="34"/>
  <c r="L9" i="32"/>
  <c r="K9" i="32"/>
  <c r="L6" i="32"/>
  <c r="K6" i="32"/>
  <c r="L6" i="31"/>
  <c r="K6" i="31"/>
  <c r="L6" i="25"/>
  <c r="K6" i="25"/>
  <c r="L6" i="24"/>
  <c r="K6" i="24"/>
  <c r="L19" i="21"/>
  <c r="K19" i="21"/>
  <c r="L18" i="21"/>
  <c r="K18" i="21"/>
  <c r="L15" i="21"/>
  <c r="K15" i="21"/>
  <c r="L12" i="21"/>
  <c r="K12" i="21"/>
  <c r="L11" i="21"/>
  <c r="K11" i="21"/>
  <c r="L10" i="21"/>
  <c r="K10" i="21"/>
  <c r="L9" i="21"/>
  <c r="K9" i="21"/>
  <c r="L6" i="21"/>
  <c r="K6" i="21"/>
  <c r="L12" i="20"/>
  <c r="K12" i="20"/>
  <c r="L9" i="20"/>
  <c r="K9" i="20"/>
  <c r="L6" i="20"/>
  <c r="K6" i="20"/>
  <c r="L17" i="18"/>
  <c r="K17" i="18"/>
  <c r="L14" i="18"/>
  <c r="K14" i="18"/>
  <c r="L13" i="18"/>
  <c r="K13" i="18"/>
  <c r="L12" i="18"/>
  <c r="K12" i="18"/>
  <c r="L9" i="18"/>
  <c r="K9" i="18"/>
  <c r="L6" i="18"/>
  <c r="K6" i="18"/>
  <c r="L12" i="17"/>
  <c r="K12" i="17"/>
  <c r="L9" i="17"/>
  <c r="K9" i="17"/>
  <c r="L6" i="17"/>
  <c r="K6" i="17"/>
  <c r="L6" i="16"/>
  <c r="K6" i="16"/>
  <c r="P9" i="15"/>
  <c r="O9" i="15"/>
  <c r="P6" i="15"/>
  <c r="O6" i="15"/>
  <c r="L6" i="14"/>
  <c r="K6" i="14"/>
  <c r="L19" i="13"/>
  <c r="K19" i="13"/>
  <c r="L16" i="13"/>
  <c r="K16" i="13"/>
  <c r="L13" i="13"/>
  <c r="K13" i="13"/>
  <c r="L10" i="13"/>
  <c r="K10" i="13"/>
  <c r="L7" i="13"/>
  <c r="K7" i="13"/>
  <c r="L6" i="13"/>
  <c r="K6" i="13"/>
  <c r="L9" i="12"/>
  <c r="K9" i="12"/>
  <c r="L6" i="12"/>
  <c r="K6" i="12"/>
  <c r="L14" i="10"/>
  <c r="K14" i="10"/>
  <c r="L11" i="10"/>
  <c r="L10" i="10"/>
  <c r="K10" i="10"/>
  <c r="L7" i="10"/>
  <c r="K7" i="10"/>
  <c r="L6" i="10"/>
  <c r="K6" i="10"/>
  <c r="L34" i="9"/>
  <c r="K34" i="9"/>
  <c r="L31" i="9"/>
  <c r="K31" i="9"/>
  <c r="L28" i="9"/>
  <c r="K28" i="9"/>
  <c r="L27" i="9"/>
  <c r="K27" i="9"/>
  <c r="L26" i="9"/>
  <c r="K26" i="9"/>
  <c r="L25" i="9"/>
  <c r="K25" i="9"/>
  <c r="L22" i="9"/>
  <c r="K22" i="9"/>
  <c r="L21" i="9"/>
  <c r="K21" i="9"/>
  <c r="L18" i="9"/>
  <c r="K18" i="9"/>
  <c r="L15" i="9"/>
  <c r="K15" i="9"/>
  <c r="L12" i="9"/>
  <c r="K12" i="9"/>
  <c r="L9" i="9"/>
  <c r="K9" i="9"/>
  <c r="L6" i="9"/>
  <c r="K6" i="9"/>
  <c r="T6" i="8"/>
  <c r="S6" i="8"/>
  <c r="T13" i="7"/>
  <c r="T10" i="7"/>
  <c r="S10" i="7"/>
  <c r="T7" i="7"/>
  <c r="S7" i="7"/>
  <c r="T6" i="7"/>
  <c r="S6" i="7"/>
  <c r="T9" i="6"/>
  <c r="S9" i="6"/>
  <c r="T6" i="6"/>
  <c r="S6" i="6"/>
</calcChain>
</file>

<file path=xl/sharedStrings.xml><?xml version="1.0" encoding="utf-8"?>
<sst xmlns="http://schemas.openxmlformats.org/spreadsheetml/2006/main" count="1068" uniqueCount="350">
  <si>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</si>
  <si>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</si>
  <si>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</si>
  <si>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</si>
  <si>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</si>
  <si>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</si>
  <si>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</si>
  <si>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</si>
  <si>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>Результат</t>
  </si>
  <si>
    <t>Приседание</t>
  </si>
  <si>
    <t>Жим лёжа</t>
  </si>
  <si>
    <t>Становая тяга</t>
  </si>
  <si>
    <t>ВЕСОВАЯ КАТЕГОРИЯ   90</t>
  </si>
  <si>
    <t>Открытая (17.01.1997)/27</t>
  </si>
  <si>
    <t>90,00</t>
  </si>
  <si>
    <t>220,0</t>
  </si>
  <si>
    <t>230,0</t>
  </si>
  <si>
    <t>240,0</t>
  </si>
  <si>
    <t>150,0</t>
  </si>
  <si>
    <t>160,0</t>
  </si>
  <si>
    <t>165,0</t>
  </si>
  <si>
    <t>260,0</t>
  </si>
  <si>
    <t>280,0</t>
  </si>
  <si>
    <t xml:space="preserve">Луговой Александр </t>
  </si>
  <si>
    <t>ВЕСОВАЯ КАТЕГОРИЯ   100</t>
  </si>
  <si>
    <t>Открытая (07.02.1995)/29</t>
  </si>
  <si>
    <t>96,80</t>
  </si>
  <si>
    <t>250,0</t>
  </si>
  <si>
    <t>180,0</t>
  </si>
  <si>
    <t>190,0</t>
  </si>
  <si>
    <t>200,0</t>
  </si>
  <si>
    <t>270,0</t>
  </si>
  <si>
    <t>290,0</t>
  </si>
  <si>
    <t xml:space="preserve">Гаржа Леонид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</si>
  <si>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</si>
  <si>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</si>
  <si>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</si>
  <si>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</si>
  <si>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</si>
  <si>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</si>
  <si>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>1</t>
  </si>
  <si>
    <t>Фаткуллин Рамиль</t>
  </si>
  <si>
    <t>Ковалев Максим</t>
  </si>
  <si>
    <t>ВЕСОВАЯ КАТЕГОРИЯ   67.5</t>
  </si>
  <si>
    <t>Юноши 15-19 (19.10.2007)/16</t>
  </si>
  <si>
    <t>61,50</t>
  </si>
  <si>
    <t>85,0</t>
  </si>
  <si>
    <t>100,0</t>
  </si>
  <si>
    <t>107,5</t>
  </si>
  <si>
    <t>45,0</t>
  </si>
  <si>
    <t>52,5</t>
  </si>
  <si>
    <t>57,5</t>
  </si>
  <si>
    <t>120,0</t>
  </si>
  <si>
    <t>135,0</t>
  </si>
  <si>
    <t>145,0</t>
  </si>
  <si>
    <t>Открытая (15.07.1989)/34</t>
  </si>
  <si>
    <t>66,50</t>
  </si>
  <si>
    <t>130,0</t>
  </si>
  <si>
    <t>140,0</t>
  </si>
  <si>
    <t>142,5</t>
  </si>
  <si>
    <t>90,0</t>
  </si>
  <si>
    <t>92,5</t>
  </si>
  <si>
    <t>170,0</t>
  </si>
  <si>
    <t>195,0</t>
  </si>
  <si>
    <t xml:space="preserve">Егорова Ольга </t>
  </si>
  <si>
    <t>ВЕСОВАЯ КАТЕГОРИЯ   75</t>
  </si>
  <si>
    <t>73,60</t>
  </si>
  <si>
    <t>65,0</t>
  </si>
  <si>
    <t>72,5</t>
  </si>
  <si>
    <t>77,5</t>
  </si>
  <si>
    <t>172,5</t>
  </si>
  <si>
    <t xml:space="preserve">Никишин Самир </t>
  </si>
  <si>
    <t>ВЕСОВАЯ КАТЕГОРИЯ   82.5</t>
  </si>
  <si>
    <t>Открытая (26.08.1992)/31</t>
  </si>
  <si>
    <t>82,50</t>
  </si>
  <si>
    <t>75</t>
  </si>
  <si>
    <t>67.5</t>
  </si>
  <si>
    <t>Чуйко Максим</t>
  </si>
  <si>
    <t>Савинов Олег</t>
  </si>
  <si>
    <t>Чуйко Данил</t>
  </si>
  <si>
    <t>-</t>
  </si>
  <si>
    <t>Кучеренко Денис</t>
  </si>
  <si>
    <t>Открытая (22.11.1974)/49</t>
  </si>
  <si>
    <t>66,90</t>
  </si>
  <si>
    <t>60,0</t>
  </si>
  <si>
    <t xml:space="preserve">Кучма Алексей </t>
  </si>
  <si>
    <t>Паршикова Светлана</t>
  </si>
  <si>
    <t>ВЕСОВАЯ КАТЕГОРИЯ   56</t>
  </si>
  <si>
    <t>Открытая (11.07.2009)/14</t>
  </si>
  <si>
    <t>53,00</t>
  </si>
  <si>
    <t>37,5</t>
  </si>
  <si>
    <t>40,0</t>
  </si>
  <si>
    <t>42,5</t>
  </si>
  <si>
    <t xml:space="preserve">Хитрин Дмитрий </t>
  </si>
  <si>
    <t>ВЕСОВАЯ КАТЕГОРИЯ   60</t>
  </si>
  <si>
    <t>Открытая (25.07.2011)/12</t>
  </si>
  <si>
    <t>59,50</t>
  </si>
  <si>
    <t>72,50</t>
  </si>
  <si>
    <t>75,0</t>
  </si>
  <si>
    <t xml:space="preserve">Трухтанов Павел </t>
  </si>
  <si>
    <t>Открытая (13.01.2009)/15</t>
  </si>
  <si>
    <t>53,80</t>
  </si>
  <si>
    <t>55,0</t>
  </si>
  <si>
    <t>62,5</t>
  </si>
  <si>
    <t>67,5</t>
  </si>
  <si>
    <t>Юноши 15-19 (22.12.2009)/14</t>
  </si>
  <si>
    <t>64,60</t>
  </si>
  <si>
    <t>50,0</t>
  </si>
  <si>
    <t>Юноши 15-19 (16.10.2006)/17</t>
  </si>
  <si>
    <t>69,80</t>
  </si>
  <si>
    <t>105,0</t>
  </si>
  <si>
    <t>110,0</t>
  </si>
  <si>
    <t>73,90</t>
  </si>
  <si>
    <t>80,0</t>
  </si>
  <si>
    <t>87,5</t>
  </si>
  <si>
    <t xml:space="preserve">Тараканов Алексей </t>
  </si>
  <si>
    <t>Открытая (04.11.1989)/34</t>
  </si>
  <si>
    <t>85,10</t>
  </si>
  <si>
    <t>Открытая (15.10.1980)/43</t>
  </si>
  <si>
    <t>152,5</t>
  </si>
  <si>
    <t>88,50</t>
  </si>
  <si>
    <t>ВЕСОВАЯ КАТЕГОРИЯ   110</t>
  </si>
  <si>
    <t xml:space="preserve">Тимофеев Роман </t>
  </si>
  <si>
    <t>Открытая (19.06.1990)/33</t>
  </si>
  <si>
    <t>101,10</t>
  </si>
  <si>
    <t>185,0</t>
  </si>
  <si>
    <t>ВЕСОВАЯ КАТЕГОРИЯ   125</t>
  </si>
  <si>
    <t xml:space="preserve">Потапов Денис </t>
  </si>
  <si>
    <t>Открытая (05.02.1990)/34</t>
  </si>
  <si>
    <t>120,00</t>
  </si>
  <si>
    <t>192,5</t>
  </si>
  <si>
    <t>197,5</t>
  </si>
  <si>
    <t xml:space="preserve">Результат </t>
  </si>
  <si>
    <t>125</t>
  </si>
  <si>
    <t>110</t>
  </si>
  <si>
    <t>Бетурлакина Анна</t>
  </si>
  <si>
    <t>Хитрина Дарья</t>
  </si>
  <si>
    <t>Кнутова Татьяна</t>
  </si>
  <si>
    <t>Седых Егор</t>
  </si>
  <si>
    <t>Трухтанов Георгий</t>
  </si>
  <si>
    <t>Колесников Артём</t>
  </si>
  <si>
    <t>Губанов Александр</t>
  </si>
  <si>
    <t>Тараканов Алексей</t>
  </si>
  <si>
    <t>2</t>
  </si>
  <si>
    <t>Мирзахметов Вадим</t>
  </si>
  <si>
    <t>Петров Владимир</t>
  </si>
  <si>
    <t>Тимофеев Роман</t>
  </si>
  <si>
    <t>Потапов Денис</t>
  </si>
  <si>
    <t xml:space="preserve">Шапкин Дмитрий </t>
  </si>
  <si>
    <t>66,70</t>
  </si>
  <si>
    <t>117,5</t>
  </si>
  <si>
    <t>125,0</t>
  </si>
  <si>
    <t>Открытая (01.06.1991)/33</t>
  </si>
  <si>
    <t>65,40</t>
  </si>
  <si>
    <t>Открытая (10.03.1995)/29</t>
  </si>
  <si>
    <t>81,50</t>
  </si>
  <si>
    <t>122,5</t>
  </si>
  <si>
    <t>127,5</t>
  </si>
  <si>
    <t>Открытая (14.04.2003)/21</t>
  </si>
  <si>
    <t>97,50</t>
  </si>
  <si>
    <t>162,5</t>
  </si>
  <si>
    <t>Шапкин Дмитрий</t>
  </si>
  <si>
    <t>Грязнов Роман</t>
  </si>
  <si>
    <t>Масленников Даниил</t>
  </si>
  <si>
    <t>Типочкин Сергей</t>
  </si>
  <si>
    <t>175,0</t>
  </si>
  <si>
    <t>Открытая (24.01.1991)/33</t>
  </si>
  <si>
    <t>78,30</t>
  </si>
  <si>
    <t xml:space="preserve">Мельников Владимир </t>
  </si>
  <si>
    <t>Мельников Павел</t>
  </si>
  <si>
    <t>95,0</t>
  </si>
  <si>
    <t>Открытая (13.07.1971)/52</t>
  </si>
  <si>
    <t>66,10</t>
  </si>
  <si>
    <t>Открытая (30.09.1994)/29</t>
  </si>
  <si>
    <t>74,70</t>
  </si>
  <si>
    <t>207,5</t>
  </si>
  <si>
    <t>Открытая (25.07.2000)/23</t>
  </si>
  <si>
    <t>87,30</t>
  </si>
  <si>
    <t>205,0</t>
  </si>
  <si>
    <t>215,0</t>
  </si>
  <si>
    <t>Открытая (08.08.1999)/24</t>
  </si>
  <si>
    <t>96,40</t>
  </si>
  <si>
    <t>210,0</t>
  </si>
  <si>
    <t>225,0</t>
  </si>
  <si>
    <t>Крылова Ксения</t>
  </si>
  <si>
    <t>Овсянникова Елена</t>
  </si>
  <si>
    <t>Семягин Илья</t>
  </si>
  <si>
    <t>Ногин Максим</t>
  </si>
  <si>
    <t>Чалов Павел</t>
  </si>
  <si>
    <t>Открытая (23.09.1983)/40</t>
  </si>
  <si>
    <t>115,0</t>
  </si>
  <si>
    <t>Сараева Надежда</t>
  </si>
  <si>
    <t>Юноши 15-19 (20.11.2007)/16</t>
  </si>
  <si>
    <t>59,40</t>
  </si>
  <si>
    <t>Конаныкин Степан</t>
  </si>
  <si>
    <t>Мастера 40-49 (26.02.1977)/47</t>
  </si>
  <si>
    <t>104,00</t>
  </si>
  <si>
    <t>Хитрин Дмитрий</t>
  </si>
  <si>
    <t>Открытая (18.11.1999)/24</t>
  </si>
  <si>
    <t>55,10</t>
  </si>
  <si>
    <t xml:space="preserve">Луцук Виталий </t>
  </si>
  <si>
    <t>Мастера 40-49 (07.03.1975)/49</t>
  </si>
  <si>
    <t>83,10</t>
  </si>
  <si>
    <t>Юноши 14-16 (15.08.2007)/16</t>
  </si>
  <si>
    <t>99,10</t>
  </si>
  <si>
    <t>Федотов Никита</t>
  </si>
  <si>
    <t>Андросов Сергей</t>
  </si>
  <si>
    <t>Яковлев Антон</t>
  </si>
  <si>
    <t>Открытая (31.03.1980)/44</t>
  </si>
  <si>
    <t>70,0</t>
  </si>
  <si>
    <t>Открытая (10.04.1989)/35</t>
  </si>
  <si>
    <t>75,00</t>
  </si>
  <si>
    <t>Открытая (17.09.1974)/49</t>
  </si>
  <si>
    <t>76,90</t>
  </si>
  <si>
    <t>155,0</t>
  </si>
  <si>
    <t>Открытая (31.05.1985)/39</t>
  </si>
  <si>
    <t>Мастера 40-49 (17.09.1974)/49</t>
  </si>
  <si>
    <t>Открытая (15.11.1977)/46</t>
  </si>
  <si>
    <t>118,50</t>
  </si>
  <si>
    <t>102,5</t>
  </si>
  <si>
    <t xml:space="preserve">Gloss </t>
  </si>
  <si>
    <t>Воровкин Максим</t>
  </si>
  <si>
    <t>Калявин Максим</t>
  </si>
  <si>
    <t>Гугняков Александр</t>
  </si>
  <si>
    <t>Лобанов Юрий</t>
  </si>
  <si>
    <t>Титов Андрей</t>
  </si>
  <si>
    <t>Подъем на бицепс</t>
  </si>
  <si>
    <t>54,50</t>
  </si>
  <si>
    <t>30,0</t>
  </si>
  <si>
    <t>30,5</t>
  </si>
  <si>
    <t>Открытая (03.07.2009)/14</t>
  </si>
  <si>
    <t>65,80</t>
  </si>
  <si>
    <t>47,5</t>
  </si>
  <si>
    <t>Открытая (27.07.1993)/30</t>
  </si>
  <si>
    <t>73,00</t>
  </si>
  <si>
    <t>Нагорная Дарья</t>
  </si>
  <si>
    <t>Кондрашин Иван</t>
  </si>
  <si>
    <t>Шапкин Анатолий</t>
  </si>
  <si>
    <t>64,00</t>
  </si>
  <si>
    <t>65,90</t>
  </si>
  <si>
    <t>Открытая (23.07.2000)/23</t>
  </si>
  <si>
    <t xml:space="preserve">Лемдьянов Александр </t>
  </si>
  <si>
    <t>Открытая (28.10.2008)/15</t>
  </si>
  <si>
    <t>65,60</t>
  </si>
  <si>
    <t xml:space="preserve">Олухов Степан </t>
  </si>
  <si>
    <t>Открытая (06.08.2006)/17</t>
  </si>
  <si>
    <t>74,30</t>
  </si>
  <si>
    <t xml:space="preserve">Греднев Максим </t>
  </si>
  <si>
    <t>81,00</t>
  </si>
  <si>
    <t>97,5</t>
  </si>
  <si>
    <t>Мастера 60+ (07.09.1963)/60</t>
  </si>
  <si>
    <t>81,30</t>
  </si>
  <si>
    <t>Коршиков Алексей</t>
  </si>
  <si>
    <t>Башканов Максим</t>
  </si>
  <si>
    <t>Лемдьянов Александр</t>
  </si>
  <si>
    <t>Олухов Степан</t>
  </si>
  <si>
    <t>Фахретдинов Ринат</t>
  </si>
  <si>
    <t>Семенов Андрей</t>
  </si>
  <si>
    <t>Открытая (29.09.1999)/24</t>
  </si>
  <si>
    <t>71,20</t>
  </si>
  <si>
    <t>Мелконян Тигран</t>
  </si>
  <si>
    <t>Открытая (06.11.1986)/37</t>
  </si>
  <si>
    <t>100,00</t>
  </si>
  <si>
    <t>Атменеев Виталий</t>
  </si>
  <si>
    <t>79,00</t>
  </si>
  <si>
    <t>Жим стоя</t>
  </si>
  <si>
    <t>Открытая (17.06.1982)/41</t>
  </si>
  <si>
    <t>96,20</t>
  </si>
  <si>
    <t>Яковлев Максим</t>
  </si>
  <si>
    <t>60,00</t>
  </si>
  <si>
    <t>Открытая (27.04.2008)/16</t>
  </si>
  <si>
    <t>65,50</t>
  </si>
  <si>
    <t>74,60</t>
  </si>
  <si>
    <t>Открытая (01.07.1987)/36</t>
  </si>
  <si>
    <t>77,30</t>
  </si>
  <si>
    <t>Открытая (19.06.2008)/15</t>
  </si>
  <si>
    <t>Хабибрахманов Амир</t>
  </si>
  <si>
    <t>Хуснутдинов Ирик</t>
  </si>
  <si>
    <t>Солуянов Иван</t>
  </si>
  <si>
    <t>Чернышев Олег</t>
  </si>
  <si>
    <t>Храмченков Даниил</t>
  </si>
  <si>
    <t>Всероссийский турнир
WRPF Военный жим лежа с ДК
Самара/Самарская область, 08 июня 2024 года</t>
  </si>
  <si>
    <t>Всероссийский турнир
WRPF Военный жим лежа
Самара/Самарская область, 08 июня 2024 года</t>
  </si>
  <si>
    <t>Всероссийский турнир
СПР Пауэрспорт ДК
Самара/Самарская область, 08 июня 2024 года</t>
  </si>
  <si>
    <t>Всероссийский турнир
СПР Строгий подъем штанги на бицепс ДК
Самара/Самарская область, 08 июня 2024 года</t>
  </si>
  <si>
    <t>Всероссийский турнир
СПР Жим штанги стоя
Самара/Самарская область, 08 июня 2024 года</t>
  </si>
  <si>
    <t>Всероссийский турнир
СПР Жим лежа в однопетельной софт экипировке ДК
Самара/Самарская область, 08 июня 2024 года</t>
  </si>
  <si>
    <t>Всероссийский турнир
СПР Жим лежа в однопетельной софт экипировке
Самара/Самарская область, 08 июня 2024 года</t>
  </si>
  <si>
    <t>Всероссийский турнир
WRPF Строгий подъем штанги на бицепс ДК
Самара/Самарская область, 08 июня 2024 года</t>
  </si>
  <si>
    <t>Всероссийский турнир
WRPF Строгий подъем штанги на бицепс
Самара/Самарская область, 08 июня 2024 года</t>
  </si>
  <si>
    <t>Всероссийский турнир
СПР Жим лежа среди спортсменов с физическими особенностями
Самара/Самарская область, 08 июня 2024 года</t>
  </si>
  <si>
    <t>Юноши 13-19 (02.02.2008)/16</t>
  </si>
  <si>
    <t>Юноши 13-19 (24.06.2006)/17</t>
  </si>
  <si>
    <t>Юноши 13-19 (06.06.2006)/18</t>
  </si>
  <si>
    <t>Юниоры 20-23 (23.07.2000)/23</t>
  </si>
  <si>
    <t>Мастера 40-49 (20.03.1980)/44</t>
  </si>
  <si>
    <t>Девушки 13-19 (19.04.2005)/19</t>
  </si>
  <si>
    <t>Юноши 13-19 (25.02.2008)/16</t>
  </si>
  <si>
    <t>Юниорки 20-23 (13.05.2002)/22</t>
  </si>
  <si>
    <t>Мастера 50-54 (16.06.1972)/51</t>
  </si>
  <si>
    <t>Мастера 70-74 (06.02.1951)/73</t>
  </si>
  <si>
    <t>Мастера 40-44 (15.10.1980)/43</t>
  </si>
  <si>
    <t>Мастера 75-79 (24.01.1947)/77</t>
  </si>
  <si>
    <t>Всероссийский турнир
WRPF Жим штанги стоя ДК
Самара/Самарская область, 08 июня 2024 года</t>
  </si>
  <si>
    <t>Всероссийский турнир
WRPF Экастремальный подъем штанги на бицепс ДК
Самара/Самарская область, 08 июня 2024 года</t>
  </si>
  <si>
    <t>Всероссийский турнир
WRPF Экастремальный подъем штанги на бицепс
Самара/Самарская область, 08 июня 2024 года</t>
  </si>
  <si>
    <t>Весовая категория</t>
  </si>
  <si>
    <t>Национальный Кубок
IPL Пауэрлифтинг без экипировки ДК
Самара/Самарская область, 08 июня 2024 года</t>
  </si>
  <si>
    <t>Национальный Кубок
IPL Пауэрлифтинг без экипировки
Самара/Самарская область, 08 июня 2024 года</t>
  </si>
  <si>
    <t>Национальный Кубок
IPL Пауэрлифтинг в бинтах
Самара/Самарская область, 08 июня 2024 года</t>
  </si>
  <si>
    <t>Национальный Кубок
IPL Силовое двоеборье без экипировки ДК
Самара/Самарская область, 08 июня 2024 года</t>
  </si>
  <si>
    <t>Национальный Кубок
IPL Присед без экипировки ДК
Самара/Самарская область, 08 июня 2024 года</t>
  </si>
  <si>
    <t>Национальный Кубок
IPL Жим лежа без экипировки ДК
Самара/Самарская область, 08 июня 2024 года</t>
  </si>
  <si>
    <t>Национальный Кубок
IPL Жим лежа без экипировки
Самара/Самарская область, 08 июня 2024 года</t>
  </si>
  <si>
    <t>Национальный Кубок
IPL Становая тяга без экипировки ДК
Самара/Самарская область, 08 июня 2024 года</t>
  </si>
  <si>
    <t>Национальный Кубок
IPL Становая тяга без экипировки
Самара/Самарская область, 08 июня 2024 года</t>
  </si>
  <si>
    <t xml:space="preserve">Армения, Ереван </t>
  </si>
  <si>
    <t xml:space="preserve">
Дата рождения/Возраст</t>
  </si>
  <si>
    <t>Возрастная группа</t>
  </si>
  <si>
    <t>T</t>
  </si>
  <si>
    <t>O</t>
  </si>
  <si>
    <t>J</t>
  </si>
  <si>
    <t>M3</t>
  </si>
  <si>
    <t>M7</t>
  </si>
  <si>
    <t>M1</t>
  </si>
  <si>
    <t>M8</t>
  </si>
  <si>
    <t>T1</t>
  </si>
  <si>
    <t>Мастера 60-69 (07.09.1963)/60</t>
  </si>
  <si>
    <t>Республика Татарстан, Набережные Челны</t>
  </si>
  <si>
    <t>Самарская область, Самара</t>
  </si>
  <si>
    <t xml:space="preserve">Самарская область, Похвистнево </t>
  </si>
  <si>
    <t>Самарская область, Отрадный</t>
  </si>
  <si>
    <t xml:space="preserve">Самарская область, Сызрань </t>
  </si>
  <si>
    <t>Республика Татарстан, Казань</t>
  </si>
  <si>
    <t>Самарская область, Кинель</t>
  </si>
  <si>
    <t xml:space="preserve"> Самарская область, Борское</t>
  </si>
  <si>
    <t>Иркутская область, Иркутск</t>
  </si>
  <si>
    <t xml:space="preserve"> Самарская область, Новокуйбышевск</t>
  </si>
  <si>
    <t>Орловская область, Ливны</t>
  </si>
  <si>
    <t xml:space="preserve">Самарская область, Новокуйбышевск </t>
  </si>
  <si>
    <t xml:space="preserve">Республика Татарстан, Чистополь </t>
  </si>
  <si>
    <t>Ульяновская область, Ульяновск</t>
  </si>
  <si>
    <t>Республика Татарстан, Калейкино</t>
  </si>
  <si>
    <t xml:space="preserve">Оренбургская область, Бузулук </t>
  </si>
  <si>
    <t xml:space="preserve"> Республика Башкортостан, Тавтиманово</t>
  </si>
  <si>
    <t xml:space="preserve">Московская область, Апрелевка </t>
  </si>
  <si>
    <t>Самарская область, Тольятти</t>
  </si>
  <si>
    <t>№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</si>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</sst>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5" style="6" bestFit="1" customWidth="1"/>
    <col min="2" max="2" width="16" style="6" bestFit="1" customWidth="1"/>
    <col min="3" max="3" width="26.5" style="6" bestFit="1" customWidth="1"/>
    <col min="4" max="4" width="21.5" style="6" bestFit="1" customWidth="1"/>
    <col min="5" max="5" width="10.5" style="7" bestFit="1" customWidth="1"/>
    <col min="6" max="6" width="42.83203125" style="6" bestFit="1" customWidth="1"/>
    <col min="7" max="9" width="5.6640625" style="11" bestFit="1" customWidth="1"/>
    <col min="10" max="10" width="4.33203125" style="11" bestFit="1" customWidth="1"/>
    <col min="11" max="13" width="4.6640625" style="11" bestFit="1" customWidth="1"/>
    <col min="14" max="14" width="4.33203125" style="11" bestFit="1" customWidth="1"/>
    <col min="15" max="17" width="5.6640625" style="11" bestFit="1" customWidth="1"/>
    <col min="18" max="18" width="4.33203125" style="11" bestFit="1" customWidth="1"/>
    <col min="19" max="19" width="7.1640625" style="21" bestFit="1" customWidth="1"/>
    <col min="20" max="20" width="8.6640625" style="8" bestFit="1" customWidth="1"/>
    <col min="21" max="21" width="15.6640625" style="6" bestFit="1" customWidth="1"/>
    <col min="22" max="16384" width="9.1640625" style="3"/>
  </cols>
  <sheetData>
    <row r="1" spans="1:21" s="2" customFormat="1" ht="29" customHeight="1">
      <c r="A1" s="50" t="s">
        <v>307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9</v>
      </c>
      <c r="H3" s="64"/>
      <c r="I3" s="64"/>
      <c r="J3" s="64"/>
      <c r="K3" s="64" t="s">
        <v>10</v>
      </c>
      <c r="L3" s="64"/>
      <c r="M3" s="64"/>
      <c r="N3" s="64"/>
      <c r="O3" s="64" t="s">
        <v>11</v>
      </c>
      <c r="P3" s="64"/>
      <c r="Q3" s="64"/>
      <c r="R3" s="64"/>
      <c r="S3" s="69" t="s">
        <v>1</v>
      </c>
      <c r="T3" s="62" t="s">
        <v>3</v>
      </c>
      <c r="U3" s="46" t="s">
        <v>2</v>
      </c>
    </row>
    <row r="4" spans="1:21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63"/>
      <c r="U4" s="47"/>
    </row>
    <row r="5" spans="1:21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32" t="s">
        <v>40</v>
      </c>
      <c r="B6" s="25" t="s">
        <v>77</v>
      </c>
      <c r="C6" s="25" t="s">
        <v>44</v>
      </c>
      <c r="D6" s="25" t="s">
        <v>45</v>
      </c>
      <c r="E6" s="26" t="s">
        <v>319</v>
      </c>
      <c r="F6" s="25" t="s">
        <v>328</v>
      </c>
      <c r="G6" s="31" t="s">
        <v>46</v>
      </c>
      <c r="H6" s="31" t="s">
        <v>47</v>
      </c>
      <c r="I6" s="31" t="s">
        <v>48</v>
      </c>
      <c r="J6" s="32"/>
      <c r="K6" s="31" t="s">
        <v>49</v>
      </c>
      <c r="L6" s="31" t="s">
        <v>50</v>
      </c>
      <c r="M6" s="31" t="s">
        <v>51</v>
      </c>
      <c r="N6" s="32"/>
      <c r="O6" s="31" t="s">
        <v>52</v>
      </c>
      <c r="P6" s="31" t="s">
        <v>53</v>
      </c>
      <c r="Q6" s="31" t="s">
        <v>54</v>
      </c>
      <c r="R6" s="32"/>
      <c r="S6" s="44" t="str">
        <f>"310,0"</f>
        <v>310,0</v>
      </c>
      <c r="T6" s="27" t="str">
        <f>"258,5710"</f>
        <v>258,5710</v>
      </c>
      <c r="U6" s="25" t="s">
        <v>71</v>
      </c>
    </row>
    <row r="7" spans="1:21">
      <c r="A7" s="34" t="s">
        <v>40</v>
      </c>
      <c r="B7" s="28" t="s">
        <v>78</v>
      </c>
      <c r="C7" s="28" t="s">
        <v>55</v>
      </c>
      <c r="D7" s="28" t="s">
        <v>56</v>
      </c>
      <c r="E7" s="29" t="s">
        <v>320</v>
      </c>
      <c r="F7" s="28" t="s">
        <v>329</v>
      </c>
      <c r="G7" s="33" t="s">
        <v>57</v>
      </c>
      <c r="H7" s="33" t="s">
        <v>58</v>
      </c>
      <c r="I7" s="33" t="s">
        <v>59</v>
      </c>
      <c r="J7" s="34"/>
      <c r="K7" s="33" t="s">
        <v>46</v>
      </c>
      <c r="L7" s="33" t="s">
        <v>60</v>
      </c>
      <c r="M7" s="35" t="s">
        <v>61</v>
      </c>
      <c r="N7" s="34"/>
      <c r="O7" s="33" t="s">
        <v>62</v>
      </c>
      <c r="P7" s="33" t="s">
        <v>29</v>
      </c>
      <c r="Q7" s="33" t="s">
        <v>63</v>
      </c>
      <c r="R7" s="34"/>
      <c r="S7" s="45" t="str">
        <f>"427,5"</f>
        <v>427,5</v>
      </c>
      <c r="T7" s="30" t="str">
        <f>"333,6210"</f>
        <v>333,6210</v>
      </c>
      <c r="U7" s="28" t="s">
        <v>64</v>
      </c>
    </row>
    <row r="9" spans="1:21" ht="16">
      <c r="A9" s="65" t="s">
        <v>65</v>
      </c>
      <c r="B9" s="65"/>
      <c r="C9" s="65"/>
      <c r="D9" s="65"/>
      <c r="E9" s="6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>
      <c r="A10" s="23" t="s">
        <v>40</v>
      </c>
      <c r="B10" s="12" t="s">
        <v>79</v>
      </c>
      <c r="C10" s="12" t="s">
        <v>44</v>
      </c>
      <c r="D10" s="12" t="s">
        <v>66</v>
      </c>
      <c r="E10" s="13" t="s">
        <v>319</v>
      </c>
      <c r="F10" s="12" t="s">
        <v>328</v>
      </c>
      <c r="G10" s="22" t="s">
        <v>57</v>
      </c>
      <c r="H10" s="22" t="s">
        <v>58</v>
      </c>
      <c r="I10" s="24" t="s">
        <v>54</v>
      </c>
      <c r="J10" s="23"/>
      <c r="K10" s="22" t="s">
        <v>67</v>
      </c>
      <c r="L10" s="22" t="s">
        <v>68</v>
      </c>
      <c r="M10" s="24" t="s">
        <v>69</v>
      </c>
      <c r="N10" s="23"/>
      <c r="O10" s="22" t="s">
        <v>19</v>
      </c>
      <c r="P10" s="24" t="s">
        <v>70</v>
      </c>
      <c r="Q10" s="24" t="s">
        <v>70</v>
      </c>
      <c r="R10" s="23"/>
      <c r="S10" s="43" t="str">
        <f>"372,5"</f>
        <v>372,5</v>
      </c>
      <c r="T10" s="14" t="str">
        <f>"268,9823"</f>
        <v>268,9823</v>
      </c>
      <c r="U10" s="12" t="s">
        <v>71</v>
      </c>
    </row>
    <row r="12" spans="1:21" ht="16">
      <c r="A12" s="65" t="s">
        <v>72</v>
      </c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21">
      <c r="A13" s="23" t="s">
        <v>80</v>
      </c>
      <c r="B13" s="12" t="s">
        <v>81</v>
      </c>
      <c r="C13" s="12" t="s">
        <v>73</v>
      </c>
      <c r="D13" s="12" t="s">
        <v>74</v>
      </c>
      <c r="E13" s="13" t="s">
        <v>320</v>
      </c>
      <c r="F13" s="12" t="s">
        <v>329</v>
      </c>
      <c r="G13" s="24" t="s">
        <v>63</v>
      </c>
      <c r="H13" s="24" t="s">
        <v>63</v>
      </c>
      <c r="I13" s="24" t="s">
        <v>63</v>
      </c>
      <c r="J13" s="23"/>
      <c r="K13" s="24"/>
      <c r="L13" s="23"/>
      <c r="M13" s="23"/>
      <c r="N13" s="23"/>
      <c r="O13" s="24"/>
      <c r="P13" s="23"/>
      <c r="Q13" s="23"/>
      <c r="R13" s="23"/>
      <c r="S13" s="43">
        <v>0</v>
      </c>
      <c r="T13" s="14" t="str">
        <f>"0,0000"</f>
        <v>0,0000</v>
      </c>
      <c r="U13" s="12"/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6" bestFit="1" customWidth="1"/>
    <col min="2" max="2" width="16.1640625" style="6" bestFit="1" customWidth="1"/>
    <col min="3" max="3" width="27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7.83203125" style="8" bestFit="1" customWidth="1"/>
    <col min="12" max="12" width="7.5" style="8" bestFit="1" customWidth="1"/>
    <col min="13" max="13" width="14.5" style="6" bestFit="1" customWidth="1"/>
    <col min="14" max="16384" width="9.1640625" style="3"/>
  </cols>
  <sheetData>
    <row r="1" spans="1:13" s="2" customFormat="1" ht="29" customHeight="1">
      <c r="A1" s="50" t="s">
        <v>281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87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205</v>
      </c>
      <c r="C6" s="12" t="s">
        <v>198</v>
      </c>
      <c r="D6" s="12" t="s">
        <v>199</v>
      </c>
      <c r="E6" s="13" t="s">
        <v>320</v>
      </c>
      <c r="F6" s="12" t="s">
        <v>329</v>
      </c>
      <c r="G6" s="22" t="s">
        <v>98</v>
      </c>
      <c r="H6" s="22" t="s">
        <v>113</v>
      </c>
      <c r="I6" s="24" t="s">
        <v>46</v>
      </c>
      <c r="J6" s="23"/>
      <c r="K6" s="14" t="str">
        <f>"80,0"</f>
        <v>80,0</v>
      </c>
      <c r="L6" s="14" t="str">
        <f>"74,0000"</f>
        <v>74,0000</v>
      </c>
      <c r="M6" s="12" t="s">
        <v>200</v>
      </c>
    </row>
    <row r="8" spans="1:13" ht="16">
      <c r="A8" s="65" t="s">
        <v>12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206</v>
      </c>
      <c r="C9" s="12" t="s">
        <v>201</v>
      </c>
      <c r="D9" s="12" t="s">
        <v>202</v>
      </c>
      <c r="E9" s="13" t="s">
        <v>324</v>
      </c>
      <c r="F9" s="12" t="s">
        <v>329</v>
      </c>
      <c r="G9" s="22" t="s">
        <v>47</v>
      </c>
      <c r="H9" s="22" t="s">
        <v>111</v>
      </c>
      <c r="I9" s="22" t="s">
        <v>52</v>
      </c>
      <c r="J9" s="23"/>
      <c r="K9" s="14" t="str">
        <f>"120,0"</f>
        <v>120,0</v>
      </c>
      <c r="L9" s="14" t="str">
        <f>"90,6053"</f>
        <v>90,6053</v>
      </c>
      <c r="M9" s="12" t="s">
        <v>200</v>
      </c>
    </row>
    <row r="11" spans="1:13" ht="16">
      <c r="A11" s="65" t="s">
        <v>24</v>
      </c>
      <c r="B11" s="65"/>
      <c r="C11" s="65"/>
      <c r="D11" s="65"/>
      <c r="E11" s="66"/>
      <c r="F11" s="65"/>
      <c r="G11" s="65"/>
      <c r="H11" s="65"/>
      <c r="I11" s="65"/>
      <c r="J11" s="65"/>
    </row>
    <row r="12" spans="1:13">
      <c r="A12" s="23" t="s">
        <v>40</v>
      </c>
      <c r="B12" s="12" t="s">
        <v>207</v>
      </c>
      <c r="C12" s="12" t="s">
        <v>203</v>
      </c>
      <c r="D12" s="12" t="s">
        <v>204</v>
      </c>
      <c r="E12" s="13" t="s">
        <v>326</v>
      </c>
      <c r="F12" s="12" t="s">
        <v>334</v>
      </c>
      <c r="G12" s="22" t="s">
        <v>190</v>
      </c>
      <c r="H12" s="22" t="s">
        <v>151</v>
      </c>
      <c r="I12" s="24" t="s">
        <v>57</v>
      </c>
      <c r="J12" s="23"/>
      <c r="K12" s="14" t="str">
        <f>"125,0"</f>
        <v>125,0</v>
      </c>
      <c r="L12" s="14" t="str">
        <f>"76,3500"</f>
        <v>76,3500</v>
      </c>
      <c r="M12" s="12" t="s">
        <v>200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4.6640625" style="6" bestFit="1" customWidth="1"/>
    <col min="3" max="3" width="27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7.83203125" style="8" bestFit="1" customWidth="1"/>
    <col min="12" max="12" width="8.5" style="8" bestFit="1" customWidth="1"/>
    <col min="13" max="13" width="15.5" style="6" bestFit="1" customWidth="1"/>
    <col min="14" max="16384" width="9.1640625" style="3"/>
  </cols>
  <sheetData>
    <row r="1" spans="1:13" s="2" customFormat="1" ht="29" customHeight="1">
      <c r="A1" s="50" t="s">
        <v>282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121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197</v>
      </c>
      <c r="C6" s="12" t="s">
        <v>195</v>
      </c>
      <c r="D6" s="12" t="s">
        <v>196</v>
      </c>
      <c r="E6" s="13" t="s">
        <v>324</v>
      </c>
      <c r="F6" s="12" t="s">
        <v>329</v>
      </c>
      <c r="G6" s="22" t="s">
        <v>18</v>
      </c>
      <c r="H6" s="22" t="s">
        <v>19</v>
      </c>
      <c r="I6" s="22" t="s">
        <v>20</v>
      </c>
      <c r="J6" s="23"/>
      <c r="K6" s="14" t="str">
        <f>"165,0"</f>
        <v>165,0</v>
      </c>
      <c r="L6" s="14" t="str">
        <f>"108,4317"</f>
        <v>108,4317</v>
      </c>
      <c r="M6" s="1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7.5" style="6" bestFit="1" customWidth="1"/>
    <col min="4" max="4" width="21.5" style="6" bestFit="1" customWidth="1"/>
    <col min="5" max="5" width="10.5" style="7" bestFit="1" customWidth="1"/>
    <col min="6" max="6" width="38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290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221</v>
      </c>
      <c r="C6" s="12" t="s">
        <v>208</v>
      </c>
      <c r="D6" s="12" t="s">
        <v>56</v>
      </c>
      <c r="E6" s="13" t="s">
        <v>320</v>
      </c>
      <c r="F6" s="12" t="s">
        <v>337</v>
      </c>
      <c r="G6" s="22" t="s">
        <v>67</v>
      </c>
      <c r="H6" s="22" t="s">
        <v>209</v>
      </c>
      <c r="I6" s="22" t="s">
        <v>98</v>
      </c>
      <c r="J6" s="23"/>
      <c r="K6" s="14" t="str">
        <f>"75,0"</f>
        <v>75,0</v>
      </c>
      <c r="L6" s="14" t="str">
        <f>"56,8538"</f>
        <v>56,8538</v>
      </c>
      <c r="M6" s="12"/>
    </row>
    <row r="8" spans="1:13" ht="16">
      <c r="A8" s="65" t="s">
        <v>65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222</v>
      </c>
      <c r="C9" s="12" t="s">
        <v>210</v>
      </c>
      <c r="D9" s="12" t="s">
        <v>211</v>
      </c>
      <c r="E9" s="13" t="s">
        <v>320</v>
      </c>
      <c r="F9" s="12" t="s">
        <v>337</v>
      </c>
      <c r="G9" s="22" t="s">
        <v>60</v>
      </c>
      <c r="H9" s="22" t="s">
        <v>47</v>
      </c>
      <c r="I9" s="24" t="s">
        <v>48</v>
      </c>
      <c r="J9" s="23"/>
      <c r="K9" s="14" t="str">
        <f>"100,0"</f>
        <v>100,0</v>
      </c>
      <c r="L9" s="14" t="str">
        <f>"68,8550"</f>
        <v>68,8550</v>
      </c>
      <c r="M9" s="12"/>
    </row>
    <row r="11" spans="1:13" ht="16">
      <c r="A11" s="65" t="s">
        <v>72</v>
      </c>
      <c r="B11" s="65"/>
      <c r="C11" s="65"/>
      <c r="D11" s="65"/>
      <c r="E11" s="66"/>
      <c r="F11" s="65"/>
      <c r="G11" s="65"/>
      <c r="H11" s="65"/>
      <c r="I11" s="65"/>
      <c r="J11" s="65"/>
    </row>
    <row r="12" spans="1:13">
      <c r="A12" s="32" t="s">
        <v>40</v>
      </c>
      <c r="B12" s="25" t="s">
        <v>223</v>
      </c>
      <c r="C12" s="25" t="s">
        <v>212</v>
      </c>
      <c r="D12" s="25" t="s">
        <v>213</v>
      </c>
      <c r="E12" s="26" t="s">
        <v>320</v>
      </c>
      <c r="F12" s="25" t="s">
        <v>329</v>
      </c>
      <c r="G12" s="31" t="s">
        <v>53</v>
      </c>
      <c r="H12" s="31" t="s">
        <v>54</v>
      </c>
      <c r="I12" s="31" t="s">
        <v>214</v>
      </c>
      <c r="J12" s="32"/>
      <c r="K12" s="27" t="str">
        <f>"155,0"</f>
        <v>155,0</v>
      </c>
      <c r="L12" s="27" t="str">
        <f>"104,7955"</f>
        <v>104,7955</v>
      </c>
      <c r="M12" s="25"/>
    </row>
    <row r="13" spans="1:13">
      <c r="A13" s="40" t="s">
        <v>143</v>
      </c>
      <c r="B13" s="36" t="s">
        <v>224</v>
      </c>
      <c r="C13" s="36" t="s">
        <v>215</v>
      </c>
      <c r="D13" s="36" t="s">
        <v>155</v>
      </c>
      <c r="E13" s="37" t="s">
        <v>320</v>
      </c>
      <c r="F13" s="36" t="s">
        <v>329</v>
      </c>
      <c r="G13" s="41" t="s">
        <v>46</v>
      </c>
      <c r="H13" s="41" t="s">
        <v>60</v>
      </c>
      <c r="I13" s="42" t="s">
        <v>170</v>
      </c>
      <c r="J13" s="40"/>
      <c r="K13" s="38" t="str">
        <f>"90,0"</f>
        <v>90,0</v>
      </c>
      <c r="L13" s="38" t="str">
        <f>"58,4775"</f>
        <v>58,4775</v>
      </c>
      <c r="M13" s="36"/>
    </row>
    <row r="14" spans="1:13">
      <c r="A14" s="34" t="s">
        <v>40</v>
      </c>
      <c r="B14" s="28" t="s">
        <v>223</v>
      </c>
      <c r="C14" s="28" t="s">
        <v>216</v>
      </c>
      <c r="D14" s="28" t="s">
        <v>213</v>
      </c>
      <c r="E14" s="29" t="s">
        <v>324</v>
      </c>
      <c r="F14" s="28" t="s">
        <v>329</v>
      </c>
      <c r="G14" s="33" t="s">
        <v>53</v>
      </c>
      <c r="H14" s="33" t="s">
        <v>54</v>
      </c>
      <c r="I14" s="33" t="s">
        <v>214</v>
      </c>
      <c r="J14" s="34"/>
      <c r="K14" s="30" t="str">
        <f>"155,0"</f>
        <v>155,0</v>
      </c>
      <c r="L14" s="30" t="str">
        <f>"116,6374"</f>
        <v>116,6374</v>
      </c>
      <c r="M14" s="28"/>
    </row>
    <row r="16" spans="1:13" ht="16">
      <c r="A16" s="65" t="s">
        <v>126</v>
      </c>
      <c r="B16" s="65"/>
      <c r="C16" s="65"/>
      <c r="D16" s="65"/>
      <c r="E16" s="66"/>
      <c r="F16" s="65"/>
      <c r="G16" s="65"/>
      <c r="H16" s="65"/>
      <c r="I16" s="65"/>
      <c r="J16" s="65"/>
    </row>
    <row r="17" spans="1:13">
      <c r="A17" s="23" t="s">
        <v>40</v>
      </c>
      <c r="B17" s="12" t="s">
        <v>225</v>
      </c>
      <c r="C17" s="12" t="s">
        <v>217</v>
      </c>
      <c r="D17" s="12" t="s">
        <v>218</v>
      </c>
      <c r="E17" s="13" t="s">
        <v>320</v>
      </c>
      <c r="F17" s="12" t="s">
        <v>339</v>
      </c>
      <c r="G17" s="22" t="s">
        <v>46</v>
      </c>
      <c r="H17" s="22" t="s">
        <v>170</v>
      </c>
      <c r="I17" s="24" t="s">
        <v>219</v>
      </c>
      <c r="J17" s="23"/>
      <c r="K17" s="14" t="str">
        <f>"95,0"</f>
        <v>95,0</v>
      </c>
      <c r="L17" s="14" t="str">
        <f>"52,4828"</f>
        <v>52,4828</v>
      </c>
      <c r="M17" s="12"/>
    </row>
  </sheetData>
  <mergeCells count="15">
    <mergeCell ref="A8:J8"/>
    <mergeCell ref="A11:J11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9"/>
  <sheetViews>
    <sheetView workbookViewId="0">
      <selection activeCell="E20" sqref="E20"/>
    </sheetView>
  </sheetViews>
  <sheetFormatPr baseColWidth="10" defaultColWidth="9.1640625" defaultRowHeight="13"/>
  <cols>
    <col min="1" max="1" width="7.5" style="6" bestFit="1" customWidth="1"/>
    <col min="2" max="2" width="18.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5.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314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11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32" t="s">
        <v>40</v>
      </c>
      <c r="B6" s="25" t="s">
        <v>184</v>
      </c>
      <c r="C6" s="25" t="s">
        <v>298</v>
      </c>
      <c r="D6" s="25" t="s">
        <v>56</v>
      </c>
      <c r="E6" s="26" t="s">
        <v>321</v>
      </c>
      <c r="F6" s="25" t="s">
        <v>329</v>
      </c>
      <c r="G6" s="31" t="s">
        <v>60</v>
      </c>
      <c r="H6" s="31" t="s">
        <v>170</v>
      </c>
      <c r="I6" s="39" t="s">
        <v>47</v>
      </c>
      <c r="J6" s="32"/>
      <c r="K6" s="27" t="str">
        <f>"95,0"</f>
        <v>95,0</v>
      </c>
      <c r="L6" s="27" t="str">
        <f>"98,0115"</f>
        <v>98,0115</v>
      </c>
      <c r="M6" s="25"/>
    </row>
    <row r="7" spans="1:13">
      <c r="A7" s="34" t="s">
        <v>40</v>
      </c>
      <c r="B7" s="28" t="s">
        <v>185</v>
      </c>
      <c r="C7" s="28" t="s">
        <v>171</v>
      </c>
      <c r="D7" s="28" t="s">
        <v>172</v>
      </c>
      <c r="E7" s="29" t="s">
        <v>320</v>
      </c>
      <c r="F7" s="28" t="s">
        <v>329</v>
      </c>
      <c r="G7" s="33" t="s">
        <v>151</v>
      </c>
      <c r="H7" s="33" t="s">
        <v>53</v>
      </c>
      <c r="I7" s="33" t="s">
        <v>58</v>
      </c>
      <c r="J7" s="34"/>
      <c r="K7" s="30" t="str">
        <f>"140,0"</f>
        <v>140,0</v>
      </c>
      <c r="L7" s="30" t="str">
        <f>"145,0680"</f>
        <v>145,0680</v>
      </c>
      <c r="M7" s="28"/>
    </row>
    <row r="9" spans="1:13" ht="16">
      <c r="A9" s="65" t="s">
        <v>43</v>
      </c>
      <c r="B9" s="65"/>
      <c r="C9" s="65"/>
      <c r="D9" s="65"/>
      <c r="E9" s="66"/>
      <c r="F9" s="65"/>
      <c r="G9" s="65"/>
      <c r="H9" s="65"/>
      <c r="I9" s="65"/>
      <c r="J9" s="65"/>
    </row>
    <row r="10" spans="1:13">
      <c r="A10" s="23" t="s">
        <v>40</v>
      </c>
      <c r="B10" s="12" t="s">
        <v>78</v>
      </c>
      <c r="C10" s="12" t="s">
        <v>55</v>
      </c>
      <c r="D10" s="12" t="s">
        <v>56</v>
      </c>
      <c r="E10" s="13" t="s">
        <v>320</v>
      </c>
      <c r="F10" s="12" t="s">
        <v>329</v>
      </c>
      <c r="G10" s="22" t="s">
        <v>62</v>
      </c>
      <c r="H10" s="22" t="s">
        <v>29</v>
      </c>
      <c r="I10" s="22" t="s">
        <v>63</v>
      </c>
      <c r="J10" s="23"/>
      <c r="K10" s="14" t="str">
        <f>"195,0"</f>
        <v>195,0</v>
      </c>
      <c r="L10" s="14" t="str">
        <f>"152,1780"</f>
        <v>152,1780</v>
      </c>
      <c r="M10" s="12" t="s">
        <v>64</v>
      </c>
    </row>
    <row r="12" spans="1:13" ht="16">
      <c r="A12" s="65" t="s">
        <v>65</v>
      </c>
      <c r="B12" s="65"/>
      <c r="C12" s="65"/>
      <c r="D12" s="65"/>
      <c r="E12" s="66"/>
      <c r="F12" s="65"/>
      <c r="G12" s="65"/>
      <c r="H12" s="65"/>
      <c r="I12" s="65"/>
      <c r="J12" s="65"/>
    </row>
    <row r="13" spans="1:13">
      <c r="A13" s="23" t="s">
        <v>40</v>
      </c>
      <c r="B13" s="12" t="s">
        <v>186</v>
      </c>
      <c r="C13" s="12" t="s">
        <v>173</v>
      </c>
      <c r="D13" s="12" t="s">
        <v>174</v>
      </c>
      <c r="E13" s="13" t="s">
        <v>320</v>
      </c>
      <c r="F13" s="12" t="s">
        <v>340</v>
      </c>
      <c r="G13" s="22" t="s">
        <v>30</v>
      </c>
      <c r="H13" s="24" t="s">
        <v>175</v>
      </c>
      <c r="I13" s="24" t="s">
        <v>175</v>
      </c>
      <c r="J13" s="23"/>
      <c r="K13" s="14" t="str">
        <f>"200,0"</f>
        <v>200,0</v>
      </c>
      <c r="L13" s="14" t="str">
        <f>"142,9200"</f>
        <v>142,9200</v>
      </c>
      <c r="M13" s="12"/>
    </row>
    <row r="15" spans="1:13" ht="16">
      <c r="A15" s="65" t="s">
        <v>12</v>
      </c>
      <c r="B15" s="65"/>
      <c r="C15" s="65"/>
      <c r="D15" s="65"/>
      <c r="E15" s="66"/>
      <c r="F15" s="65"/>
      <c r="G15" s="65"/>
      <c r="H15" s="65"/>
      <c r="I15" s="65"/>
      <c r="J15" s="65"/>
    </row>
    <row r="16" spans="1:13">
      <c r="A16" s="23" t="s">
        <v>40</v>
      </c>
      <c r="B16" s="12" t="s">
        <v>187</v>
      </c>
      <c r="C16" s="12" t="s">
        <v>176</v>
      </c>
      <c r="D16" s="12" t="s">
        <v>177</v>
      </c>
      <c r="E16" s="13" t="s">
        <v>320</v>
      </c>
      <c r="F16" s="12" t="s">
        <v>329</v>
      </c>
      <c r="G16" s="22" t="s">
        <v>178</v>
      </c>
      <c r="H16" s="22" t="s">
        <v>179</v>
      </c>
      <c r="I16" s="24" t="s">
        <v>16</v>
      </c>
      <c r="J16" s="23"/>
      <c r="K16" s="14" t="str">
        <f>"215,0"</f>
        <v>215,0</v>
      </c>
      <c r="L16" s="14" t="str">
        <f>"139,4705"</f>
        <v>139,4705</v>
      </c>
      <c r="M16" s="12"/>
    </row>
    <row r="18" spans="1:13" ht="16">
      <c r="A18" s="65" t="s">
        <v>24</v>
      </c>
      <c r="B18" s="65"/>
      <c r="C18" s="65"/>
      <c r="D18" s="65"/>
      <c r="E18" s="66"/>
      <c r="F18" s="65"/>
      <c r="G18" s="65"/>
      <c r="H18" s="65"/>
      <c r="I18" s="65"/>
      <c r="J18" s="65"/>
    </row>
    <row r="19" spans="1:13">
      <c r="A19" s="23" t="s">
        <v>40</v>
      </c>
      <c r="B19" s="12" t="s">
        <v>188</v>
      </c>
      <c r="C19" s="12" t="s">
        <v>180</v>
      </c>
      <c r="D19" s="12" t="s">
        <v>181</v>
      </c>
      <c r="E19" s="13" t="s">
        <v>320</v>
      </c>
      <c r="F19" s="12" t="s">
        <v>329</v>
      </c>
      <c r="G19" s="22" t="s">
        <v>182</v>
      </c>
      <c r="H19" s="22" t="s">
        <v>183</v>
      </c>
      <c r="I19" s="22" t="s">
        <v>17</v>
      </c>
      <c r="J19" s="23"/>
      <c r="K19" s="14" t="str">
        <f>"240,0"</f>
        <v>240,0</v>
      </c>
      <c r="L19" s="14" t="str">
        <f>"148,3200"</f>
        <v>148,3200</v>
      </c>
      <c r="M19" s="12"/>
    </row>
  </sheetData>
  <mergeCells count="16">
    <mergeCell ref="A9:J9"/>
    <mergeCell ref="A12:J12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6.5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20.5" style="6" bestFit="1" customWidth="1"/>
    <col min="14" max="16384" width="9.1640625" style="3"/>
  </cols>
  <sheetData>
    <row r="1" spans="1:13" s="2" customFormat="1" ht="29" customHeight="1">
      <c r="A1" s="50" t="s">
        <v>315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11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65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137</v>
      </c>
      <c r="C6" s="12" t="s">
        <v>299</v>
      </c>
      <c r="D6" s="12" t="s">
        <v>97</v>
      </c>
      <c r="E6" s="13" t="s">
        <v>322</v>
      </c>
      <c r="F6" s="12" t="s">
        <v>329</v>
      </c>
      <c r="G6" s="22" t="s">
        <v>20</v>
      </c>
      <c r="H6" s="22" t="s">
        <v>165</v>
      </c>
      <c r="I6" s="24" t="s">
        <v>29</v>
      </c>
      <c r="J6" s="23"/>
      <c r="K6" s="14" t="str">
        <f>"175,0"</f>
        <v>175,0</v>
      </c>
      <c r="L6" s="14" t="str">
        <f>"198,5950"</f>
        <v>198,5950</v>
      </c>
      <c r="M6" s="12" t="s">
        <v>99</v>
      </c>
    </row>
    <row r="8" spans="1:13" ht="16">
      <c r="A8" s="65" t="s">
        <v>72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169</v>
      </c>
      <c r="C9" s="12" t="s">
        <v>166</v>
      </c>
      <c r="D9" s="12" t="s">
        <v>167</v>
      </c>
      <c r="E9" s="13" t="s">
        <v>320</v>
      </c>
      <c r="F9" s="12" t="s">
        <v>329</v>
      </c>
      <c r="G9" s="22" t="s">
        <v>28</v>
      </c>
      <c r="H9" s="22" t="s">
        <v>30</v>
      </c>
      <c r="I9" s="22" t="s">
        <v>15</v>
      </c>
      <c r="J9" s="23"/>
      <c r="K9" s="14" t="str">
        <f>"220,0"</f>
        <v>220,0</v>
      </c>
      <c r="L9" s="14" t="str">
        <f>"152,2840"</f>
        <v>152,2840</v>
      </c>
      <c r="M9" s="12" t="s">
        <v>168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"/>
  <sheetViews>
    <sheetView tabSelected="1" workbookViewId="0">
      <selection sqref="A1:Q2"/>
    </sheetView>
  </sheetViews>
  <sheetFormatPr baseColWidth="10" defaultColWidth="9.1640625" defaultRowHeight="13"/>
  <cols>
    <col min="1" max="1" width="7.5" style="6" bestFit="1" customWidth="1"/>
    <col min="2" max="2" width="1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4" style="6" bestFit="1" customWidth="1"/>
    <col min="7" max="9" width="4.5" style="11" customWidth="1"/>
    <col min="10" max="10" width="4.83203125" style="11" customWidth="1"/>
    <col min="11" max="13" width="4.5" style="11" customWidth="1"/>
    <col min="14" max="14" width="4.83203125" style="11" customWidth="1"/>
    <col min="15" max="15" width="7.83203125" style="8" bestFit="1" customWidth="1"/>
    <col min="16" max="16" width="7.5" style="8" bestFit="1" customWidth="1"/>
    <col min="17" max="17" width="15.6640625" style="6" bestFit="1" customWidth="1"/>
    <col min="18" max="16384" width="9.1640625" style="3"/>
  </cols>
  <sheetData>
    <row r="1" spans="1:17" s="2" customFormat="1" ht="29" customHeight="1">
      <c r="A1" s="50" t="s">
        <v>283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348</v>
      </c>
      <c r="H3" s="64"/>
      <c r="I3" s="64"/>
      <c r="J3" s="64"/>
      <c r="K3" s="64" t="s">
        <v>349</v>
      </c>
      <c r="L3" s="64"/>
      <c r="M3" s="64"/>
      <c r="N3" s="64"/>
      <c r="O3" s="62" t="s">
        <v>1</v>
      </c>
      <c r="P3" s="62" t="s">
        <v>3</v>
      </c>
      <c r="Q3" s="46" t="s">
        <v>2</v>
      </c>
    </row>
    <row r="4" spans="1:17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47"/>
    </row>
    <row r="5" spans="1:17" ht="16">
      <c r="A5" s="48" t="s">
        <v>72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23" t="s">
        <v>40</v>
      </c>
      <c r="B6" s="12" t="s">
        <v>279</v>
      </c>
      <c r="C6" s="12" t="s">
        <v>273</v>
      </c>
      <c r="D6" s="12" t="s">
        <v>274</v>
      </c>
      <c r="E6" s="13" t="s">
        <v>320</v>
      </c>
      <c r="F6" s="12" t="s">
        <v>341</v>
      </c>
      <c r="G6" s="22" t="s">
        <v>209</v>
      </c>
      <c r="H6" s="22" t="s">
        <v>98</v>
      </c>
      <c r="I6" s="22" t="s">
        <v>113</v>
      </c>
      <c r="J6" s="23"/>
      <c r="K6" s="22" t="s">
        <v>107</v>
      </c>
      <c r="L6" s="22" t="s">
        <v>102</v>
      </c>
      <c r="M6" s="22" t="s">
        <v>84</v>
      </c>
      <c r="N6" s="23"/>
      <c r="O6" s="14" t="str">
        <f>"140,0"</f>
        <v>140,0</v>
      </c>
      <c r="P6" s="14" t="str">
        <f>"94,3110"</f>
        <v>94,3110</v>
      </c>
      <c r="Q6" s="12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6" bestFit="1" customWidth="1"/>
    <col min="2" max="2" width="19.6640625" style="6" bestFit="1" customWidth="1"/>
    <col min="3" max="3" width="27.6640625" style="6" bestFit="1" customWidth="1"/>
    <col min="4" max="4" width="21.5" style="6" bestFit="1" customWidth="1"/>
    <col min="5" max="5" width="10.5" style="7" bestFit="1" customWidth="1"/>
    <col min="6" max="6" width="40.83203125" style="6" bestFit="1" customWidth="1"/>
    <col min="7" max="9" width="4.6640625" style="11" bestFit="1" customWidth="1"/>
    <col min="10" max="10" width="4.33203125" style="11" bestFit="1" customWidth="1"/>
    <col min="11" max="11" width="10.5" style="21" bestFit="1" customWidth="1"/>
    <col min="12" max="12" width="7.664062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284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226</v>
      </c>
      <c r="H3" s="64"/>
      <c r="I3" s="64"/>
      <c r="J3" s="64"/>
      <c r="K3" s="69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70"/>
      <c r="L4" s="63"/>
      <c r="M4" s="47"/>
    </row>
    <row r="5" spans="1:13" ht="16">
      <c r="A5" s="48" t="s">
        <v>94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276</v>
      </c>
      <c r="C6" s="12" t="s">
        <v>291</v>
      </c>
      <c r="D6" s="12" t="s">
        <v>269</v>
      </c>
      <c r="E6" s="13" t="s">
        <v>319</v>
      </c>
      <c r="F6" s="12" t="s">
        <v>342</v>
      </c>
      <c r="G6" s="22" t="s">
        <v>49</v>
      </c>
      <c r="H6" s="24" t="s">
        <v>232</v>
      </c>
      <c r="I6" s="22" t="s">
        <v>232</v>
      </c>
      <c r="J6" s="23"/>
      <c r="K6" s="43" t="str">
        <f>"47,5"</f>
        <v>47,5</v>
      </c>
      <c r="L6" s="14" t="str">
        <f>"39,5604"</f>
        <v>39,5604</v>
      </c>
      <c r="M6" s="12"/>
    </row>
    <row r="8" spans="1:13" ht="16">
      <c r="A8" s="65" t="s">
        <v>43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32" t="s">
        <v>40</v>
      </c>
      <c r="B9" s="25" t="s">
        <v>252</v>
      </c>
      <c r="C9" s="25" t="s">
        <v>292</v>
      </c>
      <c r="D9" s="25" t="s">
        <v>238</v>
      </c>
      <c r="E9" s="26" t="s">
        <v>319</v>
      </c>
      <c r="F9" s="25" t="s">
        <v>343</v>
      </c>
      <c r="G9" s="31" t="s">
        <v>49</v>
      </c>
      <c r="H9" s="39" t="s">
        <v>50</v>
      </c>
      <c r="I9" s="31" t="s">
        <v>50</v>
      </c>
      <c r="J9" s="32"/>
      <c r="K9" s="44" t="str">
        <f>"52,5"</f>
        <v>52,5</v>
      </c>
      <c r="L9" s="27" t="str">
        <f>"41,1652"</f>
        <v>41,1652</v>
      </c>
      <c r="M9" s="25"/>
    </row>
    <row r="10" spans="1:13">
      <c r="A10" s="34" t="s">
        <v>80</v>
      </c>
      <c r="B10" s="28" t="s">
        <v>277</v>
      </c>
      <c r="C10" s="28" t="s">
        <v>270</v>
      </c>
      <c r="D10" s="28" t="s">
        <v>271</v>
      </c>
      <c r="E10" s="29" t="s">
        <v>320</v>
      </c>
      <c r="F10" s="28" t="s">
        <v>344</v>
      </c>
      <c r="G10" s="35" t="s">
        <v>49</v>
      </c>
      <c r="H10" s="35" t="s">
        <v>49</v>
      </c>
      <c r="I10" s="35" t="s">
        <v>49</v>
      </c>
      <c r="J10" s="34"/>
      <c r="K10" s="45">
        <v>0</v>
      </c>
      <c r="L10" s="30" t="str">
        <f>"0,0000"</f>
        <v>0,0000</v>
      </c>
      <c r="M10" s="28"/>
    </row>
    <row r="12" spans="1:13" ht="16">
      <c r="A12" s="65" t="s">
        <v>65</v>
      </c>
      <c r="B12" s="65"/>
      <c r="C12" s="65"/>
      <c r="D12" s="65"/>
      <c r="E12" s="66"/>
      <c r="F12" s="65"/>
      <c r="G12" s="65"/>
      <c r="H12" s="65"/>
      <c r="I12" s="65"/>
      <c r="J12" s="65"/>
    </row>
    <row r="13" spans="1:13">
      <c r="A13" s="23" t="s">
        <v>40</v>
      </c>
      <c r="B13" s="12" t="s">
        <v>278</v>
      </c>
      <c r="C13" s="12" t="s">
        <v>293</v>
      </c>
      <c r="D13" s="12" t="s">
        <v>272</v>
      </c>
      <c r="E13" s="13" t="s">
        <v>319</v>
      </c>
      <c r="F13" s="12" t="s">
        <v>329</v>
      </c>
      <c r="G13" s="22" t="s">
        <v>51</v>
      </c>
      <c r="H13" s="22" t="s">
        <v>104</v>
      </c>
      <c r="I13" s="24" t="s">
        <v>209</v>
      </c>
      <c r="J13" s="23"/>
      <c r="K13" s="43" t="str">
        <f>"67,5"</f>
        <v>67,5</v>
      </c>
      <c r="L13" s="14" t="str">
        <f>"46,6594"</f>
        <v>46,6594</v>
      </c>
      <c r="M13" s="12"/>
    </row>
    <row r="15" spans="1:13" ht="16">
      <c r="A15" s="65" t="s">
        <v>72</v>
      </c>
      <c r="B15" s="65"/>
      <c r="C15" s="65"/>
      <c r="D15" s="65"/>
      <c r="E15" s="66"/>
      <c r="F15" s="65"/>
      <c r="G15" s="65"/>
      <c r="H15" s="65"/>
      <c r="I15" s="65"/>
      <c r="J15" s="65"/>
    </row>
    <row r="16" spans="1:13">
      <c r="A16" s="32" t="s">
        <v>40</v>
      </c>
      <c r="B16" s="25" t="s">
        <v>279</v>
      </c>
      <c r="C16" s="25" t="s">
        <v>273</v>
      </c>
      <c r="D16" s="25" t="s">
        <v>274</v>
      </c>
      <c r="E16" s="26" t="s">
        <v>320</v>
      </c>
      <c r="F16" s="25" t="s">
        <v>341</v>
      </c>
      <c r="G16" s="31" t="s">
        <v>107</v>
      </c>
      <c r="H16" s="31" t="s">
        <v>102</v>
      </c>
      <c r="I16" s="31" t="s">
        <v>84</v>
      </c>
      <c r="J16" s="32"/>
      <c r="K16" s="44" t="str">
        <f>"60,0"</f>
        <v>60,0</v>
      </c>
      <c r="L16" s="27" t="str">
        <f>"40,4190"</f>
        <v>40,4190</v>
      </c>
      <c r="M16" s="25"/>
    </row>
    <row r="17" spans="1:13">
      <c r="A17" s="34" t="s">
        <v>143</v>
      </c>
      <c r="B17" s="28" t="s">
        <v>280</v>
      </c>
      <c r="C17" s="28" t="s">
        <v>275</v>
      </c>
      <c r="D17" s="28" t="s">
        <v>264</v>
      </c>
      <c r="E17" s="29" t="s">
        <v>320</v>
      </c>
      <c r="F17" s="28" t="s">
        <v>345</v>
      </c>
      <c r="G17" s="35" t="s">
        <v>50</v>
      </c>
      <c r="H17" s="33" t="s">
        <v>50</v>
      </c>
      <c r="I17" s="33" t="s">
        <v>102</v>
      </c>
      <c r="J17" s="34"/>
      <c r="K17" s="45" t="str">
        <f>"55,0"</f>
        <v>55,0</v>
      </c>
      <c r="L17" s="30" t="str">
        <f>"36,4925"</f>
        <v>36,4925</v>
      </c>
      <c r="M17" s="28"/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6640625" style="6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4.6640625" style="11" bestFit="1" customWidth="1"/>
    <col min="10" max="10" width="4.33203125" style="11" bestFit="1" customWidth="1"/>
    <col min="11" max="11" width="10.5" style="8" bestFit="1" customWidth="1"/>
    <col min="12" max="12" width="7.664062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303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265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161</v>
      </c>
      <c r="C6" s="12" t="s">
        <v>294</v>
      </c>
      <c r="D6" s="12" t="s">
        <v>149</v>
      </c>
      <c r="E6" s="13" t="s">
        <v>321</v>
      </c>
      <c r="F6" s="12" t="s">
        <v>329</v>
      </c>
      <c r="G6" s="24" t="s">
        <v>209</v>
      </c>
      <c r="H6" s="22" t="s">
        <v>209</v>
      </c>
      <c r="I6" s="24" t="s">
        <v>98</v>
      </c>
      <c r="J6" s="23"/>
      <c r="K6" s="14" t="str">
        <f>"70,0"</f>
        <v>70,0</v>
      </c>
      <c r="L6" s="14" t="str">
        <f>"52,9270"</f>
        <v>52,9270</v>
      </c>
      <c r="M6" s="12"/>
    </row>
    <row r="8" spans="1:13" ht="16">
      <c r="A8" s="65" t="s">
        <v>72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257</v>
      </c>
      <c r="C9" s="12" t="s">
        <v>250</v>
      </c>
      <c r="D9" s="12" t="s">
        <v>251</v>
      </c>
      <c r="E9" s="13" t="s">
        <v>322</v>
      </c>
      <c r="F9" s="12" t="s">
        <v>329</v>
      </c>
      <c r="G9" s="22" t="s">
        <v>104</v>
      </c>
      <c r="H9" s="22" t="s">
        <v>98</v>
      </c>
      <c r="I9" s="24" t="s">
        <v>113</v>
      </c>
      <c r="J9" s="23"/>
      <c r="K9" s="14" t="str">
        <f>"75,0"</f>
        <v>75,0</v>
      </c>
      <c r="L9" s="14" t="str">
        <f>"65,4054"</f>
        <v>65,4054</v>
      </c>
      <c r="M9" s="12" t="s">
        <v>99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33203125" style="6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8" width="4.5" style="11" customWidth="1"/>
    <col min="9" max="9" width="5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285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265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24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268</v>
      </c>
      <c r="C6" s="12" t="s">
        <v>266</v>
      </c>
      <c r="D6" s="12" t="s">
        <v>267</v>
      </c>
      <c r="E6" s="13" t="s">
        <v>320</v>
      </c>
      <c r="F6" s="12" t="s">
        <v>329</v>
      </c>
      <c r="G6" s="22" t="s">
        <v>113</v>
      </c>
      <c r="H6" s="22" t="s">
        <v>60</v>
      </c>
      <c r="I6" s="24" t="s">
        <v>47</v>
      </c>
      <c r="J6" s="23"/>
      <c r="K6" s="14" t="str">
        <f>"90,0"</f>
        <v>90,0</v>
      </c>
      <c r="L6" s="14" t="str">
        <f>"53,2260"</f>
        <v>53,2260</v>
      </c>
      <c r="M6" s="12" t="s">
        <v>99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3.164062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288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348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87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235</v>
      </c>
      <c r="C6" s="12" t="s">
        <v>296</v>
      </c>
      <c r="D6" s="12" t="s">
        <v>227</v>
      </c>
      <c r="E6" s="13" t="s">
        <v>319</v>
      </c>
      <c r="F6" s="12" t="s">
        <v>329</v>
      </c>
      <c r="G6" s="22" t="s">
        <v>228</v>
      </c>
      <c r="H6" s="24" t="s">
        <v>229</v>
      </c>
      <c r="I6" s="22" t="s">
        <v>229</v>
      </c>
      <c r="J6" s="23"/>
      <c r="K6" s="14" t="str">
        <f>"30,5"</f>
        <v>30,5</v>
      </c>
      <c r="L6" s="14" t="str">
        <f>"32,5405"</f>
        <v>32,5405</v>
      </c>
      <c r="M6" s="12"/>
    </row>
    <row r="8" spans="1:13" ht="16">
      <c r="A8" s="65" t="s">
        <v>43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32" t="s">
        <v>40</v>
      </c>
      <c r="B9" s="25" t="s">
        <v>252</v>
      </c>
      <c r="C9" s="25" t="s">
        <v>292</v>
      </c>
      <c r="D9" s="25" t="s">
        <v>238</v>
      </c>
      <c r="E9" s="26" t="s">
        <v>319</v>
      </c>
      <c r="F9" s="25" t="s">
        <v>343</v>
      </c>
      <c r="G9" s="31" t="s">
        <v>49</v>
      </c>
      <c r="H9" s="39" t="s">
        <v>50</v>
      </c>
      <c r="I9" s="31" t="s">
        <v>50</v>
      </c>
      <c r="J9" s="32"/>
      <c r="K9" s="27" t="str">
        <f>"52,5"</f>
        <v>52,5</v>
      </c>
      <c r="L9" s="27" t="str">
        <f>"41,1652"</f>
        <v>41,1652</v>
      </c>
      <c r="M9" s="25"/>
    </row>
    <row r="10" spans="1:13">
      <c r="A10" s="40" t="s">
        <v>143</v>
      </c>
      <c r="B10" s="36" t="s">
        <v>253</v>
      </c>
      <c r="C10" s="36" t="s">
        <v>297</v>
      </c>
      <c r="D10" s="36" t="s">
        <v>239</v>
      </c>
      <c r="E10" s="37" t="s">
        <v>319</v>
      </c>
      <c r="F10" s="36" t="s">
        <v>332</v>
      </c>
      <c r="G10" s="41" t="s">
        <v>49</v>
      </c>
      <c r="H10" s="41" t="s">
        <v>107</v>
      </c>
      <c r="I10" s="41" t="s">
        <v>50</v>
      </c>
      <c r="J10" s="40"/>
      <c r="K10" s="38" t="str">
        <f>"52,5"</f>
        <v>52,5</v>
      </c>
      <c r="L10" s="38" t="str">
        <f>"40,1100"</f>
        <v>40,1100</v>
      </c>
      <c r="M10" s="36"/>
    </row>
    <row r="11" spans="1:13">
      <c r="A11" s="40" t="s">
        <v>40</v>
      </c>
      <c r="B11" s="36" t="s">
        <v>161</v>
      </c>
      <c r="C11" s="36" t="s">
        <v>240</v>
      </c>
      <c r="D11" s="36" t="s">
        <v>149</v>
      </c>
      <c r="E11" s="37" t="s">
        <v>320</v>
      </c>
      <c r="F11" s="36" t="s">
        <v>329</v>
      </c>
      <c r="G11" s="41" t="s">
        <v>50</v>
      </c>
      <c r="H11" s="41" t="s">
        <v>51</v>
      </c>
      <c r="I11" s="41" t="s">
        <v>103</v>
      </c>
      <c r="J11" s="40"/>
      <c r="K11" s="38" t="str">
        <f>"62,5"</f>
        <v>62,5</v>
      </c>
      <c r="L11" s="38" t="str">
        <f>"47,2562"</f>
        <v>47,2562</v>
      </c>
      <c r="M11" s="36"/>
    </row>
    <row r="12" spans="1:13">
      <c r="A12" s="34" t="s">
        <v>143</v>
      </c>
      <c r="B12" s="28" t="s">
        <v>254</v>
      </c>
      <c r="C12" s="28" t="s">
        <v>242</v>
      </c>
      <c r="D12" s="28" t="s">
        <v>243</v>
      </c>
      <c r="E12" s="29" t="s">
        <v>320</v>
      </c>
      <c r="F12" s="28" t="s">
        <v>329</v>
      </c>
      <c r="G12" s="33" t="s">
        <v>49</v>
      </c>
      <c r="H12" s="33" t="s">
        <v>107</v>
      </c>
      <c r="I12" s="33" t="s">
        <v>50</v>
      </c>
      <c r="J12" s="34"/>
      <c r="K12" s="30" t="str">
        <f>"52,5"</f>
        <v>52,5</v>
      </c>
      <c r="L12" s="30" t="str">
        <f>"40,2701"</f>
        <v>40,2701</v>
      </c>
      <c r="M12" s="28"/>
    </row>
    <row r="14" spans="1:13" ht="16">
      <c r="A14" s="65" t="s">
        <v>65</v>
      </c>
      <c r="B14" s="65"/>
      <c r="C14" s="65"/>
      <c r="D14" s="65"/>
      <c r="E14" s="66"/>
      <c r="F14" s="65"/>
      <c r="G14" s="65"/>
      <c r="H14" s="65"/>
      <c r="I14" s="65"/>
      <c r="J14" s="65"/>
    </row>
    <row r="15" spans="1:13">
      <c r="A15" s="23" t="s">
        <v>40</v>
      </c>
      <c r="B15" s="12" t="s">
        <v>255</v>
      </c>
      <c r="C15" s="12" t="s">
        <v>245</v>
      </c>
      <c r="D15" s="12" t="s">
        <v>246</v>
      </c>
      <c r="E15" s="13" t="s">
        <v>320</v>
      </c>
      <c r="F15" s="12" t="s">
        <v>329</v>
      </c>
      <c r="G15" s="22" t="s">
        <v>103</v>
      </c>
      <c r="H15" s="24" t="s">
        <v>67</v>
      </c>
      <c r="I15" s="24" t="s">
        <v>67</v>
      </c>
      <c r="J15" s="23"/>
      <c r="K15" s="14" t="str">
        <f>"62,5"</f>
        <v>62,5</v>
      </c>
      <c r="L15" s="14" t="str">
        <f>"43,3344"</f>
        <v>43,3344</v>
      </c>
      <c r="M15" s="12" t="s">
        <v>247</v>
      </c>
    </row>
    <row r="17" spans="1:13" ht="16">
      <c r="A17" s="65" t="s">
        <v>72</v>
      </c>
      <c r="B17" s="65"/>
      <c r="C17" s="65"/>
      <c r="D17" s="65"/>
      <c r="E17" s="66"/>
      <c r="F17" s="65"/>
      <c r="G17" s="65"/>
      <c r="H17" s="65"/>
      <c r="I17" s="65"/>
      <c r="J17" s="65"/>
    </row>
    <row r="18" spans="1:13">
      <c r="A18" s="32" t="s">
        <v>40</v>
      </c>
      <c r="B18" s="25" t="s">
        <v>256</v>
      </c>
      <c r="C18" s="25" t="s">
        <v>295</v>
      </c>
      <c r="D18" s="25" t="s">
        <v>248</v>
      </c>
      <c r="E18" s="26" t="s">
        <v>324</v>
      </c>
      <c r="F18" s="25" t="s">
        <v>346</v>
      </c>
      <c r="G18" s="31" t="s">
        <v>46</v>
      </c>
      <c r="H18" s="31" t="s">
        <v>61</v>
      </c>
      <c r="I18" s="31" t="s">
        <v>249</v>
      </c>
      <c r="J18" s="32"/>
      <c r="K18" s="27" t="str">
        <f>"97,5"</f>
        <v>97,5</v>
      </c>
      <c r="L18" s="27" t="str">
        <f>"66,3391"</f>
        <v>66,3391</v>
      </c>
      <c r="M18" s="25"/>
    </row>
    <row r="19" spans="1:13">
      <c r="A19" s="34" t="s">
        <v>40</v>
      </c>
      <c r="B19" s="28" t="s">
        <v>257</v>
      </c>
      <c r="C19" s="28" t="s">
        <v>327</v>
      </c>
      <c r="D19" s="28" t="s">
        <v>251</v>
      </c>
      <c r="E19" s="29" t="s">
        <v>322</v>
      </c>
      <c r="F19" s="28" t="s">
        <v>329</v>
      </c>
      <c r="G19" s="33" t="s">
        <v>102</v>
      </c>
      <c r="H19" s="35" t="s">
        <v>103</v>
      </c>
      <c r="I19" s="33" t="s">
        <v>103</v>
      </c>
      <c r="J19" s="34"/>
      <c r="K19" s="30" t="str">
        <f>"62,5"</f>
        <v>62,5</v>
      </c>
      <c r="L19" s="30" t="str">
        <f>"54,5045"</f>
        <v>54,5045</v>
      </c>
      <c r="M19" s="28" t="s">
        <v>99</v>
      </c>
    </row>
    <row r="21" spans="1:13" ht="16">
      <c r="F21" s="9"/>
      <c r="G21" s="6"/>
      <c r="K21" s="11"/>
      <c r="M21" s="8"/>
    </row>
    <row r="22" spans="1:13">
      <c r="G22" s="6"/>
      <c r="K22" s="11"/>
      <c r="M22" s="8"/>
    </row>
    <row r="23" spans="1:13" ht="18">
      <c r="B23" s="10" t="s">
        <v>7</v>
      </c>
      <c r="C23" s="10"/>
      <c r="G23" s="3"/>
      <c r="K23" s="11"/>
      <c r="M23" s="8"/>
    </row>
    <row r="24" spans="1:13" ht="16">
      <c r="B24" s="15" t="s">
        <v>34</v>
      </c>
      <c r="C24" s="15"/>
      <c r="G24" s="3"/>
      <c r="K24" s="11"/>
      <c r="M24" s="8"/>
    </row>
    <row r="25" spans="1:13" ht="14">
      <c r="B25" s="16"/>
      <c r="C25" s="17" t="s">
        <v>35</v>
      </c>
      <c r="G25" s="3"/>
      <c r="K25" s="11"/>
      <c r="M25" s="8"/>
    </row>
    <row r="26" spans="1:13" ht="14">
      <c r="B26" s="18" t="s">
        <v>36</v>
      </c>
      <c r="C26" s="18" t="s">
        <v>37</v>
      </c>
      <c r="D26" s="18" t="s">
        <v>306</v>
      </c>
      <c r="E26" s="19" t="s">
        <v>132</v>
      </c>
      <c r="F26" s="18" t="s">
        <v>220</v>
      </c>
      <c r="G26" s="3"/>
      <c r="K26" s="11"/>
      <c r="M26" s="8"/>
    </row>
    <row r="27" spans="1:13">
      <c r="B27" s="6" t="s">
        <v>148</v>
      </c>
      <c r="C27" s="6" t="s">
        <v>35</v>
      </c>
      <c r="D27" s="11" t="s">
        <v>76</v>
      </c>
      <c r="E27" s="21">
        <v>62.5</v>
      </c>
      <c r="F27" s="20">
        <v>47.256249934434898</v>
      </c>
      <c r="G27" s="3"/>
      <c r="K27" s="11"/>
      <c r="M27" s="8"/>
    </row>
    <row r="28" spans="1:13">
      <c r="B28" s="6" t="s">
        <v>244</v>
      </c>
      <c r="C28" s="6" t="s">
        <v>35</v>
      </c>
      <c r="D28" s="11" t="s">
        <v>75</v>
      </c>
      <c r="E28" s="21">
        <v>62.5</v>
      </c>
      <c r="F28" s="20">
        <v>43.334376066923099</v>
      </c>
      <c r="G28" s="3"/>
      <c r="K28" s="11"/>
      <c r="M28" s="8"/>
    </row>
    <row r="29" spans="1:13">
      <c r="B29" s="6" t="s">
        <v>241</v>
      </c>
      <c r="C29" s="6" t="s">
        <v>35</v>
      </c>
      <c r="D29" s="11" t="s">
        <v>76</v>
      </c>
      <c r="E29" s="21">
        <v>52.5</v>
      </c>
      <c r="F29" s="20">
        <v>40.270126461982699</v>
      </c>
      <c r="G29" s="3"/>
      <c r="K29" s="11"/>
      <c r="M29" s="8"/>
    </row>
  </sheetData>
  <mergeCells count="15">
    <mergeCell ref="A8:J8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7.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8" bestFit="1" customWidth="1"/>
    <col min="20" max="20" width="8.5" style="8" bestFit="1" customWidth="1"/>
    <col min="21" max="21" width="18.6640625" style="6" bestFit="1" customWidth="1"/>
    <col min="22" max="16384" width="9.1640625" style="3"/>
  </cols>
  <sheetData>
    <row r="1" spans="1:21" s="2" customFormat="1" ht="29" customHeight="1">
      <c r="A1" s="50" t="s">
        <v>308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9</v>
      </c>
      <c r="H3" s="64"/>
      <c r="I3" s="64"/>
      <c r="J3" s="64"/>
      <c r="K3" s="64" t="s">
        <v>10</v>
      </c>
      <c r="L3" s="64"/>
      <c r="M3" s="64"/>
      <c r="N3" s="64"/>
      <c r="O3" s="64" t="s">
        <v>11</v>
      </c>
      <c r="P3" s="64"/>
      <c r="Q3" s="64"/>
      <c r="R3" s="64"/>
      <c r="S3" s="62" t="s">
        <v>1</v>
      </c>
      <c r="T3" s="62" t="s">
        <v>3</v>
      </c>
      <c r="U3" s="46" t="s">
        <v>2</v>
      </c>
    </row>
    <row r="4" spans="1:21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63"/>
      <c r="U4" s="47"/>
    </row>
    <row r="5" spans="1:21" ht="16">
      <c r="A5" s="48" t="s">
        <v>12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23" t="s">
        <v>40</v>
      </c>
      <c r="B6" s="12" t="s">
        <v>41</v>
      </c>
      <c r="C6" s="12" t="s">
        <v>13</v>
      </c>
      <c r="D6" s="12" t="s">
        <v>14</v>
      </c>
      <c r="E6" s="13" t="s">
        <v>320</v>
      </c>
      <c r="F6" s="12" t="s">
        <v>330</v>
      </c>
      <c r="G6" s="22" t="s">
        <v>15</v>
      </c>
      <c r="H6" s="22" t="s">
        <v>16</v>
      </c>
      <c r="I6" s="22" t="s">
        <v>17</v>
      </c>
      <c r="J6" s="23"/>
      <c r="K6" s="22" t="s">
        <v>18</v>
      </c>
      <c r="L6" s="22" t="s">
        <v>19</v>
      </c>
      <c r="M6" s="24" t="s">
        <v>20</v>
      </c>
      <c r="N6" s="23"/>
      <c r="O6" s="24" t="s">
        <v>21</v>
      </c>
      <c r="P6" s="22" t="s">
        <v>21</v>
      </c>
      <c r="Q6" s="22" t="s">
        <v>22</v>
      </c>
      <c r="R6" s="23"/>
      <c r="S6" s="14" t="str">
        <f>"680,0"</f>
        <v>680,0</v>
      </c>
      <c r="T6" s="14" t="str">
        <f>"434,1120"</f>
        <v>434,1120</v>
      </c>
      <c r="U6" s="12" t="s">
        <v>23</v>
      </c>
    </row>
    <row r="8" spans="1:21" ht="16">
      <c r="A8" s="65" t="s">
        <v>24</v>
      </c>
      <c r="B8" s="65"/>
      <c r="C8" s="65"/>
      <c r="D8" s="65"/>
      <c r="E8" s="66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23" t="s">
        <v>40</v>
      </c>
      <c r="B9" s="12" t="s">
        <v>42</v>
      </c>
      <c r="C9" s="12" t="s">
        <v>25</v>
      </c>
      <c r="D9" s="12" t="s">
        <v>26</v>
      </c>
      <c r="E9" s="13" t="s">
        <v>320</v>
      </c>
      <c r="F9" s="12" t="s">
        <v>329</v>
      </c>
      <c r="G9" s="22" t="s">
        <v>16</v>
      </c>
      <c r="H9" s="22" t="s">
        <v>17</v>
      </c>
      <c r="I9" s="22" t="s">
        <v>27</v>
      </c>
      <c r="J9" s="23"/>
      <c r="K9" s="22" t="s">
        <v>28</v>
      </c>
      <c r="L9" s="22" t="s">
        <v>29</v>
      </c>
      <c r="M9" s="22" t="s">
        <v>30</v>
      </c>
      <c r="N9" s="23"/>
      <c r="O9" s="24" t="s">
        <v>31</v>
      </c>
      <c r="P9" s="22" t="s">
        <v>31</v>
      </c>
      <c r="Q9" s="24" t="s">
        <v>32</v>
      </c>
      <c r="R9" s="23"/>
      <c r="S9" s="14" t="str">
        <f>"720,0"</f>
        <v>720,0</v>
      </c>
      <c r="T9" s="14" t="str">
        <f>"444,1680"</f>
        <v>444,1680</v>
      </c>
      <c r="U9" s="12" t="s">
        <v>33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1" style="6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1.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289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348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87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235</v>
      </c>
      <c r="C6" s="12" t="s">
        <v>296</v>
      </c>
      <c r="D6" s="12" t="s">
        <v>227</v>
      </c>
      <c r="E6" s="13" t="s">
        <v>319</v>
      </c>
      <c r="F6" s="12" t="s">
        <v>329</v>
      </c>
      <c r="G6" s="22" t="s">
        <v>228</v>
      </c>
      <c r="H6" s="24" t="s">
        <v>229</v>
      </c>
      <c r="I6" s="22" t="s">
        <v>229</v>
      </c>
      <c r="J6" s="23"/>
      <c r="K6" s="14" t="str">
        <f>"30,5"</f>
        <v>30,5</v>
      </c>
      <c r="L6" s="14" t="str">
        <f>"32,5405"</f>
        <v>32,5405</v>
      </c>
      <c r="M6" s="12"/>
    </row>
    <row r="8" spans="1:13" ht="16">
      <c r="A8" s="65" t="s">
        <v>43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236</v>
      </c>
      <c r="C9" s="12" t="s">
        <v>230</v>
      </c>
      <c r="D9" s="12" t="s">
        <v>231</v>
      </c>
      <c r="E9" s="13" t="s">
        <v>320</v>
      </c>
      <c r="F9" s="12" t="s">
        <v>346</v>
      </c>
      <c r="G9" s="22" t="s">
        <v>91</v>
      </c>
      <c r="H9" s="22" t="s">
        <v>49</v>
      </c>
      <c r="I9" s="24" t="s">
        <v>232</v>
      </c>
      <c r="J9" s="23"/>
      <c r="K9" s="14" t="str">
        <f>"45,0"</f>
        <v>45,0</v>
      </c>
      <c r="L9" s="14" t="str">
        <f>"34,4272"</f>
        <v>34,4272</v>
      </c>
      <c r="M9" s="12"/>
    </row>
    <row r="11" spans="1:13" ht="16">
      <c r="A11" s="65" t="s">
        <v>65</v>
      </c>
      <c r="B11" s="65"/>
      <c r="C11" s="65"/>
      <c r="D11" s="65"/>
      <c r="E11" s="66"/>
      <c r="F11" s="65"/>
      <c r="G11" s="65"/>
      <c r="H11" s="65"/>
      <c r="I11" s="65"/>
      <c r="J11" s="65"/>
    </row>
    <row r="12" spans="1:13">
      <c r="A12" s="23" t="s">
        <v>40</v>
      </c>
      <c r="B12" s="12" t="s">
        <v>237</v>
      </c>
      <c r="C12" s="12" t="s">
        <v>233</v>
      </c>
      <c r="D12" s="12" t="s">
        <v>234</v>
      </c>
      <c r="E12" s="13" t="s">
        <v>320</v>
      </c>
      <c r="F12" s="12" t="s">
        <v>329</v>
      </c>
      <c r="G12" s="22" t="s">
        <v>50</v>
      </c>
      <c r="H12" s="22" t="s">
        <v>51</v>
      </c>
      <c r="I12" s="22" t="s">
        <v>103</v>
      </c>
      <c r="J12" s="23"/>
      <c r="K12" s="14" t="str">
        <f>"62,5"</f>
        <v>62,5</v>
      </c>
      <c r="L12" s="14" t="str">
        <f>"43,9156"</f>
        <v>43,9156</v>
      </c>
      <c r="M12" s="12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9453-3C72-2444-9E66-4B2F9973EF3A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1.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304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348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5">
        <v>1</v>
      </c>
      <c r="H4" s="5">
        <v>2</v>
      </c>
      <c r="I4" s="5">
        <v>3</v>
      </c>
      <c r="J4" s="5" t="s">
        <v>4</v>
      </c>
      <c r="K4" s="63"/>
      <c r="L4" s="63"/>
      <c r="M4" s="47"/>
    </row>
    <row r="5" spans="1:13" ht="16">
      <c r="A5" s="65" t="s">
        <v>72</v>
      </c>
      <c r="B5" s="65"/>
      <c r="C5" s="65"/>
      <c r="D5" s="65"/>
      <c r="E5" s="66"/>
      <c r="F5" s="65"/>
      <c r="G5" s="65"/>
      <c r="H5" s="65"/>
      <c r="I5" s="65"/>
      <c r="J5" s="65"/>
    </row>
    <row r="6" spans="1:13">
      <c r="A6" s="23" t="s">
        <v>40</v>
      </c>
      <c r="B6" s="12" t="s">
        <v>256</v>
      </c>
      <c r="C6" s="12" t="s">
        <v>295</v>
      </c>
      <c r="D6" s="12" t="s">
        <v>248</v>
      </c>
      <c r="E6" s="13" t="s">
        <v>324</v>
      </c>
      <c r="F6" s="12" t="s">
        <v>346</v>
      </c>
      <c r="G6" s="22" t="s">
        <v>46</v>
      </c>
      <c r="H6" s="22" t="s">
        <v>61</v>
      </c>
      <c r="I6" s="22" t="s">
        <v>249</v>
      </c>
      <c r="J6" s="23"/>
      <c r="K6" s="14" t="str">
        <f ca="1">"97,5"</f>
        <v>97,5</v>
      </c>
      <c r="L6" s="14" t="str">
        <f ca="1">"66,3391"</f>
        <v>66,3391</v>
      </c>
      <c r="M6" s="12"/>
    </row>
  </sheetData>
  <mergeCells count="12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5B37-6D49-9942-A98C-8FCDD4C510A2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1.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305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348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5">
        <v>1</v>
      </c>
      <c r="H4" s="5">
        <v>2</v>
      </c>
      <c r="I4" s="5">
        <v>3</v>
      </c>
      <c r="J4" s="5" t="s">
        <v>4</v>
      </c>
      <c r="K4" s="63"/>
      <c r="L4" s="63"/>
      <c r="M4" s="47"/>
    </row>
    <row r="5" spans="1:13" ht="16">
      <c r="A5" s="65" t="s">
        <v>72</v>
      </c>
      <c r="B5" s="65"/>
      <c r="C5" s="65"/>
      <c r="D5" s="65"/>
      <c r="E5" s="66"/>
      <c r="F5" s="65"/>
      <c r="G5" s="65"/>
      <c r="H5" s="65"/>
      <c r="I5" s="65"/>
      <c r="J5" s="65"/>
    </row>
    <row r="6" spans="1:13">
      <c r="A6" s="23" t="s">
        <v>40</v>
      </c>
      <c r="B6" s="12" t="s">
        <v>256</v>
      </c>
      <c r="C6" s="12" t="s">
        <v>295</v>
      </c>
      <c r="D6" s="12" t="s">
        <v>248</v>
      </c>
      <c r="E6" s="13" t="s">
        <v>324</v>
      </c>
      <c r="F6" s="12" t="s">
        <v>346</v>
      </c>
      <c r="G6" s="22" t="s">
        <v>46</v>
      </c>
      <c r="H6" s="22" t="s">
        <v>61</v>
      </c>
      <c r="I6" s="22" t="s">
        <v>249</v>
      </c>
      <c r="J6" s="23"/>
      <c r="K6" s="14" t="str">
        <f ca="1">"97,5"</f>
        <v>97,5</v>
      </c>
      <c r="L6" s="14" t="str">
        <f ca="1">"66,3391"</f>
        <v>66,3391</v>
      </c>
      <c r="M6" s="12"/>
    </row>
  </sheetData>
  <mergeCells count="12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2.33203125" style="6" bestFit="1" customWidth="1"/>
    <col min="7" max="9" width="5.5" style="11" customWidth="1"/>
    <col min="10" max="10" width="4.83203125" style="11" customWidth="1"/>
    <col min="11" max="13" width="4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8" bestFit="1" customWidth="1"/>
    <col min="20" max="20" width="8.5" style="8" bestFit="1" customWidth="1"/>
    <col min="21" max="21" width="14.83203125" style="6" bestFit="1" customWidth="1"/>
    <col min="22" max="16384" width="9.1640625" style="3"/>
  </cols>
  <sheetData>
    <row r="1" spans="1:21" s="2" customFormat="1" ht="29" customHeight="1">
      <c r="A1" s="50" t="s">
        <v>309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9</v>
      </c>
      <c r="H3" s="64"/>
      <c r="I3" s="64"/>
      <c r="J3" s="64"/>
      <c r="K3" s="64" t="s">
        <v>10</v>
      </c>
      <c r="L3" s="64"/>
      <c r="M3" s="64"/>
      <c r="N3" s="64"/>
      <c r="O3" s="64" t="s">
        <v>11</v>
      </c>
      <c r="P3" s="64"/>
      <c r="Q3" s="64"/>
      <c r="R3" s="64"/>
      <c r="S3" s="62" t="s">
        <v>1</v>
      </c>
      <c r="T3" s="62" t="s">
        <v>3</v>
      </c>
      <c r="U3" s="46" t="s">
        <v>2</v>
      </c>
    </row>
    <row r="4" spans="1:21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63"/>
      <c r="U4" s="47"/>
    </row>
    <row r="5" spans="1:21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23" t="s">
        <v>40</v>
      </c>
      <c r="B6" s="12" t="s">
        <v>86</v>
      </c>
      <c r="C6" s="12" t="s">
        <v>82</v>
      </c>
      <c r="D6" s="12" t="s">
        <v>83</v>
      </c>
      <c r="E6" s="13" t="s">
        <v>320</v>
      </c>
      <c r="F6" s="12" t="s">
        <v>331</v>
      </c>
      <c r="G6" s="22" t="s">
        <v>52</v>
      </c>
      <c r="H6" s="24" t="s">
        <v>57</v>
      </c>
      <c r="I6" s="24" t="s">
        <v>57</v>
      </c>
      <c r="J6" s="23"/>
      <c r="K6" s="22" t="s">
        <v>51</v>
      </c>
      <c r="L6" s="22" t="s">
        <v>84</v>
      </c>
      <c r="M6" s="24" t="s">
        <v>67</v>
      </c>
      <c r="N6" s="23"/>
      <c r="O6" s="22" t="s">
        <v>57</v>
      </c>
      <c r="P6" s="22" t="s">
        <v>53</v>
      </c>
      <c r="Q6" s="22" t="s">
        <v>58</v>
      </c>
      <c r="R6" s="23"/>
      <c r="S6" s="14" t="str">
        <f>"320,0"</f>
        <v>320,0</v>
      </c>
      <c r="T6" s="14" t="str">
        <f>"328,7040"</f>
        <v>328,7040</v>
      </c>
      <c r="U6" s="12" t="s">
        <v>85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7" style="6" bestFit="1" customWidth="1"/>
    <col min="3" max="3" width="26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8" bestFit="1" customWidth="1"/>
    <col min="16" max="16" width="8.5" style="8" bestFit="1" customWidth="1"/>
    <col min="17" max="17" width="15.5" style="6" bestFit="1" customWidth="1"/>
    <col min="18" max="16384" width="9.1640625" style="3"/>
  </cols>
  <sheetData>
    <row r="1" spans="1:17" s="2" customFormat="1" ht="29" customHeight="1">
      <c r="A1" s="50" t="s">
        <v>310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4" t="s">
        <v>11</v>
      </c>
      <c r="L3" s="64"/>
      <c r="M3" s="64"/>
      <c r="N3" s="64"/>
      <c r="O3" s="62" t="s">
        <v>1</v>
      </c>
      <c r="P3" s="62" t="s">
        <v>3</v>
      </c>
      <c r="Q3" s="46" t="s">
        <v>2</v>
      </c>
    </row>
    <row r="4" spans="1:17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47"/>
    </row>
    <row r="5" spans="1:17" ht="16">
      <c r="A5" s="48" t="s">
        <v>94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23" t="s">
        <v>40</v>
      </c>
      <c r="B6" s="12" t="s">
        <v>194</v>
      </c>
      <c r="C6" s="12" t="s">
        <v>192</v>
      </c>
      <c r="D6" s="12" t="s">
        <v>193</v>
      </c>
      <c r="E6" s="13" t="s">
        <v>319</v>
      </c>
      <c r="F6" s="12" t="s">
        <v>329</v>
      </c>
      <c r="G6" s="22" t="s">
        <v>113</v>
      </c>
      <c r="H6" s="22" t="s">
        <v>60</v>
      </c>
      <c r="I6" s="24" t="s">
        <v>170</v>
      </c>
      <c r="J6" s="23"/>
      <c r="K6" s="22" t="s">
        <v>58</v>
      </c>
      <c r="L6" s="24" t="s">
        <v>18</v>
      </c>
      <c r="M6" s="24" t="s">
        <v>18</v>
      </c>
      <c r="N6" s="23"/>
      <c r="O6" s="14" t="str">
        <f>"230,0"</f>
        <v>230,0</v>
      </c>
      <c r="P6" s="14" t="str">
        <f>"197,9840"</f>
        <v>197,9840</v>
      </c>
      <c r="Q6" s="12"/>
    </row>
    <row r="8" spans="1:17" ht="16">
      <c r="A8" s="65" t="s">
        <v>72</v>
      </c>
      <c r="B8" s="65"/>
      <c r="C8" s="65"/>
      <c r="D8" s="65"/>
      <c r="E8" s="66"/>
      <c r="F8" s="65"/>
      <c r="G8" s="65"/>
      <c r="H8" s="65"/>
      <c r="I8" s="65"/>
      <c r="J8" s="65"/>
      <c r="K8" s="65"/>
      <c r="L8" s="65"/>
      <c r="M8" s="65"/>
      <c r="N8" s="65"/>
    </row>
    <row r="9" spans="1:17">
      <c r="A9" s="23" t="s">
        <v>40</v>
      </c>
      <c r="B9" s="12" t="s">
        <v>81</v>
      </c>
      <c r="C9" s="12" t="s">
        <v>73</v>
      </c>
      <c r="D9" s="12" t="s">
        <v>74</v>
      </c>
      <c r="E9" s="13" t="s">
        <v>320</v>
      </c>
      <c r="F9" s="12" t="s">
        <v>329</v>
      </c>
      <c r="G9" s="24" t="s">
        <v>53</v>
      </c>
      <c r="H9" s="22" t="s">
        <v>53</v>
      </c>
      <c r="I9" s="24" t="s">
        <v>54</v>
      </c>
      <c r="J9" s="23"/>
      <c r="K9" s="22" t="s">
        <v>62</v>
      </c>
      <c r="L9" s="22" t="s">
        <v>28</v>
      </c>
      <c r="M9" s="22" t="s">
        <v>29</v>
      </c>
      <c r="N9" s="23"/>
      <c r="O9" s="14" t="str">
        <f>"325,0"</f>
        <v>325,0</v>
      </c>
      <c r="P9" s="14" t="str">
        <f>"217,7175"</f>
        <v>217,7175</v>
      </c>
      <c r="Q9" s="12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6.832031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1.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311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9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191</v>
      </c>
      <c r="C6" s="12" t="s">
        <v>189</v>
      </c>
      <c r="D6" s="12" t="s">
        <v>83</v>
      </c>
      <c r="E6" s="13" t="s">
        <v>320</v>
      </c>
      <c r="F6" s="12" t="s">
        <v>332</v>
      </c>
      <c r="G6" s="22" t="s">
        <v>190</v>
      </c>
      <c r="H6" s="22" t="s">
        <v>52</v>
      </c>
      <c r="I6" s="24" t="s">
        <v>151</v>
      </c>
      <c r="J6" s="23"/>
      <c r="K6" s="14" t="str">
        <f>"120,0"</f>
        <v>120,0</v>
      </c>
      <c r="L6" s="14" t="str">
        <f>"123,2640"</f>
        <v>123,2640</v>
      </c>
      <c r="M6" s="1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4"/>
  <sheetViews>
    <sheetView workbookViewId="0">
      <selection activeCell="E15" sqref="E15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2.1640625" style="6" bestFit="1" customWidth="1"/>
    <col min="7" max="9" width="5.5" style="11" customWidth="1"/>
    <col min="10" max="10" width="4.83203125" style="11" customWidth="1"/>
    <col min="11" max="11" width="10.5" style="21" bestFit="1" customWidth="1"/>
    <col min="12" max="12" width="7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312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9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70"/>
      <c r="L4" s="63"/>
      <c r="M4" s="47"/>
    </row>
    <row r="5" spans="1:13" ht="16">
      <c r="A5" s="48" t="s">
        <v>43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32" t="s">
        <v>40</v>
      </c>
      <c r="B6" s="25" t="s">
        <v>161</v>
      </c>
      <c r="C6" s="25" t="s">
        <v>294</v>
      </c>
      <c r="D6" s="25" t="s">
        <v>149</v>
      </c>
      <c r="E6" s="26" t="s">
        <v>321</v>
      </c>
      <c r="F6" s="25" t="s">
        <v>329</v>
      </c>
      <c r="G6" s="31" t="s">
        <v>111</v>
      </c>
      <c r="H6" s="31" t="s">
        <v>150</v>
      </c>
      <c r="I6" s="39" t="s">
        <v>151</v>
      </c>
      <c r="J6" s="32"/>
      <c r="K6" s="44" t="str">
        <f>"117,5"</f>
        <v>117,5</v>
      </c>
      <c r="L6" s="27" t="str">
        <f>"91,4738"</f>
        <v>91,4738</v>
      </c>
      <c r="M6" s="25"/>
    </row>
    <row r="7" spans="1:13">
      <c r="A7" s="34" t="s">
        <v>40</v>
      </c>
      <c r="B7" s="28" t="s">
        <v>162</v>
      </c>
      <c r="C7" s="28" t="s">
        <v>152</v>
      </c>
      <c r="D7" s="28" t="s">
        <v>153</v>
      </c>
      <c r="E7" s="29" t="s">
        <v>320</v>
      </c>
      <c r="F7" s="28" t="s">
        <v>333</v>
      </c>
      <c r="G7" s="33" t="s">
        <v>111</v>
      </c>
      <c r="H7" s="35" t="s">
        <v>151</v>
      </c>
      <c r="I7" s="34"/>
      <c r="J7" s="34"/>
      <c r="K7" s="45" t="str">
        <f>"110,0"</f>
        <v>110,0</v>
      </c>
      <c r="L7" s="30" t="str">
        <f>"87,0210"</f>
        <v>87,0210</v>
      </c>
      <c r="M7" s="28"/>
    </row>
    <row r="9" spans="1:13" ht="16">
      <c r="A9" s="65" t="s">
        <v>72</v>
      </c>
      <c r="B9" s="65"/>
      <c r="C9" s="65"/>
      <c r="D9" s="65"/>
      <c r="E9" s="66"/>
      <c r="F9" s="65"/>
      <c r="G9" s="65"/>
      <c r="H9" s="65"/>
      <c r="I9" s="65"/>
      <c r="J9" s="65"/>
    </row>
    <row r="10" spans="1:13">
      <c r="A10" s="32" t="s">
        <v>40</v>
      </c>
      <c r="B10" s="25" t="s">
        <v>81</v>
      </c>
      <c r="C10" s="25" t="s">
        <v>73</v>
      </c>
      <c r="D10" s="25" t="s">
        <v>74</v>
      </c>
      <c r="E10" s="26" t="s">
        <v>320</v>
      </c>
      <c r="F10" s="25" t="s">
        <v>329</v>
      </c>
      <c r="G10" s="39" t="s">
        <v>53</v>
      </c>
      <c r="H10" s="31" t="s">
        <v>53</v>
      </c>
      <c r="I10" s="39" t="s">
        <v>54</v>
      </c>
      <c r="J10" s="32"/>
      <c r="K10" s="44" t="str">
        <f>"135,0"</f>
        <v>135,0</v>
      </c>
      <c r="L10" s="27" t="str">
        <f>"90,4365"</f>
        <v>90,4365</v>
      </c>
      <c r="M10" s="25"/>
    </row>
    <row r="11" spans="1:13">
      <c r="A11" s="34" t="s">
        <v>80</v>
      </c>
      <c r="B11" s="28" t="s">
        <v>163</v>
      </c>
      <c r="C11" s="28" t="s">
        <v>154</v>
      </c>
      <c r="D11" s="28" t="s">
        <v>155</v>
      </c>
      <c r="E11" s="29" t="s">
        <v>320</v>
      </c>
      <c r="F11" s="28" t="s">
        <v>333</v>
      </c>
      <c r="G11" s="35" t="s">
        <v>156</v>
      </c>
      <c r="H11" s="35" t="s">
        <v>157</v>
      </c>
      <c r="I11" s="35" t="s">
        <v>157</v>
      </c>
      <c r="J11" s="34"/>
      <c r="K11" s="45">
        <v>0</v>
      </c>
      <c r="L11" s="30" t="str">
        <f>"0,0000"</f>
        <v>0,0000</v>
      </c>
      <c r="M11" s="28"/>
    </row>
    <row r="13" spans="1:13" ht="16">
      <c r="A13" s="65" t="s">
        <v>24</v>
      </c>
      <c r="B13" s="65"/>
      <c r="C13" s="65"/>
      <c r="D13" s="65"/>
      <c r="E13" s="66"/>
      <c r="F13" s="65"/>
      <c r="G13" s="65"/>
      <c r="H13" s="65"/>
      <c r="I13" s="65"/>
      <c r="J13" s="65"/>
    </row>
    <row r="14" spans="1:13">
      <c r="A14" s="23" t="s">
        <v>40</v>
      </c>
      <c r="B14" s="12" t="s">
        <v>164</v>
      </c>
      <c r="C14" s="12" t="s">
        <v>158</v>
      </c>
      <c r="D14" s="12" t="s">
        <v>159</v>
      </c>
      <c r="E14" s="13" t="s">
        <v>320</v>
      </c>
      <c r="F14" s="12" t="s">
        <v>334</v>
      </c>
      <c r="G14" s="22" t="s">
        <v>119</v>
      </c>
      <c r="H14" s="22" t="s">
        <v>160</v>
      </c>
      <c r="I14" s="24" t="s">
        <v>20</v>
      </c>
      <c r="J14" s="23"/>
      <c r="K14" s="43" t="str">
        <f>"162,5"</f>
        <v>162,5</v>
      </c>
      <c r="L14" s="14" t="str">
        <f>"99,9375"</f>
        <v>99,9375</v>
      </c>
      <c r="M14" s="12"/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44"/>
  <sheetViews>
    <sheetView topLeftCell="A9" workbookViewId="0">
      <selection activeCell="E35" sqref="E35"/>
    </sheetView>
  </sheetViews>
  <sheetFormatPr baseColWidth="10" defaultColWidth="9.1640625" defaultRowHeight="13"/>
  <cols>
    <col min="1" max="1" width="7.5" style="6" bestFit="1" customWidth="1"/>
    <col min="2" max="2" width="19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8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0" t="s">
        <v>313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87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135</v>
      </c>
      <c r="C6" s="12" t="s">
        <v>88</v>
      </c>
      <c r="D6" s="12" t="s">
        <v>89</v>
      </c>
      <c r="E6" s="13" t="s">
        <v>320</v>
      </c>
      <c r="F6" s="12" t="s">
        <v>329</v>
      </c>
      <c r="G6" s="22" t="s">
        <v>90</v>
      </c>
      <c r="H6" s="22" t="s">
        <v>91</v>
      </c>
      <c r="I6" s="22" t="s">
        <v>92</v>
      </c>
      <c r="J6" s="23"/>
      <c r="K6" s="14" t="str">
        <f>"42,5"</f>
        <v>42,5</v>
      </c>
      <c r="L6" s="14" t="str">
        <f>"52,2070"</f>
        <v>52,2070</v>
      </c>
      <c r="M6" s="12" t="s">
        <v>93</v>
      </c>
    </row>
    <row r="8" spans="1:13" ht="16">
      <c r="A8" s="65" t="s">
        <v>94</v>
      </c>
      <c r="B8" s="65"/>
      <c r="C8" s="65"/>
      <c r="D8" s="65"/>
      <c r="E8" s="66"/>
      <c r="F8" s="65"/>
      <c r="G8" s="65"/>
      <c r="H8" s="65"/>
      <c r="I8" s="65"/>
      <c r="J8" s="65"/>
    </row>
    <row r="9" spans="1:13">
      <c r="A9" s="23" t="s">
        <v>40</v>
      </c>
      <c r="B9" s="12" t="s">
        <v>136</v>
      </c>
      <c r="C9" s="12" t="s">
        <v>95</v>
      </c>
      <c r="D9" s="12" t="s">
        <v>96</v>
      </c>
      <c r="E9" s="13" t="s">
        <v>320</v>
      </c>
      <c r="F9" s="12" t="s">
        <v>329</v>
      </c>
      <c r="G9" s="22" t="s">
        <v>91</v>
      </c>
      <c r="H9" s="22" t="s">
        <v>92</v>
      </c>
      <c r="I9" s="22" t="s">
        <v>49</v>
      </c>
      <c r="J9" s="23"/>
      <c r="K9" s="14" t="str">
        <f>"45,0"</f>
        <v>45,0</v>
      </c>
      <c r="L9" s="14" t="str">
        <f>"50,4945"</f>
        <v>50,4945</v>
      </c>
      <c r="M9" s="12" t="s">
        <v>93</v>
      </c>
    </row>
    <row r="11" spans="1:13" ht="16">
      <c r="A11" s="65" t="s">
        <v>65</v>
      </c>
      <c r="B11" s="65"/>
      <c r="C11" s="65"/>
      <c r="D11" s="65"/>
      <c r="E11" s="66"/>
      <c r="F11" s="65"/>
      <c r="G11" s="65"/>
      <c r="H11" s="65"/>
      <c r="I11" s="65"/>
      <c r="J11" s="65"/>
    </row>
    <row r="12" spans="1:13">
      <c r="A12" s="23" t="s">
        <v>40</v>
      </c>
      <c r="B12" s="12" t="s">
        <v>137</v>
      </c>
      <c r="C12" s="12" t="s">
        <v>299</v>
      </c>
      <c r="D12" s="12" t="s">
        <v>97</v>
      </c>
      <c r="E12" s="13" t="s">
        <v>322</v>
      </c>
      <c r="F12" s="12" t="s">
        <v>329</v>
      </c>
      <c r="G12" s="22" t="s">
        <v>98</v>
      </c>
      <c r="H12" s="22" t="s">
        <v>46</v>
      </c>
      <c r="I12" s="24" t="s">
        <v>60</v>
      </c>
      <c r="J12" s="23"/>
      <c r="K12" s="14" t="str">
        <f>"85,0"</f>
        <v>85,0</v>
      </c>
      <c r="L12" s="14" t="str">
        <f>"96,4604"</f>
        <v>96,4604</v>
      </c>
      <c r="M12" s="12" t="s">
        <v>99</v>
      </c>
    </row>
    <row r="14" spans="1:13" ht="16">
      <c r="A14" s="65" t="s">
        <v>87</v>
      </c>
      <c r="B14" s="65"/>
      <c r="C14" s="65"/>
      <c r="D14" s="65"/>
      <c r="E14" s="66"/>
      <c r="F14" s="65"/>
      <c r="G14" s="65"/>
      <c r="H14" s="65"/>
      <c r="I14" s="65"/>
      <c r="J14" s="65"/>
    </row>
    <row r="15" spans="1:13">
      <c r="A15" s="23" t="s">
        <v>40</v>
      </c>
      <c r="B15" s="12" t="s">
        <v>138</v>
      </c>
      <c r="C15" s="12" t="s">
        <v>100</v>
      </c>
      <c r="D15" s="12" t="s">
        <v>101</v>
      </c>
      <c r="E15" s="13" t="s">
        <v>320</v>
      </c>
      <c r="F15" s="12" t="s">
        <v>334</v>
      </c>
      <c r="G15" s="22" t="s">
        <v>102</v>
      </c>
      <c r="H15" s="22" t="s">
        <v>103</v>
      </c>
      <c r="I15" s="24" t="s">
        <v>104</v>
      </c>
      <c r="J15" s="23"/>
      <c r="K15" s="14" t="str">
        <f>"62,5"</f>
        <v>62,5</v>
      </c>
      <c r="L15" s="14" t="str">
        <f>"59,2125"</f>
        <v>59,2125</v>
      </c>
      <c r="M15" s="12"/>
    </row>
    <row r="17" spans="1:13" ht="16">
      <c r="A17" s="65" t="s">
        <v>43</v>
      </c>
      <c r="B17" s="65"/>
      <c r="C17" s="65"/>
      <c r="D17" s="65"/>
      <c r="E17" s="66"/>
      <c r="F17" s="65"/>
      <c r="G17" s="65"/>
      <c r="H17" s="65"/>
      <c r="I17" s="65"/>
      <c r="J17" s="65"/>
    </row>
    <row r="18" spans="1:13">
      <c r="A18" s="23" t="s">
        <v>40</v>
      </c>
      <c r="B18" s="12" t="s">
        <v>139</v>
      </c>
      <c r="C18" s="12" t="s">
        <v>105</v>
      </c>
      <c r="D18" s="12" t="s">
        <v>106</v>
      </c>
      <c r="E18" s="13" t="s">
        <v>319</v>
      </c>
      <c r="F18" s="12" t="s">
        <v>329</v>
      </c>
      <c r="G18" s="22" t="s">
        <v>49</v>
      </c>
      <c r="H18" s="22" t="s">
        <v>107</v>
      </c>
      <c r="I18" s="22" t="s">
        <v>50</v>
      </c>
      <c r="J18" s="23"/>
      <c r="K18" s="14" t="str">
        <f>"52,5"</f>
        <v>52,5</v>
      </c>
      <c r="L18" s="14" t="str">
        <f>"41,9633"</f>
        <v>41,9633</v>
      </c>
      <c r="M18" s="12"/>
    </row>
    <row r="20" spans="1:13" ht="16">
      <c r="A20" s="65" t="s">
        <v>65</v>
      </c>
      <c r="B20" s="65"/>
      <c r="C20" s="65"/>
      <c r="D20" s="65"/>
      <c r="E20" s="66"/>
      <c r="F20" s="65"/>
      <c r="G20" s="65"/>
      <c r="H20" s="65"/>
      <c r="I20" s="65"/>
      <c r="J20" s="65"/>
    </row>
    <row r="21" spans="1:13">
      <c r="A21" s="32" t="s">
        <v>40</v>
      </c>
      <c r="B21" s="25" t="s">
        <v>140</v>
      </c>
      <c r="C21" s="25" t="s">
        <v>108</v>
      </c>
      <c r="D21" s="25" t="s">
        <v>109</v>
      </c>
      <c r="E21" s="26" t="s">
        <v>319</v>
      </c>
      <c r="F21" s="25" t="s">
        <v>335</v>
      </c>
      <c r="G21" s="31" t="s">
        <v>47</v>
      </c>
      <c r="H21" s="31" t="s">
        <v>110</v>
      </c>
      <c r="I21" s="31" t="s">
        <v>111</v>
      </c>
      <c r="J21" s="32"/>
      <c r="K21" s="27" t="str">
        <f>"110,0"</f>
        <v>110,0</v>
      </c>
      <c r="L21" s="27" t="str">
        <f>"82,6100"</f>
        <v>82,6100</v>
      </c>
      <c r="M21" s="25"/>
    </row>
    <row r="22" spans="1:13">
      <c r="A22" s="34" t="s">
        <v>40</v>
      </c>
      <c r="B22" s="28" t="s">
        <v>141</v>
      </c>
      <c r="C22" s="28" t="s">
        <v>300</v>
      </c>
      <c r="D22" s="28" t="s">
        <v>112</v>
      </c>
      <c r="E22" s="29" t="s">
        <v>323</v>
      </c>
      <c r="F22" s="28" t="s">
        <v>329</v>
      </c>
      <c r="G22" s="33" t="s">
        <v>113</v>
      </c>
      <c r="H22" s="33" t="s">
        <v>46</v>
      </c>
      <c r="I22" s="33" t="s">
        <v>114</v>
      </c>
      <c r="J22" s="34"/>
      <c r="K22" s="30" t="str">
        <f>"87,5"</f>
        <v>87,5</v>
      </c>
      <c r="L22" s="30" t="str">
        <f>"114,6600"</f>
        <v>114,6600</v>
      </c>
      <c r="M22" s="28"/>
    </row>
    <row r="24" spans="1:13" ht="16">
      <c r="A24" s="65" t="s">
        <v>12</v>
      </c>
      <c r="B24" s="65"/>
      <c r="C24" s="65"/>
      <c r="D24" s="65"/>
      <c r="E24" s="66"/>
      <c r="F24" s="65"/>
      <c r="G24" s="65"/>
      <c r="H24" s="65"/>
      <c r="I24" s="65"/>
      <c r="J24" s="65"/>
    </row>
    <row r="25" spans="1:13">
      <c r="A25" s="32" t="s">
        <v>40</v>
      </c>
      <c r="B25" s="25" t="s">
        <v>142</v>
      </c>
      <c r="C25" s="25" t="s">
        <v>116</v>
      </c>
      <c r="D25" s="25" t="s">
        <v>117</v>
      </c>
      <c r="E25" s="26" t="s">
        <v>320</v>
      </c>
      <c r="F25" s="25" t="s">
        <v>336</v>
      </c>
      <c r="G25" s="31" t="s">
        <v>54</v>
      </c>
      <c r="H25" s="31" t="s">
        <v>18</v>
      </c>
      <c r="I25" s="39" t="s">
        <v>19</v>
      </c>
      <c r="J25" s="32"/>
      <c r="K25" s="27" t="str">
        <f>"150,0"</f>
        <v>150,0</v>
      </c>
      <c r="L25" s="27" t="str">
        <f>"98,6850"</f>
        <v>98,6850</v>
      </c>
      <c r="M25" s="25"/>
    </row>
    <row r="26" spans="1:13">
      <c r="A26" s="40" t="s">
        <v>143</v>
      </c>
      <c r="B26" s="36" t="s">
        <v>144</v>
      </c>
      <c r="C26" s="36" t="s">
        <v>118</v>
      </c>
      <c r="D26" s="36" t="s">
        <v>14</v>
      </c>
      <c r="E26" s="37" t="s">
        <v>320</v>
      </c>
      <c r="F26" s="36" t="s">
        <v>329</v>
      </c>
      <c r="G26" s="41" t="s">
        <v>18</v>
      </c>
      <c r="H26" s="42" t="s">
        <v>119</v>
      </c>
      <c r="I26" s="40"/>
      <c r="J26" s="40"/>
      <c r="K26" s="38" t="str">
        <f>"150,0"</f>
        <v>150,0</v>
      </c>
      <c r="L26" s="38" t="str">
        <f>"95,7600"</f>
        <v>95,7600</v>
      </c>
      <c r="M26" s="36"/>
    </row>
    <row r="27" spans="1:13">
      <c r="A27" s="40" t="s">
        <v>40</v>
      </c>
      <c r="B27" s="36" t="s">
        <v>144</v>
      </c>
      <c r="C27" s="36" t="s">
        <v>301</v>
      </c>
      <c r="D27" s="36" t="s">
        <v>14</v>
      </c>
      <c r="E27" s="37" t="s">
        <v>324</v>
      </c>
      <c r="F27" s="36" t="s">
        <v>329</v>
      </c>
      <c r="G27" s="41" t="s">
        <v>18</v>
      </c>
      <c r="H27" s="42" t="s">
        <v>119</v>
      </c>
      <c r="I27" s="40"/>
      <c r="J27" s="40"/>
      <c r="K27" s="38" t="str">
        <f>"150,0"</f>
        <v>150,0</v>
      </c>
      <c r="L27" s="38" t="str">
        <f>"98,4413"</f>
        <v>98,4413</v>
      </c>
      <c r="M27" s="36"/>
    </row>
    <row r="28" spans="1:13">
      <c r="A28" s="34" t="s">
        <v>40</v>
      </c>
      <c r="B28" s="28" t="s">
        <v>145</v>
      </c>
      <c r="C28" s="28" t="s">
        <v>302</v>
      </c>
      <c r="D28" s="28" t="s">
        <v>120</v>
      </c>
      <c r="E28" s="29" t="s">
        <v>325</v>
      </c>
      <c r="F28" s="28" t="s">
        <v>329</v>
      </c>
      <c r="G28" s="33" t="s">
        <v>111</v>
      </c>
      <c r="H28" s="34"/>
      <c r="I28" s="34"/>
      <c r="J28" s="34"/>
      <c r="K28" s="30" t="str">
        <f>"110,0"</f>
        <v>110,0</v>
      </c>
      <c r="L28" s="30" t="str">
        <f>"140,2632"</f>
        <v>140,2632</v>
      </c>
      <c r="M28" s="28"/>
    </row>
    <row r="30" spans="1:13" ht="16">
      <c r="A30" s="65" t="s">
        <v>121</v>
      </c>
      <c r="B30" s="65"/>
      <c r="C30" s="65"/>
      <c r="D30" s="65"/>
      <c r="E30" s="66"/>
      <c r="F30" s="65"/>
      <c r="G30" s="65"/>
      <c r="H30" s="65"/>
      <c r="I30" s="65"/>
      <c r="J30" s="65"/>
    </row>
    <row r="31" spans="1:13">
      <c r="A31" s="23" t="s">
        <v>40</v>
      </c>
      <c r="B31" s="12" t="s">
        <v>146</v>
      </c>
      <c r="C31" s="12" t="s">
        <v>123</v>
      </c>
      <c r="D31" s="12" t="s">
        <v>124</v>
      </c>
      <c r="E31" s="13" t="s">
        <v>320</v>
      </c>
      <c r="F31" s="12" t="s">
        <v>337</v>
      </c>
      <c r="G31" s="22" t="s">
        <v>62</v>
      </c>
      <c r="H31" s="22" t="s">
        <v>28</v>
      </c>
      <c r="I31" s="22" t="s">
        <v>125</v>
      </c>
      <c r="J31" s="23"/>
      <c r="K31" s="14" t="str">
        <f>"185,0"</f>
        <v>185,0</v>
      </c>
      <c r="L31" s="14" t="str">
        <f>"112,1100"</f>
        <v>112,1100</v>
      </c>
      <c r="M31" s="12"/>
    </row>
    <row r="33" spans="1:13" ht="16">
      <c r="A33" s="65" t="s">
        <v>126</v>
      </c>
      <c r="B33" s="65"/>
      <c r="C33" s="65"/>
      <c r="D33" s="65"/>
      <c r="E33" s="66"/>
      <c r="F33" s="65"/>
      <c r="G33" s="65"/>
      <c r="H33" s="65"/>
      <c r="I33" s="65"/>
      <c r="J33" s="65"/>
    </row>
    <row r="34" spans="1:13">
      <c r="A34" s="23" t="s">
        <v>40</v>
      </c>
      <c r="B34" s="12" t="s">
        <v>147</v>
      </c>
      <c r="C34" s="12" t="s">
        <v>128</v>
      </c>
      <c r="D34" s="12" t="s">
        <v>129</v>
      </c>
      <c r="E34" s="13" t="s">
        <v>320</v>
      </c>
      <c r="F34" s="12" t="s">
        <v>329</v>
      </c>
      <c r="G34" s="22" t="s">
        <v>125</v>
      </c>
      <c r="H34" s="22" t="s">
        <v>130</v>
      </c>
      <c r="I34" s="22" t="s">
        <v>131</v>
      </c>
      <c r="J34" s="23"/>
      <c r="K34" s="14" t="str">
        <f>"197,5"</f>
        <v>197,5</v>
      </c>
      <c r="L34" s="14" t="str">
        <f>"113,5427"</f>
        <v>113,5427</v>
      </c>
      <c r="M34" s="12"/>
    </row>
    <row r="36" spans="1:13" ht="16">
      <c r="F36" s="9"/>
      <c r="G36" s="6"/>
      <c r="K36" s="11"/>
      <c r="M36" s="8"/>
    </row>
    <row r="37" spans="1:13">
      <c r="G37" s="6"/>
      <c r="K37" s="11"/>
      <c r="M37" s="8"/>
    </row>
    <row r="38" spans="1:13" ht="18">
      <c r="B38" s="10" t="s">
        <v>7</v>
      </c>
      <c r="C38" s="10"/>
      <c r="G38" s="3"/>
      <c r="K38" s="11"/>
      <c r="M38" s="8"/>
    </row>
    <row r="39" spans="1:13" ht="16">
      <c r="B39" s="15" t="s">
        <v>34</v>
      </c>
      <c r="C39" s="15"/>
      <c r="G39" s="3"/>
      <c r="K39" s="11"/>
      <c r="M39" s="8"/>
    </row>
    <row r="40" spans="1:13" ht="14">
      <c r="B40" s="16"/>
      <c r="C40" s="17" t="s">
        <v>35</v>
      </c>
      <c r="G40" s="3"/>
      <c r="K40" s="11"/>
      <c r="M40" s="8"/>
    </row>
    <row r="41" spans="1:13" ht="14">
      <c r="B41" s="18" t="s">
        <v>36</v>
      </c>
      <c r="C41" s="18" t="s">
        <v>37</v>
      </c>
      <c r="D41" s="18" t="s">
        <v>306</v>
      </c>
      <c r="E41" s="19" t="s">
        <v>132</v>
      </c>
      <c r="F41" s="18" t="s">
        <v>38</v>
      </c>
      <c r="G41" s="3"/>
      <c r="K41" s="11"/>
      <c r="M41" s="8"/>
    </row>
    <row r="42" spans="1:13">
      <c r="B42" s="6" t="s">
        <v>127</v>
      </c>
      <c r="C42" s="6" t="s">
        <v>35</v>
      </c>
      <c r="D42" s="11" t="s">
        <v>133</v>
      </c>
      <c r="E42" s="21">
        <v>197.5</v>
      </c>
      <c r="F42" s="20">
        <v>113.542744368315</v>
      </c>
      <c r="G42" s="3"/>
      <c r="K42" s="11"/>
      <c r="M42" s="8"/>
    </row>
    <row r="43" spans="1:13">
      <c r="B43" s="6" t="s">
        <v>122</v>
      </c>
      <c r="C43" s="6" t="s">
        <v>35</v>
      </c>
      <c r="D43" s="11" t="s">
        <v>134</v>
      </c>
      <c r="E43" s="21">
        <v>185</v>
      </c>
      <c r="F43" s="20">
        <v>112.110001146793</v>
      </c>
      <c r="G43" s="3"/>
      <c r="K43" s="11"/>
      <c r="M43" s="8"/>
    </row>
    <row r="44" spans="1:13">
      <c r="B44" s="6" t="s">
        <v>115</v>
      </c>
      <c r="C44" s="6" t="s">
        <v>35</v>
      </c>
      <c r="D44" s="11" t="s">
        <v>39</v>
      </c>
      <c r="E44" s="21">
        <v>150</v>
      </c>
      <c r="F44" s="20">
        <v>98.684996366500897</v>
      </c>
      <c r="G44" s="3"/>
      <c r="K44" s="11"/>
      <c r="M44" s="8"/>
    </row>
  </sheetData>
  <mergeCells count="20">
    <mergeCell ref="A30:J30"/>
    <mergeCell ref="A33:J33"/>
    <mergeCell ref="B3:B4"/>
    <mergeCell ref="A8:J8"/>
    <mergeCell ref="A11:J11"/>
    <mergeCell ref="A14:J14"/>
    <mergeCell ref="A17:J17"/>
    <mergeCell ref="A20:J20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7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29.16406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0" t="s">
        <v>286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24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263</v>
      </c>
      <c r="C6" s="12" t="s">
        <v>261</v>
      </c>
      <c r="D6" s="12" t="s">
        <v>262</v>
      </c>
      <c r="E6" s="13" t="s">
        <v>320</v>
      </c>
      <c r="F6" s="12" t="s">
        <v>338</v>
      </c>
      <c r="G6" s="22" t="s">
        <v>182</v>
      </c>
      <c r="H6" s="22" t="s">
        <v>183</v>
      </c>
      <c r="I6" s="24" t="s">
        <v>17</v>
      </c>
      <c r="J6" s="23"/>
      <c r="K6" s="14" t="str">
        <f>"225,0"</f>
        <v>225,0</v>
      </c>
      <c r="L6" s="14" t="str">
        <f>"130,7925"</f>
        <v>130,7925</v>
      </c>
      <c r="M6" s="1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5.832031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15.5" style="6" bestFit="1" customWidth="1"/>
    <col min="7" max="9" width="5.5" style="11" customWidth="1"/>
    <col min="10" max="10" width="4.83203125" style="11" customWidth="1"/>
    <col min="11" max="11" width="7.83203125" style="8" bestFit="1" customWidth="1"/>
    <col min="12" max="12" width="8.5" style="8" bestFit="1" customWidth="1"/>
    <col min="13" max="13" width="14.5" style="6" bestFit="1" customWidth="1"/>
    <col min="14" max="16384" width="9.1640625" style="3"/>
  </cols>
  <sheetData>
    <row r="1" spans="1:13" s="2" customFormat="1" ht="29" customHeight="1">
      <c r="A1" s="50" t="s">
        <v>287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347</v>
      </c>
      <c r="B3" s="67" t="s">
        <v>0</v>
      </c>
      <c r="C3" s="60" t="s">
        <v>317</v>
      </c>
      <c r="D3" s="60" t="s">
        <v>5</v>
      </c>
      <c r="E3" s="62" t="s">
        <v>318</v>
      </c>
      <c r="F3" s="64" t="s">
        <v>6</v>
      </c>
      <c r="G3" s="64" t="s">
        <v>10</v>
      </c>
      <c r="H3" s="64"/>
      <c r="I3" s="64"/>
      <c r="J3" s="64"/>
      <c r="K3" s="62" t="s">
        <v>8</v>
      </c>
      <c r="L3" s="62" t="s">
        <v>3</v>
      </c>
      <c r="M3" s="46" t="s">
        <v>2</v>
      </c>
    </row>
    <row r="4" spans="1:13" s="1" customFormat="1" ht="21" customHeight="1" thickBot="1">
      <c r="A4" s="59"/>
      <c r="B4" s="68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47"/>
    </row>
    <row r="5" spans="1:13" ht="16">
      <c r="A5" s="48" t="s">
        <v>65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23" t="s">
        <v>40</v>
      </c>
      <c r="B6" s="12" t="s">
        <v>260</v>
      </c>
      <c r="C6" s="12" t="s">
        <v>258</v>
      </c>
      <c r="D6" s="12" t="s">
        <v>259</v>
      </c>
      <c r="E6" s="13" t="s">
        <v>320</v>
      </c>
      <c r="F6" s="12" t="s">
        <v>316</v>
      </c>
      <c r="G6" s="22" t="s">
        <v>19</v>
      </c>
      <c r="H6" s="22" t="s">
        <v>62</v>
      </c>
      <c r="I6" s="24" t="s">
        <v>28</v>
      </c>
      <c r="J6" s="23"/>
      <c r="K6" s="14" t="str">
        <f>"170,0"</f>
        <v>170,0</v>
      </c>
      <c r="L6" s="14" t="str">
        <f>"121,7965"</f>
        <v>121,7965</v>
      </c>
      <c r="M6" s="12" t="s">
        <v>200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IPL ПЛ без экипировки ДК</vt:lpstr>
      <vt:lpstr>IPL ПЛ без экипировки</vt:lpstr>
      <vt:lpstr>IPL ПЛ в бинтах</vt:lpstr>
      <vt:lpstr>IPL Двоеборье без экип ДК</vt:lpstr>
      <vt:lpstr>IPL Присед без экипировки ДК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WRPF Жим стоя ДК</vt:lpstr>
      <vt:lpstr>СПР Жим стоя</vt:lpstr>
      <vt:lpstr>WRPF Подъем на бицепс ДК</vt:lpstr>
      <vt:lpstr>WRPF Подъем на бицепс</vt:lpstr>
      <vt:lpstr>WRPF Экстрем. бицепс ДК</vt:lpstr>
      <vt:lpstr>WRPF Экстрем.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2024-06-09T08:58:14Z</dcterms:modified>
</cp:coreProperties>
</file>