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Апрель/"/>
    </mc:Choice>
  </mc:AlternateContent>
  <xr:revisionPtr revIDLastSave="0" documentId="13_ncr:1_{7D48B32F-1115-F946-8879-6FCA1AE3B27D}" xr6:coauthVersionLast="45" xr6:coauthVersionMax="45" xr10:uidLastSave="{00000000-0000-0000-0000-000000000000}"/>
  <bookViews>
    <workbookView xWindow="480" yWindow="460" windowWidth="27740" windowHeight="15920" firstSheet="8" activeTab="13" xr2:uid="{00000000-000D-0000-FFFF-FFFF00000000}"/>
  </bookViews>
  <sheets>
    <sheet name="WRPF ПЛ без экипировки ДК" sheetId="10" r:id="rId1"/>
    <sheet name="WRPF ПЛ без экипировки" sheetId="9" r:id="rId2"/>
    <sheet name="WRPF ПЛ в бинтах" sheetId="7" r:id="rId3"/>
    <sheet name="WRPF Двоеборье без экип ДК" sheetId="21" r:id="rId4"/>
    <sheet name="WRPF Жим лежа без экип ДК" sheetId="13" r:id="rId5"/>
    <sheet name="WRPF Жим лежа без экип" sheetId="12" r:id="rId6"/>
    <sheet name="WEPF Жим софт однопетельная ДК" sheetId="14" r:id="rId7"/>
    <sheet name="WEPF Жим софт многопетельная" sheetId="16" r:id="rId8"/>
    <sheet name="WRPF Военный жим ДК" sheetId="15" r:id="rId9"/>
    <sheet name="WRPF Военный жим" sheetId="11" r:id="rId10"/>
    <sheet name="WRPF Тяга без экипировки ДК" sheetId="19" r:id="rId11"/>
    <sheet name="WRPF Тяга без экипировки" sheetId="18" r:id="rId12"/>
    <sheet name="WRPF Подъем на бицепс ДК" sheetId="6" r:id="rId13"/>
    <sheet name="WRPF Подъем на бицепс" sheetId="5" r:id="rId14"/>
  </sheets>
  <definedNames>
    <definedName name="_FilterDatabase" localSheetId="13" hidden="1">'WRPF Подъем на бицепс'!$A$1:$K$3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21" l="1"/>
  <c r="O9" i="21"/>
  <c r="P6" i="21"/>
  <c r="O6" i="21"/>
  <c r="L24" i="19"/>
  <c r="K24" i="19"/>
  <c r="L21" i="19"/>
  <c r="K21" i="19"/>
  <c r="L20" i="19"/>
  <c r="K20" i="19"/>
  <c r="L19" i="19"/>
  <c r="K19" i="19"/>
  <c r="L16" i="19"/>
  <c r="K16" i="19"/>
  <c r="L15" i="19"/>
  <c r="K15" i="19"/>
  <c r="L14" i="19"/>
  <c r="K14" i="19"/>
  <c r="L11" i="19"/>
  <c r="K11" i="19"/>
  <c r="L10" i="19"/>
  <c r="K10" i="19"/>
  <c r="L9" i="19"/>
  <c r="K9" i="19"/>
  <c r="L6" i="19"/>
  <c r="K6" i="19"/>
  <c r="L14" i="18"/>
  <c r="K14" i="18"/>
  <c r="L13" i="18"/>
  <c r="K13" i="18"/>
  <c r="L12" i="18"/>
  <c r="K12" i="18"/>
  <c r="L9" i="18"/>
  <c r="K9" i="18"/>
  <c r="L6" i="18"/>
  <c r="K6" i="18"/>
  <c r="L6" i="16"/>
  <c r="K6" i="16"/>
  <c r="L10" i="15"/>
  <c r="K10" i="15"/>
  <c r="L9" i="15"/>
  <c r="K9" i="15"/>
  <c r="L6" i="15"/>
  <c r="K6" i="15"/>
  <c r="L6" i="14"/>
  <c r="K6" i="14"/>
  <c r="L67" i="13"/>
  <c r="K67" i="13"/>
  <c r="L66" i="13"/>
  <c r="K66" i="13"/>
  <c r="L63" i="13"/>
  <c r="K63" i="13"/>
  <c r="L62" i="13"/>
  <c r="K62" i="13"/>
  <c r="L61" i="13"/>
  <c r="K61" i="13"/>
  <c r="L58" i="13"/>
  <c r="K58" i="13"/>
  <c r="L57" i="13"/>
  <c r="K57" i="13"/>
  <c r="L56" i="13"/>
  <c r="K56" i="13"/>
  <c r="L55" i="13"/>
  <c r="K55" i="13"/>
  <c r="L54" i="13"/>
  <c r="K54" i="13"/>
  <c r="L53" i="13"/>
  <c r="K53" i="13"/>
  <c r="L50" i="13"/>
  <c r="K50" i="13"/>
  <c r="L49" i="13"/>
  <c r="K49" i="13"/>
  <c r="L48" i="13"/>
  <c r="K48" i="13"/>
  <c r="L47" i="13"/>
  <c r="K47" i="13"/>
  <c r="L46" i="13"/>
  <c r="K46" i="13"/>
  <c r="L45" i="13"/>
  <c r="K45" i="13"/>
  <c r="L44" i="13"/>
  <c r="K44" i="13"/>
  <c r="L43" i="13"/>
  <c r="K43" i="13"/>
  <c r="L42" i="13"/>
  <c r="K42" i="13"/>
  <c r="L41" i="13"/>
  <c r="K41" i="13"/>
  <c r="L38" i="13"/>
  <c r="K38" i="13"/>
  <c r="L37" i="13"/>
  <c r="K37" i="13"/>
  <c r="L36" i="13"/>
  <c r="K36" i="13"/>
  <c r="L35" i="13"/>
  <c r="K35" i="13"/>
  <c r="L32" i="13"/>
  <c r="K32" i="13"/>
  <c r="L31" i="13"/>
  <c r="K31" i="13"/>
  <c r="L30" i="13"/>
  <c r="K30" i="13"/>
  <c r="L29" i="13"/>
  <c r="K29" i="13"/>
  <c r="L28" i="13"/>
  <c r="K28" i="13"/>
  <c r="L25" i="13"/>
  <c r="K25" i="13"/>
  <c r="L24" i="13"/>
  <c r="L21" i="13"/>
  <c r="K21" i="13"/>
  <c r="L18" i="13"/>
  <c r="K18" i="13"/>
  <c r="L15" i="13"/>
  <c r="K15" i="13"/>
  <c r="L14" i="13"/>
  <c r="K14" i="13"/>
  <c r="L11" i="13"/>
  <c r="K11" i="13"/>
  <c r="L8" i="13"/>
  <c r="K8" i="13"/>
  <c r="L7" i="13"/>
  <c r="K7" i="13"/>
  <c r="L6" i="13"/>
  <c r="L26" i="12"/>
  <c r="K26" i="12"/>
  <c r="L25" i="12"/>
  <c r="K25" i="12"/>
  <c r="L24" i="12"/>
  <c r="K24" i="12"/>
  <c r="L23" i="12"/>
  <c r="K23" i="12"/>
  <c r="L22" i="12"/>
  <c r="K22" i="12"/>
  <c r="L21" i="12"/>
  <c r="K21" i="12"/>
  <c r="L18" i="12"/>
  <c r="K18" i="12"/>
  <c r="L17" i="12"/>
  <c r="K17" i="12"/>
  <c r="L16" i="12"/>
  <c r="K16" i="12"/>
  <c r="L15" i="12"/>
  <c r="K15" i="12"/>
  <c r="L14" i="12"/>
  <c r="K14" i="12"/>
  <c r="L13" i="12"/>
  <c r="K13" i="12"/>
  <c r="L10" i="12"/>
  <c r="K10" i="12"/>
  <c r="L9" i="12"/>
  <c r="K9" i="12"/>
  <c r="L6" i="12"/>
  <c r="K6" i="12"/>
  <c r="L6" i="11"/>
  <c r="K6" i="11"/>
  <c r="T29" i="10"/>
  <c r="S29" i="10"/>
  <c r="T26" i="10"/>
  <c r="S26" i="10"/>
  <c r="T23" i="10"/>
  <c r="S23" i="10"/>
  <c r="T20" i="10"/>
  <c r="T19" i="10"/>
  <c r="S19" i="10"/>
  <c r="T16" i="10"/>
  <c r="S16" i="10"/>
  <c r="T15" i="10"/>
  <c r="S15" i="10"/>
  <c r="T12" i="10"/>
  <c r="S12" i="10"/>
  <c r="T11" i="10"/>
  <c r="S11" i="10"/>
  <c r="S10" i="10"/>
  <c r="T9" i="10"/>
  <c r="S9" i="10"/>
  <c r="T6" i="10"/>
  <c r="S6" i="10"/>
  <c r="T27" i="9"/>
  <c r="S27" i="9"/>
  <c r="T26" i="9"/>
  <c r="S26" i="9"/>
  <c r="T25" i="9"/>
  <c r="S25" i="9"/>
  <c r="T22" i="9"/>
  <c r="S22" i="9"/>
  <c r="T21" i="9"/>
  <c r="S21" i="9"/>
  <c r="S20" i="9"/>
  <c r="T19" i="9"/>
  <c r="S19" i="9"/>
  <c r="T16" i="9"/>
  <c r="S16" i="9"/>
  <c r="T15" i="9"/>
  <c r="S15" i="9"/>
  <c r="T12" i="9"/>
  <c r="S12" i="9"/>
  <c r="T9" i="9"/>
  <c r="S9" i="9"/>
  <c r="T6" i="9"/>
  <c r="S6" i="9"/>
  <c r="T6" i="7"/>
  <c r="S6" i="7"/>
  <c r="L43" i="6"/>
  <c r="K43" i="6"/>
  <c r="L42" i="6"/>
  <c r="K42" i="6"/>
  <c r="L39" i="6"/>
  <c r="K39" i="6"/>
  <c r="L38" i="6"/>
  <c r="K38" i="6"/>
  <c r="L37" i="6"/>
  <c r="K37" i="6"/>
  <c r="L34" i="6"/>
  <c r="K34" i="6"/>
  <c r="L33" i="6"/>
  <c r="K33" i="6"/>
  <c r="L32" i="6"/>
  <c r="K32" i="6"/>
  <c r="L31" i="6"/>
  <c r="K31" i="6"/>
  <c r="L30" i="6"/>
  <c r="K30" i="6"/>
  <c r="L29" i="6"/>
  <c r="K29" i="6"/>
  <c r="L28" i="6"/>
  <c r="K28" i="6"/>
  <c r="L25" i="6"/>
  <c r="K25" i="6"/>
  <c r="L24" i="6"/>
  <c r="K24" i="6"/>
  <c r="L23" i="6"/>
  <c r="K23" i="6"/>
  <c r="L22" i="6"/>
  <c r="K22" i="6"/>
  <c r="L21" i="6"/>
  <c r="K21" i="6"/>
  <c r="L20" i="6"/>
  <c r="K20" i="6"/>
  <c r="L19" i="6"/>
  <c r="K19" i="6"/>
  <c r="L18" i="6"/>
  <c r="K18" i="6"/>
  <c r="L17" i="6"/>
  <c r="K17" i="6"/>
  <c r="L14" i="6"/>
  <c r="K14" i="6"/>
  <c r="L13" i="6"/>
  <c r="K13" i="6"/>
  <c r="L12" i="6"/>
  <c r="K12" i="6"/>
  <c r="L9" i="6"/>
  <c r="K9" i="6"/>
  <c r="L6" i="6"/>
  <c r="K6" i="6"/>
  <c r="L13" i="5"/>
  <c r="K13" i="5"/>
  <c r="L10" i="5"/>
  <c r="K10" i="5"/>
  <c r="L9" i="5"/>
  <c r="K9" i="5"/>
  <c r="L6" i="5"/>
  <c r="K6" i="5"/>
</calcChain>
</file>

<file path=xl/sharedStrings.xml><?xml version="1.0" encoding="utf-8"?>
<sst xmlns="http://schemas.openxmlformats.org/spreadsheetml/2006/main" count="1819" uniqueCount="450">
  <si>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</si>
  <si>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</si>
  <si>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</si>
  <si>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</si>
  <si>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</si>
  <si>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</si>
  <si>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</si>
  <si>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ВЕСОВАЯ КАТЕГОРИЯ   82.5</t>
  </si>
  <si>
    <t>Открытая (26.07.1986)/37</t>
  </si>
  <si>
    <t>79,90</t>
  </si>
  <si>
    <t>57,5</t>
  </si>
  <si>
    <t>62,5</t>
  </si>
  <si>
    <t>65,0</t>
  </si>
  <si>
    <t>ВЕСОВАЯ КАТЕГОРИЯ   100</t>
  </si>
  <si>
    <t>Открытая (16.11.1990)/33</t>
  </si>
  <si>
    <t>99,95</t>
  </si>
  <si>
    <t>80,0</t>
  </si>
  <si>
    <t>90,0</t>
  </si>
  <si>
    <t>100,0</t>
  </si>
  <si>
    <t>Открытая (30.09.1992)/31</t>
  </si>
  <si>
    <t>97,00</t>
  </si>
  <si>
    <t>75,0</t>
  </si>
  <si>
    <t>82,5</t>
  </si>
  <si>
    <t>ВЕСОВАЯ КАТЕГОРИЯ   125</t>
  </si>
  <si>
    <t>Открытая (02.08.1994)/29</t>
  </si>
  <si>
    <t>122,70</t>
  </si>
  <si>
    <t>85,0</t>
  </si>
  <si>
    <t>92,5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</si>
  <si>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</si>
  <si>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</si>
  <si>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</si>
  <si>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</si>
  <si>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</si>
  <si>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</si>
  <si>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</si>
  <si>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Результат </t>
  </si>
  <si>
    <t xml:space="preserve">Gloss </t>
  </si>
  <si>
    <t>100</t>
  </si>
  <si>
    <t>125</t>
  </si>
  <si>
    <t>Результат</t>
  </si>
  <si>
    <t>1</t>
  </si>
  <si>
    <t>Петушков Евгений</t>
  </si>
  <si>
    <t>Носков Егор</t>
  </si>
  <si>
    <t>2</t>
  </si>
  <si>
    <t>Варванский Сергей</t>
  </si>
  <si>
    <t>Ловцов Илья</t>
  </si>
  <si>
    <t>ВЕСОВАЯ КАТЕГОРИЯ   52</t>
  </si>
  <si>
    <t>Открытая (25.03.1984)/40</t>
  </si>
  <si>
    <t>51,00</t>
  </si>
  <si>
    <t>30,0</t>
  </si>
  <si>
    <t>ВЕСОВАЯ КАТЕГОРИЯ   60</t>
  </si>
  <si>
    <t>Открытая (27.09.1986)/37</t>
  </si>
  <si>
    <t>60,00</t>
  </si>
  <si>
    <t>32,5</t>
  </si>
  <si>
    <t>37,5</t>
  </si>
  <si>
    <t>40,0</t>
  </si>
  <si>
    <t>ВЕСОВАЯ КАТЕГОРИЯ   67.5</t>
  </si>
  <si>
    <t>61,20</t>
  </si>
  <si>
    <t>45,0</t>
  </si>
  <si>
    <t>47,5</t>
  </si>
  <si>
    <t>52,5</t>
  </si>
  <si>
    <t>66,80</t>
  </si>
  <si>
    <t>50,0</t>
  </si>
  <si>
    <t>64,90</t>
  </si>
  <si>
    <t>ВЕСОВАЯ КАТЕГОРИЯ   75</t>
  </si>
  <si>
    <t xml:space="preserve">Таракановский Михаил </t>
  </si>
  <si>
    <t>73,30</t>
  </si>
  <si>
    <t>60,0</t>
  </si>
  <si>
    <t>70,0</t>
  </si>
  <si>
    <t>69,30</t>
  </si>
  <si>
    <t>68,40</t>
  </si>
  <si>
    <t>74,40</t>
  </si>
  <si>
    <t>55,0</t>
  </si>
  <si>
    <t>Открытая (07.11.2004)/19</t>
  </si>
  <si>
    <t>Открытая (02.10.1995)/28</t>
  </si>
  <si>
    <t>74,20</t>
  </si>
  <si>
    <t xml:space="preserve">Селин Вадим </t>
  </si>
  <si>
    <t>Открытая (05.04.1982)/42</t>
  </si>
  <si>
    <t>74,80</t>
  </si>
  <si>
    <t>72,50</t>
  </si>
  <si>
    <t>80,30</t>
  </si>
  <si>
    <t>81,00</t>
  </si>
  <si>
    <t>79,70</t>
  </si>
  <si>
    <t>81,60</t>
  </si>
  <si>
    <t xml:space="preserve">Кравцов Виктор </t>
  </si>
  <si>
    <t>Открытая (24.07.1993)/30</t>
  </si>
  <si>
    <t>81,55</t>
  </si>
  <si>
    <t>67,5</t>
  </si>
  <si>
    <t>72,5</t>
  </si>
  <si>
    <t>Открытая (07.06.1992)/31</t>
  </si>
  <si>
    <t>79,40</t>
  </si>
  <si>
    <t>ВЕСОВАЯ КАТЕГОРИЯ   90</t>
  </si>
  <si>
    <t>87,20</t>
  </si>
  <si>
    <t xml:space="preserve">Шумилин Алексей </t>
  </si>
  <si>
    <t>Открытая (07.05.1998)/25</t>
  </si>
  <si>
    <t>Открытая (05.02.1994)/30</t>
  </si>
  <si>
    <t>88,70</t>
  </si>
  <si>
    <t>Открытая (31.01.1987)/37</t>
  </si>
  <si>
    <t>94,40</t>
  </si>
  <si>
    <t>92,50</t>
  </si>
  <si>
    <t>75</t>
  </si>
  <si>
    <t>82.5</t>
  </si>
  <si>
    <t xml:space="preserve">Юниоры </t>
  </si>
  <si>
    <t>90</t>
  </si>
  <si>
    <t xml:space="preserve">Мастера </t>
  </si>
  <si>
    <t>Охрема Екатерина</t>
  </si>
  <si>
    <t>Гомбоева Алёна</t>
  </si>
  <si>
    <t>Худов Павел</t>
  </si>
  <si>
    <t>Бастрычкин Лев</t>
  </si>
  <si>
    <t>3</t>
  </si>
  <si>
    <t>Фомин Матвей</t>
  </si>
  <si>
    <t>Таракановский Михаил</t>
  </si>
  <si>
    <t>Кисель Алексей</t>
  </si>
  <si>
    <t>Путинцев Олег</t>
  </si>
  <si>
    <t>Вислоцкий Евгений</t>
  </si>
  <si>
    <t>Бочаров Ефим</t>
  </si>
  <si>
    <t>Селин Вадим</t>
  </si>
  <si>
    <t>Лисичников Денис</t>
  </si>
  <si>
    <t>Радченко Илья</t>
  </si>
  <si>
    <t>Иванов Роман</t>
  </si>
  <si>
    <t>Федотов Иван</t>
  </si>
  <si>
    <t>4</t>
  </si>
  <si>
    <t>Мелумян Николай</t>
  </si>
  <si>
    <t>Кравцов Виктор</t>
  </si>
  <si>
    <t>Омельченко Евгений</t>
  </si>
  <si>
    <t>Сачук Антон</t>
  </si>
  <si>
    <t>Бостанчян Сергей</t>
  </si>
  <si>
    <t>Шумилин Алексей</t>
  </si>
  <si>
    <t>Гладких Кирилл</t>
  </si>
  <si>
    <t>Устюжанин Александр</t>
  </si>
  <si>
    <t>Тараканов Юрий</t>
  </si>
  <si>
    <t>Приседание</t>
  </si>
  <si>
    <t>Жим лёжа</t>
  </si>
  <si>
    <t>Становая тяга</t>
  </si>
  <si>
    <t>Открытая (22.01.1987)/37</t>
  </si>
  <si>
    <t>81,20</t>
  </si>
  <si>
    <t>200,0</t>
  </si>
  <si>
    <t>220,0</t>
  </si>
  <si>
    <t>240,0</t>
  </si>
  <si>
    <t>140,0</t>
  </si>
  <si>
    <t>155,0</t>
  </si>
  <si>
    <t>165,0</t>
  </si>
  <si>
    <t>255,0</t>
  </si>
  <si>
    <t>275,0</t>
  </si>
  <si>
    <t>290,0</t>
  </si>
  <si>
    <t xml:space="preserve">Wilks </t>
  </si>
  <si>
    <t>Мик Сергей</t>
  </si>
  <si>
    <t>Юноши 17-19 (07.11.2004)/19</t>
  </si>
  <si>
    <t>170,0</t>
  </si>
  <si>
    <t>105,0</t>
  </si>
  <si>
    <t>110,0</t>
  </si>
  <si>
    <t>215,0</t>
  </si>
  <si>
    <t>225,0</t>
  </si>
  <si>
    <t>Юноши 17-19 (15.01.2005)/19</t>
  </si>
  <si>
    <t>78,50</t>
  </si>
  <si>
    <t>120,0</t>
  </si>
  <si>
    <t>130,0</t>
  </si>
  <si>
    <t>Мастера 50-59 (12.08.1969)/54</t>
  </si>
  <si>
    <t>88,90</t>
  </si>
  <si>
    <t>150,0</t>
  </si>
  <si>
    <t>160,0</t>
  </si>
  <si>
    <t>115,0</t>
  </si>
  <si>
    <t>180,0</t>
  </si>
  <si>
    <t>190,0</t>
  </si>
  <si>
    <t>Юноши 17-19 (23.07.2005)/18</t>
  </si>
  <si>
    <t>99,00</t>
  </si>
  <si>
    <t>175,0</t>
  </si>
  <si>
    <t>135,0</t>
  </si>
  <si>
    <t xml:space="preserve">Алымов Илья </t>
  </si>
  <si>
    <t>Открытая (02.08.1997)/26</t>
  </si>
  <si>
    <t>98,80</t>
  </si>
  <si>
    <t>245,0</t>
  </si>
  <si>
    <t>260,0</t>
  </si>
  <si>
    <t>270,0</t>
  </si>
  <si>
    <t>185,0</t>
  </si>
  <si>
    <t>195,0</t>
  </si>
  <si>
    <t>285,0</t>
  </si>
  <si>
    <t>295,0</t>
  </si>
  <si>
    <t>ВЕСОВАЯ КАТЕГОРИЯ   110</t>
  </si>
  <si>
    <t>Юниоры (20.02.2003)/21</t>
  </si>
  <si>
    <t>110,00</t>
  </si>
  <si>
    <t>230,0</t>
  </si>
  <si>
    <t xml:space="preserve">Пешков Дмитрий </t>
  </si>
  <si>
    <t>Открытая (06.07.1991)/32</t>
  </si>
  <si>
    <t>109,20</t>
  </si>
  <si>
    <t>235,0</t>
  </si>
  <si>
    <t>250,0</t>
  </si>
  <si>
    <t>182,5</t>
  </si>
  <si>
    <t>192,5</t>
  </si>
  <si>
    <t>282,5</t>
  </si>
  <si>
    <t>292,5</t>
  </si>
  <si>
    <t xml:space="preserve">Николаев Иван </t>
  </si>
  <si>
    <t>Открытая (24.10.1989)/34</t>
  </si>
  <si>
    <t>109,50</t>
  </si>
  <si>
    <t>210,0</t>
  </si>
  <si>
    <t>205,0</t>
  </si>
  <si>
    <t>Открытая (11.08.1988)/35</t>
  </si>
  <si>
    <t>106,60</t>
  </si>
  <si>
    <t>Юноши 17-19 (29.03.2005)/19</t>
  </si>
  <si>
    <t>122,60</t>
  </si>
  <si>
    <t>125,0</t>
  </si>
  <si>
    <t>Открытая (15.02.1996)/28</t>
  </si>
  <si>
    <t>118,00</t>
  </si>
  <si>
    <t>267,5</t>
  </si>
  <si>
    <t>Открытая (19.06.1987)/36</t>
  </si>
  <si>
    <t>123,40</t>
  </si>
  <si>
    <t>110</t>
  </si>
  <si>
    <t xml:space="preserve">Мастера 50-59 </t>
  </si>
  <si>
    <t>Чесноков Андрей</t>
  </si>
  <si>
    <t>Трубников Александр</t>
  </si>
  <si>
    <t>Пермяков Алексей</t>
  </si>
  <si>
    <t>Алымов Илья</t>
  </si>
  <si>
    <t>Агапий Матвей</t>
  </si>
  <si>
    <t>Пешков Дмитрий</t>
  </si>
  <si>
    <t>Николаев Иван</t>
  </si>
  <si>
    <t>Романов Степан</t>
  </si>
  <si>
    <t>Ануфриев Захар</t>
  </si>
  <si>
    <t>Писарев Николай</t>
  </si>
  <si>
    <t>Кузнецов Дмитрий</t>
  </si>
  <si>
    <t>Юниорки (13.09.2000)/23</t>
  </si>
  <si>
    <t>122,5</t>
  </si>
  <si>
    <t>127,5</t>
  </si>
  <si>
    <t>Открытая (13.09.2000)/23</t>
  </si>
  <si>
    <t>Открытая (06.09.1999)/24</t>
  </si>
  <si>
    <t>58,60</t>
  </si>
  <si>
    <t>42,5</t>
  </si>
  <si>
    <t>132,5</t>
  </si>
  <si>
    <t>Юноши 17-19 (27.03.2005)/19</t>
  </si>
  <si>
    <t>95,0</t>
  </si>
  <si>
    <t>197,5</t>
  </si>
  <si>
    <t>207,5</t>
  </si>
  <si>
    <t>212,5</t>
  </si>
  <si>
    <t>Юноши 17-19 (11.09.2005)/18</t>
  </si>
  <si>
    <t>70,00</t>
  </si>
  <si>
    <t>Юноши 14-16 (04.04.2008)/16</t>
  </si>
  <si>
    <t>88,80</t>
  </si>
  <si>
    <t>202,5</t>
  </si>
  <si>
    <t>Открытая (18.07.1998)/25</t>
  </si>
  <si>
    <t>85,60</t>
  </si>
  <si>
    <t>Юниоры (29.04.2003)/20</t>
  </si>
  <si>
    <t>94,00</t>
  </si>
  <si>
    <t>147,5</t>
  </si>
  <si>
    <t>Юноши 17-19 (03.02.2005)/19</t>
  </si>
  <si>
    <t>105,80</t>
  </si>
  <si>
    <t xml:space="preserve">Епифанцев Сергей </t>
  </si>
  <si>
    <t>Открытая (15.12.1986)/37</t>
  </si>
  <si>
    <t>116,80</t>
  </si>
  <si>
    <t>Носкова Валерия</t>
  </si>
  <si>
    <t>Рудакова Алёна</t>
  </si>
  <si>
    <t>Дроботушенко Егор</t>
  </si>
  <si>
    <t>Леонтьев Илья</t>
  </si>
  <si>
    <t>Новиков Владимир</t>
  </si>
  <si>
    <t>-</t>
  </si>
  <si>
    <t>Былков Руслан</t>
  </si>
  <si>
    <t>Болдырев Андрей</t>
  </si>
  <si>
    <t>Заводцев Максим</t>
  </si>
  <si>
    <t>Епифанцев Сергей</t>
  </si>
  <si>
    <t>Мастера 50-59 (12.01.1971)/53</t>
  </si>
  <si>
    <t>72,70</t>
  </si>
  <si>
    <t>Открытая (09.11.1994)/29</t>
  </si>
  <si>
    <t>89,00</t>
  </si>
  <si>
    <t xml:space="preserve">Ягодин Кирилл </t>
  </si>
  <si>
    <t>Мастера 50-59 (30.01.1975)/49</t>
  </si>
  <si>
    <t>88,20</t>
  </si>
  <si>
    <t>145,0</t>
  </si>
  <si>
    <t>Открытая (04.08.1992)/31</t>
  </si>
  <si>
    <t>98,70</t>
  </si>
  <si>
    <t>Открытая (12.10.1994)/29</t>
  </si>
  <si>
    <t>96,60</t>
  </si>
  <si>
    <t>Мастера 50-59 (27.11.1967)/56</t>
  </si>
  <si>
    <t>91,50</t>
  </si>
  <si>
    <t>Открытая (30.11.1992)/31</t>
  </si>
  <si>
    <t>108,00</t>
  </si>
  <si>
    <t>Открытая (22.07.1992)/31</t>
  </si>
  <si>
    <t>106,00</t>
  </si>
  <si>
    <t>Мастера 40-49 (02.06.1976)/47</t>
  </si>
  <si>
    <t>167,5</t>
  </si>
  <si>
    <t xml:space="preserve">Мастера 40-49 </t>
  </si>
  <si>
    <t>Номероцкая Юлия</t>
  </si>
  <si>
    <t>Чернаков Денис</t>
  </si>
  <si>
    <t>Пушкарёв Сергей</t>
  </si>
  <si>
    <t>Ягодин Кирилл</t>
  </si>
  <si>
    <t>Веселков Георгий</t>
  </si>
  <si>
    <t>Тюменцев Евгений</t>
  </si>
  <si>
    <t>Лесков Александр</t>
  </si>
  <si>
    <t>Коновалов Владислав</t>
  </si>
  <si>
    <t>Смирнов Сергей</t>
  </si>
  <si>
    <t>Юниорки (20.08.2002)/21</t>
  </si>
  <si>
    <t>51,40</t>
  </si>
  <si>
    <t>Мастера 50-59 (11.11.1967)/56</t>
  </si>
  <si>
    <t>50,60</t>
  </si>
  <si>
    <t>ВЕСОВАЯ КАТЕГОРИЯ   56</t>
  </si>
  <si>
    <t>Открытая (17.06.1999)/24</t>
  </si>
  <si>
    <t>54,30</t>
  </si>
  <si>
    <t>Открытая (04.02.1993)/31</t>
  </si>
  <si>
    <t>58,40</t>
  </si>
  <si>
    <t>Мастера 40-49 (21.09.1981)/42</t>
  </si>
  <si>
    <t>Открытая (15.01.1991)/33</t>
  </si>
  <si>
    <t>Юноши 14-16 (07.11.2007)/16</t>
  </si>
  <si>
    <t>Юниоры (29.06.2003)/20</t>
  </si>
  <si>
    <t>62,80</t>
  </si>
  <si>
    <t>Юноши 17-19 (18.08.2004)/19</t>
  </si>
  <si>
    <t>73,50</t>
  </si>
  <si>
    <t>Открытая (12.08.1992)/31</t>
  </si>
  <si>
    <t>72,20</t>
  </si>
  <si>
    <t>Мастера 40-49 (05.04.1982)/42</t>
  </si>
  <si>
    <t>Мастера 40-49 (17.11.1983)/40</t>
  </si>
  <si>
    <t>112,5</t>
  </si>
  <si>
    <t>Открытая (21.08.1998)/25</t>
  </si>
  <si>
    <t>81,30</t>
  </si>
  <si>
    <t>117,5</t>
  </si>
  <si>
    <t>Мастера 40-49 (11.07.1983)/40</t>
  </si>
  <si>
    <t>Юноши 17-19 (01.07.2004)/19</t>
  </si>
  <si>
    <t>87,00</t>
  </si>
  <si>
    <t>Юноши 17-19 (10.02.2007)/17</t>
  </si>
  <si>
    <t>88,10</t>
  </si>
  <si>
    <t>Юниоры (23.02.2002)/22</t>
  </si>
  <si>
    <t>86,60</t>
  </si>
  <si>
    <t>Юниоры (19.05.2001)/22</t>
  </si>
  <si>
    <t>89,80</t>
  </si>
  <si>
    <t>107,5</t>
  </si>
  <si>
    <t>Юниоры (12.06.2003)/20</t>
  </si>
  <si>
    <t xml:space="preserve">Фёдоров Сергей </t>
  </si>
  <si>
    <t>Открытая (27.04.1962)/61</t>
  </si>
  <si>
    <t>87,40</t>
  </si>
  <si>
    <t>Открытая (14.04.1981)/43</t>
  </si>
  <si>
    <t>89,10</t>
  </si>
  <si>
    <t>Мастера 40-49 (14.04.1981)/43</t>
  </si>
  <si>
    <t>Мастера 60-69 (27.04.1962)/61</t>
  </si>
  <si>
    <t xml:space="preserve">Безъязыков Илья </t>
  </si>
  <si>
    <t>Юниоры (11.10.2002)/21</t>
  </si>
  <si>
    <t>95,90</t>
  </si>
  <si>
    <t xml:space="preserve">Шипачев Даниил </t>
  </si>
  <si>
    <t>Юниоры (12.02.2001)/23</t>
  </si>
  <si>
    <t>95,50</t>
  </si>
  <si>
    <t>142,5</t>
  </si>
  <si>
    <t>Открытая (26.01.1993)/31</t>
  </si>
  <si>
    <t>Открытая (28.04.1967)/56</t>
  </si>
  <si>
    <t>Мастера 50-59 (28.04.1967)/56</t>
  </si>
  <si>
    <t xml:space="preserve">Леньшин Георгий </t>
  </si>
  <si>
    <t>Юниоры (23.05.2001)/22</t>
  </si>
  <si>
    <t>101,00</t>
  </si>
  <si>
    <t>Юниоры (16.11.2002)/21</t>
  </si>
  <si>
    <t xml:space="preserve">Зубричев Алексей </t>
  </si>
  <si>
    <t>Мастера 50-59 (01.03.1972)/52</t>
  </si>
  <si>
    <t>107,40</t>
  </si>
  <si>
    <t xml:space="preserve">Зайцев Артем </t>
  </si>
  <si>
    <t>Открытая (30.10.1990)/33</t>
  </si>
  <si>
    <t>115,50</t>
  </si>
  <si>
    <t>177,5</t>
  </si>
  <si>
    <t xml:space="preserve">Мастера 60-69 </t>
  </si>
  <si>
    <t>Жамкочян Диана</t>
  </si>
  <si>
    <t>Щелканова Инна</t>
  </si>
  <si>
    <t>Писарева Елизавета</t>
  </si>
  <si>
    <t>Винтоняк Юлия</t>
  </si>
  <si>
    <t>Погудина Ирина</t>
  </si>
  <si>
    <t>Леонтьева Алиса</t>
  </si>
  <si>
    <t>Иванов Сергей</t>
  </si>
  <si>
    <t>Гордеев Егор</t>
  </si>
  <si>
    <t>Князев Владислав</t>
  </si>
  <si>
    <t>Головастиков Всеволод</t>
  </si>
  <si>
    <t>Архипов Антон</t>
  </si>
  <si>
    <t>Лахнов Арсений</t>
  </si>
  <si>
    <t>Мацокин Даниил</t>
  </si>
  <si>
    <t>Роздин Владислав</t>
  </si>
  <si>
    <t>Фёдоров Сергей</t>
  </si>
  <si>
    <t>Рынчаковский Николай</t>
  </si>
  <si>
    <t>Безъязыков Илья</t>
  </si>
  <si>
    <t>Шипачев Даниил</t>
  </si>
  <si>
    <t>Беликов Виталий</t>
  </si>
  <si>
    <t>Бачек Борис</t>
  </si>
  <si>
    <t>Леньшин Георгий</t>
  </si>
  <si>
    <t>Новиков Михаил</t>
  </si>
  <si>
    <t>Зубричев Алексей</t>
  </si>
  <si>
    <t>Зайцев Артем</t>
  </si>
  <si>
    <t>ВЕСОВАЯ КАТЕГОРИЯ   48</t>
  </si>
  <si>
    <t>Юниорки (07.04.2003)/21</t>
  </si>
  <si>
    <t>45,90</t>
  </si>
  <si>
    <t>35,0</t>
  </si>
  <si>
    <t>Михайлова Светлана</t>
  </si>
  <si>
    <t>Юниоры (12.10.2001)/22</t>
  </si>
  <si>
    <t>88,60</t>
  </si>
  <si>
    <t>Открытая (17.02.1984)/40</t>
  </si>
  <si>
    <t>106,50</t>
  </si>
  <si>
    <t>305,0</t>
  </si>
  <si>
    <t>Мастера 40-49 (17.02.1984)/40</t>
  </si>
  <si>
    <t>Скубьев Алексей</t>
  </si>
  <si>
    <t>Русин Андрей</t>
  </si>
  <si>
    <t>Юниоры (29.12.2003)/20</t>
  </si>
  <si>
    <t>Юноши 14-16 (02.10.2009)/14</t>
  </si>
  <si>
    <t>61,60</t>
  </si>
  <si>
    <t>Каргашин Василий</t>
  </si>
  <si>
    <t>Ссмостоятельно</t>
  </si>
  <si>
    <t>Никитин Дмитрий</t>
  </si>
  <si>
    <t>Носков Евгений</t>
  </si>
  <si>
    <t>Швецов Евгений</t>
  </si>
  <si>
    <t>Весовая категория</t>
  </si>
  <si>
    <t>Телешев Алексей</t>
  </si>
  <si>
    <t>Щегрин Николай</t>
  </si>
  <si>
    <t>Балданов Баир</t>
  </si>
  <si>
    <t>Открытый мастерский турнир, посвященный памяти Семенова Константина
WRPF Пауэрлифтинг без экипировки ДК
Чита/Забайкальский край, 20 апреля 2024 года</t>
  </si>
  <si>
    <t>Открытый мастерский турнир, посвященный памяти Семенова Константина
WRPF Пауэрлифтинг без экипировки
Чита/Забайкальский край, 20 апреля 2024 года</t>
  </si>
  <si>
    <t>Открытый мастерский турнир, посвященный памяти Семенова Константина
WRPF Пауэрлифтинг классический в бинтах
Чита/Забайкальский край, 20 апреля 2024 года</t>
  </si>
  <si>
    <t>Открытый мастерский турнир, посвященный памяти Семенова Константина
WRPF Силовое двоеборье без экипировки ДК
Чита/Забайкальский край, 20 апреля 2024 года</t>
  </si>
  <si>
    <t>Открытый мастерский турнир, посвященный памяти Семенова Константина
WRPF Жим лежа без экипировки ДК
Чита/Забайкальский край, 20 апреля 2024 года</t>
  </si>
  <si>
    <t>Открытый мастерский турнир, посвященный памяти Семенова Константина
WRPF Жим лежа без экипировки
Чита/Забайкальский край, 20 апреля 2024 года</t>
  </si>
  <si>
    <t>Открытый мастерский турнир, посвященный памяти Семенова Константина
WEPF Жим лежа в однопетельной софт экипировке ДК
Чита/Забайкальский край, 20 апреля 2024 года</t>
  </si>
  <si>
    <t>Открытый мастерский турнир, посвященный памяти Семенова Константина
WEPF Жим лежа в многопетельной софт экипировке
Чита/Забайкальский край, 20 апреля 2024 года</t>
  </si>
  <si>
    <t>Открытый мастерский турнир, посвященный памяти Семенова Константина
WRPF Военный жим лежа с ДК
Чита/Забайкальский край, 20 апреля 2024 года</t>
  </si>
  <si>
    <t>Открытый мастерский турнир, посвященный памяти Семенова Константина
WRPF Военный жим лежа
Чита/Забайкальский край, 20 апреля 2024 года</t>
  </si>
  <si>
    <t>Открытый мастерский турнир, посвященный памяти Семенова Константина
WRPF Становая тяга без экипировки ДК
Чита/Забайкальский край, 20 апреля 2024 года</t>
  </si>
  <si>
    <t>Открытый мастерский турнир, посвященный памяти Семенова Константина
WRPF Становая тяга без экипировки
Чита/Забайкальский край, 20 апреля 2024 года</t>
  </si>
  <si>
    <t>Открытый мастерский турнир, посвященный памяти Семенова Константина
WRPF Строгий подъем штанги на бицепс ДК
Чита/Забайкальский край, 20 апреля 2024 года</t>
  </si>
  <si>
    <t>Открытый мастерский турнир, посвященный памяти Семенова Константина
WRPF Строгий подъем штанги на бицепс
Чита/Забайкальский край, 20 апреля 2024 года</t>
  </si>
  <si>
    <t>Мастера 40-49 (29.11.1983)/40</t>
  </si>
  <si>
    <t>Юноши 13-19 (09.02.2007)/17</t>
  </si>
  <si>
    <t>Юноши 13-19 (07.11.2007)/16</t>
  </si>
  <si>
    <t>Юноши 13-19 (20.09.2007)/16</t>
  </si>
  <si>
    <t>Юноши 13-19 (07.11.2004)/19</t>
  </si>
  <si>
    <t>Юноши 13-19 (09.12.2007)/16</t>
  </si>
  <si>
    <t>Юноши 13-19 (24.10.2008)/15</t>
  </si>
  <si>
    <t>Юниоры 20-23 (29.12.2003)/20</t>
  </si>
  <si>
    <t>Юноши 13-19 (01.11.2004)/19</t>
  </si>
  <si>
    <t>Юноши 13-19 (18.04.2006)/18</t>
  </si>
  <si>
    <t>Юноши 13-19 (13.12.2006)/17</t>
  </si>
  <si>
    <t>Юноши 13-19 (20.07.2007)/16</t>
  </si>
  <si>
    <t>Юниоры 20-23 (12.06.2003)/20</t>
  </si>
  <si>
    <t>Росссия, Пензенская область, Пенза</t>
  </si>
  <si>
    <t>№</t>
  </si>
  <si>
    <t>Забайкальский край, Чита</t>
  </si>
  <si>
    <t xml:space="preserve">Забайкальский край, Даурия </t>
  </si>
  <si>
    <t>Московская область, Серпухов</t>
  </si>
  <si>
    <t>Забайкальский край, Приаргунск</t>
  </si>
  <si>
    <t>Саратовская область, Саратов</t>
  </si>
  <si>
    <t>Забайкальский край, Краснокаменск</t>
  </si>
  <si>
    <t>Пензенская область, Пенза</t>
  </si>
  <si>
    <t>Забайкальский край, Шилка</t>
  </si>
  <si>
    <t>Забайкальский крй, Приаргунск</t>
  </si>
  <si>
    <t xml:space="preserve"> </t>
  </si>
  <si>
    <t>жим</t>
  </si>
  <si>
    <t xml:space="preserve">
Дата рождения/Возраст</t>
  </si>
  <si>
    <t>Возрастная группа</t>
  </si>
  <si>
    <t>O</t>
  </si>
  <si>
    <t>T2</t>
  </si>
  <si>
    <t>T1</t>
  </si>
  <si>
    <t>J</t>
  </si>
  <si>
    <t>M2</t>
  </si>
  <si>
    <t>M1</t>
  </si>
  <si>
    <t>M3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</si>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</sst>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0" fontId="0" fillId="0" borderId="24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29"/>
  <sheetViews>
    <sheetView workbookViewId="0">
      <selection activeCell="E30" sqref="E30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5" style="5" bestFit="1" customWidth="1"/>
    <col min="4" max="4" width="13.6640625" style="5" bestFit="1" customWidth="1"/>
    <col min="5" max="5" width="10.5" style="16" bestFit="1" customWidth="1"/>
    <col min="6" max="6" width="29.33203125" style="5" customWidth="1"/>
    <col min="7" max="7" width="5.6640625" style="25" bestFit="1" customWidth="1"/>
    <col min="8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7" width="5.5" style="25" customWidth="1"/>
    <col min="18" max="18" width="4.83203125" style="25" customWidth="1"/>
    <col min="19" max="19" width="7.83203125" style="26" bestFit="1" customWidth="1"/>
    <col min="20" max="20" width="8.5" style="24" bestFit="1" customWidth="1"/>
    <col min="21" max="21" width="19" style="5" customWidth="1"/>
    <col min="22" max="16384" width="9.1640625" style="3"/>
  </cols>
  <sheetData>
    <row r="1" spans="1:21" s="2" customFormat="1" ht="29" customHeight="1">
      <c r="A1" s="80" t="s">
        <v>400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</row>
    <row r="2" spans="1:21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</row>
    <row r="3" spans="1:21" s="1" customFormat="1" ht="12.75" customHeight="1">
      <c r="A3" s="88" t="s">
        <v>428</v>
      </c>
      <c r="B3" s="70" t="s">
        <v>0</v>
      </c>
      <c r="C3" s="90" t="s">
        <v>440</v>
      </c>
      <c r="D3" s="90" t="s">
        <v>6</v>
      </c>
      <c r="E3" s="92" t="s">
        <v>441</v>
      </c>
      <c r="F3" s="94" t="s">
        <v>5</v>
      </c>
      <c r="G3" s="94" t="s">
        <v>131</v>
      </c>
      <c r="H3" s="94"/>
      <c r="I3" s="94"/>
      <c r="J3" s="94"/>
      <c r="K3" s="94" t="s">
        <v>132</v>
      </c>
      <c r="L3" s="94"/>
      <c r="M3" s="94"/>
      <c r="N3" s="94"/>
      <c r="O3" s="94" t="s">
        <v>133</v>
      </c>
      <c r="P3" s="94"/>
      <c r="Q3" s="94"/>
      <c r="R3" s="94"/>
      <c r="S3" s="72" t="s">
        <v>1</v>
      </c>
      <c r="T3" s="74" t="s">
        <v>3</v>
      </c>
      <c r="U3" s="76" t="s">
        <v>2</v>
      </c>
    </row>
    <row r="4" spans="1:21" s="1" customFormat="1" ht="21" customHeight="1" thickBot="1">
      <c r="A4" s="89"/>
      <c r="B4" s="71"/>
      <c r="C4" s="91"/>
      <c r="D4" s="91"/>
      <c r="E4" s="93"/>
      <c r="F4" s="9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3"/>
      <c r="T4" s="75"/>
      <c r="U4" s="77"/>
    </row>
    <row r="5" spans="1:21" ht="16">
      <c r="A5" s="78" t="s">
        <v>46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21">
      <c r="A6" s="27" t="s">
        <v>40</v>
      </c>
      <c r="B6" s="7" t="s">
        <v>105</v>
      </c>
      <c r="C6" s="7" t="s">
        <v>47</v>
      </c>
      <c r="D6" s="7" t="s">
        <v>48</v>
      </c>
      <c r="E6" s="8" t="s">
        <v>442</v>
      </c>
      <c r="F6" s="7" t="s">
        <v>429</v>
      </c>
      <c r="G6" s="28" t="s">
        <v>21</v>
      </c>
      <c r="H6" s="28" t="s">
        <v>16</v>
      </c>
      <c r="I6" s="29" t="s">
        <v>22</v>
      </c>
      <c r="J6" s="27"/>
      <c r="K6" s="28" t="s">
        <v>59</v>
      </c>
      <c r="L6" s="28" t="s">
        <v>62</v>
      </c>
      <c r="M6" s="29" t="s">
        <v>60</v>
      </c>
      <c r="N6" s="27"/>
      <c r="O6" s="28" t="s">
        <v>161</v>
      </c>
      <c r="P6" s="28" t="s">
        <v>155</v>
      </c>
      <c r="Q6" s="28" t="s">
        <v>200</v>
      </c>
      <c r="R6" s="27"/>
      <c r="S6" s="42" t="str">
        <f>"255,0"</f>
        <v>255,0</v>
      </c>
      <c r="T6" s="63" t="str">
        <f>"322,6770"</f>
        <v>322,6770</v>
      </c>
      <c r="U6" s="7" t="s">
        <v>438</v>
      </c>
    </row>
    <row r="8" spans="1:21" ht="16">
      <c r="A8" s="68" t="s">
        <v>50</v>
      </c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21">
      <c r="A9" s="47" t="s">
        <v>40</v>
      </c>
      <c r="B9" s="10" t="s">
        <v>247</v>
      </c>
      <c r="C9" s="48" t="s">
        <v>219</v>
      </c>
      <c r="D9" s="10" t="s">
        <v>52</v>
      </c>
      <c r="E9" s="49" t="s">
        <v>442</v>
      </c>
      <c r="F9" s="10" t="s">
        <v>429</v>
      </c>
      <c r="G9" s="50" t="s">
        <v>161</v>
      </c>
      <c r="H9" s="31" t="s">
        <v>220</v>
      </c>
      <c r="I9" s="51" t="s">
        <v>221</v>
      </c>
      <c r="J9" s="30"/>
      <c r="K9" s="50" t="s">
        <v>12</v>
      </c>
      <c r="L9" s="31" t="s">
        <v>68</v>
      </c>
      <c r="M9" s="50" t="s">
        <v>88</v>
      </c>
      <c r="N9" s="30"/>
      <c r="O9" s="50" t="s">
        <v>161</v>
      </c>
      <c r="P9" s="31" t="s">
        <v>200</v>
      </c>
      <c r="Q9" s="51" t="s">
        <v>167</v>
      </c>
      <c r="R9" s="30"/>
      <c r="S9" s="52" t="str">
        <f>"320,0"</f>
        <v>320,0</v>
      </c>
      <c r="T9" s="64" t="str">
        <f>"356,7680"</f>
        <v>356,7680</v>
      </c>
      <c r="U9" s="53" t="s">
        <v>394</v>
      </c>
    </row>
    <row r="10" spans="1:21">
      <c r="A10" s="54" t="s">
        <v>40</v>
      </c>
      <c r="B10" s="36" t="s">
        <v>106</v>
      </c>
      <c r="C10" s="5" t="s">
        <v>51</v>
      </c>
      <c r="D10" s="36" t="s">
        <v>52</v>
      </c>
      <c r="E10" s="16" t="s">
        <v>442</v>
      </c>
      <c r="F10" s="36" t="s">
        <v>429</v>
      </c>
      <c r="G10" s="45" t="s">
        <v>150</v>
      </c>
      <c r="H10" s="40" t="s">
        <v>155</v>
      </c>
      <c r="I10" s="45" t="s">
        <v>221</v>
      </c>
      <c r="J10" s="39"/>
      <c r="K10" s="45" t="s">
        <v>68</v>
      </c>
      <c r="L10" s="40" t="s">
        <v>21</v>
      </c>
      <c r="M10" s="46" t="s">
        <v>16</v>
      </c>
      <c r="N10" s="39"/>
      <c r="O10" s="45" t="s">
        <v>155</v>
      </c>
      <c r="P10" s="40" t="s">
        <v>156</v>
      </c>
      <c r="Q10" s="45" t="s">
        <v>139</v>
      </c>
      <c r="R10" s="39"/>
      <c r="S10" s="26" t="str">
        <f>"342,5"</f>
        <v>342,5</v>
      </c>
      <c r="T10" s="66">
        <v>381.85329999999999</v>
      </c>
      <c r="U10" s="55" t="s">
        <v>438</v>
      </c>
    </row>
    <row r="11" spans="1:21">
      <c r="A11" s="54" t="s">
        <v>43</v>
      </c>
      <c r="B11" s="36" t="s">
        <v>247</v>
      </c>
      <c r="C11" s="5" t="s">
        <v>222</v>
      </c>
      <c r="D11" s="36" t="s">
        <v>52</v>
      </c>
      <c r="E11" s="16" t="s">
        <v>442</v>
      </c>
      <c r="F11" s="36" t="s">
        <v>429</v>
      </c>
      <c r="G11" s="45" t="s">
        <v>161</v>
      </c>
      <c r="H11" s="40" t="s">
        <v>220</v>
      </c>
      <c r="I11" s="46" t="s">
        <v>221</v>
      </c>
      <c r="J11" s="39"/>
      <c r="K11" s="45" t="s">
        <v>12</v>
      </c>
      <c r="L11" s="40" t="s">
        <v>68</v>
      </c>
      <c r="M11" s="45" t="s">
        <v>88</v>
      </c>
      <c r="N11" s="39"/>
      <c r="O11" s="45" t="s">
        <v>161</v>
      </c>
      <c r="P11" s="40" t="s">
        <v>200</v>
      </c>
      <c r="Q11" s="46" t="s">
        <v>167</v>
      </c>
      <c r="R11" s="39"/>
      <c r="S11" s="26" t="str">
        <f>"320,0"</f>
        <v>320,0</v>
      </c>
      <c r="T11" s="66" t="str">
        <f>"356,7680"</f>
        <v>356,7680</v>
      </c>
      <c r="U11" s="55" t="s">
        <v>394</v>
      </c>
    </row>
    <row r="12" spans="1:21">
      <c r="A12" s="56" t="s">
        <v>109</v>
      </c>
      <c r="B12" s="13" t="s">
        <v>248</v>
      </c>
      <c r="C12" s="57" t="s">
        <v>223</v>
      </c>
      <c r="D12" s="13" t="s">
        <v>224</v>
      </c>
      <c r="E12" s="58" t="s">
        <v>442</v>
      </c>
      <c r="F12" s="13" t="s">
        <v>429</v>
      </c>
      <c r="G12" s="59" t="s">
        <v>26</v>
      </c>
      <c r="H12" s="34" t="s">
        <v>27</v>
      </c>
      <c r="I12" s="59" t="s">
        <v>18</v>
      </c>
      <c r="J12" s="33"/>
      <c r="K12" s="59" t="s">
        <v>225</v>
      </c>
      <c r="L12" s="34" t="s">
        <v>59</v>
      </c>
      <c r="M12" s="59" t="s">
        <v>62</v>
      </c>
      <c r="N12" s="33"/>
      <c r="O12" s="59" t="s">
        <v>200</v>
      </c>
      <c r="P12" s="34" t="s">
        <v>226</v>
      </c>
      <c r="Q12" s="60" t="s">
        <v>139</v>
      </c>
      <c r="R12" s="33"/>
      <c r="S12" s="61" t="str">
        <f>"282,5"</f>
        <v>282,5</v>
      </c>
      <c r="T12" s="65" t="str">
        <f>"320,7787"</f>
        <v>320,7787</v>
      </c>
      <c r="U12" s="62" t="s">
        <v>438</v>
      </c>
    </row>
    <row r="14" spans="1:21" ht="16">
      <c r="A14" s="68" t="s">
        <v>64</v>
      </c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1:21">
      <c r="A15" s="30" t="s">
        <v>40</v>
      </c>
      <c r="B15" s="10" t="s">
        <v>249</v>
      </c>
      <c r="C15" s="10" t="s">
        <v>227</v>
      </c>
      <c r="D15" s="10" t="s">
        <v>75</v>
      </c>
      <c r="E15" s="11" t="s">
        <v>443</v>
      </c>
      <c r="F15" s="10" t="s">
        <v>429</v>
      </c>
      <c r="G15" s="31" t="s">
        <v>156</v>
      </c>
      <c r="H15" s="31" t="s">
        <v>139</v>
      </c>
      <c r="I15" s="31" t="s">
        <v>159</v>
      </c>
      <c r="J15" s="30"/>
      <c r="K15" s="31" t="s">
        <v>17</v>
      </c>
      <c r="L15" s="31" t="s">
        <v>228</v>
      </c>
      <c r="M15" s="32" t="s">
        <v>18</v>
      </c>
      <c r="N15" s="30"/>
      <c r="O15" s="31" t="s">
        <v>229</v>
      </c>
      <c r="P15" s="31" t="s">
        <v>230</v>
      </c>
      <c r="Q15" s="31" t="s">
        <v>231</v>
      </c>
      <c r="R15" s="30"/>
      <c r="S15" s="43" t="str">
        <f>"457,5"</f>
        <v>457,5</v>
      </c>
      <c r="T15" s="64" t="str">
        <f>"328,4392"</f>
        <v>328,4392</v>
      </c>
      <c r="U15" s="10" t="s">
        <v>395</v>
      </c>
    </row>
    <row r="16" spans="1:21">
      <c r="A16" s="33" t="s">
        <v>43</v>
      </c>
      <c r="B16" s="13" t="s">
        <v>250</v>
      </c>
      <c r="C16" s="13" t="s">
        <v>232</v>
      </c>
      <c r="D16" s="13" t="s">
        <v>233</v>
      </c>
      <c r="E16" s="14" t="s">
        <v>443</v>
      </c>
      <c r="F16" s="13" t="s">
        <v>429</v>
      </c>
      <c r="G16" s="34" t="s">
        <v>200</v>
      </c>
      <c r="H16" s="34" t="s">
        <v>167</v>
      </c>
      <c r="I16" s="34" t="s">
        <v>139</v>
      </c>
      <c r="J16" s="33"/>
      <c r="K16" s="34" t="s">
        <v>17</v>
      </c>
      <c r="L16" s="34" t="s">
        <v>228</v>
      </c>
      <c r="M16" s="34" t="s">
        <v>18</v>
      </c>
      <c r="N16" s="33"/>
      <c r="O16" s="34" t="s">
        <v>162</v>
      </c>
      <c r="P16" s="35" t="s">
        <v>163</v>
      </c>
      <c r="Q16" s="35" t="s">
        <v>163</v>
      </c>
      <c r="R16" s="33"/>
      <c r="S16" s="44" t="str">
        <f>"420,0"</f>
        <v>420,0</v>
      </c>
      <c r="T16" s="65" t="str">
        <f>"314,7480"</f>
        <v>314,7480</v>
      </c>
      <c r="U16" s="13" t="s">
        <v>395</v>
      </c>
    </row>
    <row r="18" spans="1:21" ht="16">
      <c r="A18" s="68" t="s">
        <v>91</v>
      </c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</row>
    <row r="19" spans="1:21">
      <c r="A19" s="30" t="s">
        <v>40</v>
      </c>
      <c r="B19" s="10" t="s">
        <v>251</v>
      </c>
      <c r="C19" s="10" t="s">
        <v>234</v>
      </c>
      <c r="D19" s="10" t="s">
        <v>235</v>
      </c>
      <c r="E19" s="11" t="s">
        <v>444</v>
      </c>
      <c r="F19" s="10" t="s">
        <v>429</v>
      </c>
      <c r="G19" s="31" t="s">
        <v>148</v>
      </c>
      <c r="H19" s="31" t="s">
        <v>162</v>
      </c>
      <c r="I19" s="31" t="s">
        <v>163</v>
      </c>
      <c r="J19" s="30"/>
      <c r="K19" s="32" t="s">
        <v>161</v>
      </c>
      <c r="L19" s="31" t="s">
        <v>161</v>
      </c>
      <c r="M19" s="32" t="s">
        <v>155</v>
      </c>
      <c r="N19" s="30"/>
      <c r="O19" s="31" t="s">
        <v>163</v>
      </c>
      <c r="P19" s="31" t="s">
        <v>236</v>
      </c>
      <c r="Q19" s="32" t="s">
        <v>194</v>
      </c>
      <c r="R19" s="30"/>
      <c r="S19" s="43" t="str">
        <f>"507,5"</f>
        <v>507,5</v>
      </c>
      <c r="T19" s="64" t="str">
        <f>"326,2210"</f>
        <v>326,2210</v>
      </c>
      <c r="U19" s="10" t="s">
        <v>438</v>
      </c>
    </row>
    <row r="20" spans="1:21">
      <c r="A20" s="33" t="s">
        <v>252</v>
      </c>
      <c r="B20" s="13" t="s">
        <v>253</v>
      </c>
      <c r="C20" s="13" t="s">
        <v>237</v>
      </c>
      <c r="D20" s="13" t="s">
        <v>238</v>
      </c>
      <c r="E20" s="14" t="s">
        <v>442</v>
      </c>
      <c r="F20" s="13" t="s">
        <v>429</v>
      </c>
      <c r="G20" s="35" t="s">
        <v>160</v>
      </c>
      <c r="H20" s="35" t="s">
        <v>160</v>
      </c>
      <c r="I20" s="35" t="s">
        <v>160</v>
      </c>
      <c r="J20" s="33"/>
      <c r="K20" s="35"/>
      <c r="L20" s="33"/>
      <c r="M20" s="33"/>
      <c r="N20" s="33"/>
      <c r="O20" s="35"/>
      <c r="P20" s="33"/>
      <c r="Q20" s="33"/>
      <c r="R20" s="33"/>
      <c r="S20" s="44">
        <v>0</v>
      </c>
      <c r="T20" s="65" t="str">
        <f>"0,0000"</f>
        <v>0,0000</v>
      </c>
      <c r="U20" s="13" t="s">
        <v>438</v>
      </c>
    </row>
    <row r="22" spans="1:21" ht="16">
      <c r="A22" s="68" t="s">
        <v>13</v>
      </c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  <row r="23" spans="1:21">
      <c r="A23" s="27" t="s">
        <v>40</v>
      </c>
      <c r="B23" s="7" t="s">
        <v>254</v>
      </c>
      <c r="C23" s="7" t="s">
        <v>239</v>
      </c>
      <c r="D23" s="7" t="s">
        <v>240</v>
      </c>
      <c r="E23" s="8" t="s">
        <v>445</v>
      </c>
      <c r="F23" s="7" t="s">
        <v>429</v>
      </c>
      <c r="G23" s="28" t="s">
        <v>195</v>
      </c>
      <c r="H23" s="29" t="s">
        <v>151</v>
      </c>
      <c r="I23" s="28" t="s">
        <v>151</v>
      </c>
      <c r="J23" s="27"/>
      <c r="K23" s="28" t="s">
        <v>139</v>
      </c>
      <c r="L23" s="29" t="s">
        <v>241</v>
      </c>
      <c r="M23" s="29" t="s">
        <v>241</v>
      </c>
      <c r="N23" s="27"/>
      <c r="O23" s="28" t="s">
        <v>162</v>
      </c>
      <c r="P23" s="28" t="s">
        <v>163</v>
      </c>
      <c r="Q23" s="28" t="s">
        <v>136</v>
      </c>
      <c r="R23" s="27"/>
      <c r="S23" s="42" t="str">
        <f>"555,0"</f>
        <v>555,0</v>
      </c>
      <c r="T23" s="63" t="str">
        <f>"346,8750"</f>
        <v>346,8750</v>
      </c>
      <c r="U23" s="7" t="s">
        <v>45</v>
      </c>
    </row>
    <row r="25" spans="1:21" ht="16">
      <c r="A25" s="68" t="s">
        <v>178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1:21">
      <c r="A26" s="27" t="s">
        <v>40</v>
      </c>
      <c r="B26" s="7" t="s">
        <v>255</v>
      </c>
      <c r="C26" s="7" t="s">
        <v>242</v>
      </c>
      <c r="D26" s="7" t="s">
        <v>243</v>
      </c>
      <c r="E26" s="8" t="s">
        <v>443</v>
      </c>
      <c r="F26" s="7" t="s">
        <v>429</v>
      </c>
      <c r="G26" s="28" t="s">
        <v>148</v>
      </c>
      <c r="H26" s="28" t="s">
        <v>162</v>
      </c>
      <c r="I26" s="28" t="s">
        <v>163</v>
      </c>
      <c r="J26" s="27"/>
      <c r="K26" s="28" t="s">
        <v>161</v>
      </c>
      <c r="L26" s="28" t="s">
        <v>220</v>
      </c>
      <c r="M26" s="28" t="s">
        <v>221</v>
      </c>
      <c r="N26" s="27"/>
      <c r="O26" s="28" t="s">
        <v>195</v>
      </c>
      <c r="P26" s="28" t="s">
        <v>137</v>
      </c>
      <c r="Q26" s="29" t="s">
        <v>181</v>
      </c>
      <c r="R26" s="27"/>
      <c r="S26" s="42" t="str">
        <f>"537,5"</f>
        <v>537,5</v>
      </c>
      <c r="T26" s="63" t="str">
        <f>"320,3500"</f>
        <v>320,3500</v>
      </c>
      <c r="U26" s="7" t="s">
        <v>438</v>
      </c>
    </row>
    <row r="28" spans="1:21" ht="16">
      <c r="A28" s="68" t="s">
        <v>23</v>
      </c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</row>
    <row r="29" spans="1:21">
      <c r="A29" s="27" t="s">
        <v>40</v>
      </c>
      <c r="B29" s="7" t="s">
        <v>256</v>
      </c>
      <c r="C29" s="7" t="s">
        <v>245</v>
      </c>
      <c r="D29" s="7" t="s">
        <v>246</v>
      </c>
      <c r="E29" s="8" t="s">
        <v>442</v>
      </c>
      <c r="F29" s="7" t="s">
        <v>429</v>
      </c>
      <c r="G29" s="28" t="s">
        <v>186</v>
      </c>
      <c r="H29" s="28" t="s">
        <v>172</v>
      </c>
      <c r="I29" s="29" t="s">
        <v>173</v>
      </c>
      <c r="J29" s="27"/>
      <c r="K29" s="28" t="s">
        <v>174</v>
      </c>
      <c r="L29" s="28" t="s">
        <v>188</v>
      </c>
      <c r="M29" s="28" t="s">
        <v>136</v>
      </c>
      <c r="N29" s="27"/>
      <c r="O29" s="28" t="s">
        <v>172</v>
      </c>
      <c r="P29" s="28" t="s">
        <v>143</v>
      </c>
      <c r="Q29" s="29" t="s">
        <v>189</v>
      </c>
      <c r="R29" s="27"/>
      <c r="S29" s="42" t="str">
        <f>"735,0"</f>
        <v>735,0</v>
      </c>
      <c r="T29" s="63" t="str">
        <f>"425,3445"</f>
        <v>425,3445</v>
      </c>
      <c r="U29" s="7" t="s">
        <v>438</v>
      </c>
    </row>
  </sheetData>
  <mergeCells count="20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5:R25"/>
    <mergeCell ref="A28:R28"/>
    <mergeCell ref="B3:B4"/>
    <mergeCell ref="A8:R8"/>
    <mergeCell ref="A14:R14"/>
    <mergeCell ref="A18:R18"/>
    <mergeCell ref="A22:R2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8"/>
  <sheetViews>
    <sheetView workbookViewId="0">
      <selection activeCell="D33" sqref="D33"/>
    </sheetView>
  </sheetViews>
  <sheetFormatPr baseColWidth="10" defaultColWidth="9.1640625" defaultRowHeight="13"/>
  <cols>
    <col min="1" max="1" width="7.5" style="5" bestFit="1" customWidth="1"/>
    <col min="2" max="2" width="15.6640625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35.6640625" style="5" customWidth="1"/>
    <col min="7" max="9" width="5.6640625" style="25" bestFit="1" customWidth="1"/>
    <col min="10" max="10" width="4.33203125" style="25" bestFit="1" customWidth="1"/>
    <col min="11" max="11" width="10.5" style="6" bestFit="1" customWidth="1"/>
    <col min="12" max="12" width="8.664062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80" t="s">
        <v>409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428</v>
      </c>
      <c r="B3" s="70" t="s">
        <v>0</v>
      </c>
      <c r="C3" s="90" t="s">
        <v>440</v>
      </c>
      <c r="D3" s="90" t="s">
        <v>6</v>
      </c>
      <c r="E3" s="92" t="s">
        <v>441</v>
      </c>
      <c r="F3" s="94" t="s">
        <v>5</v>
      </c>
      <c r="G3" s="94" t="s">
        <v>132</v>
      </c>
      <c r="H3" s="94"/>
      <c r="I3" s="94"/>
      <c r="J3" s="94"/>
      <c r="K3" s="92" t="s">
        <v>39</v>
      </c>
      <c r="L3" s="92" t="s">
        <v>3</v>
      </c>
      <c r="M3" s="76" t="s">
        <v>2</v>
      </c>
    </row>
    <row r="4" spans="1:13" s="1" customFormat="1" ht="21" customHeight="1" thickBot="1">
      <c r="A4" s="89"/>
      <c r="B4" s="71"/>
      <c r="C4" s="91"/>
      <c r="D4" s="91"/>
      <c r="E4" s="93"/>
      <c r="F4" s="91"/>
      <c r="G4" s="4">
        <v>1</v>
      </c>
      <c r="H4" s="4">
        <v>2</v>
      </c>
      <c r="I4" s="4">
        <v>3</v>
      </c>
      <c r="J4" s="4" t="s">
        <v>4</v>
      </c>
      <c r="K4" s="93"/>
      <c r="L4" s="93"/>
      <c r="M4" s="77"/>
    </row>
    <row r="5" spans="1:13" ht="16">
      <c r="A5" s="78" t="s">
        <v>178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7" t="s">
        <v>40</v>
      </c>
      <c r="B6" s="7" t="s">
        <v>213</v>
      </c>
      <c r="C6" s="7" t="s">
        <v>183</v>
      </c>
      <c r="D6" s="7" t="s">
        <v>184</v>
      </c>
      <c r="E6" s="8" t="s">
        <v>442</v>
      </c>
      <c r="F6" s="7" t="s">
        <v>432</v>
      </c>
      <c r="G6" s="28" t="s">
        <v>141</v>
      </c>
      <c r="H6" s="29" t="s">
        <v>166</v>
      </c>
      <c r="I6" s="28" t="s">
        <v>166</v>
      </c>
      <c r="J6" s="27"/>
      <c r="K6" s="9" t="str">
        <f>"175,0"</f>
        <v>175,0</v>
      </c>
      <c r="L6" s="9" t="str">
        <f>"103,2150"</f>
        <v>103,2150</v>
      </c>
      <c r="M6" s="7" t="s">
        <v>438</v>
      </c>
    </row>
    <row r="8" spans="1:13">
      <c r="E8" s="5"/>
      <c r="F8" s="16"/>
      <c r="G8" s="5"/>
      <c r="K8" s="25"/>
      <c r="M8" s="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9"/>
  <sheetViews>
    <sheetView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5" style="5" bestFit="1" customWidth="1"/>
    <col min="4" max="4" width="21.5" style="5" bestFit="1" customWidth="1"/>
    <col min="5" max="5" width="10.5" style="16" bestFit="1" customWidth="1"/>
    <col min="6" max="6" width="30.83203125" style="5" customWidth="1"/>
    <col min="7" max="7" width="5.6640625" style="25" bestFit="1" customWidth="1"/>
    <col min="8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18.5" style="5" customWidth="1"/>
    <col min="14" max="16384" width="9.1640625" style="3"/>
  </cols>
  <sheetData>
    <row r="1" spans="1:13" s="2" customFormat="1" ht="29" customHeight="1">
      <c r="A1" s="80" t="s">
        <v>410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428</v>
      </c>
      <c r="B3" s="70" t="s">
        <v>0</v>
      </c>
      <c r="C3" s="90" t="s">
        <v>440</v>
      </c>
      <c r="D3" s="90" t="s">
        <v>6</v>
      </c>
      <c r="E3" s="92" t="s">
        <v>441</v>
      </c>
      <c r="F3" s="94" t="s">
        <v>5</v>
      </c>
      <c r="G3" s="94" t="s">
        <v>133</v>
      </c>
      <c r="H3" s="94"/>
      <c r="I3" s="94"/>
      <c r="J3" s="94"/>
      <c r="K3" s="92" t="s">
        <v>39</v>
      </c>
      <c r="L3" s="92" t="s">
        <v>3</v>
      </c>
      <c r="M3" s="76" t="s">
        <v>2</v>
      </c>
    </row>
    <row r="4" spans="1:13" s="1" customFormat="1" ht="21" customHeight="1" thickBot="1">
      <c r="A4" s="89"/>
      <c r="B4" s="71"/>
      <c r="C4" s="91"/>
      <c r="D4" s="91"/>
      <c r="E4" s="93"/>
      <c r="F4" s="91"/>
      <c r="G4" s="4">
        <v>1</v>
      </c>
      <c r="H4" s="4">
        <v>2</v>
      </c>
      <c r="I4" s="4">
        <v>3</v>
      </c>
      <c r="J4" s="4" t="s">
        <v>4</v>
      </c>
      <c r="K4" s="93"/>
      <c r="L4" s="93"/>
      <c r="M4" s="77"/>
    </row>
    <row r="5" spans="1:13" ht="16">
      <c r="A5" s="78" t="s">
        <v>46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7" t="s">
        <v>40</v>
      </c>
      <c r="B6" s="7" t="s">
        <v>105</v>
      </c>
      <c r="C6" s="7" t="s">
        <v>47</v>
      </c>
      <c r="D6" s="7" t="s">
        <v>48</v>
      </c>
      <c r="E6" s="8" t="s">
        <v>442</v>
      </c>
      <c r="F6" s="7" t="s">
        <v>429</v>
      </c>
      <c r="G6" s="28" t="s">
        <v>161</v>
      </c>
      <c r="H6" s="28" t="s">
        <v>155</v>
      </c>
      <c r="I6" s="28" t="s">
        <v>200</v>
      </c>
      <c r="J6" s="27"/>
      <c r="K6" s="9" t="str">
        <f>"125,0"</f>
        <v>125,0</v>
      </c>
      <c r="L6" s="9" t="str">
        <f>"158,1750"</f>
        <v>158,1750</v>
      </c>
      <c r="M6" s="7" t="s">
        <v>438</v>
      </c>
    </row>
    <row r="8" spans="1:13" ht="16">
      <c r="A8" s="68" t="s">
        <v>50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30" t="s">
        <v>40</v>
      </c>
      <c r="B9" s="10" t="s">
        <v>247</v>
      </c>
      <c r="C9" s="10" t="s">
        <v>219</v>
      </c>
      <c r="D9" s="10" t="s">
        <v>52</v>
      </c>
      <c r="E9" s="11" t="s">
        <v>445</v>
      </c>
      <c r="F9" s="10" t="s">
        <v>429</v>
      </c>
      <c r="G9" s="31" t="s">
        <v>161</v>
      </c>
      <c r="H9" s="31" t="s">
        <v>200</v>
      </c>
      <c r="I9" s="32" t="s">
        <v>167</v>
      </c>
      <c r="J9" s="30"/>
      <c r="K9" s="12" t="str">
        <f>"125,0"</f>
        <v>125,0</v>
      </c>
      <c r="L9" s="12" t="str">
        <f>"139,3625"</f>
        <v>139,3625</v>
      </c>
      <c r="M9" s="10" t="s">
        <v>394</v>
      </c>
    </row>
    <row r="10" spans="1:13">
      <c r="A10" s="39" t="s">
        <v>40</v>
      </c>
      <c r="B10" s="36" t="s">
        <v>248</v>
      </c>
      <c r="C10" s="36" t="s">
        <v>223</v>
      </c>
      <c r="D10" s="36" t="s">
        <v>224</v>
      </c>
      <c r="E10" s="37" t="s">
        <v>442</v>
      </c>
      <c r="F10" s="36" t="s">
        <v>429</v>
      </c>
      <c r="G10" s="40" t="s">
        <v>200</v>
      </c>
      <c r="H10" s="40" t="s">
        <v>226</v>
      </c>
      <c r="I10" s="41" t="s">
        <v>139</v>
      </c>
      <c r="J10" s="39"/>
      <c r="K10" s="38" t="str">
        <f>"132,5"</f>
        <v>132,5</v>
      </c>
      <c r="L10" s="38" t="str">
        <f>"150,4537"</f>
        <v>150,4537</v>
      </c>
      <c r="M10" s="36" t="s">
        <v>438</v>
      </c>
    </row>
    <row r="11" spans="1:13">
      <c r="A11" s="33" t="s">
        <v>43</v>
      </c>
      <c r="B11" s="13" t="s">
        <v>247</v>
      </c>
      <c r="C11" s="13" t="s">
        <v>222</v>
      </c>
      <c r="D11" s="13" t="s">
        <v>52</v>
      </c>
      <c r="E11" s="14" t="s">
        <v>442</v>
      </c>
      <c r="F11" s="13" t="s">
        <v>429</v>
      </c>
      <c r="G11" s="34" t="s">
        <v>161</v>
      </c>
      <c r="H11" s="34" t="s">
        <v>200</v>
      </c>
      <c r="I11" s="35" t="s">
        <v>167</v>
      </c>
      <c r="J11" s="33"/>
      <c r="K11" s="15" t="str">
        <f>"125,0"</f>
        <v>125,0</v>
      </c>
      <c r="L11" s="15" t="str">
        <f>"139,3625"</f>
        <v>139,3625</v>
      </c>
      <c r="M11" s="13" t="s">
        <v>394</v>
      </c>
    </row>
    <row r="13" spans="1:13" ht="16">
      <c r="A13" s="68" t="s">
        <v>64</v>
      </c>
      <c r="B13" s="68"/>
      <c r="C13" s="69"/>
      <c r="D13" s="69"/>
      <c r="E13" s="69"/>
      <c r="F13" s="69"/>
      <c r="G13" s="69"/>
      <c r="H13" s="69"/>
      <c r="I13" s="69"/>
      <c r="J13" s="69"/>
    </row>
    <row r="14" spans="1:13">
      <c r="A14" s="30" t="s">
        <v>40</v>
      </c>
      <c r="B14" s="10" t="s">
        <v>249</v>
      </c>
      <c r="C14" s="10" t="s">
        <v>227</v>
      </c>
      <c r="D14" s="10" t="s">
        <v>75</v>
      </c>
      <c r="E14" s="11" t="s">
        <v>443</v>
      </c>
      <c r="F14" s="10" t="s">
        <v>429</v>
      </c>
      <c r="G14" s="31" t="s">
        <v>229</v>
      </c>
      <c r="H14" s="31" t="s">
        <v>230</v>
      </c>
      <c r="I14" s="31" t="s">
        <v>231</v>
      </c>
      <c r="J14" s="30"/>
      <c r="K14" s="12" t="str">
        <f>"212,5"</f>
        <v>212,5</v>
      </c>
      <c r="L14" s="12" t="str">
        <f>"152,5537"</f>
        <v>152,5537</v>
      </c>
      <c r="M14" s="10" t="s">
        <v>395</v>
      </c>
    </row>
    <row r="15" spans="1:13">
      <c r="A15" s="39" t="s">
        <v>43</v>
      </c>
      <c r="B15" s="36" t="s">
        <v>250</v>
      </c>
      <c r="C15" s="36" t="s">
        <v>232</v>
      </c>
      <c r="D15" s="36" t="s">
        <v>233</v>
      </c>
      <c r="E15" s="37" t="s">
        <v>443</v>
      </c>
      <c r="F15" s="36" t="s">
        <v>429</v>
      </c>
      <c r="G15" s="40" t="s">
        <v>162</v>
      </c>
      <c r="H15" s="41" t="s">
        <v>163</v>
      </c>
      <c r="I15" s="41" t="s">
        <v>163</v>
      </c>
      <c r="J15" s="39"/>
      <c r="K15" s="38" t="str">
        <f>"180,0"</f>
        <v>180,0</v>
      </c>
      <c r="L15" s="38" t="str">
        <f>"134,8920"</f>
        <v>134,8920</v>
      </c>
      <c r="M15" s="36" t="s">
        <v>395</v>
      </c>
    </row>
    <row r="16" spans="1:13">
      <c r="A16" s="33" t="s">
        <v>40</v>
      </c>
      <c r="B16" s="13" t="s">
        <v>114</v>
      </c>
      <c r="C16" s="13" t="s">
        <v>388</v>
      </c>
      <c r="D16" s="13" t="s">
        <v>71</v>
      </c>
      <c r="E16" s="14" t="s">
        <v>445</v>
      </c>
      <c r="F16" s="13" t="s">
        <v>427</v>
      </c>
      <c r="G16" s="34" t="s">
        <v>148</v>
      </c>
      <c r="H16" s="34" t="s">
        <v>187</v>
      </c>
      <c r="I16" s="34" t="s">
        <v>174</v>
      </c>
      <c r="J16" s="33"/>
      <c r="K16" s="15" t="str">
        <f>"185,0"</f>
        <v>185,0</v>
      </c>
      <c r="L16" s="15" t="str">
        <f>"132,5710"</f>
        <v>132,5710</v>
      </c>
      <c r="M16" s="13" t="s">
        <v>438</v>
      </c>
    </row>
    <row r="18" spans="1:13" ht="16">
      <c r="A18" s="68" t="s">
        <v>91</v>
      </c>
      <c r="B18" s="68"/>
      <c r="C18" s="69"/>
      <c r="D18" s="69"/>
      <c r="E18" s="69"/>
      <c r="F18" s="69"/>
      <c r="G18" s="69"/>
      <c r="H18" s="69"/>
      <c r="I18" s="69"/>
      <c r="J18" s="69"/>
    </row>
    <row r="19" spans="1:13">
      <c r="A19" s="30" t="s">
        <v>40</v>
      </c>
      <c r="B19" s="10" t="s">
        <v>251</v>
      </c>
      <c r="C19" s="10" t="s">
        <v>234</v>
      </c>
      <c r="D19" s="10" t="s">
        <v>235</v>
      </c>
      <c r="E19" s="11" t="s">
        <v>444</v>
      </c>
      <c r="F19" s="10" t="s">
        <v>429</v>
      </c>
      <c r="G19" s="31" t="s">
        <v>163</v>
      </c>
      <c r="H19" s="31" t="s">
        <v>236</v>
      </c>
      <c r="I19" s="32" t="s">
        <v>194</v>
      </c>
      <c r="J19" s="30"/>
      <c r="K19" s="12" t="str">
        <f>"202,5"</f>
        <v>202,5</v>
      </c>
      <c r="L19" s="12" t="str">
        <f>"130,1670"</f>
        <v>130,1670</v>
      </c>
      <c r="M19" s="10" t="s">
        <v>438</v>
      </c>
    </row>
    <row r="20" spans="1:13">
      <c r="A20" s="39" t="s">
        <v>40</v>
      </c>
      <c r="B20" s="36" t="s">
        <v>362</v>
      </c>
      <c r="C20" s="36" t="s">
        <v>314</v>
      </c>
      <c r="D20" s="36" t="s">
        <v>315</v>
      </c>
      <c r="E20" s="37" t="s">
        <v>443</v>
      </c>
      <c r="F20" s="36" t="s">
        <v>429</v>
      </c>
      <c r="G20" s="40" t="s">
        <v>163</v>
      </c>
      <c r="H20" s="40" t="s">
        <v>195</v>
      </c>
      <c r="I20" s="40" t="s">
        <v>151</v>
      </c>
      <c r="J20" s="39"/>
      <c r="K20" s="38" t="str">
        <f>"215,0"</f>
        <v>215,0</v>
      </c>
      <c r="L20" s="38" t="str">
        <f>"138,7825"</f>
        <v>138,7825</v>
      </c>
      <c r="M20" s="36" t="s">
        <v>399</v>
      </c>
    </row>
    <row r="21" spans="1:13">
      <c r="A21" s="33" t="s">
        <v>40</v>
      </c>
      <c r="B21" s="13" t="s">
        <v>128</v>
      </c>
      <c r="C21" s="13" t="s">
        <v>95</v>
      </c>
      <c r="D21" s="13" t="s">
        <v>96</v>
      </c>
      <c r="E21" s="14" t="s">
        <v>442</v>
      </c>
      <c r="F21" s="13" t="s">
        <v>429</v>
      </c>
      <c r="G21" s="34" t="s">
        <v>195</v>
      </c>
      <c r="H21" s="34" t="s">
        <v>151</v>
      </c>
      <c r="I21" s="35" t="s">
        <v>181</v>
      </c>
      <c r="J21" s="33"/>
      <c r="K21" s="15" t="str">
        <f>"215,0"</f>
        <v>215,0</v>
      </c>
      <c r="L21" s="15" t="str">
        <f>"138,2880"</f>
        <v>138,2880</v>
      </c>
      <c r="M21" s="13" t="s">
        <v>438</v>
      </c>
    </row>
    <row r="23" spans="1:13" ht="16">
      <c r="A23" s="68" t="s">
        <v>23</v>
      </c>
      <c r="B23" s="68"/>
      <c r="C23" s="69"/>
      <c r="D23" s="69"/>
      <c r="E23" s="69"/>
      <c r="F23" s="69"/>
      <c r="G23" s="69"/>
      <c r="H23" s="69"/>
      <c r="I23" s="69"/>
      <c r="J23" s="69"/>
    </row>
    <row r="24" spans="1:13">
      <c r="A24" s="27" t="s">
        <v>40</v>
      </c>
      <c r="B24" s="7" t="s">
        <v>256</v>
      </c>
      <c r="C24" s="7" t="s">
        <v>245</v>
      </c>
      <c r="D24" s="7" t="s">
        <v>246</v>
      </c>
      <c r="E24" s="8" t="s">
        <v>442</v>
      </c>
      <c r="F24" s="7" t="s">
        <v>429</v>
      </c>
      <c r="G24" s="28" t="s">
        <v>172</v>
      </c>
      <c r="H24" s="28" t="s">
        <v>143</v>
      </c>
      <c r="I24" s="29" t="s">
        <v>189</v>
      </c>
      <c r="J24" s="27"/>
      <c r="K24" s="9" t="str">
        <f>"275,0"</f>
        <v>275,0</v>
      </c>
      <c r="L24" s="9" t="str">
        <f>"159,1425"</f>
        <v>159,1425</v>
      </c>
      <c r="M24" s="7" t="s">
        <v>438</v>
      </c>
    </row>
    <row r="26" spans="1:13">
      <c r="C26" s="25"/>
      <c r="D26" s="25"/>
      <c r="E26" s="25"/>
      <c r="F26" s="6"/>
      <c r="G26" s="6"/>
      <c r="H26" s="3"/>
      <c r="I26" s="3"/>
      <c r="J26" s="3"/>
      <c r="K26" s="3"/>
      <c r="L26" s="3"/>
      <c r="M26" s="3"/>
    </row>
    <row r="27" spans="1:13">
      <c r="C27" s="25"/>
      <c r="D27" s="25"/>
      <c r="E27" s="25"/>
      <c r="F27" s="6"/>
      <c r="G27" s="6"/>
      <c r="H27" s="3"/>
      <c r="I27" s="3"/>
      <c r="J27" s="3"/>
      <c r="K27" s="3"/>
      <c r="L27" s="3"/>
      <c r="M27" s="3"/>
    </row>
    <row r="28" spans="1:13">
      <c r="C28" s="25"/>
      <c r="D28" s="25"/>
      <c r="E28" s="25"/>
      <c r="F28" s="6"/>
      <c r="G28" s="6"/>
      <c r="H28" s="3"/>
      <c r="I28" s="3"/>
      <c r="J28" s="3"/>
      <c r="K28" s="3"/>
      <c r="L28" s="3"/>
      <c r="M28" s="3"/>
    </row>
    <row r="29" spans="1:13">
      <c r="C29" s="25"/>
      <c r="D29" s="25"/>
      <c r="E29" s="25"/>
      <c r="F29" s="6"/>
      <c r="G29" s="6"/>
      <c r="H29" s="3"/>
      <c r="I29" s="3"/>
      <c r="J29" s="3"/>
      <c r="K29" s="3"/>
      <c r="L29" s="3"/>
      <c r="M29" s="3"/>
    </row>
    <row r="30" spans="1:13">
      <c r="C30" s="25"/>
      <c r="D30" s="25"/>
      <c r="E30" s="25"/>
      <c r="F30" s="6"/>
      <c r="G30" s="6"/>
      <c r="H30" s="3"/>
      <c r="I30" s="3"/>
      <c r="J30" s="3"/>
      <c r="K30" s="3"/>
      <c r="L30" s="3"/>
      <c r="M30" s="3"/>
    </row>
    <row r="31" spans="1:13">
      <c r="C31" s="25"/>
      <c r="D31" s="25"/>
      <c r="E31" s="25"/>
      <c r="F31" s="6"/>
      <c r="G31" s="6"/>
      <c r="H31" s="3"/>
      <c r="I31" s="3"/>
      <c r="J31" s="3"/>
      <c r="K31" s="3"/>
      <c r="L31" s="3"/>
      <c r="M31" s="3"/>
    </row>
    <row r="32" spans="1:13">
      <c r="C32" s="25"/>
      <c r="D32" s="25"/>
      <c r="E32" s="25"/>
      <c r="F32" s="6"/>
      <c r="G32" s="6"/>
      <c r="H32" s="3"/>
      <c r="I32" s="3"/>
      <c r="J32" s="3"/>
      <c r="K32" s="3"/>
      <c r="L32" s="3"/>
      <c r="M32" s="3"/>
    </row>
    <row r="33" spans="3:13">
      <c r="C33" s="25"/>
      <c r="D33" s="25"/>
      <c r="E33" s="25"/>
      <c r="F33" s="6"/>
      <c r="G33" s="6"/>
      <c r="H33" s="3"/>
      <c r="I33" s="3"/>
      <c r="J33" s="3"/>
      <c r="K33" s="3"/>
      <c r="L33" s="3"/>
      <c r="M33" s="3"/>
    </row>
    <row r="34" spans="3:13">
      <c r="C34" s="25"/>
      <c r="D34" s="25"/>
      <c r="E34" s="25"/>
      <c r="F34" s="6"/>
      <c r="G34" s="6"/>
      <c r="H34" s="3"/>
      <c r="I34" s="3"/>
      <c r="J34" s="3"/>
      <c r="K34" s="3"/>
      <c r="L34" s="3"/>
      <c r="M34" s="3"/>
    </row>
    <row r="35" spans="3:13">
      <c r="C35" s="25"/>
      <c r="D35" s="25"/>
      <c r="E35" s="25"/>
      <c r="F35" s="6"/>
      <c r="G35" s="6"/>
      <c r="H35" s="3"/>
      <c r="I35" s="3"/>
      <c r="J35" s="3"/>
      <c r="K35" s="3"/>
      <c r="L35" s="3"/>
      <c r="M35" s="3"/>
    </row>
    <row r="36" spans="3:13">
      <c r="C36" s="25"/>
      <c r="D36" s="25"/>
      <c r="E36" s="25"/>
      <c r="F36" s="6"/>
      <c r="G36" s="6"/>
      <c r="H36" s="3"/>
      <c r="I36" s="3"/>
      <c r="J36" s="3"/>
      <c r="K36" s="3"/>
      <c r="L36" s="3"/>
      <c r="M36" s="3"/>
    </row>
    <row r="37" spans="3:13">
      <c r="C37" s="25"/>
      <c r="D37" s="25"/>
      <c r="E37" s="25"/>
      <c r="F37" s="6"/>
      <c r="G37" s="6"/>
      <c r="H37" s="3"/>
      <c r="I37" s="3"/>
      <c r="J37" s="3"/>
      <c r="K37" s="3"/>
      <c r="L37" s="3"/>
      <c r="M37" s="3"/>
    </row>
    <row r="38" spans="3:13">
      <c r="C38" s="25"/>
      <c r="D38" s="25"/>
      <c r="E38" s="25"/>
      <c r="F38" s="6"/>
      <c r="G38" s="6"/>
      <c r="H38" s="3"/>
      <c r="I38" s="3"/>
      <c r="J38" s="3"/>
      <c r="K38" s="3"/>
      <c r="L38" s="3"/>
      <c r="M38" s="3"/>
    </row>
    <row r="39" spans="3:13">
      <c r="C39" s="25"/>
      <c r="D39" s="25"/>
      <c r="E39" s="25"/>
      <c r="F39" s="6"/>
      <c r="G39" s="6"/>
      <c r="H39" s="3"/>
      <c r="I39" s="3"/>
      <c r="J39" s="3"/>
      <c r="K39" s="3"/>
      <c r="L39" s="3"/>
      <c r="M39" s="3"/>
    </row>
    <row r="40" spans="3:13">
      <c r="C40" s="25"/>
      <c r="D40" s="25"/>
      <c r="E40" s="25"/>
      <c r="F40" s="6"/>
      <c r="G40" s="6"/>
      <c r="H40" s="3"/>
      <c r="I40" s="3"/>
      <c r="J40" s="3"/>
      <c r="K40" s="3"/>
      <c r="L40" s="3"/>
      <c r="M40" s="3"/>
    </row>
    <row r="41" spans="3:13">
      <c r="C41" s="25"/>
      <c r="D41" s="25"/>
      <c r="E41" s="25"/>
      <c r="F41" s="6"/>
      <c r="G41" s="6"/>
      <c r="H41" s="3"/>
      <c r="I41" s="3"/>
      <c r="J41" s="3"/>
      <c r="K41" s="3"/>
      <c r="L41" s="3"/>
      <c r="M41" s="3"/>
    </row>
    <row r="42" spans="3:13">
      <c r="C42" s="25"/>
      <c r="D42" s="25"/>
      <c r="E42" s="25"/>
      <c r="F42" s="6"/>
      <c r="G42" s="6"/>
      <c r="H42" s="3"/>
      <c r="I42" s="3"/>
      <c r="J42" s="3"/>
      <c r="K42" s="3"/>
      <c r="L42" s="3"/>
      <c r="M42" s="3"/>
    </row>
    <row r="43" spans="3:13">
      <c r="C43" s="25"/>
      <c r="D43" s="25"/>
      <c r="E43" s="25"/>
      <c r="F43" s="6"/>
      <c r="G43" s="6"/>
      <c r="H43" s="3"/>
      <c r="I43" s="3"/>
      <c r="J43" s="3"/>
      <c r="K43" s="3"/>
      <c r="L43" s="3"/>
      <c r="M43" s="3"/>
    </row>
    <row r="44" spans="3:13">
      <c r="C44" s="25"/>
      <c r="D44" s="25"/>
      <c r="E44" s="25"/>
      <c r="F44" s="6"/>
      <c r="G44" s="6"/>
      <c r="H44" s="3"/>
      <c r="I44" s="3"/>
      <c r="J44" s="3"/>
      <c r="K44" s="3"/>
      <c r="L44" s="3"/>
      <c r="M44" s="3"/>
    </row>
    <row r="45" spans="3:13">
      <c r="C45" s="25"/>
      <c r="D45" s="25"/>
      <c r="E45" s="25"/>
      <c r="F45" s="6"/>
      <c r="G45" s="6"/>
      <c r="H45" s="3"/>
      <c r="I45" s="3"/>
      <c r="J45" s="3"/>
      <c r="K45" s="3"/>
      <c r="L45" s="3"/>
      <c r="M45" s="3"/>
    </row>
    <row r="46" spans="3:13">
      <c r="C46" s="25"/>
      <c r="D46" s="25"/>
      <c r="E46" s="25"/>
      <c r="F46" s="6"/>
      <c r="G46" s="6"/>
      <c r="H46" s="3"/>
      <c r="I46" s="3"/>
      <c r="J46" s="3"/>
      <c r="K46" s="3"/>
      <c r="L46" s="3"/>
      <c r="M46" s="3"/>
    </row>
    <row r="47" spans="3:13">
      <c r="C47" s="25"/>
      <c r="D47" s="25"/>
      <c r="E47" s="25"/>
      <c r="F47" s="6"/>
      <c r="G47" s="6"/>
      <c r="H47" s="3"/>
      <c r="I47" s="3"/>
      <c r="J47" s="3"/>
      <c r="K47" s="3"/>
      <c r="L47" s="3"/>
      <c r="M47" s="3"/>
    </row>
    <row r="48" spans="3:13">
      <c r="C48" s="25"/>
      <c r="D48" s="25"/>
      <c r="E48" s="25"/>
      <c r="F48" s="6"/>
      <c r="G48" s="6"/>
      <c r="H48" s="3"/>
      <c r="I48" s="3"/>
      <c r="J48" s="3"/>
      <c r="K48" s="3"/>
      <c r="L48" s="3"/>
      <c r="M48" s="3"/>
    </row>
    <row r="49" spans="5:13">
      <c r="E49" s="5"/>
      <c r="F49" s="16"/>
      <c r="G49" s="5"/>
      <c r="K49" s="25"/>
      <c r="M49" s="6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3:J13"/>
    <mergeCell ref="A18:J18"/>
    <mergeCell ref="A23:J23"/>
    <mergeCell ref="B3:B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2"/>
  <sheetViews>
    <sheetView workbookViewId="0">
      <selection activeCell="E15" sqref="E15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3.6640625" style="5" bestFit="1" customWidth="1"/>
    <col min="7" max="7" width="5.6640625" style="25" bestFit="1" customWidth="1"/>
    <col min="8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80" t="s">
        <v>411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428</v>
      </c>
      <c r="B3" s="70" t="s">
        <v>0</v>
      </c>
      <c r="C3" s="90" t="s">
        <v>440</v>
      </c>
      <c r="D3" s="90" t="s">
        <v>6</v>
      </c>
      <c r="E3" s="92" t="s">
        <v>441</v>
      </c>
      <c r="F3" s="94" t="s">
        <v>5</v>
      </c>
      <c r="G3" s="94" t="s">
        <v>133</v>
      </c>
      <c r="H3" s="94"/>
      <c r="I3" s="94"/>
      <c r="J3" s="94"/>
      <c r="K3" s="92" t="s">
        <v>39</v>
      </c>
      <c r="L3" s="92" t="s">
        <v>3</v>
      </c>
      <c r="M3" s="76" t="s">
        <v>2</v>
      </c>
    </row>
    <row r="4" spans="1:13" s="1" customFormat="1" ht="21" customHeight="1" thickBot="1">
      <c r="A4" s="89"/>
      <c r="B4" s="71"/>
      <c r="C4" s="91"/>
      <c r="D4" s="91"/>
      <c r="E4" s="93"/>
      <c r="F4" s="91"/>
      <c r="G4" s="4">
        <v>1</v>
      </c>
      <c r="H4" s="4">
        <v>2</v>
      </c>
      <c r="I4" s="4">
        <v>3</v>
      </c>
      <c r="J4" s="4" t="s">
        <v>4</v>
      </c>
      <c r="K4" s="93"/>
      <c r="L4" s="93"/>
      <c r="M4" s="77"/>
    </row>
    <row r="5" spans="1:13" ht="16">
      <c r="A5" s="78" t="s">
        <v>7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7" t="s">
        <v>40</v>
      </c>
      <c r="B6" s="7" t="s">
        <v>146</v>
      </c>
      <c r="C6" s="7" t="s">
        <v>134</v>
      </c>
      <c r="D6" s="7" t="s">
        <v>135</v>
      </c>
      <c r="E6" s="8" t="s">
        <v>442</v>
      </c>
      <c r="F6" s="7" t="s">
        <v>429</v>
      </c>
      <c r="G6" s="28" t="s">
        <v>142</v>
      </c>
      <c r="H6" s="28" t="s">
        <v>143</v>
      </c>
      <c r="I6" s="29" t="s">
        <v>144</v>
      </c>
      <c r="J6" s="27"/>
      <c r="K6" s="9" t="str">
        <f>"275,0"</f>
        <v>275,0</v>
      </c>
      <c r="L6" s="9" t="str">
        <f>"186,0100"</f>
        <v>186,0100</v>
      </c>
      <c r="M6" s="7" t="s">
        <v>438</v>
      </c>
    </row>
    <row r="8" spans="1:13" ht="16">
      <c r="A8" s="68" t="s">
        <v>91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27" t="s">
        <v>40</v>
      </c>
      <c r="B9" s="7" t="s">
        <v>386</v>
      </c>
      <c r="C9" s="7" t="s">
        <v>380</v>
      </c>
      <c r="D9" s="7" t="s">
        <v>381</v>
      </c>
      <c r="E9" s="8" t="s">
        <v>445</v>
      </c>
      <c r="F9" s="7" t="s">
        <v>429</v>
      </c>
      <c r="G9" s="28" t="s">
        <v>181</v>
      </c>
      <c r="H9" s="28" t="s">
        <v>185</v>
      </c>
      <c r="I9" s="29" t="s">
        <v>138</v>
      </c>
      <c r="J9" s="27"/>
      <c r="K9" s="9" t="str">
        <f>"235,0"</f>
        <v>235,0</v>
      </c>
      <c r="L9" s="9" t="str">
        <f>"151,2460"</f>
        <v>151,2460</v>
      </c>
      <c r="M9" s="7" t="s">
        <v>438</v>
      </c>
    </row>
    <row r="11" spans="1:13" ht="16">
      <c r="A11" s="68" t="s">
        <v>178</v>
      </c>
      <c r="B11" s="68"/>
      <c r="C11" s="69"/>
      <c r="D11" s="69"/>
      <c r="E11" s="69"/>
      <c r="F11" s="69"/>
      <c r="G11" s="69"/>
      <c r="H11" s="69"/>
      <c r="I11" s="69"/>
      <c r="J11" s="69"/>
    </row>
    <row r="12" spans="1:13">
      <c r="A12" s="30" t="s">
        <v>40</v>
      </c>
      <c r="B12" s="10" t="s">
        <v>387</v>
      </c>
      <c r="C12" s="10" t="s">
        <v>382</v>
      </c>
      <c r="D12" s="10" t="s">
        <v>383</v>
      </c>
      <c r="E12" s="11" t="s">
        <v>442</v>
      </c>
      <c r="F12" s="10" t="s">
        <v>429</v>
      </c>
      <c r="G12" s="31" t="s">
        <v>143</v>
      </c>
      <c r="H12" s="31" t="s">
        <v>144</v>
      </c>
      <c r="I12" s="31" t="s">
        <v>384</v>
      </c>
      <c r="J12" s="30"/>
      <c r="K12" s="12" t="str">
        <f>"305,0"</f>
        <v>305,0</v>
      </c>
      <c r="L12" s="12" t="str">
        <f>"181,3530"</f>
        <v>181,3530</v>
      </c>
      <c r="M12" s="10" t="s">
        <v>438</v>
      </c>
    </row>
    <row r="13" spans="1:13">
      <c r="A13" s="39" t="s">
        <v>43</v>
      </c>
      <c r="B13" s="36" t="s">
        <v>213</v>
      </c>
      <c r="C13" s="36" t="s">
        <v>183</v>
      </c>
      <c r="D13" s="36" t="s">
        <v>184</v>
      </c>
      <c r="E13" s="37" t="s">
        <v>442</v>
      </c>
      <c r="F13" s="36" t="s">
        <v>432</v>
      </c>
      <c r="G13" s="40" t="s">
        <v>172</v>
      </c>
      <c r="H13" s="40" t="s">
        <v>189</v>
      </c>
      <c r="I13" s="41" t="s">
        <v>190</v>
      </c>
      <c r="J13" s="39"/>
      <c r="K13" s="38" t="str">
        <f>"282,5"</f>
        <v>282,5</v>
      </c>
      <c r="L13" s="38" t="str">
        <f>"166,6185"</f>
        <v>166,6185</v>
      </c>
      <c r="M13" s="36" t="s">
        <v>438</v>
      </c>
    </row>
    <row r="14" spans="1:13">
      <c r="A14" s="33" t="s">
        <v>40</v>
      </c>
      <c r="B14" s="13" t="s">
        <v>387</v>
      </c>
      <c r="C14" s="13" t="s">
        <v>385</v>
      </c>
      <c r="D14" s="13" t="s">
        <v>383</v>
      </c>
      <c r="E14" s="14" t="s">
        <v>447</v>
      </c>
      <c r="F14" s="13" t="s">
        <v>429</v>
      </c>
      <c r="G14" s="34" t="s">
        <v>143</v>
      </c>
      <c r="H14" s="34" t="s">
        <v>144</v>
      </c>
      <c r="I14" s="34" t="s">
        <v>384</v>
      </c>
      <c r="J14" s="33"/>
      <c r="K14" s="15" t="str">
        <f>"305,0"</f>
        <v>305,0</v>
      </c>
      <c r="L14" s="15" t="str">
        <f>"181,3530"</f>
        <v>181,3530</v>
      </c>
      <c r="M14" s="13" t="s">
        <v>438</v>
      </c>
    </row>
    <row r="16" spans="1:13">
      <c r="G16" s="5"/>
      <c r="K16" s="25"/>
      <c r="M16" s="6"/>
    </row>
    <row r="17" spans="3:13">
      <c r="C17" s="25"/>
      <c r="D17" s="25"/>
      <c r="E17" s="25"/>
      <c r="F17" s="6"/>
      <c r="G17" s="6"/>
      <c r="H17" s="3"/>
      <c r="I17" s="3"/>
      <c r="J17" s="3"/>
      <c r="K17" s="3"/>
      <c r="L17" s="3"/>
      <c r="M17" s="3"/>
    </row>
    <row r="18" spans="3:13">
      <c r="C18" s="25"/>
      <c r="D18" s="25"/>
      <c r="E18" s="25"/>
      <c r="F18" s="6"/>
      <c r="G18" s="6"/>
      <c r="H18" s="3"/>
      <c r="I18" s="3"/>
      <c r="J18" s="3"/>
      <c r="K18" s="3"/>
      <c r="L18" s="3"/>
      <c r="M18" s="3"/>
    </row>
    <row r="19" spans="3:13">
      <c r="C19" s="25"/>
      <c r="D19" s="25"/>
      <c r="E19" s="25"/>
      <c r="F19" s="6"/>
      <c r="G19" s="6"/>
      <c r="H19" s="3"/>
      <c r="I19" s="3"/>
      <c r="J19" s="3"/>
      <c r="K19" s="3"/>
      <c r="L19" s="3"/>
      <c r="M19" s="3"/>
    </row>
    <row r="20" spans="3:13">
      <c r="C20" s="25"/>
      <c r="D20" s="25"/>
      <c r="E20" s="25"/>
      <c r="F20" s="6"/>
      <c r="G20" s="6"/>
      <c r="H20" s="3"/>
      <c r="I20" s="3"/>
      <c r="J20" s="3"/>
      <c r="K20" s="3"/>
      <c r="L20" s="3"/>
      <c r="M20" s="3"/>
    </row>
    <row r="21" spans="3:13">
      <c r="C21" s="25"/>
      <c r="D21" s="25"/>
      <c r="E21" s="25"/>
      <c r="F21" s="6"/>
      <c r="G21" s="6"/>
      <c r="H21" s="3"/>
      <c r="I21" s="3"/>
      <c r="J21" s="3"/>
      <c r="K21" s="3"/>
      <c r="L21" s="3"/>
      <c r="M21" s="3"/>
    </row>
    <row r="22" spans="3:13">
      <c r="C22" s="25"/>
      <c r="D22" s="25"/>
      <c r="E22" s="25"/>
      <c r="F22" s="6"/>
      <c r="G22" s="6"/>
      <c r="H22" s="3"/>
      <c r="I22" s="3"/>
      <c r="J22" s="3"/>
      <c r="K22" s="3"/>
      <c r="L22" s="3"/>
      <c r="M22" s="3"/>
    </row>
    <row r="23" spans="3:13">
      <c r="C23" s="25"/>
      <c r="D23" s="25"/>
      <c r="E23" s="25"/>
      <c r="F23" s="6"/>
      <c r="G23" s="6"/>
      <c r="H23" s="3"/>
      <c r="I23" s="3"/>
      <c r="J23" s="3"/>
      <c r="K23" s="3"/>
      <c r="L23" s="3"/>
      <c r="M23" s="3"/>
    </row>
    <row r="24" spans="3:13">
      <c r="C24" s="25"/>
      <c r="D24" s="25"/>
      <c r="E24" s="25"/>
      <c r="F24" s="6"/>
      <c r="G24" s="6"/>
      <c r="H24" s="3"/>
      <c r="I24" s="3"/>
      <c r="J24" s="3"/>
      <c r="K24" s="3"/>
      <c r="L24" s="3"/>
      <c r="M24" s="3"/>
    </row>
    <row r="25" spans="3:13">
      <c r="C25" s="25"/>
      <c r="D25" s="25"/>
      <c r="E25" s="25"/>
      <c r="F25" s="6"/>
      <c r="G25" s="6"/>
      <c r="H25" s="3"/>
      <c r="I25" s="3"/>
      <c r="J25" s="3"/>
      <c r="K25" s="3"/>
      <c r="L25" s="3"/>
      <c r="M25" s="3"/>
    </row>
    <row r="26" spans="3:13">
      <c r="C26" s="25"/>
      <c r="D26" s="25"/>
      <c r="E26" s="25"/>
      <c r="F26" s="6"/>
      <c r="G26" s="6"/>
      <c r="H26" s="3"/>
      <c r="I26" s="3"/>
      <c r="J26" s="3"/>
      <c r="K26" s="3"/>
      <c r="L26" s="3"/>
      <c r="M26" s="3"/>
    </row>
    <row r="27" spans="3:13">
      <c r="C27" s="25"/>
      <c r="D27" s="25"/>
      <c r="E27" s="25"/>
      <c r="F27" s="6"/>
      <c r="G27" s="6"/>
      <c r="H27" s="3"/>
      <c r="I27" s="3"/>
      <c r="J27" s="3"/>
      <c r="K27" s="3"/>
      <c r="L27" s="3"/>
      <c r="M27" s="3"/>
    </row>
    <row r="28" spans="3:13">
      <c r="C28" s="25"/>
      <c r="D28" s="25"/>
      <c r="E28" s="25"/>
      <c r="F28" s="6"/>
      <c r="G28" s="6"/>
      <c r="H28" s="3"/>
      <c r="I28" s="3"/>
      <c r="J28" s="3"/>
      <c r="K28" s="3"/>
      <c r="L28" s="3"/>
      <c r="M28" s="3"/>
    </row>
    <row r="29" spans="3:13">
      <c r="C29" s="25"/>
      <c r="D29" s="25"/>
      <c r="E29" s="25"/>
      <c r="F29" s="6"/>
      <c r="G29" s="6"/>
      <c r="H29" s="3"/>
      <c r="I29" s="3"/>
      <c r="J29" s="3"/>
      <c r="K29" s="3"/>
      <c r="L29" s="3"/>
      <c r="M29" s="3"/>
    </row>
    <row r="30" spans="3:13">
      <c r="C30" s="25"/>
      <c r="D30" s="25"/>
      <c r="E30" s="25"/>
      <c r="F30" s="6"/>
      <c r="G30" s="6"/>
      <c r="H30" s="3"/>
      <c r="I30" s="3"/>
      <c r="J30" s="3"/>
      <c r="K30" s="3"/>
      <c r="L30" s="3"/>
      <c r="M30" s="3"/>
    </row>
    <row r="31" spans="3:13">
      <c r="C31" s="25"/>
      <c r="D31" s="25"/>
      <c r="E31" s="25"/>
      <c r="F31" s="6"/>
      <c r="G31" s="6"/>
      <c r="H31" s="3"/>
      <c r="I31" s="3"/>
      <c r="J31" s="3"/>
      <c r="K31" s="3"/>
      <c r="L31" s="3"/>
      <c r="M31" s="3"/>
    </row>
    <row r="32" spans="3:13">
      <c r="E32" s="5"/>
      <c r="F32" s="16"/>
      <c r="G32" s="5"/>
      <c r="K32" s="25"/>
      <c r="M32" s="6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55"/>
  <sheetViews>
    <sheetView topLeftCell="A8" workbookViewId="0">
      <selection activeCell="E44" sqref="E44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32.83203125" style="5" bestFit="1" customWidth="1"/>
    <col min="7" max="7" width="4.6640625" style="25" bestFit="1" customWidth="1"/>
    <col min="8" max="9" width="4.5" style="25" customWidth="1"/>
    <col min="10" max="10" width="4.83203125" style="25" customWidth="1"/>
    <col min="11" max="11" width="7.83203125" style="6" bestFit="1" customWidth="1"/>
    <col min="12" max="12" width="7.5" style="6" bestFit="1" customWidth="1"/>
    <col min="13" max="13" width="25.33203125" style="5" bestFit="1" customWidth="1"/>
    <col min="14" max="16384" width="9.1640625" style="3"/>
  </cols>
  <sheetData>
    <row r="1" spans="1:13" s="2" customFormat="1" ht="29" customHeight="1">
      <c r="A1" s="80" t="s">
        <v>412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428</v>
      </c>
      <c r="B3" s="70" t="s">
        <v>0</v>
      </c>
      <c r="C3" s="90" t="s">
        <v>440</v>
      </c>
      <c r="D3" s="90" t="s">
        <v>6</v>
      </c>
      <c r="E3" s="92" t="s">
        <v>441</v>
      </c>
      <c r="F3" s="94" t="s">
        <v>5</v>
      </c>
      <c r="G3" s="94" t="s">
        <v>439</v>
      </c>
      <c r="H3" s="94"/>
      <c r="I3" s="94"/>
      <c r="J3" s="94"/>
      <c r="K3" s="92" t="s">
        <v>39</v>
      </c>
      <c r="L3" s="92" t="s">
        <v>3</v>
      </c>
      <c r="M3" s="76" t="s">
        <v>2</v>
      </c>
    </row>
    <row r="4" spans="1:13" s="1" customFormat="1" ht="21" customHeight="1" thickBot="1">
      <c r="A4" s="89"/>
      <c r="B4" s="71"/>
      <c r="C4" s="91"/>
      <c r="D4" s="91"/>
      <c r="E4" s="93"/>
      <c r="F4" s="91"/>
      <c r="G4" s="4">
        <v>1</v>
      </c>
      <c r="H4" s="4">
        <v>2</v>
      </c>
      <c r="I4" s="4">
        <v>3</v>
      </c>
      <c r="J4" s="4" t="s">
        <v>4</v>
      </c>
      <c r="K4" s="93"/>
      <c r="L4" s="93"/>
      <c r="M4" s="77"/>
    </row>
    <row r="5" spans="1:13" ht="16">
      <c r="A5" s="78" t="s">
        <v>46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7" t="s">
        <v>40</v>
      </c>
      <c r="B6" s="7" t="s">
        <v>105</v>
      </c>
      <c r="C6" s="7" t="s">
        <v>47</v>
      </c>
      <c r="D6" s="7" t="s">
        <v>48</v>
      </c>
      <c r="E6" s="8" t="s">
        <v>442</v>
      </c>
      <c r="F6" s="7" t="s">
        <v>429</v>
      </c>
      <c r="G6" s="29" t="s">
        <v>49</v>
      </c>
      <c r="H6" s="29" t="s">
        <v>49</v>
      </c>
      <c r="I6" s="28" t="s">
        <v>49</v>
      </c>
      <c r="J6" s="27"/>
      <c r="K6" s="9" t="str">
        <f>"30,0"</f>
        <v>30,0</v>
      </c>
      <c r="L6" s="9" t="str">
        <f>"33,7410"</f>
        <v>33,7410</v>
      </c>
      <c r="M6" s="7" t="s">
        <v>438</v>
      </c>
    </row>
    <row r="8" spans="1:13" ht="16">
      <c r="A8" s="68" t="s">
        <v>50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27" t="s">
        <v>40</v>
      </c>
      <c r="B9" s="7" t="s">
        <v>106</v>
      </c>
      <c r="C9" s="7" t="s">
        <v>51</v>
      </c>
      <c r="D9" s="7" t="s">
        <v>52</v>
      </c>
      <c r="E9" s="8" t="s">
        <v>442</v>
      </c>
      <c r="F9" s="7" t="s">
        <v>429</v>
      </c>
      <c r="G9" s="28" t="s">
        <v>53</v>
      </c>
      <c r="H9" s="28" t="s">
        <v>54</v>
      </c>
      <c r="I9" s="28" t="s">
        <v>55</v>
      </c>
      <c r="J9" s="27"/>
      <c r="K9" s="9" t="str">
        <f>"40,0"</f>
        <v>40,0</v>
      </c>
      <c r="L9" s="9" t="str">
        <f>"33,3140"</f>
        <v>33,3140</v>
      </c>
      <c r="M9" s="7" t="s">
        <v>438</v>
      </c>
    </row>
    <row r="11" spans="1:13" ht="16">
      <c r="A11" s="68" t="s">
        <v>56</v>
      </c>
      <c r="B11" s="68"/>
      <c r="C11" s="69"/>
      <c r="D11" s="69"/>
      <c r="E11" s="69"/>
      <c r="F11" s="69"/>
      <c r="G11" s="69"/>
      <c r="H11" s="69"/>
      <c r="I11" s="69"/>
      <c r="J11" s="69"/>
    </row>
    <row r="12" spans="1:13">
      <c r="A12" s="30" t="s">
        <v>40</v>
      </c>
      <c r="B12" s="10" t="s">
        <v>107</v>
      </c>
      <c r="C12" s="10" t="s">
        <v>415</v>
      </c>
      <c r="D12" s="10" t="s">
        <v>57</v>
      </c>
      <c r="E12" s="11" t="s">
        <v>449</v>
      </c>
      <c r="F12" s="10" t="s">
        <v>429</v>
      </c>
      <c r="G12" s="31" t="s">
        <v>58</v>
      </c>
      <c r="H12" s="31" t="s">
        <v>59</v>
      </c>
      <c r="I12" s="31" t="s">
        <v>60</v>
      </c>
      <c r="J12" s="30"/>
      <c r="K12" s="12" t="str">
        <f>"52,5"</f>
        <v>52,5</v>
      </c>
      <c r="L12" s="12" t="str">
        <f>"42,9030"</f>
        <v>42,9030</v>
      </c>
      <c r="M12" s="10" t="s">
        <v>438</v>
      </c>
    </row>
    <row r="13" spans="1:13">
      <c r="A13" s="39" t="s">
        <v>43</v>
      </c>
      <c r="B13" s="36" t="s">
        <v>108</v>
      </c>
      <c r="C13" s="36" t="s">
        <v>416</v>
      </c>
      <c r="D13" s="36" t="s">
        <v>61</v>
      </c>
      <c r="E13" s="37" t="s">
        <v>449</v>
      </c>
      <c r="F13" s="36" t="s">
        <v>433</v>
      </c>
      <c r="G13" s="40" t="s">
        <v>58</v>
      </c>
      <c r="H13" s="41" t="s">
        <v>62</v>
      </c>
      <c r="I13" s="40" t="s">
        <v>62</v>
      </c>
      <c r="J13" s="39"/>
      <c r="K13" s="38" t="str">
        <f>"50,0"</f>
        <v>50,0</v>
      </c>
      <c r="L13" s="38" t="str">
        <f>"37,7550"</f>
        <v>37,7550</v>
      </c>
      <c r="M13" s="36" t="s">
        <v>438</v>
      </c>
    </row>
    <row r="14" spans="1:13">
      <c r="A14" s="33" t="s">
        <v>109</v>
      </c>
      <c r="B14" s="13" t="s">
        <v>110</v>
      </c>
      <c r="C14" s="13" t="s">
        <v>417</v>
      </c>
      <c r="D14" s="13" t="s">
        <v>63</v>
      </c>
      <c r="E14" s="14" t="s">
        <v>449</v>
      </c>
      <c r="F14" s="13" t="s">
        <v>429</v>
      </c>
      <c r="G14" s="35" t="s">
        <v>58</v>
      </c>
      <c r="H14" s="35" t="s">
        <v>58</v>
      </c>
      <c r="I14" s="34" t="s">
        <v>58</v>
      </c>
      <c r="J14" s="33"/>
      <c r="K14" s="15" t="str">
        <f>"45,0"</f>
        <v>45,0</v>
      </c>
      <c r="L14" s="15" t="str">
        <f>"34,8435"</f>
        <v>34,8435</v>
      </c>
      <c r="M14" s="13" t="s">
        <v>438</v>
      </c>
    </row>
    <row r="16" spans="1:13" ht="16">
      <c r="A16" s="68" t="s">
        <v>64</v>
      </c>
      <c r="B16" s="68"/>
      <c r="C16" s="69"/>
      <c r="D16" s="69"/>
      <c r="E16" s="69"/>
      <c r="F16" s="69"/>
      <c r="G16" s="69"/>
      <c r="H16" s="69"/>
      <c r="I16" s="69"/>
      <c r="J16" s="69"/>
    </row>
    <row r="17" spans="1:13">
      <c r="A17" s="30" t="s">
        <v>40</v>
      </c>
      <c r="B17" s="10" t="s">
        <v>111</v>
      </c>
      <c r="C17" s="10" t="s">
        <v>418</v>
      </c>
      <c r="D17" s="10" t="s">
        <v>66</v>
      </c>
      <c r="E17" s="11" t="s">
        <v>449</v>
      </c>
      <c r="F17" s="10" t="s">
        <v>430</v>
      </c>
      <c r="G17" s="31" t="s">
        <v>67</v>
      </c>
      <c r="H17" s="31" t="s">
        <v>12</v>
      </c>
      <c r="I17" s="31" t="s">
        <v>68</v>
      </c>
      <c r="J17" s="30"/>
      <c r="K17" s="12" t="str">
        <f>"70,0"</f>
        <v>70,0</v>
      </c>
      <c r="L17" s="12" t="str">
        <f>"49,0315"</f>
        <v>49,0315</v>
      </c>
      <c r="M17" s="10" t="s">
        <v>393</v>
      </c>
    </row>
    <row r="18" spans="1:13">
      <c r="A18" s="39" t="s">
        <v>43</v>
      </c>
      <c r="B18" s="36" t="s">
        <v>112</v>
      </c>
      <c r="C18" s="36" t="s">
        <v>419</v>
      </c>
      <c r="D18" s="36" t="s">
        <v>69</v>
      </c>
      <c r="E18" s="37" t="s">
        <v>449</v>
      </c>
      <c r="F18" s="36" t="s">
        <v>429</v>
      </c>
      <c r="G18" s="40" t="s">
        <v>59</v>
      </c>
      <c r="H18" s="40" t="s">
        <v>62</v>
      </c>
      <c r="I18" s="40" t="s">
        <v>60</v>
      </c>
      <c r="J18" s="39"/>
      <c r="K18" s="38" t="str">
        <f>"52,5"</f>
        <v>52,5</v>
      </c>
      <c r="L18" s="38" t="str">
        <f>"38,4405"</f>
        <v>38,4405</v>
      </c>
      <c r="M18" s="36" t="s">
        <v>438</v>
      </c>
    </row>
    <row r="19" spans="1:13">
      <c r="A19" s="39" t="s">
        <v>109</v>
      </c>
      <c r="B19" s="36" t="s">
        <v>113</v>
      </c>
      <c r="C19" s="36" t="s">
        <v>420</v>
      </c>
      <c r="D19" s="36" t="s">
        <v>70</v>
      </c>
      <c r="E19" s="37" t="s">
        <v>449</v>
      </c>
      <c r="F19" s="36" t="s">
        <v>429</v>
      </c>
      <c r="G19" s="40" t="s">
        <v>55</v>
      </c>
      <c r="H19" s="40" t="s">
        <v>58</v>
      </c>
      <c r="I19" s="41" t="s">
        <v>62</v>
      </c>
      <c r="J19" s="39"/>
      <c r="K19" s="38" t="str">
        <f>"45,0"</f>
        <v>45,0</v>
      </c>
      <c r="L19" s="38" t="str">
        <f>"33,3090"</f>
        <v>33,3090</v>
      </c>
      <c r="M19" s="36" t="s">
        <v>438</v>
      </c>
    </row>
    <row r="20" spans="1:13">
      <c r="A20" s="39" t="s">
        <v>40</v>
      </c>
      <c r="B20" s="36" t="s">
        <v>114</v>
      </c>
      <c r="C20" s="36" t="s">
        <v>421</v>
      </c>
      <c r="D20" s="36" t="s">
        <v>71</v>
      </c>
      <c r="E20" s="37" t="s">
        <v>445</v>
      </c>
      <c r="F20" s="36" t="s">
        <v>435</v>
      </c>
      <c r="G20" s="40" t="s">
        <v>62</v>
      </c>
      <c r="H20" s="40" t="s">
        <v>72</v>
      </c>
      <c r="I20" s="40" t="s">
        <v>10</v>
      </c>
      <c r="J20" s="39"/>
      <c r="K20" s="38" t="str">
        <f>"57,5"</f>
        <v>57,5</v>
      </c>
      <c r="L20" s="38" t="str">
        <f>"39,8274"</f>
        <v>39,8274</v>
      </c>
      <c r="M20" s="36" t="s">
        <v>438</v>
      </c>
    </row>
    <row r="21" spans="1:13">
      <c r="A21" s="39" t="s">
        <v>40</v>
      </c>
      <c r="B21" s="36" t="s">
        <v>111</v>
      </c>
      <c r="C21" s="36" t="s">
        <v>73</v>
      </c>
      <c r="D21" s="36" t="s">
        <v>66</v>
      </c>
      <c r="E21" s="37" t="s">
        <v>442</v>
      </c>
      <c r="F21" s="36" t="s">
        <v>430</v>
      </c>
      <c r="G21" s="40" t="s">
        <v>67</v>
      </c>
      <c r="H21" s="40" t="s">
        <v>12</v>
      </c>
      <c r="I21" s="40" t="s">
        <v>68</v>
      </c>
      <c r="J21" s="39"/>
      <c r="K21" s="38" t="str">
        <f>"70,0"</f>
        <v>70,0</v>
      </c>
      <c r="L21" s="38" t="str">
        <f>"49,0315"</f>
        <v>49,0315</v>
      </c>
      <c r="M21" s="36" t="s">
        <v>393</v>
      </c>
    </row>
    <row r="22" spans="1:13">
      <c r="A22" s="39" t="s">
        <v>43</v>
      </c>
      <c r="B22" s="36" t="s">
        <v>115</v>
      </c>
      <c r="C22" s="36" t="s">
        <v>74</v>
      </c>
      <c r="D22" s="36" t="s">
        <v>75</v>
      </c>
      <c r="E22" s="37" t="s">
        <v>442</v>
      </c>
      <c r="F22" s="36" t="s">
        <v>429</v>
      </c>
      <c r="G22" s="40" t="s">
        <v>72</v>
      </c>
      <c r="H22" s="40" t="s">
        <v>10</v>
      </c>
      <c r="I22" s="40" t="s">
        <v>67</v>
      </c>
      <c r="J22" s="39"/>
      <c r="K22" s="38" t="str">
        <f>"60,0"</f>
        <v>60,0</v>
      </c>
      <c r="L22" s="38" t="str">
        <f>"41,6400"</f>
        <v>41,6400</v>
      </c>
      <c r="M22" s="36" t="s">
        <v>438</v>
      </c>
    </row>
    <row r="23" spans="1:13">
      <c r="A23" s="39" t="s">
        <v>109</v>
      </c>
      <c r="B23" s="36" t="s">
        <v>116</v>
      </c>
      <c r="C23" s="36" t="s">
        <v>77</v>
      </c>
      <c r="D23" s="36" t="s">
        <v>78</v>
      </c>
      <c r="E23" s="37" t="s">
        <v>442</v>
      </c>
      <c r="F23" s="36" t="s">
        <v>429</v>
      </c>
      <c r="G23" s="40" t="s">
        <v>72</v>
      </c>
      <c r="H23" s="40" t="s">
        <v>67</v>
      </c>
      <c r="I23" s="41" t="s">
        <v>11</v>
      </c>
      <c r="J23" s="39"/>
      <c r="K23" s="38" t="str">
        <f>"60,0"</f>
        <v>60,0</v>
      </c>
      <c r="L23" s="38" t="str">
        <f>"41,3940"</f>
        <v>41,3940</v>
      </c>
      <c r="M23" s="36" t="s">
        <v>438</v>
      </c>
    </row>
    <row r="24" spans="1:13">
      <c r="A24" s="39" t="s">
        <v>40</v>
      </c>
      <c r="B24" s="36" t="s">
        <v>116</v>
      </c>
      <c r="C24" s="36" t="s">
        <v>305</v>
      </c>
      <c r="D24" s="36" t="s">
        <v>78</v>
      </c>
      <c r="E24" s="37" t="s">
        <v>447</v>
      </c>
      <c r="F24" s="36" t="s">
        <v>429</v>
      </c>
      <c r="G24" s="40" t="s">
        <v>72</v>
      </c>
      <c r="H24" s="40" t="s">
        <v>67</v>
      </c>
      <c r="I24" s="41" t="s">
        <v>11</v>
      </c>
      <c r="J24" s="39"/>
      <c r="K24" s="38" t="str">
        <f>"60,0"</f>
        <v>60,0</v>
      </c>
      <c r="L24" s="38" t="str">
        <f>"42,2219"</f>
        <v>42,2219</v>
      </c>
      <c r="M24" s="36" t="s">
        <v>438</v>
      </c>
    </row>
    <row r="25" spans="1:13">
      <c r="A25" s="33" t="s">
        <v>43</v>
      </c>
      <c r="B25" s="13" t="s">
        <v>117</v>
      </c>
      <c r="C25" s="13" t="s">
        <v>306</v>
      </c>
      <c r="D25" s="13" t="s">
        <v>79</v>
      </c>
      <c r="E25" s="14" t="s">
        <v>447</v>
      </c>
      <c r="F25" s="13" t="s">
        <v>435</v>
      </c>
      <c r="G25" s="34" t="s">
        <v>58</v>
      </c>
      <c r="H25" s="34" t="s">
        <v>62</v>
      </c>
      <c r="I25" s="34" t="s">
        <v>60</v>
      </c>
      <c r="J25" s="33"/>
      <c r="K25" s="15" t="str">
        <f>"52,5"</f>
        <v>52,5</v>
      </c>
      <c r="L25" s="15" t="str">
        <f>"37,0860"</f>
        <v>37,0860</v>
      </c>
      <c r="M25" s="13" t="s">
        <v>438</v>
      </c>
    </row>
    <row r="27" spans="1:13" ht="16">
      <c r="A27" s="68" t="s">
        <v>7</v>
      </c>
      <c r="B27" s="68"/>
      <c r="C27" s="69"/>
      <c r="D27" s="69"/>
      <c r="E27" s="69"/>
      <c r="F27" s="69"/>
      <c r="G27" s="69"/>
      <c r="H27" s="69"/>
      <c r="I27" s="69"/>
      <c r="J27" s="69"/>
    </row>
    <row r="28" spans="1:13">
      <c r="A28" s="30" t="s">
        <v>40</v>
      </c>
      <c r="B28" s="10" t="s">
        <v>118</v>
      </c>
      <c r="C28" s="10" t="s">
        <v>422</v>
      </c>
      <c r="D28" s="10" t="s">
        <v>80</v>
      </c>
      <c r="E28" s="11" t="s">
        <v>449</v>
      </c>
      <c r="F28" s="10" t="s">
        <v>429</v>
      </c>
      <c r="G28" s="31" t="s">
        <v>58</v>
      </c>
      <c r="H28" s="31" t="s">
        <v>72</v>
      </c>
      <c r="I28" s="31" t="s">
        <v>11</v>
      </c>
      <c r="J28" s="30"/>
      <c r="K28" s="12" t="str">
        <f>"62,5"</f>
        <v>62,5</v>
      </c>
      <c r="L28" s="12" t="str">
        <f>"41,0094"</f>
        <v>41,0094</v>
      </c>
      <c r="M28" s="10" t="s">
        <v>438</v>
      </c>
    </row>
    <row r="29" spans="1:13">
      <c r="A29" s="39" t="s">
        <v>43</v>
      </c>
      <c r="B29" s="36" t="s">
        <v>119</v>
      </c>
      <c r="C29" s="36" t="s">
        <v>423</v>
      </c>
      <c r="D29" s="36" t="s">
        <v>81</v>
      </c>
      <c r="E29" s="37" t="s">
        <v>449</v>
      </c>
      <c r="F29" s="36" t="s">
        <v>429</v>
      </c>
      <c r="G29" s="40" t="s">
        <v>72</v>
      </c>
      <c r="H29" s="40" t="s">
        <v>10</v>
      </c>
      <c r="I29" s="40" t="s">
        <v>67</v>
      </c>
      <c r="J29" s="39"/>
      <c r="K29" s="38" t="str">
        <f>"60,0"</f>
        <v>60,0</v>
      </c>
      <c r="L29" s="38" t="str">
        <f>"39,1410"</f>
        <v>39,1410</v>
      </c>
      <c r="M29" s="36" t="s">
        <v>438</v>
      </c>
    </row>
    <row r="30" spans="1:13">
      <c r="A30" s="39" t="s">
        <v>109</v>
      </c>
      <c r="B30" s="36" t="s">
        <v>120</v>
      </c>
      <c r="C30" s="36" t="s">
        <v>424</v>
      </c>
      <c r="D30" s="36" t="s">
        <v>82</v>
      </c>
      <c r="E30" s="37" t="s">
        <v>449</v>
      </c>
      <c r="F30" s="36" t="s">
        <v>429</v>
      </c>
      <c r="G30" s="40" t="s">
        <v>62</v>
      </c>
      <c r="H30" s="40" t="s">
        <v>72</v>
      </c>
      <c r="I30" s="41" t="s">
        <v>10</v>
      </c>
      <c r="J30" s="39"/>
      <c r="K30" s="38" t="str">
        <f>"55,0"</f>
        <v>55,0</v>
      </c>
      <c r="L30" s="38" t="str">
        <f>"36,2725"</f>
        <v>36,2725</v>
      </c>
      <c r="M30" s="36" t="s">
        <v>438</v>
      </c>
    </row>
    <row r="31" spans="1:13">
      <c r="A31" s="39" t="s">
        <v>121</v>
      </c>
      <c r="B31" s="36" t="s">
        <v>122</v>
      </c>
      <c r="C31" s="36" t="s">
        <v>425</v>
      </c>
      <c r="D31" s="36" t="s">
        <v>83</v>
      </c>
      <c r="E31" s="37" t="s">
        <v>449</v>
      </c>
      <c r="F31" s="36" t="s">
        <v>429</v>
      </c>
      <c r="G31" s="41" t="s">
        <v>58</v>
      </c>
      <c r="H31" s="40" t="s">
        <v>59</v>
      </c>
      <c r="I31" s="41" t="s">
        <v>72</v>
      </c>
      <c r="J31" s="39"/>
      <c r="K31" s="38" t="str">
        <f>"47,5"</f>
        <v>47,5</v>
      </c>
      <c r="L31" s="38" t="str">
        <f>"30,8394"</f>
        <v>30,8394</v>
      </c>
      <c r="M31" s="36" t="s">
        <v>438</v>
      </c>
    </row>
    <row r="32" spans="1:13">
      <c r="A32" s="39" t="s">
        <v>40</v>
      </c>
      <c r="B32" s="36" t="s">
        <v>123</v>
      </c>
      <c r="C32" s="36" t="s">
        <v>85</v>
      </c>
      <c r="D32" s="36" t="s">
        <v>86</v>
      </c>
      <c r="E32" s="37" t="s">
        <v>442</v>
      </c>
      <c r="F32" s="36" t="s">
        <v>429</v>
      </c>
      <c r="G32" s="40" t="s">
        <v>11</v>
      </c>
      <c r="H32" s="40" t="s">
        <v>87</v>
      </c>
      <c r="I32" s="40" t="s">
        <v>88</v>
      </c>
      <c r="J32" s="39"/>
      <c r="K32" s="38" t="str">
        <f>"72,5"</f>
        <v>72,5</v>
      </c>
      <c r="L32" s="38" t="str">
        <f>"47,0888"</f>
        <v>47,0888</v>
      </c>
      <c r="M32" s="36" t="s">
        <v>438</v>
      </c>
    </row>
    <row r="33" spans="1:13">
      <c r="A33" s="39" t="s">
        <v>43</v>
      </c>
      <c r="B33" s="36" t="s">
        <v>124</v>
      </c>
      <c r="C33" s="36" t="s">
        <v>89</v>
      </c>
      <c r="D33" s="36" t="s">
        <v>90</v>
      </c>
      <c r="E33" s="37" t="s">
        <v>442</v>
      </c>
      <c r="F33" s="36" t="s">
        <v>429</v>
      </c>
      <c r="G33" s="40" t="s">
        <v>72</v>
      </c>
      <c r="H33" s="40" t="s">
        <v>11</v>
      </c>
      <c r="I33" s="41" t="s">
        <v>12</v>
      </c>
      <c r="J33" s="39"/>
      <c r="K33" s="38" t="str">
        <f>"62,5"</f>
        <v>62,5</v>
      </c>
      <c r="L33" s="38" t="str">
        <f>"41,3250"</f>
        <v>41,3250</v>
      </c>
      <c r="M33" s="36" t="s">
        <v>438</v>
      </c>
    </row>
    <row r="34" spans="1:13">
      <c r="A34" s="33" t="s">
        <v>40</v>
      </c>
      <c r="B34" s="13" t="s">
        <v>125</v>
      </c>
      <c r="C34" s="13" t="s">
        <v>311</v>
      </c>
      <c r="D34" s="13" t="s">
        <v>86</v>
      </c>
      <c r="E34" s="14" t="s">
        <v>447</v>
      </c>
      <c r="F34" s="13" t="s">
        <v>429</v>
      </c>
      <c r="G34" s="34" t="s">
        <v>72</v>
      </c>
      <c r="H34" s="34" t="s">
        <v>11</v>
      </c>
      <c r="I34" s="35" t="s">
        <v>12</v>
      </c>
      <c r="J34" s="33"/>
      <c r="K34" s="15" t="str">
        <f>"62,5"</f>
        <v>62,5</v>
      </c>
      <c r="L34" s="15" t="str">
        <f>"40,5938"</f>
        <v>40,5938</v>
      </c>
      <c r="M34" s="13" t="s">
        <v>438</v>
      </c>
    </row>
    <row r="36" spans="1:13" ht="16">
      <c r="A36" s="68" t="s">
        <v>91</v>
      </c>
      <c r="B36" s="68"/>
      <c r="C36" s="69"/>
      <c r="D36" s="69"/>
      <c r="E36" s="69"/>
      <c r="F36" s="69"/>
      <c r="G36" s="69"/>
      <c r="H36" s="69"/>
      <c r="I36" s="69"/>
      <c r="J36" s="69"/>
    </row>
    <row r="37" spans="1:13">
      <c r="A37" s="30" t="s">
        <v>40</v>
      </c>
      <c r="B37" s="10" t="s">
        <v>126</v>
      </c>
      <c r="C37" s="10" t="s">
        <v>426</v>
      </c>
      <c r="D37" s="10" t="s">
        <v>92</v>
      </c>
      <c r="E37" s="11" t="s">
        <v>445</v>
      </c>
      <c r="F37" s="10" t="s">
        <v>429</v>
      </c>
      <c r="G37" s="31" t="s">
        <v>72</v>
      </c>
      <c r="H37" s="31" t="s">
        <v>67</v>
      </c>
      <c r="I37" s="32" t="s">
        <v>11</v>
      </c>
      <c r="J37" s="30"/>
      <c r="K37" s="12" t="str">
        <f>"60,0"</f>
        <v>60,0</v>
      </c>
      <c r="L37" s="12" t="str">
        <f>"37,3800"</f>
        <v>37,3800</v>
      </c>
      <c r="M37" s="10" t="s">
        <v>438</v>
      </c>
    </row>
    <row r="38" spans="1:13">
      <c r="A38" s="39" t="s">
        <v>40</v>
      </c>
      <c r="B38" s="36" t="s">
        <v>127</v>
      </c>
      <c r="C38" s="36" t="s">
        <v>94</v>
      </c>
      <c r="D38" s="36" t="s">
        <v>92</v>
      </c>
      <c r="E38" s="37" t="s">
        <v>442</v>
      </c>
      <c r="F38" s="36" t="s">
        <v>429</v>
      </c>
      <c r="G38" s="40" t="s">
        <v>67</v>
      </c>
      <c r="H38" s="40" t="s">
        <v>12</v>
      </c>
      <c r="I38" s="40" t="s">
        <v>68</v>
      </c>
      <c r="J38" s="39"/>
      <c r="K38" s="38" t="str">
        <f>"70,0"</f>
        <v>70,0</v>
      </c>
      <c r="L38" s="38" t="str">
        <f>"43,6100"</f>
        <v>43,6100</v>
      </c>
      <c r="M38" s="36" t="s">
        <v>438</v>
      </c>
    </row>
    <row r="39" spans="1:13">
      <c r="A39" s="33" t="s">
        <v>43</v>
      </c>
      <c r="B39" s="13" t="s">
        <v>128</v>
      </c>
      <c r="C39" s="13" t="s">
        <v>95</v>
      </c>
      <c r="D39" s="13" t="s">
        <v>96</v>
      </c>
      <c r="E39" s="14" t="s">
        <v>442</v>
      </c>
      <c r="F39" s="13" t="s">
        <v>429</v>
      </c>
      <c r="G39" s="34" t="s">
        <v>11</v>
      </c>
      <c r="H39" s="34" t="s">
        <v>87</v>
      </c>
      <c r="I39" s="34" t="s">
        <v>68</v>
      </c>
      <c r="J39" s="33"/>
      <c r="K39" s="15" t="str">
        <f>"70,0"</f>
        <v>70,0</v>
      </c>
      <c r="L39" s="15" t="str">
        <f>"43,1795"</f>
        <v>43,1795</v>
      </c>
      <c r="M39" s="13" t="s">
        <v>438</v>
      </c>
    </row>
    <row r="41" spans="1:13" ht="16">
      <c r="A41" s="68" t="s">
        <v>13</v>
      </c>
      <c r="B41" s="68"/>
      <c r="C41" s="69"/>
      <c r="D41" s="69"/>
      <c r="E41" s="69"/>
      <c r="F41" s="69"/>
      <c r="G41" s="69"/>
      <c r="H41" s="69"/>
      <c r="I41" s="69"/>
      <c r="J41" s="69"/>
    </row>
    <row r="42" spans="1:13">
      <c r="A42" s="30" t="s">
        <v>40</v>
      </c>
      <c r="B42" s="10" t="s">
        <v>129</v>
      </c>
      <c r="C42" s="10" t="s">
        <v>97</v>
      </c>
      <c r="D42" s="10" t="s">
        <v>98</v>
      </c>
      <c r="E42" s="11" t="s">
        <v>442</v>
      </c>
      <c r="F42" s="10" t="s">
        <v>437</v>
      </c>
      <c r="G42" s="31" t="s">
        <v>72</v>
      </c>
      <c r="H42" s="31" t="s">
        <v>67</v>
      </c>
      <c r="I42" s="31" t="s">
        <v>11</v>
      </c>
      <c r="J42" s="30"/>
      <c r="K42" s="12" t="str">
        <f>"62,5"</f>
        <v>62,5</v>
      </c>
      <c r="L42" s="12" t="str">
        <f>"37,2969"</f>
        <v>37,2969</v>
      </c>
      <c r="M42" s="10" t="s">
        <v>438</v>
      </c>
    </row>
    <row r="43" spans="1:13">
      <c r="A43" s="33" t="s">
        <v>40</v>
      </c>
      <c r="B43" s="13" t="s">
        <v>130</v>
      </c>
      <c r="C43" s="13" t="s">
        <v>414</v>
      </c>
      <c r="D43" s="13" t="s">
        <v>99</v>
      </c>
      <c r="E43" s="14" t="s">
        <v>447</v>
      </c>
      <c r="F43" s="13" t="s">
        <v>429</v>
      </c>
      <c r="G43" s="34" t="s">
        <v>58</v>
      </c>
      <c r="H43" s="34" t="s">
        <v>62</v>
      </c>
      <c r="I43" s="35" t="s">
        <v>67</v>
      </c>
      <c r="J43" s="33"/>
      <c r="K43" s="15" t="str">
        <f>"50,0"</f>
        <v>50,0</v>
      </c>
      <c r="L43" s="15" t="str">
        <f>"30,1475"</f>
        <v>30,1475</v>
      </c>
      <c r="M43" s="13" t="s">
        <v>393</v>
      </c>
    </row>
    <row r="45" spans="1:13" ht="16">
      <c r="F45" s="17"/>
      <c r="G45" s="5"/>
      <c r="K45" s="25"/>
      <c r="M45" s="6"/>
    </row>
    <row r="46" spans="1:13">
      <c r="G46" s="5"/>
      <c r="K46" s="25"/>
      <c r="M46" s="6"/>
    </row>
    <row r="47" spans="1:13" ht="18">
      <c r="B47" s="18" t="s">
        <v>28</v>
      </c>
      <c r="C47" s="18"/>
      <c r="G47" s="3"/>
      <c r="K47" s="25"/>
      <c r="M47" s="6"/>
    </row>
    <row r="48" spans="1:13" ht="16">
      <c r="B48" s="19" t="s">
        <v>29</v>
      </c>
      <c r="C48" s="19"/>
      <c r="G48" s="3"/>
      <c r="K48" s="25"/>
      <c r="M48" s="6"/>
    </row>
    <row r="49" spans="2:13" ht="14">
      <c r="B49" s="20"/>
      <c r="C49" s="21" t="s">
        <v>30</v>
      </c>
      <c r="G49" s="3"/>
      <c r="K49" s="25"/>
      <c r="M49" s="6"/>
    </row>
    <row r="50" spans="2:13" ht="14">
      <c r="B50" s="22" t="s">
        <v>31</v>
      </c>
      <c r="C50" s="22" t="s">
        <v>32</v>
      </c>
      <c r="D50" s="22" t="s">
        <v>396</v>
      </c>
      <c r="E50" s="23" t="s">
        <v>35</v>
      </c>
      <c r="F50" s="22" t="s">
        <v>36</v>
      </c>
      <c r="G50" s="3"/>
      <c r="K50" s="25"/>
      <c r="M50" s="6"/>
    </row>
    <row r="51" spans="2:13">
      <c r="B51" s="5" t="s">
        <v>65</v>
      </c>
      <c r="C51" s="5" t="s">
        <v>30</v>
      </c>
      <c r="D51" s="25" t="s">
        <v>100</v>
      </c>
      <c r="E51" s="26">
        <v>70</v>
      </c>
      <c r="F51" s="24">
        <v>49.031500220298803</v>
      </c>
      <c r="G51" s="3"/>
      <c r="K51" s="25"/>
      <c r="M51" s="6"/>
    </row>
    <row r="52" spans="2:13">
      <c r="B52" s="5" t="s">
        <v>84</v>
      </c>
      <c r="C52" s="5" t="s">
        <v>30</v>
      </c>
      <c r="D52" s="25" t="s">
        <v>101</v>
      </c>
      <c r="E52" s="26">
        <v>72.5</v>
      </c>
      <c r="F52" s="24">
        <v>47.088750898838001</v>
      </c>
      <c r="G52" s="3"/>
      <c r="K52" s="25"/>
      <c r="M52" s="6"/>
    </row>
    <row r="53" spans="2:13">
      <c r="B53" s="5" t="s">
        <v>93</v>
      </c>
      <c r="C53" s="5" t="s">
        <v>30</v>
      </c>
      <c r="D53" s="25" t="s">
        <v>103</v>
      </c>
      <c r="E53" s="26">
        <v>70</v>
      </c>
      <c r="F53" s="24">
        <v>43.610001802444501</v>
      </c>
      <c r="G53" s="3"/>
      <c r="K53" s="25"/>
      <c r="M53" s="6"/>
    </row>
    <row r="54" spans="2:13">
      <c r="E54" s="5"/>
      <c r="F54" s="16"/>
      <c r="G54" s="5"/>
      <c r="K54" s="25"/>
      <c r="M54" s="6"/>
    </row>
    <row r="55" spans="2:13">
      <c r="E55" s="5"/>
      <c r="F55" s="16"/>
      <c r="G55" s="5"/>
      <c r="K55" s="25"/>
      <c r="M55" s="6"/>
    </row>
  </sheetData>
  <mergeCells count="18">
    <mergeCell ref="A1:M2"/>
    <mergeCell ref="A3:A4"/>
    <mergeCell ref="C3:C4"/>
    <mergeCell ref="D3:D4"/>
    <mergeCell ref="E3:E4"/>
    <mergeCell ref="F3:F4"/>
    <mergeCell ref="G3:J3"/>
    <mergeCell ref="A41:J41"/>
    <mergeCell ref="K3:K4"/>
    <mergeCell ref="L3:L4"/>
    <mergeCell ref="M3:M4"/>
    <mergeCell ref="A5:J5"/>
    <mergeCell ref="B3:B4"/>
    <mergeCell ref="A8:J8"/>
    <mergeCell ref="A11:J11"/>
    <mergeCell ref="A16:J16"/>
    <mergeCell ref="A27:J27"/>
    <mergeCell ref="A36:J3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5">
    <pageSetUpPr fitToPage="1"/>
  </sheetPr>
  <dimension ref="A1:M13"/>
  <sheetViews>
    <sheetView tabSelected="1"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28.5" style="5" customWidth="1"/>
    <col min="7" max="7" width="4.6640625" style="25" bestFit="1" customWidth="1"/>
    <col min="8" max="8" width="4.5" style="25" customWidth="1"/>
    <col min="9" max="9" width="5.5" style="25" customWidth="1"/>
    <col min="10" max="10" width="4.83203125" style="25" customWidth="1"/>
    <col min="11" max="11" width="10.5" style="6" bestFit="1" customWidth="1"/>
    <col min="12" max="12" width="7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80" t="s">
        <v>413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428</v>
      </c>
      <c r="B3" s="70" t="s">
        <v>0</v>
      </c>
      <c r="C3" s="90" t="s">
        <v>440</v>
      </c>
      <c r="D3" s="90" t="s">
        <v>6</v>
      </c>
      <c r="E3" s="92" t="s">
        <v>441</v>
      </c>
      <c r="F3" s="94" t="s">
        <v>5</v>
      </c>
      <c r="G3" s="94" t="s">
        <v>439</v>
      </c>
      <c r="H3" s="94"/>
      <c r="I3" s="94"/>
      <c r="J3" s="94"/>
      <c r="K3" s="92" t="s">
        <v>39</v>
      </c>
      <c r="L3" s="92" t="s">
        <v>3</v>
      </c>
      <c r="M3" s="76" t="s">
        <v>2</v>
      </c>
    </row>
    <row r="4" spans="1:13" s="1" customFormat="1" ht="21" customHeight="1" thickBot="1">
      <c r="A4" s="89"/>
      <c r="B4" s="71"/>
      <c r="C4" s="91"/>
      <c r="D4" s="91"/>
      <c r="E4" s="93"/>
      <c r="F4" s="91"/>
      <c r="G4" s="4">
        <v>1</v>
      </c>
      <c r="H4" s="4">
        <v>2</v>
      </c>
      <c r="I4" s="4">
        <v>3</v>
      </c>
      <c r="J4" s="4" t="s">
        <v>4</v>
      </c>
      <c r="K4" s="93"/>
      <c r="L4" s="93"/>
      <c r="M4" s="77"/>
    </row>
    <row r="5" spans="1:13" ht="16">
      <c r="A5" s="78" t="s">
        <v>7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7" t="s">
        <v>40</v>
      </c>
      <c r="B6" s="7" t="s">
        <v>41</v>
      </c>
      <c r="C6" s="7" t="s">
        <v>8</v>
      </c>
      <c r="D6" s="7" t="s">
        <v>9</v>
      </c>
      <c r="E6" s="8" t="s">
        <v>442</v>
      </c>
      <c r="F6" s="7" t="s">
        <v>429</v>
      </c>
      <c r="G6" s="28" t="s">
        <v>10</v>
      </c>
      <c r="H6" s="28" t="s">
        <v>11</v>
      </c>
      <c r="I6" s="29" t="s">
        <v>12</v>
      </c>
      <c r="J6" s="27"/>
      <c r="K6" s="9" t="str">
        <f>"62,5"</f>
        <v>62,5</v>
      </c>
      <c r="L6" s="9" t="str">
        <f>"41,1469"</f>
        <v>41,1469</v>
      </c>
      <c r="M6" s="7" t="s">
        <v>438</v>
      </c>
    </row>
    <row r="8" spans="1:13" ht="16">
      <c r="A8" s="68" t="s">
        <v>13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30" t="s">
        <v>40</v>
      </c>
      <c r="B9" s="10" t="s">
        <v>42</v>
      </c>
      <c r="C9" s="10" t="s">
        <v>14</v>
      </c>
      <c r="D9" s="10" t="s">
        <v>15</v>
      </c>
      <c r="E9" s="11" t="s">
        <v>442</v>
      </c>
      <c r="F9" s="10" t="s">
        <v>429</v>
      </c>
      <c r="G9" s="31" t="s">
        <v>16</v>
      </c>
      <c r="H9" s="31" t="s">
        <v>17</v>
      </c>
      <c r="I9" s="32" t="s">
        <v>18</v>
      </c>
      <c r="J9" s="30"/>
      <c r="K9" s="12" t="str">
        <f>"90,0"</f>
        <v>90,0</v>
      </c>
      <c r="L9" s="12" t="str">
        <f>"52,3283"</f>
        <v>52,3283</v>
      </c>
      <c r="M9" s="10" t="s">
        <v>438</v>
      </c>
    </row>
    <row r="10" spans="1:13">
      <c r="A10" s="33" t="s">
        <v>43</v>
      </c>
      <c r="B10" s="13" t="s">
        <v>44</v>
      </c>
      <c r="C10" s="13" t="s">
        <v>19</v>
      </c>
      <c r="D10" s="13" t="s">
        <v>20</v>
      </c>
      <c r="E10" s="14" t="s">
        <v>442</v>
      </c>
      <c r="F10" s="13" t="s">
        <v>429</v>
      </c>
      <c r="G10" s="34" t="s">
        <v>12</v>
      </c>
      <c r="H10" s="34" t="s">
        <v>21</v>
      </c>
      <c r="I10" s="35" t="s">
        <v>22</v>
      </c>
      <c r="J10" s="33"/>
      <c r="K10" s="15" t="str">
        <f>"75,0"</f>
        <v>75,0</v>
      </c>
      <c r="L10" s="15" t="str">
        <f>"44,1825"</f>
        <v>44,1825</v>
      </c>
      <c r="M10" s="13" t="s">
        <v>438</v>
      </c>
    </row>
    <row r="12" spans="1:13" ht="16">
      <c r="A12" s="68" t="s">
        <v>23</v>
      </c>
      <c r="B12" s="68"/>
      <c r="C12" s="69"/>
      <c r="D12" s="69"/>
      <c r="E12" s="69"/>
      <c r="F12" s="69"/>
      <c r="G12" s="69"/>
      <c r="H12" s="69"/>
      <c r="I12" s="69"/>
      <c r="J12" s="69"/>
    </row>
    <row r="13" spans="1:13">
      <c r="A13" s="27" t="s">
        <v>40</v>
      </c>
      <c r="B13" s="7" t="s">
        <v>45</v>
      </c>
      <c r="C13" s="7" t="s">
        <v>24</v>
      </c>
      <c r="D13" s="7" t="s">
        <v>25</v>
      </c>
      <c r="E13" s="8" t="s">
        <v>442</v>
      </c>
      <c r="F13" s="7" t="s">
        <v>429</v>
      </c>
      <c r="G13" s="28" t="s">
        <v>26</v>
      </c>
      <c r="H13" s="28" t="s">
        <v>17</v>
      </c>
      <c r="I13" s="29" t="s">
        <v>27</v>
      </c>
      <c r="J13" s="27"/>
      <c r="K13" s="9" t="str">
        <f>"90,0"</f>
        <v>90,0</v>
      </c>
      <c r="L13" s="9" t="str">
        <f>"49,3290"</f>
        <v>49,3290</v>
      </c>
      <c r="M13" s="7" t="s">
        <v>392</v>
      </c>
    </row>
  </sheetData>
  <mergeCells count="14">
    <mergeCell ref="K3:K4"/>
    <mergeCell ref="L3:L4"/>
    <mergeCell ref="A1:M2"/>
    <mergeCell ref="G3:J3"/>
    <mergeCell ref="A3:A4"/>
    <mergeCell ref="C3:C4"/>
    <mergeCell ref="D3:D4"/>
    <mergeCell ref="M3:M4"/>
    <mergeCell ref="F3:F4"/>
    <mergeCell ref="A5:J5"/>
    <mergeCell ref="A8:J8"/>
    <mergeCell ref="A12:J12"/>
    <mergeCell ref="B3:B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39"/>
  <sheetViews>
    <sheetView workbookViewId="0">
      <selection activeCell="E28" sqref="E28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7.5" style="5" bestFit="1" customWidth="1"/>
    <col min="4" max="4" width="18.6640625" style="5" bestFit="1" customWidth="1"/>
    <col min="5" max="5" width="10.5" style="16" bestFit="1" customWidth="1"/>
    <col min="6" max="6" width="33.6640625" style="5" bestFit="1" customWidth="1"/>
    <col min="7" max="7" width="5.6640625" style="25" bestFit="1" customWidth="1"/>
    <col min="8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7" width="5.5" style="25" customWidth="1"/>
    <col min="18" max="18" width="4.83203125" style="25" customWidth="1"/>
    <col min="19" max="19" width="7.83203125" style="6" bestFit="1" customWidth="1"/>
    <col min="20" max="20" width="10" style="24" bestFit="1" customWidth="1"/>
    <col min="21" max="21" width="16.5" style="5" bestFit="1" customWidth="1"/>
    <col min="22" max="16384" width="9.1640625" style="3"/>
  </cols>
  <sheetData>
    <row r="1" spans="1:21" s="2" customFormat="1" ht="29" customHeight="1">
      <c r="A1" s="80" t="s">
        <v>401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</row>
    <row r="2" spans="1:21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</row>
    <row r="3" spans="1:21" s="1" customFormat="1" ht="12.75" customHeight="1">
      <c r="A3" s="88" t="s">
        <v>428</v>
      </c>
      <c r="B3" s="70" t="s">
        <v>0</v>
      </c>
      <c r="C3" s="90" t="s">
        <v>440</v>
      </c>
      <c r="D3" s="90" t="s">
        <v>6</v>
      </c>
      <c r="E3" s="92" t="s">
        <v>441</v>
      </c>
      <c r="F3" s="94" t="s">
        <v>5</v>
      </c>
      <c r="G3" s="94" t="s">
        <v>131</v>
      </c>
      <c r="H3" s="94"/>
      <c r="I3" s="94"/>
      <c r="J3" s="94"/>
      <c r="K3" s="94" t="s">
        <v>132</v>
      </c>
      <c r="L3" s="94"/>
      <c r="M3" s="94"/>
      <c r="N3" s="94"/>
      <c r="O3" s="94" t="s">
        <v>133</v>
      </c>
      <c r="P3" s="94"/>
      <c r="Q3" s="94"/>
      <c r="R3" s="94"/>
      <c r="S3" s="92" t="s">
        <v>1</v>
      </c>
      <c r="T3" s="74" t="s">
        <v>3</v>
      </c>
      <c r="U3" s="76" t="s">
        <v>2</v>
      </c>
    </row>
    <row r="4" spans="1:21" s="1" customFormat="1" ht="21" customHeight="1" thickBot="1">
      <c r="A4" s="89"/>
      <c r="B4" s="71"/>
      <c r="C4" s="91"/>
      <c r="D4" s="91"/>
      <c r="E4" s="93"/>
      <c r="F4" s="9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93"/>
      <c r="T4" s="75"/>
      <c r="U4" s="77"/>
    </row>
    <row r="5" spans="1:21" ht="16">
      <c r="A5" s="78" t="s">
        <v>64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21">
      <c r="A6" s="27" t="s">
        <v>40</v>
      </c>
      <c r="B6" s="7" t="s">
        <v>111</v>
      </c>
      <c r="C6" s="7" t="s">
        <v>147</v>
      </c>
      <c r="D6" s="7" t="s">
        <v>66</v>
      </c>
      <c r="E6" s="8" t="s">
        <v>443</v>
      </c>
      <c r="F6" s="7" t="s">
        <v>430</v>
      </c>
      <c r="G6" s="28" t="s">
        <v>140</v>
      </c>
      <c r="H6" s="28" t="s">
        <v>141</v>
      </c>
      <c r="I6" s="29" t="s">
        <v>148</v>
      </c>
      <c r="J6" s="27"/>
      <c r="K6" s="28" t="s">
        <v>18</v>
      </c>
      <c r="L6" s="28" t="s">
        <v>149</v>
      </c>
      <c r="M6" s="28" t="s">
        <v>150</v>
      </c>
      <c r="N6" s="27"/>
      <c r="O6" s="28" t="s">
        <v>136</v>
      </c>
      <c r="P6" s="28" t="s">
        <v>151</v>
      </c>
      <c r="Q6" s="28" t="s">
        <v>152</v>
      </c>
      <c r="R6" s="27"/>
      <c r="S6" s="9" t="str">
        <f>"500,0"</f>
        <v>500,0</v>
      </c>
      <c r="T6" s="63" t="str">
        <f>"362,1000"</f>
        <v>362,1000</v>
      </c>
      <c r="U6" s="7"/>
    </row>
    <row r="8" spans="1:21" ht="16">
      <c r="A8" s="68" t="s">
        <v>7</v>
      </c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21">
      <c r="A9" s="27" t="s">
        <v>40</v>
      </c>
      <c r="B9" s="7" t="s">
        <v>208</v>
      </c>
      <c r="C9" s="7" t="s">
        <v>153</v>
      </c>
      <c r="D9" s="7" t="s">
        <v>154</v>
      </c>
      <c r="E9" s="8" t="s">
        <v>443</v>
      </c>
      <c r="F9" s="7" t="s">
        <v>429</v>
      </c>
      <c r="G9" s="28" t="s">
        <v>150</v>
      </c>
      <c r="H9" s="29" t="s">
        <v>155</v>
      </c>
      <c r="I9" s="29" t="s">
        <v>156</v>
      </c>
      <c r="J9" s="27"/>
      <c r="K9" s="28" t="s">
        <v>17</v>
      </c>
      <c r="L9" s="28" t="s">
        <v>18</v>
      </c>
      <c r="M9" s="29" t="s">
        <v>149</v>
      </c>
      <c r="N9" s="27"/>
      <c r="O9" s="28" t="s">
        <v>139</v>
      </c>
      <c r="P9" s="28" t="s">
        <v>140</v>
      </c>
      <c r="Q9" s="28" t="s">
        <v>141</v>
      </c>
      <c r="R9" s="27"/>
      <c r="S9" s="9" t="str">
        <f>"375,0"</f>
        <v>375,0</v>
      </c>
      <c r="T9" s="63" t="str">
        <f>"259,1250"</f>
        <v>259,1250</v>
      </c>
      <c r="U9" s="7" t="s">
        <v>438</v>
      </c>
    </row>
    <row r="11" spans="1:21" ht="16">
      <c r="A11" s="68" t="s">
        <v>91</v>
      </c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pans="1:21">
      <c r="A12" s="27" t="s">
        <v>40</v>
      </c>
      <c r="B12" s="7" t="s">
        <v>209</v>
      </c>
      <c r="C12" s="7" t="s">
        <v>157</v>
      </c>
      <c r="D12" s="7" t="s">
        <v>158</v>
      </c>
      <c r="E12" s="8" t="s">
        <v>446</v>
      </c>
      <c r="F12" s="7" t="s">
        <v>429</v>
      </c>
      <c r="G12" s="28" t="s">
        <v>159</v>
      </c>
      <c r="H12" s="28" t="s">
        <v>160</v>
      </c>
      <c r="I12" s="28" t="s">
        <v>148</v>
      </c>
      <c r="J12" s="27"/>
      <c r="K12" s="28" t="s">
        <v>18</v>
      </c>
      <c r="L12" s="28" t="s">
        <v>150</v>
      </c>
      <c r="M12" s="29" t="s">
        <v>161</v>
      </c>
      <c r="N12" s="27"/>
      <c r="O12" s="28" t="s">
        <v>148</v>
      </c>
      <c r="P12" s="28" t="s">
        <v>162</v>
      </c>
      <c r="Q12" s="28" t="s">
        <v>163</v>
      </c>
      <c r="R12" s="27"/>
      <c r="S12" s="9" t="str">
        <f>"470,0"</f>
        <v>470,0</v>
      </c>
      <c r="T12" s="63" t="str">
        <f>"370,7676"</f>
        <v>370,7676</v>
      </c>
      <c r="U12" s="7" t="s">
        <v>395</v>
      </c>
    </row>
    <row r="14" spans="1:21" ht="16">
      <c r="A14" s="68" t="s">
        <v>13</v>
      </c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1:21">
      <c r="A15" s="30" t="s">
        <v>40</v>
      </c>
      <c r="B15" s="10" t="s">
        <v>210</v>
      </c>
      <c r="C15" s="10" t="s">
        <v>164</v>
      </c>
      <c r="D15" s="10" t="s">
        <v>165</v>
      </c>
      <c r="E15" s="11" t="s">
        <v>443</v>
      </c>
      <c r="F15" s="10" t="s">
        <v>429</v>
      </c>
      <c r="G15" s="31" t="s">
        <v>141</v>
      </c>
      <c r="H15" s="31" t="s">
        <v>166</v>
      </c>
      <c r="I15" s="31" t="s">
        <v>162</v>
      </c>
      <c r="J15" s="30"/>
      <c r="K15" s="31" t="s">
        <v>167</v>
      </c>
      <c r="L15" s="32" t="s">
        <v>139</v>
      </c>
      <c r="M15" s="31" t="s">
        <v>139</v>
      </c>
      <c r="N15" s="30"/>
      <c r="O15" s="31" t="s">
        <v>140</v>
      </c>
      <c r="P15" s="31" t="s">
        <v>141</v>
      </c>
      <c r="Q15" s="31" t="s">
        <v>148</v>
      </c>
      <c r="R15" s="30"/>
      <c r="S15" s="12" t="str">
        <f>"490,0"</f>
        <v>490,0</v>
      </c>
      <c r="T15" s="64" t="str">
        <f>"299,4390"</f>
        <v>299,4390</v>
      </c>
      <c r="U15" s="10" t="s">
        <v>45</v>
      </c>
    </row>
    <row r="16" spans="1:21">
      <c r="A16" s="33" t="s">
        <v>40</v>
      </c>
      <c r="B16" s="13" t="s">
        <v>211</v>
      </c>
      <c r="C16" s="13" t="s">
        <v>169</v>
      </c>
      <c r="D16" s="13" t="s">
        <v>170</v>
      </c>
      <c r="E16" s="14" t="s">
        <v>442</v>
      </c>
      <c r="F16" s="13" t="s">
        <v>431</v>
      </c>
      <c r="G16" s="34" t="s">
        <v>171</v>
      </c>
      <c r="H16" s="34" t="s">
        <v>172</v>
      </c>
      <c r="I16" s="34" t="s">
        <v>173</v>
      </c>
      <c r="J16" s="33"/>
      <c r="K16" s="34" t="s">
        <v>174</v>
      </c>
      <c r="L16" s="34" t="s">
        <v>175</v>
      </c>
      <c r="M16" s="34" t="s">
        <v>136</v>
      </c>
      <c r="N16" s="33"/>
      <c r="O16" s="34" t="s">
        <v>173</v>
      </c>
      <c r="P16" s="35" t="s">
        <v>176</v>
      </c>
      <c r="Q16" s="34" t="s">
        <v>177</v>
      </c>
      <c r="R16" s="33"/>
      <c r="S16" s="15" t="str">
        <f>"765,0"</f>
        <v>765,0</v>
      </c>
      <c r="T16" s="65" t="str">
        <f>"467,8740"</f>
        <v>467,8740</v>
      </c>
      <c r="U16" s="13"/>
    </row>
    <row r="18" spans="1:21" ht="16">
      <c r="A18" s="68" t="s">
        <v>178</v>
      </c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</row>
    <row r="19" spans="1:21">
      <c r="A19" s="30" t="s">
        <v>40</v>
      </c>
      <c r="B19" s="10" t="s">
        <v>212</v>
      </c>
      <c r="C19" s="10" t="s">
        <v>179</v>
      </c>
      <c r="D19" s="10" t="s">
        <v>180</v>
      </c>
      <c r="E19" s="11" t="s">
        <v>445</v>
      </c>
      <c r="F19" s="10" t="s">
        <v>429</v>
      </c>
      <c r="G19" s="31" t="s">
        <v>151</v>
      </c>
      <c r="H19" s="31" t="s">
        <v>152</v>
      </c>
      <c r="I19" s="31" t="s">
        <v>181</v>
      </c>
      <c r="J19" s="30"/>
      <c r="K19" s="31" t="s">
        <v>141</v>
      </c>
      <c r="L19" s="31" t="s">
        <v>166</v>
      </c>
      <c r="M19" s="31" t="s">
        <v>162</v>
      </c>
      <c r="N19" s="30"/>
      <c r="O19" s="31" t="s">
        <v>136</v>
      </c>
      <c r="P19" s="31" t="s">
        <v>151</v>
      </c>
      <c r="Q19" s="31" t="s">
        <v>152</v>
      </c>
      <c r="R19" s="30"/>
      <c r="S19" s="12" t="str">
        <f>"635,0"</f>
        <v>635,0</v>
      </c>
      <c r="T19" s="64" t="str">
        <f>"373,6975"</f>
        <v>373,6975</v>
      </c>
      <c r="U19" s="10" t="s">
        <v>438</v>
      </c>
    </row>
    <row r="20" spans="1:21">
      <c r="A20" s="39" t="s">
        <v>40</v>
      </c>
      <c r="B20" s="36" t="s">
        <v>213</v>
      </c>
      <c r="C20" s="36" t="s">
        <v>183</v>
      </c>
      <c r="D20" s="36" t="s">
        <v>184</v>
      </c>
      <c r="E20" s="37" t="s">
        <v>442</v>
      </c>
      <c r="F20" s="36" t="s">
        <v>432</v>
      </c>
      <c r="G20" s="40" t="s">
        <v>185</v>
      </c>
      <c r="H20" s="40" t="s">
        <v>186</v>
      </c>
      <c r="I20" s="39"/>
      <c r="J20" s="39"/>
      <c r="K20" s="40" t="s">
        <v>187</v>
      </c>
      <c r="L20" s="41" t="s">
        <v>188</v>
      </c>
      <c r="M20" s="39"/>
      <c r="N20" s="39"/>
      <c r="O20" s="40" t="s">
        <v>172</v>
      </c>
      <c r="P20" s="40" t="s">
        <v>189</v>
      </c>
      <c r="Q20" s="41" t="s">
        <v>190</v>
      </c>
      <c r="R20" s="39"/>
      <c r="S20" s="38" t="str">
        <f>"715,0"</f>
        <v>715,0</v>
      </c>
      <c r="T20" s="66">
        <v>421.70699999999999</v>
      </c>
      <c r="U20" s="36" t="s">
        <v>438</v>
      </c>
    </row>
    <row r="21" spans="1:21">
      <c r="A21" s="39" t="s">
        <v>43</v>
      </c>
      <c r="B21" s="36" t="s">
        <v>214</v>
      </c>
      <c r="C21" s="36" t="s">
        <v>192</v>
      </c>
      <c r="D21" s="36" t="s">
        <v>193</v>
      </c>
      <c r="E21" s="37" t="s">
        <v>442</v>
      </c>
      <c r="F21" s="36" t="s">
        <v>429</v>
      </c>
      <c r="G21" s="40" t="s">
        <v>194</v>
      </c>
      <c r="H21" s="40" t="s">
        <v>152</v>
      </c>
      <c r="I21" s="41" t="s">
        <v>138</v>
      </c>
      <c r="J21" s="39"/>
      <c r="K21" s="40" t="s">
        <v>175</v>
      </c>
      <c r="L21" s="40" t="s">
        <v>195</v>
      </c>
      <c r="M21" s="40" t="s">
        <v>194</v>
      </c>
      <c r="N21" s="39"/>
      <c r="O21" s="40" t="s">
        <v>181</v>
      </c>
      <c r="P21" s="40" t="s">
        <v>171</v>
      </c>
      <c r="Q21" s="41" t="s">
        <v>186</v>
      </c>
      <c r="R21" s="39"/>
      <c r="S21" s="38" t="str">
        <f>"680,0"</f>
        <v>680,0</v>
      </c>
      <c r="T21" s="66" t="str">
        <f>"400,7240"</f>
        <v>400,7240</v>
      </c>
      <c r="U21" s="36" t="s">
        <v>438</v>
      </c>
    </row>
    <row r="22" spans="1:21">
      <c r="A22" s="33" t="s">
        <v>109</v>
      </c>
      <c r="B22" s="13" t="s">
        <v>215</v>
      </c>
      <c r="C22" s="13" t="s">
        <v>196</v>
      </c>
      <c r="D22" s="13" t="s">
        <v>197</v>
      </c>
      <c r="E22" s="14" t="s">
        <v>442</v>
      </c>
      <c r="F22" s="13" t="s">
        <v>429</v>
      </c>
      <c r="G22" s="34" t="s">
        <v>174</v>
      </c>
      <c r="H22" s="34" t="s">
        <v>136</v>
      </c>
      <c r="I22" s="35" t="s">
        <v>194</v>
      </c>
      <c r="J22" s="33"/>
      <c r="K22" s="34" t="s">
        <v>140</v>
      </c>
      <c r="L22" s="34" t="s">
        <v>148</v>
      </c>
      <c r="M22" s="35" t="s">
        <v>166</v>
      </c>
      <c r="N22" s="33"/>
      <c r="O22" s="34" t="s">
        <v>137</v>
      </c>
      <c r="P22" s="35" t="s">
        <v>185</v>
      </c>
      <c r="Q22" s="34" t="s">
        <v>185</v>
      </c>
      <c r="R22" s="33"/>
      <c r="S22" s="15" t="str">
        <f>"605,0"</f>
        <v>605,0</v>
      </c>
      <c r="T22" s="65" t="str">
        <f>"359,6725"</f>
        <v>359,6725</v>
      </c>
      <c r="U22" s="13" t="s">
        <v>438</v>
      </c>
    </row>
    <row r="24" spans="1:21" ht="16">
      <c r="A24" s="68" t="s">
        <v>23</v>
      </c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5" spans="1:21">
      <c r="A25" s="30" t="s">
        <v>40</v>
      </c>
      <c r="B25" s="10" t="s">
        <v>216</v>
      </c>
      <c r="C25" s="10" t="s">
        <v>198</v>
      </c>
      <c r="D25" s="10" t="s">
        <v>199</v>
      </c>
      <c r="E25" s="11" t="s">
        <v>443</v>
      </c>
      <c r="F25" s="10" t="s">
        <v>429</v>
      </c>
      <c r="G25" s="31" t="s">
        <v>160</v>
      </c>
      <c r="H25" s="31" t="s">
        <v>148</v>
      </c>
      <c r="I25" s="31" t="s">
        <v>174</v>
      </c>
      <c r="J25" s="30"/>
      <c r="K25" s="31" t="s">
        <v>200</v>
      </c>
      <c r="L25" s="31" t="s">
        <v>167</v>
      </c>
      <c r="M25" s="32" t="s">
        <v>139</v>
      </c>
      <c r="N25" s="30"/>
      <c r="O25" s="31" t="s">
        <v>163</v>
      </c>
      <c r="P25" s="31" t="s">
        <v>136</v>
      </c>
      <c r="Q25" s="31" t="s">
        <v>194</v>
      </c>
      <c r="R25" s="30"/>
      <c r="S25" s="12" t="str">
        <f>"530,0"</f>
        <v>530,0</v>
      </c>
      <c r="T25" s="64" t="str">
        <f>"303,2660"</f>
        <v>303,2660</v>
      </c>
      <c r="U25" s="10" t="s">
        <v>438</v>
      </c>
    </row>
    <row r="26" spans="1:21">
      <c r="A26" s="39" t="s">
        <v>40</v>
      </c>
      <c r="B26" s="36" t="s">
        <v>217</v>
      </c>
      <c r="C26" s="36" t="s">
        <v>201</v>
      </c>
      <c r="D26" s="36" t="s">
        <v>202</v>
      </c>
      <c r="E26" s="37" t="s">
        <v>442</v>
      </c>
      <c r="F26" s="36" t="s">
        <v>429</v>
      </c>
      <c r="G26" s="40" t="s">
        <v>186</v>
      </c>
      <c r="H26" s="40" t="s">
        <v>172</v>
      </c>
      <c r="I26" s="41" t="s">
        <v>203</v>
      </c>
      <c r="J26" s="39"/>
      <c r="K26" s="40" t="s">
        <v>159</v>
      </c>
      <c r="L26" s="40" t="s">
        <v>141</v>
      </c>
      <c r="M26" s="40" t="s">
        <v>166</v>
      </c>
      <c r="N26" s="39"/>
      <c r="O26" s="40" t="s">
        <v>159</v>
      </c>
      <c r="P26" s="40" t="s">
        <v>148</v>
      </c>
      <c r="Q26" s="40" t="s">
        <v>136</v>
      </c>
      <c r="R26" s="39"/>
      <c r="S26" s="38" t="str">
        <f>"635,0"</f>
        <v>635,0</v>
      </c>
      <c r="T26" s="66" t="str">
        <f>"366,5220"</f>
        <v>366,5220</v>
      </c>
      <c r="U26" s="36" t="s">
        <v>438</v>
      </c>
    </row>
    <row r="27" spans="1:21">
      <c r="A27" s="33" t="s">
        <v>43</v>
      </c>
      <c r="B27" s="13" t="s">
        <v>218</v>
      </c>
      <c r="C27" s="13" t="s">
        <v>204</v>
      </c>
      <c r="D27" s="13" t="s">
        <v>205</v>
      </c>
      <c r="E27" s="14" t="s">
        <v>442</v>
      </c>
      <c r="F27" s="13" t="s">
        <v>429</v>
      </c>
      <c r="G27" s="34" t="s">
        <v>139</v>
      </c>
      <c r="H27" s="34" t="s">
        <v>159</v>
      </c>
      <c r="I27" s="35" t="s">
        <v>160</v>
      </c>
      <c r="J27" s="33"/>
      <c r="K27" s="34" t="s">
        <v>200</v>
      </c>
      <c r="L27" s="34" t="s">
        <v>167</v>
      </c>
      <c r="M27" s="34" t="s">
        <v>139</v>
      </c>
      <c r="N27" s="33"/>
      <c r="O27" s="34" t="s">
        <v>162</v>
      </c>
      <c r="P27" s="34" t="s">
        <v>175</v>
      </c>
      <c r="Q27" s="35" t="s">
        <v>136</v>
      </c>
      <c r="R27" s="33"/>
      <c r="S27" s="15" t="str">
        <f>"485,0"</f>
        <v>485,0</v>
      </c>
      <c r="T27" s="65" t="str">
        <f>"277,1290"</f>
        <v>277,1290</v>
      </c>
      <c r="U27" s="13" t="s">
        <v>438</v>
      </c>
    </row>
    <row r="29" spans="1:21" ht="16">
      <c r="F29" s="17"/>
      <c r="G29" s="5"/>
    </row>
    <row r="30" spans="1:21">
      <c r="G30" s="5"/>
    </row>
    <row r="31" spans="1:21" ht="18">
      <c r="B31" s="18" t="s">
        <v>28</v>
      </c>
      <c r="C31" s="18"/>
      <c r="G31" s="3"/>
    </row>
    <row r="32" spans="1:21" ht="16">
      <c r="B32" s="19" t="s">
        <v>29</v>
      </c>
      <c r="C32" s="19"/>
      <c r="G32" s="3"/>
    </row>
    <row r="33" spans="2:7" ht="14">
      <c r="B33" s="20"/>
      <c r="C33" s="21" t="s">
        <v>30</v>
      </c>
      <c r="G33" s="3"/>
    </row>
    <row r="34" spans="2:7" ht="14">
      <c r="B34" s="22" t="s">
        <v>31</v>
      </c>
      <c r="C34" s="22" t="s">
        <v>32</v>
      </c>
      <c r="D34" s="22" t="s">
        <v>396</v>
      </c>
      <c r="E34" s="23" t="s">
        <v>34</v>
      </c>
      <c r="F34" s="22" t="s">
        <v>145</v>
      </c>
      <c r="G34" s="3"/>
    </row>
    <row r="35" spans="2:7">
      <c r="B35" s="5" t="s">
        <v>168</v>
      </c>
      <c r="C35" s="5" t="s">
        <v>30</v>
      </c>
      <c r="D35" s="25" t="s">
        <v>37</v>
      </c>
      <c r="E35" s="26">
        <v>765</v>
      </c>
      <c r="F35" s="24">
        <v>467.87398606538801</v>
      </c>
      <c r="G35" s="3"/>
    </row>
    <row r="36" spans="2:7">
      <c r="B36" s="5" t="s">
        <v>182</v>
      </c>
      <c r="C36" s="5" t="s">
        <v>30</v>
      </c>
      <c r="D36" s="25" t="s">
        <v>206</v>
      </c>
      <c r="E36" s="26">
        <v>715</v>
      </c>
      <c r="F36" s="24">
        <v>421.70700013637497</v>
      </c>
      <c r="G36" s="3"/>
    </row>
    <row r="37" spans="2:7">
      <c r="B37" s="5" t="s">
        <v>191</v>
      </c>
      <c r="C37" s="5" t="s">
        <v>30</v>
      </c>
      <c r="D37" s="25" t="s">
        <v>206</v>
      </c>
      <c r="E37" s="26">
        <v>680</v>
      </c>
      <c r="F37" s="24">
        <v>400.72398424148599</v>
      </c>
      <c r="G37" s="3"/>
    </row>
    <row r="38" spans="2:7">
      <c r="E38" s="5"/>
      <c r="F38" s="16"/>
      <c r="G38" s="5"/>
    </row>
    <row r="39" spans="2:7">
      <c r="E39" s="5"/>
      <c r="F39" s="16"/>
      <c r="G39" s="5"/>
    </row>
  </sheetData>
  <mergeCells count="19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  <mergeCell ref="A24:R24"/>
    <mergeCell ref="A5:R5"/>
    <mergeCell ref="A8:R8"/>
    <mergeCell ref="A11:R11"/>
    <mergeCell ref="A14:R14"/>
    <mergeCell ref="A18:R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6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6640625" style="5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29.83203125" style="5" customWidth="1"/>
    <col min="7" max="7" width="5.6640625" style="25" bestFit="1" customWidth="1"/>
    <col min="8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7" width="5.5" style="25" customWidth="1"/>
    <col min="18" max="18" width="4.83203125" style="25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80" t="s">
        <v>402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</row>
    <row r="2" spans="1:21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</row>
    <row r="3" spans="1:21" s="1" customFormat="1" ht="12.75" customHeight="1">
      <c r="A3" s="88" t="s">
        <v>428</v>
      </c>
      <c r="B3" s="70" t="s">
        <v>0</v>
      </c>
      <c r="C3" s="90" t="s">
        <v>440</v>
      </c>
      <c r="D3" s="90" t="s">
        <v>6</v>
      </c>
      <c r="E3" s="92" t="s">
        <v>441</v>
      </c>
      <c r="F3" s="94" t="s">
        <v>5</v>
      </c>
      <c r="G3" s="94" t="s">
        <v>131</v>
      </c>
      <c r="H3" s="94"/>
      <c r="I3" s="94"/>
      <c r="J3" s="94"/>
      <c r="K3" s="94" t="s">
        <v>132</v>
      </c>
      <c r="L3" s="94"/>
      <c r="M3" s="94"/>
      <c r="N3" s="94"/>
      <c r="O3" s="94" t="s">
        <v>133</v>
      </c>
      <c r="P3" s="94"/>
      <c r="Q3" s="94"/>
      <c r="R3" s="94"/>
      <c r="S3" s="92" t="s">
        <v>1</v>
      </c>
      <c r="T3" s="92" t="s">
        <v>3</v>
      </c>
      <c r="U3" s="76" t="s">
        <v>2</v>
      </c>
    </row>
    <row r="4" spans="1:21" s="1" customFormat="1" ht="21" customHeight="1" thickBot="1">
      <c r="A4" s="89"/>
      <c r="B4" s="71"/>
      <c r="C4" s="91"/>
      <c r="D4" s="91"/>
      <c r="E4" s="93"/>
      <c r="F4" s="9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93"/>
      <c r="T4" s="93"/>
      <c r="U4" s="77"/>
    </row>
    <row r="5" spans="1:21" ht="16">
      <c r="A5" s="78" t="s">
        <v>7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21">
      <c r="A6" s="27" t="s">
        <v>40</v>
      </c>
      <c r="B6" s="7" t="s">
        <v>146</v>
      </c>
      <c r="C6" s="7" t="s">
        <v>134</v>
      </c>
      <c r="D6" s="7" t="s">
        <v>135</v>
      </c>
      <c r="E6" s="8" t="s">
        <v>442</v>
      </c>
      <c r="F6" s="7" t="s">
        <v>429</v>
      </c>
      <c r="G6" s="28" t="s">
        <v>136</v>
      </c>
      <c r="H6" s="28" t="s">
        <v>137</v>
      </c>
      <c r="I6" s="28" t="s">
        <v>138</v>
      </c>
      <c r="J6" s="27"/>
      <c r="K6" s="28" t="s">
        <v>139</v>
      </c>
      <c r="L6" s="28" t="s">
        <v>140</v>
      </c>
      <c r="M6" s="29" t="s">
        <v>141</v>
      </c>
      <c r="N6" s="27"/>
      <c r="O6" s="28" t="s">
        <v>142</v>
      </c>
      <c r="P6" s="28" t="s">
        <v>143</v>
      </c>
      <c r="Q6" s="29" t="s">
        <v>144</v>
      </c>
      <c r="R6" s="27"/>
      <c r="S6" s="9" t="str">
        <f>"670,0"</f>
        <v>670,0</v>
      </c>
      <c r="T6" s="9" t="str">
        <f>"453,1880"</f>
        <v>453,1880</v>
      </c>
      <c r="U6" s="7" t="s">
        <v>438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2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5" style="5" bestFit="1" customWidth="1"/>
    <col min="4" max="4" width="21.5" style="5" bestFit="1" customWidth="1"/>
    <col min="5" max="5" width="10.5" style="16" bestFit="1" customWidth="1"/>
    <col min="6" max="6" width="28.5" style="5" bestFit="1" customWidth="1"/>
    <col min="7" max="7" width="4.6640625" style="25" bestFit="1" customWidth="1"/>
    <col min="8" max="9" width="4.5" style="25" customWidth="1"/>
    <col min="10" max="10" width="4.83203125" style="25" customWidth="1"/>
    <col min="11" max="13" width="5.5" style="25" customWidth="1"/>
    <col min="14" max="14" width="4.83203125" style="25" customWidth="1"/>
    <col min="15" max="15" width="7.83203125" style="6" bestFit="1" customWidth="1"/>
    <col min="16" max="16" width="8.5" style="6" bestFit="1" customWidth="1"/>
    <col min="17" max="17" width="15.6640625" style="5" bestFit="1" customWidth="1"/>
    <col min="18" max="16384" width="9.1640625" style="3"/>
  </cols>
  <sheetData>
    <row r="1" spans="1:17" s="2" customFormat="1" ht="29" customHeight="1">
      <c r="A1" s="80" t="s">
        <v>403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</row>
    <row r="2" spans="1:17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</row>
    <row r="3" spans="1:17" s="1" customFormat="1" ht="12.75" customHeight="1">
      <c r="A3" s="88" t="s">
        <v>428</v>
      </c>
      <c r="B3" s="70" t="s">
        <v>0</v>
      </c>
      <c r="C3" s="90" t="s">
        <v>440</v>
      </c>
      <c r="D3" s="90" t="s">
        <v>6</v>
      </c>
      <c r="E3" s="92" t="s">
        <v>441</v>
      </c>
      <c r="F3" s="94" t="s">
        <v>5</v>
      </c>
      <c r="G3" s="94" t="s">
        <v>132</v>
      </c>
      <c r="H3" s="94"/>
      <c r="I3" s="94"/>
      <c r="J3" s="94"/>
      <c r="K3" s="94" t="s">
        <v>133</v>
      </c>
      <c r="L3" s="94"/>
      <c r="M3" s="94"/>
      <c r="N3" s="94"/>
      <c r="O3" s="92" t="s">
        <v>1</v>
      </c>
      <c r="P3" s="92" t="s">
        <v>3</v>
      </c>
      <c r="Q3" s="76" t="s">
        <v>2</v>
      </c>
    </row>
    <row r="4" spans="1:17" s="1" customFormat="1" ht="21" customHeight="1" thickBot="1">
      <c r="A4" s="89"/>
      <c r="B4" s="71"/>
      <c r="C4" s="91"/>
      <c r="D4" s="91"/>
      <c r="E4" s="93"/>
      <c r="F4" s="9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93"/>
      <c r="P4" s="93"/>
      <c r="Q4" s="77"/>
    </row>
    <row r="5" spans="1:17" ht="16">
      <c r="A5" s="78" t="s">
        <v>46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7">
      <c r="A6" s="27" t="s">
        <v>40</v>
      </c>
      <c r="B6" s="7" t="s">
        <v>105</v>
      </c>
      <c r="C6" s="7" t="s">
        <v>47</v>
      </c>
      <c r="D6" s="7" t="s">
        <v>48</v>
      </c>
      <c r="E6" s="8" t="s">
        <v>442</v>
      </c>
      <c r="F6" s="7" t="s">
        <v>429</v>
      </c>
      <c r="G6" s="28" t="s">
        <v>59</v>
      </c>
      <c r="H6" s="28" t="s">
        <v>62</v>
      </c>
      <c r="I6" s="29" t="s">
        <v>60</v>
      </c>
      <c r="J6" s="27"/>
      <c r="K6" s="28" t="s">
        <v>161</v>
      </c>
      <c r="L6" s="28" t="s">
        <v>155</v>
      </c>
      <c r="M6" s="28" t="s">
        <v>200</v>
      </c>
      <c r="N6" s="27"/>
      <c r="O6" s="9" t="str">
        <f>"175,0"</f>
        <v>175,0</v>
      </c>
      <c r="P6" s="9" t="str">
        <f>"221,4450"</f>
        <v>221,4450</v>
      </c>
      <c r="Q6" s="7" t="s">
        <v>438</v>
      </c>
    </row>
    <row r="8" spans="1:17" ht="16">
      <c r="A8" s="68" t="s">
        <v>56</v>
      </c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7">
      <c r="A9" s="27" t="s">
        <v>40</v>
      </c>
      <c r="B9" s="7" t="s">
        <v>391</v>
      </c>
      <c r="C9" s="7" t="s">
        <v>389</v>
      </c>
      <c r="D9" s="7" t="s">
        <v>390</v>
      </c>
      <c r="E9" s="8" t="s">
        <v>444</v>
      </c>
      <c r="F9" s="7" t="s">
        <v>429</v>
      </c>
      <c r="G9" s="29" t="s">
        <v>12</v>
      </c>
      <c r="H9" s="28" t="s">
        <v>12</v>
      </c>
      <c r="I9" s="29" t="s">
        <v>68</v>
      </c>
      <c r="J9" s="27"/>
      <c r="K9" s="28" t="s">
        <v>228</v>
      </c>
      <c r="L9" s="28" t="s">
        <v>150</v>
      </c>
      <c r="M9" s="29" t="s">
        <v>161</v>
      </c>
      <c r="N9" s="27"/>
      <c r="O9" s="9" t="str">
        <f>"175,0"</f>
        <v>175,0</v>
      </c>
      <c r="P9" s="9" t="str">
        <f>"145,7575"</f>
        <v>145,7575</v>
      </c>
      <c r="Q9" s="7" t="s">
        <v>438</v>
      </c>
    </row>
    <row r="11" spans="1:17">
      <c r="C11" s="25"/>
      <c r="D11" s="25"/>
      <c r="E11" s="25"/>
      <c r="F11" s="25"/>
      <c r="I11" s="6"/>
      <c r="J11" s="6"/>
      <c r="K11" s="5"/>
      <c r="L11" s="3"/>
      <c r="M11" s="3"/>
      <c r="N11" s="3"/>
      <c r="O11" s="3"/>
      <c r="P11" s="3"/>
      <c r="Q11" s="3"/>
    </row>
    <row r="12" spans="1:17">
      <c r="C12" s="25"/>
      <c r="D12" s="25"/>
      <c r="E12" s="25"/>
      <c r="F12" s="25"/>
      <c r="I12" s="6"/>
      <c r="J12" s="6"/>
      <c r="K12" s="5"/>
      <c r="L12" s="3"/>
      <c r="M12" s="3"/>
      <c r="N12" s="3"/>
      <c r="O12" s="3"/>
      <c r="P12" s="3"/>
      <c r="Q12" s="3"/>
    </row>
    <row r="13" spans="1:17">
      <c r="C13" s="25"/>
      <c r="D13" s="25"/>
      <c r="E13" s="25"/>
      <c r="F13" s="25"/>
      <c r="I13" s="6"/>
      <c r="J13" s="6"/>
      <c r="K13" s="5"/>
      <c r="L13" s="3"/>
      <c r="M13" s="3"/>
      <c r="N13" s="3"/>
      <c r="O13" s="3"/>
      <c r="P13" s="3"/>
      <c r="Q13" s="3"/>
    </row>
    <row r="14" spans="1:17">
      <c r="C14" s="25"/>
      <c r="D14" s="25"/>
      <c r="E14" s="25"/>
      <c r="F14" s="25"/>
      <c r="I14" s="6"/>
      <c r="J14" s="6"/>
      <c r="K14" s="5"/>
      <c r="L14" s="3"/>
      <c r="M14" s="3"/>
      <c r="N14" s="3"/>
      <c r="O14" s="3"/>
      <c r="P14" s="3"/>
      <c r="Q14" s="3"/>
    </row>
    <row r="15" spans="1:17">
      <c r="C15" s="25"/>
      <c r="D15" s="25"/>
      <c r="E15" s="25"/>
      <c r="F15" s="25"/>
      <c r="I15" s="6"/>
      <c r="J15" s="6"/>
      <c r="K15" s="5"/>
      <c r="L15" s="3"/>
      <c r="M15" s="3"/>
      <c r="N15" s="3"/>
      <c r="O15" s="3"/>
      <c r="P15" s="3"/>
      <c r="Q15" s="3"/>
    </row>
    <row r="16" spans="1:17">
      <c r="C16" s="25"/>
      <c r="D16" s="25"/>
      <c r="E16" s="25"/>
      <c r="F16" s="25"/>
      <c r="I16" s="6"/>
      <c r="J16" s="6"/>
      <c r="K16" s="5"/>
      <c r="L16" s="3"/>
      <c r="M16" s="3"/>
      <c r="N16" s="3"/>
      <c r="O16" s="3"/>
      <c r="P16" s="3"/>
      <c r="Q16" s="3"/>
    </row>
    <row r="17" spans="3:17">
      <c r="C17" s="25"/>
      <c r="D17" s="25"/>
      <c r="E17" s="25"/>
      <c r="F17" s="25"/>
      <c r="I17" s="6"/>
      <c r="J17" s="6"/>
      <c r="K17" s="5"/>
      <c r="L17" s="3"/>
      <c r="M17" s="3"/>
      <c r="N17" s="3"/>
      <c r="O17" s="3"/>
      <c r="P17" s="3"/>
      <c r="Q17" s="3"/>
    </row>
    <row r="18" spans="3:17">
      <c r="C18" s="25"/>
      <c r="D18" s="25"/>
      <c r="E18" s="25"/>
      <c r="F18" s="25"/>
      <c r="I18" s="6"/>
      <c r="J18" s="6"/>
      <c r="K18" s="5"/>
      <c r="L18" s="3"/>
      <c r="M18" s="3"/>
      <c r="N18" s="3"/>
      <c r="O18" s="3"/>
      <c r="P18" s="3"/>
      <c r="Q18" s="3"/>
    </row>
    <row r="19" spans="3:17">
      <c r="C19" s="25"/>
      <c r="D19" s="25"/>
      <c r="E19" s="25"/>
      <c r="F19" s="25"/>
      <c r="I19" s="6"/>
      <c r="J19" s="6"/>
      <c r="K19" s="5"/>
      <c r="L19" s="3"/>
      <c r="M19" s="3"/>
      <c r="N19" s="3"/>
      <c r="O19" s="3"/>
      <c r="P19" s="3"/>
      <c r="Q19" s="3"/>
    </row>
    <row r="20" spans="3:17">
      <c r="C20" s="25"/>
      <c r="D20" s="25"/>
      <c r="E20" s="25"/>
      <c r="F20" s="25"/>
      <c r="I20" s="6"/>
      <c r="J20" s="6"/>
      <c r="K20" s="5"/>
      <c r="L20" s="3"/>
      <c r="M20" s="3"/>
      <c r="N20" s="3"/>
      <c r="O20" s="3"/>
      <c r="P20" s="3"/>
      <c r="Q20" s="3"/>
    </row>
    <row r="21" spans="3:17">
      <c r="C21" s="25"/>
      <c r="D21" s="25"/>
      <c r="E21" s="25"/>
      <c r="F21" s="25"/>
      <c r="I21" s="6"/>
      <c r="J21" s="6"/>
      <c r="K21" s="5"/>
      <c r="L21" s="3"/>
      <c r="M21" s="3"/>
      <c r="N21" s="3"/>
      <c r="O21" s="3"/>
      <c r="P21" s="3"/>
      <c r="Q21" s="3"/>
    </row>
    <row r="22" spans="3:17">
      <c r="E22" s="5"/>
      <c r="F22" s="16"/>
      <c r="G22" s="5"/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90"/>
  <sheetViews>
    <sheetView topLeftCell="A28" workbookViewId="0">
      <selection activeCell="E67" sqref="E67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6.6640625" style="5" bestFit="1" customWidth="1"/>
    <col min="7" max="7" width="5.6640625" style="25" bestFit="1" customWidth="1"/>
    <col min="8" max="9" width="5.5" style="25" customWidth="1"/>
    <col min="10" max="10" width="4.83203125" style="25" customWidth="1"/>
    <col min="11" max="11" width="10.5" style="26" bestFit="1" customWidth="1"/>
    <col min="12" max="12" width="8.5" style="6" bestFit="1" customWidth="1"/>
    <col min="13" max="13" width="19.1640625" style="5" bestFit="1" customWidth="1"/>
    <col min="14" max="16384" width="9.1640625" style="3"/>
  </cols>
  <sheetData>
    <row r="1" spans="1:13" s="2" customFormat="1" ht="29" customHeight="1">
      <c r="A1" s="80" t="s">
        <v>404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428</v>
      </c>
      <c r="B3" s="70" t="s">
        <v>0</v>
      </c>
      <c r="C3" s="90" t="s">
        <v>440</v>
      </c>
      <c r="D3" s="90" t="s">
        <v>6</v>
      </c>
      <c r="E3" s="92" t="s">
        <v>441</v>
      </c>
      <c r="F3" s="94" t="s">
        <v>5</v>
      </c>
      <c r="G3" s="94" t="s">
        <v>132</v>
      </c>
      <c r="H3" s="94"/>
      <c r="I3" s="94"/>
      <c r="J3" s="94"/>
      <c r="K3" s="72" t="s">
        <v>39</v>
      </c>
      <c r="L3" s="92" t="s">
        <v>3</v>
      </c>
      <c r="M3" s="76" t="s">
        <v>2</v>
      </c>
    </row>
    <row r="4" spans="1:13" s="1" customFormat="1" ht="21" customHeight="1" thickBot="1">
      <c r="A4" s="89"/>
      <c r="B4" s="71"/>
      <c r="C4" s="91"/>
      <c r="D4" s="91"/>
      <c r="E4" s="93"/>
      <c r="F4" s="91"/>
      <c r="G4" s="4">
        <v>1</v>
      </c>
      <c r="H4" s="4">
        <v>2</v>
      </c>
      <c r="I4" s="4">
        <v>3</v>
      </c>
      <c r="J4" s="4" t="s">
        <v>4</v>
      </c>
      <c r="K4" s="73"/>
      <c r="L4" s="93"/>
      <c r="M4" s="77"/>
    </row>
    <row r="5" spans="1:13" ht="16">
      <c r="A5" s="78" t="s">
        <v>46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30" t="s">
        <v>252</v>
      </c>
      <c r="B6" s="10" t="s">
        <v>351</v>
      </c>
      <c r="C6" s="10" t="s">
        <v>287</v>
      </c>
      <c r="D6" s="10" t="s">
        <v>288</v>
      </c>
      <c r="E6" s="11" t="s">
        <v>445</v>
      </c>
      <c r="F6" s="10" t="s">
        <v>429</v>
      </c>
      <c r="G6" s="32" t="s">
        <v>60</v>
      </c>
      <c r="H6" s="32" t="s">
        <v>60</v>
      </c>
      <c r="I6" s="32" t="s">
        <v>60</v>
      </c>
      <c r="J6" s="30"/>
      <c r="K6" s="43">
        <v>0</v>
      </c>
      <c r="L6" s="12" t="str">
        <f>"0,0000"</f>
        <v>0,0000</v>
      </c>
      <c r="M6" s="10" t="s">
        <v>438</v>
      </c>
    </row>
    <row r="7" spans="1:13">
      <c r="A7" s="39" t="s">
        <v>40</v>
      </c>
      <c r="B7" s="36" t="s">
        <v>105</v>
      </c>
      <c r="C7" s="36" t="s">
        <v>47</v>
      </c>
      <c r="D7" s="36" t="s">
        <v>48</v>
      </c>
      <c r="E7" s="37" t="s">
        <v>442</v>
      </c>
      <c r="F7" s="36" t="s">
        <v>429</v>
      </c>
      <c r="G7" s="40" t="s">
        <v>59</v>
      </c>
      <c r="H7" s="40" t="s">
        <v>62</v>
      </c>
      <c r="I7" s="41" t="s">
        <v>60</v>
      </c>
      <c r="J7" s="39"/>
      <c r="K7" s="67" t="str">
        <f>"50,0"</f>
        <v>50,0</v>
      </c>
      <c r="L7" s="38" t="str">
        <f>"63,2700"</f>
        <v>63,2700</v>
      </c>
      <c r="M7" s="36" t="s">
        <v>438</v>
      </c>
    </row>
    <row r="8" spans="1:13">
      <c r="A8" s="33" t="s">
        <v>40</v>
      </c>
      <c r="B8" s="13" t="s">
        <v>352</v>
      </c>
      <c r="C8" s="13" t="s">
        <v>289</v>
      </c>
      <c r="D8" s="13" t="s">
        <v>290</v>
      </c>
      <c r="E8" s="14" t="s">
        <v>446</v>
      </c>
      <c r="F8" s="13" t="s">
        <v>429</v>
      </c>
      <c r="G8" s="34" t="s">
        <v>59</v>
      </c>
      <c r="H8" s="35" t="s">
        <v>62</v>
      </c>
      <c r="I8" s="34" t="s">
        <v>62</v>
      </c>
      <c r="J8" s="33"/>
      <c r="K8" s="44" t="str">
        <f>"50,0"</f>
        <v>50,0</v>
      </c>
      <c r="L8" s="15" t="str">
        <f>"81,0265"</f>
        <v>81,0265</v>
      </c>
      <c r="M8" s="13" t="s">
        <v>438</v>
      </c>
    </row>
    <row r="10" spans="1:13" ht="16">
      <c r="A10" s="68" t="s">
        <v>291</v>
      </c>
      <c r="B10" s="68"/>
      <c r="C10" s="69"/>
      <c r="D10" s="69"/>
      <c r="E10" s="69"/>
      <c r="F10" s="69"/>
      <c r="G10" s="69"/>
      <c r="H10" s="69"/>
      <c r="I10" s="69"/>
      <c r="J10" s="69"/>
    </row>
    <row r="11" spans="1:13">
      <c r="A11" s="27" t="s">
        <v>40</v>
      </c>
      <c r="B11" s="7" t="s">
        <v>353</v>
      </c>
      <c r="C11" s="7" t="s">
        <v>292</v>
      </c>
      <c r="D11" s="7" t="s">
        <v>293</v>
      </c>
      <c r="E11" s="8" t="s">
        <v>442</v>
      </c>
      <c r="F11" s="7" t="s">
        <v>429</v>
      </c>
      <c r="G11" s="28" t="s">
        <v>62</v>
      </c>
      <c r="H11" s="28" t="s">
        <v>10</v>
      </c>
      <c r="I11" s="29" t="s">
        <v>11</v>
      </c>
      <c r="J11" s="27"/>
      <c r="K11" s="42" t="str">
        <f>"57,5"</f>
        <v>57,5</v>
      </c>
      <c r="L11" s="9" t="str">
        <f>"69,3105"</f>
        <v>69,3105</v>
      </c>
      <c r="M11" s="7" t="s">
        <v>438</v>
      </c>
    </row>
    <row r="13" spans="1:13" ht="16">
      <c r="A13" s="68" t="s">
        <v>50</v>
      </c>
      <c r="B13" s="68"/>
      <c r="C13" s="69"/>
      <c r="D13" s="69"/>
      <c r="E13" s="69"/>
      <c r="F13" s="69"/>
      <c r="G13" s="69"/>
      <c r="H13" s="69"/>
      <c r="I13" s="69"/>
      <c r="J13" s="69"/>
    </row>
    <row r="14" spans="1:13">
      <c r="A14" s="30" t="s">
        <v>40</v>
      </c>
      <c r="B14" s="10" t="s">
        <v>247</v>
      </c>
      <c r="C14" s="10" t="s">
        <v>219</v>
      </c>
      <c r="D14" s="10" t="s">
        <v>52</v>
      </c>
      <c r="E14" s="11" t="s">
        <v>445</v>
      </c>
      <c r="F14" s="10" t="s">
        <v>429</v>
      </c>
      <c r="G14" s="31" t="s">
        <v>12</v>
      </c>
      <c r="H14" s="31" t="s">
        <v>68</v>
      </c>
      <c r="I14" s="31" t="s">
        <v>88</v>
      </c>
      <c r="J14" s="30"/>
      <c r="K14" s="43" t="str">
        <f>"72,5"</f>
        <v>72,5</v>
      </c>
      <c r="L14" s="12" t="str">
        <f>"80,8302"</f>
        <v>80,8302</v>
      </c>
      <c r="M14" s="10" t="s">
        <v>394</v>
      </c>
    </row>
    <row r="15" spans="1:13">
      <c r="A15" s="33" t="s">
        <v>40</v>
      </c>
      <c r="B15" s="13" t="s">
        <v>354</v>
      </c>
      <c r="C15" s="13" t="s">
        <v>294</v>
      </c>
      <c r="D15" s="13" t="s">
        <v>295</v>
      </c>
      <c r="E15" s="14" t="s">
        <v>442</v>
      </c>
      <c r="F15" s="13" t="s">
        <v>429</v>
      </c>
      <c r="G15" s="34" t="s">
        <v>67</v>
      </c>
      <c r="H15" s="35" t="s">
        <v>87</v>
      </c>
      <c r="I15" s="35" t="s">
        <v>87</v>
      </c>
      <c r="J15" s="33"/>
      <c r="K15" s="44" t="str">
        <f>"60,0"</f>
        <v>60,0</v>
      </c>
      <c r="L15" s="15" t="str">
        <f>"68,3160"</f>
        <v>68,3160</v>
      </c>
      <c r="M15" s="13" t="s">
        <v>438</v>
      </c>
    </row>
    <row r="17" spans="1:13" ht="16">
      <c r="A17" s="68" t="s">
        <v>56</v>
      </c>
      <c r="B17" s="68"/>
      <c r="C17" s="69"/>
      <c r="D17" s="69"/>
      <c r="E17" s="69"/>
      <c r="F17" s="69"/>
      <c r="G17" s="69"/>
      <c r="H17" s="69"/>
      <c r="I17" s="69"/>
      <c r="J17" s="69"/>
    </row>
    <row r="18" spans="1:13">
      <c r="A18" s="27" t="s">
        <v>40</v>
      </c>
      <c r="B18" s="7" t="s">
        <v>355</v>
      </c>
      <c r="C18" s="7" t="s">
        <v>296</v>
      </c>
      <c r="D18" s="7" t="s">
        <v>61</v>
      </c>
      <c r="E18" s="8" t="s">
        <v>447</v>
      </c>
      <c r="F18" s="7" t="s">
        <v>429</v>
      </c>
      <c r="G18" s="28" t="s">
        <v>10</v>
      </c>
      <c r="H18" s="28" t="s">
        <v>67</v>
      </c>
      <c r="I18" s="28" t="s">
        <v>11</v>
      </c>
      <c r="J18" s="27"/>
      <c r="K18" s="42" t="str">
        <f>"62,5"</f>
        <v>62,5</v>
      </c>
      <c r="L18" s="9" t="str">
        <f>"65,1685"</f>
        <v>65,1685</v>
      </c>
      <c r="M18" s="7" t="s">
        <v>438</v>
      </c>
    </row>
    <row r="20" spans="1:13" ht="16">
      <c r="A20" s="68" t="s">
        <v>64</v>
      </c>
      <c r="B20" s="68"/>
      <c r="C20" s="69"/>
      <c r="D20" s="69"/>
      <c r="E20" s="69"/>
      <c r="F20" s="69"/>
      <c r="G20" s="69"/>
      <c r="H20" s="69"/>
      <c r="I20" s="69"/>
      <c r="J20" s="69"/>
    </row>
    <row r="21" spans="1:13">
      <c r="A21" s="27" t="s">
        <v>40</v>
      </c>
      <c r="B21" s="7" t="s">
        <v>356</v>
      </c>
      <c r="C21" s="7" t="s">
        <v>297</v>
      </c>
      <c r="D21" s="7" t="s">
        <v>79</v>
      </c>
      <c r="E21" s="8" t="s">
        <v>442</v>
      </c>
      <c r="F21" s="7" t="s">
        <v>429</v>
      </c>
      <c r="G21" s="28" t="s">
        <v>72</v>
      </c>
      <c r="H21" s="28" t="s">
        <v>67</v>
      </c>
      <c r="I21" s="28" t="s">
        <v>11</v>
      </c>
      <c r="J21" s="27"/>
      <c r="K21" s="42" t="str">
        <f>"62,5"</f>
        <v>62,5</v>
      </c>
      <c r="L21" s="9" t="str">
        <f>"60,7250"</f>
        <v>60,7250</v>
      </c>
      <c r="M21" s="7" t="s">
        <v>438</v>
      </c>
    </row>
    <row r="23" spans="1:13" ht="16">
      <c r="A23" s="68" t="s">
        <v>56</v>
      </c>
      <c r="B23" s="68"/>
      <c r="C23" s="69"/>
      <c r="D23" s="69"/>
      <c r="E23" s="69"/>
      <c r="F23" s="69"/>
      <c r="G23" s="69"/>
      <c r="H23" s="69"/>
      <c r="I23" s="69"/>
      <c r="J23" s="69"/>
    </row>
    <row r="24" spans="1:13">
      <c r="A24" s="30" t="s">
        <v>252</v>
      </c>
      <c r="B24" s="10" t="s">
        <v>108</v>
      </c>
      <c r="C24" s="10" t="s">
        <v>298</v>
      </c>
      <c r="D24" s="10" t="s">
        <v>61</v>
      </c>
      <c r="E24" s="11" t="s">
        <v>444</v>
      </c>
      <c r="F24" s="10" t="s">
        <v>433</v>
      </c>
      <c r="G24" s="32" t="s">
        <v>26</v>
      </c>
      <c r="H24" s="32" t="s">
        <v>26</v>
      </c>
      <c r="I24" s="32" t="s">
        <v>26</v>
      </c>
      <c r="J24" s="30"/>
      <c r="K24" s="43">
        <v>0</v>
      </c>
      <c r="L24" s="12" t="str">
        <f>"0,0000"</f>
        <v>0,0000</v>
      </c>
      <c r="M24" s="10" t="s">
        <v>438</v>
      </c>
    </row>
    <row r="25" spans="1:13">
      <c r="A25" s="33" t="s">
        <v>40</v>
      </c>
      <c r="B25" s="13" t="s">
        <v>357</v>
      </c>
      <c r="C25" s="13" t="s">
        <v>299</v>
      </c>
      <c r="D25" s="13" t="s">
        <v>300</v>
      </c>
      <c r="E25" s="14" t="s">
        <v>445</v>
      </c>
      <c r="F25" s="13" t="s">
        <v>429</v>
      </c>
      <c r="G25" s="35" t="s">
        <v>68</v>
      </c>
      <c r="H25" s="35" t="s">
        <v>68</v>
      </c>
      <c r="I25" s="34" t="s">
        <v>68</v>
      </c>
      <c r="J25" s="33"/>
      <c r="K25" s="44" t="str">
        <f>"70,0"</f>
        <v>70,0</v>
      </c>
      <c r="L25" s="15" t="str">
        <f>"57,3230"</f>
        <v>57,3230</v>
      </c>
      <c r="M25" s="13" t="s">
        <v>438</v>
      </c>
    </row>
    <row r="27" spans="1:13" ht="16">
      <c r="A27" s="68" t="s">
        <v>64</v>
      </c>
      <c r="B27" s="68"/>
      <c r="C27" s="69"/>
      <c r="D27" s="69"/>
      <c r="E27" s="69"/>
      <c r="F27" s="69"/>
      <c r="G27" s="69"/>
      <c r="H27" s="69"/>
      <c r="I27" s="69"/>
      <c r="J27" s="69"/>
    </row>
    <row r="28" spans="1:13">
      <c r="A28" s="30" t="s">
        <v>40</v>
      </c>
      <c r="B28" s="10" t="s">
        <v>358</v>
      </c>
      <c r="C28" s="10" t="s">
        <v>301</v>
      </c>
      <c r="D28" s="10" t="s">
        <v>302</v>
      </c>
      <c r="E28" s="11" t="s">
        <v>443</v>
      </c>
      <c r="F28" s="10" t="s">
        <v>429</v>
      </c>
      <c r="G28" s="31" t="s">
        <v>221</v>
      </c>
      <c r="H28" s="31" t="s">
        <v>167</v>
      </c>
      <c r="I28" s="32" t="s">
        <v>139</v>
      </c>
      <c r="J28" s="30"/>
      <c r="K28" s="43" t="str">
        <f>"135,0"</f>
        <v>135,0</v>
      </c>
      <c r="L28" s="12" t="str">
        <f>"97,5780"</f>
        <v>97,5780</v>
      </c>
      <c r="M28" s="10" t="s">
        <v>397</v>
      </c>
    </row>
    <row r="29" spans="1:13">
      <c r="A29" s="39" t="s">
        <v>40</v>
      </c>
      <c r="B29" s="36" t="s">
        <v>115</v>
      </c>
      <c r="C29" s="36" t="s">
        <v>74</v>
      </c>
      <c r="D29" s="36" t="s">
        <v>75</v>
      </c>
      <c r="E29" s="37" t="s">
        <v>442</v>
      </c>
      <c r="F29" s="36" t="s">
        <v>429</v>
      </c>
      <c r="G29" s="41" t="s">
        <v>156</v>
      </c>
      <c r="H29" s="40" t="s">
        <v>156</v>
      </c>
      <c r="I29" s="41" t="s">
        <v>226</v>
      </c>
      <c r="J29" s="39"/>
      <c r="K29" s="67" t="str">
        <f>"130,0"</f>
        <v>130,0</v>
      </c>
      <c r="L29" s="38" t="str">
        <f>"93,3270"</f>
        <v>93,3270</v>
      </c>
      <c r="M29" s="36" t="s">
        <v>438</v>
      </c>
    </row>
    <row r="30" spans="1:13">
      <c r="A30" s="39" t="s">
        <v>43</v>
      </c>
      <c r="B30" s="36" t="s">
        <v>359</v>
      </c>
      <c r="C30" s="36" t="s">
        <v>303</v>
      </c>
      <c r="D30" s="36" t="s">
        <v>304</v>
      </c>
      <c r="E30" s="37" t="s">
        <v>442</v>
      </c>
      <c r="F30" s="36" t="s">
        <v>434</v>
      </c>
      <c r="G30" s="41" t="s">
        <v>200</v>
      </c>
      <c r="H30" s="40" t="s">
        <v>200</v>
      </c>
      <c r="I30" s="41" t="s">
        <v>156</v>
      </c>
      <c r="J30" s="39"/>
      <c r="K30" s="67" t="str">
        <f>"125,0"</f>
        <v>125,0</v>
      </c>
      <c r="L30" s="38" t="str">
        <f>"91,5250"</f>
        <v>91,5250</v>
      </c>
      <c r="M30" s="36" t="s">
        <v>438</v>
      </c>
    </row>
    <row r="31" spans="1:13">
      <c r="A31" s="39" t="s">
        <v>40</v>
      </c>
      <c r="B31" s="36" t="s">
        <v>116</v>
      </c>
      <c r="C31" s="36" t="s">
        <v>305</v>
      </c>
      <c r="D31" s="36" t="s">
        <v>78</v>
      </c>
      <c r="E31" s="37" t="s">
        <v>447</v>
      </c>
      <c r="F31" s="36" t="s">
        <v>429</v>
      </c>
      <c r="G31" s="40" t="s">
        <v>156</v>
      </c>
      <c r="H31" s="40" t="s">
        <v>167</v>
      </c>
      <c r="I31" s="40" t="s">
        <v>139</v>
      </c>
      <c r="J31" s="39"/>
      <c r="K31" s="67" t="str">
        <f>"140,0"</f>
        <v>140,0</v>
      </c>
      <c r="L31" s="38" t="str">
        <f>"101,3452"</f>
        <v>101,3452</v>
      </c>
      <c r="M31" s="36" t="s">
        <v>438</v>
      </c>
    </row>
    <row r="32" spans="1:13">
      <c r="A32" s="33" t="s">
        <v>43</v>
      </c>
      <c r="B32" s="13" t="s">
        <v>117</v>
      </c>
      <c r="C32" s="13" t="s">
        <v>306</v>
      </c>
      <c r="D32" s="13" t="s">
        <v>79</v>
      </c>
      <c r="E32" s="14" t="s">
        <v>447</v>
      </c>
      <c r="F32" s="13" t="s">
        <v>435</v>
      </c>
      <c r="G32" s="35" t="s">
        <v>150</v>
      </c>
      <c r="H32" s="34" t="s">
        <v>150</v>
      </c>
      <c r="I32" s="35" t="s">
        <v>307</v>
      </c>
      <c r="J32" s="33"/>
      <c r="K32" s="44" t="str">
        <f>"110,0"</f>
        <v>110,0</v>
      </c>
      <c r="L32" s="15" t="str">
        <f>"80,3000"</f>
        <v>80,3000</v>
      </c>
      <c r="M32" s="13" t="s">
        <v>438</v>
      </c>
    </row>
    <row r="34" spans="1:13" ht="16">
      <c r="A34" s="68" t="s">
        <v>7</v>
      </c>
      <c r="B34" s="68"/>
      <c r="C34" s="69"/>
      <c r="D34" s="69"/>
      <c r="E34" s="69"/>
      <c r="F34" s="69"/>
      <c r="G34" s="69"/>
      <c r="H34" s="69"/>
      <c r="I34" s="69"/>
      <c r="J34" s="69"/>
    </row>
    <row r="35" spans="1:13">
      <c r="A35" s="30" t="s">
        <v>40</v>
      </c>
      <c r="B35" s="10" t="s">
        <v>123</v>
      </c>
      <c r="C35" s="10" t="s">
        <v>85</v>
      </c>
      <c r="D35" s="10" t="s">
        <v>83</v>
      </c>
      <c r="E35" s="11" t="s">
        <v>442</v>
      </c>
      <c r="F35" s="10" t="s">
        <v>429</v>
      </c>
      <c r="G35" s="31" t="s">
        <v>139</v>
      </c>
      <c r="H35" s="32" t="s">
        <v>264</v>
      </c>
      <c r="I35" s="31" t="s">
        <v>264</v>
      </c>
      <c r="J35" s="30"/>
      <c r="K35" s="43" t="str">
        <f>"145,0"</f>
        <v>145,0</v>
      </c>
      <c r="L35" s="12" t="str">
        <f>"97,7880"</f>
        <v>97,7880</v>
      </c>
      <c r="M35" s="10" t="s">
        <v>438</v>
      </c>
    </row>
    <row r="36" spans="1:13">
      <c r="A36" s="39" t="s">
        <v>43</v>
      </c>
      <c r="B36" s="36" t="s">
        <v>360</v>
      </c>
      <c r="C36" s="36" t="s">
        <v>308</v>
      </c>
      <c r="D36" s="36" t="s">
        <v>309</v>
      </c>
      <c r="E36" s="37" t="s">
        <v>442</v>
      </c>
      <c r="F36" s="36" t="s">
        <v>429</v>
      </c>
      <c r="G36" s="40" t="s">
        <v>155</v>
      </c>
      <c r="H36" s="40" t="s">
        <v>221</v>
      </c>
      <c r="I36" s="40" t="s">
        <v>226</v>
      </c>
      <c r="J36" s="39"/>
      <c r="K36" s="67" t="str">
        <f>"132,5"</f>
        <v>132,5</v>
      </c>
      <c r="L36" s="38" t="str">
        <f>"89,5567"</f>
        <v>89,5567</v>
      </c>
      <c r="M36" s="36" t="s">
        <v>438</v>
      </c>
    </row>
    <row r="37" spans="1:13">
      <c r="A37" s="39" t="s">
        <v>109</v>
      </c>
      <c r="B37" s="36" t="s">
        <v>124</v>
      </c>
      <c r="C37" s="36" t="s">
        <v>89</v>
      </c>
      <c r="D37" s="36" t="s">
        <v>90</v>
      </c>
      <c r="E37" s="37" t="s">
        <v>442</v>
      </c>
      <c r="F37" s="36" t="s">
        <v>429</v>
      </c>
      <c r="G37" s="40" t="s">
        <v>310</v>
      </c>
      <c r="H37" s="40" t="s">
        <v>220</v>
      </c>
      <c r="I37" s="41" t="s">
        <v>221</v>
      </c>
      <c r="J37" s="39"/>
      <c r="K37" s="67" t="str">
        <f>"122,5"</f>
        <v>122,5</v>
      </c>
      <c r="L37" s="38" t="str">
        <f>"84,0350"</f>
        <v>84,0350</v>
      </c>
      <c r="M37" s="36" t="s">
        <v>438</v>
      </c>
    </row>
    <row r="38" spans="1:13">
      <c r="A38" s="33" t="s">
        <v>40</v>
      </c>
      <c r="B38" s="13" t="s">
        <v>125</v>
      </c>
      <c r="C38" s="13" t="s">
        <v>311</v>
      </c>
      <c r="D38" s="13" t="s">
        <v>83</v>
      </c>
      <c r="E38" s="14" t="s">
        <v>447</v>
      </c>
      <c r="F38" s="13" t="s">
        <v>429</v>
      </c>
      <c r="G38" s="34" t="s">
        <v>167</v>
      </c>
      <c r="H38" s="34" t="s">
        <v>139</v>
      </c>
      <c r="I38" s="35" t="s">
        <v>264</v>
      </c>
      <c r="J38" s="33"/>
      <c r="K38" s="44" t="str">
        <f>"140,0"</f>
        <v>140,0</v>
      </c>
      <c r="L38" s="15" t="str">
        <f>"94,4160"</f>
        <v>94,4160</v>
      </c>
      <c r="M38" s="13" t="s">
        <v>438</v>
      </c>
    </row>
    <row r="40" spans="1:13" ht="16">
      <c r="A40" s="68" t="s">
        <v>91</v>
      </c>
      <c r="B40" s="68"/>
      <c r="C40" s="69"/>
      <c r="D40" s="69"/>
      <c r="E40" s="69"/>
      <c r="F40" s="69"/>
      <c r="G40" s="69"/>
      <c r="H40" s="69"/>
      <c r="I40" s="69"/>
      <c r="J40" s="69"/>
    </row>
    <row r="41" spans="1:13">
      <c r="A41" s="30" t="s">
        <v>40</v>
      </c>
      <c r="B41" s="10" t="s">
        <v>361</v>
      </c>
      <c r="C41" s="10" t="s">
        <v>312</v>
      </c>
      <c r="D41" s="10" t="s">
        <v>313</v>
      </c>
      <c r="E41" s="11" t="s">
        <v>443</v>
      </c>
      <c r="F41" s="10" t="s">
        <v>429</v>
      </c>
      <c r="G41" s="31" t="s">
        <v>167</v>
      </c>
      <c r="H41" s="32" t="s">
        <v>139</v>
      </c>
      <c r="I41" s="32" t="s">
        <v>139</v>
      </c>
      <c r="J41" s="30"/>
      <c r="K41" s="43" t="str">
        <f>"135,0"</f>
        <v>135,0</v>
      </c>
      <c r="L41" s="12" t="str">
        <f>"87,7365"</f>
        <v>87,7365</v>
      </c>
      <c r="M41" s="10" t="s">
        <v>398</v>
      </c>
    </row>
    <row r="42" spans="1:13">
      <c r="A42" s="39" t="s">
        <v>43</v>
      </c>
      <c r="B42" s="36" t="s">
        <v>362</v>
      </c>
      <c r="C42" s="36" t="s">
        <v>314</v>
      </c>
      <c r="D42" s="36" t="s">
        <v>315</v>
      </c>
      <c r="E42" s="37" t="s">
        <v>443</v>
      </c>
      <c r="F42" s="36" t="s">
        <v>429</v>
      </c>
      <c r="G42" s="40" t="s">
        <v>149</v>
      </c>
      <c r="H42" s="40" t="s">
        <v>161</v>
      </c>
      <c r="I42" s="41" t="s">
        <v>200</v>
      </c>
      <c r="J42" s="39"/>
      <c r="K42" s="67" t="str">
        <f>"115,0"</f>
        <v>115,0</v>
      </c>
      <c r="L42" s="38" t="str">
        <f>"74,2325"</f>
        <v>74,2325</v>
      </c>
      <c r="M42" s="36" t="s">
        <v>399</v>
      </c>
    </row>
    <row r="43" spans="1:13">
      <c r="A43" s="39" t="s">
        <v>40</v>
      </c>
      <c r="B43" s="36" t="s">
        <v>363</v>
      </c>
      <c r="C43" s="36" t="s">
        <v>316</v>
      </c>
      <c r="D43" s="36" t="s">
        <v>317</v>
      </c>
      <c r="E43" s="37" t="s">
        <v>445</v>
      </c>
      <c r="F43" s="36" t="s">
        <v>429</v>
      </c>
      <c r="G43" s="40" t="s">
        <v>150</v>
      </c>
      <c r="H43" s="40" t="s">
        <v>161</v>
      </c>
      <c r="I43" s="40" t="s">
        <v>310</v>
      </c>
      <c r="J43" s="39"/>
      <c r="K43" s="67" t="str">
        <f>"117,5"</f>
        <v>117,5</v>
      </c>
      <c r="L43" s="38" t="str">
        <f>"76,5512"</f>
        <v>76,5512</v>
      </c>
      <c r="M43" s="36" t="s">
        <v>438</v>
      </c>
    </row>
    <row r="44" spans="1:13">
      <c r="A44" s="39" t="s">
        <v>43</v>
      </c>
      <c r="B44" s="36" t="s">
        <v>364</v>
      </c>
      <c r="C44" s="36" t="s">
        <v>318</v>
      </c>
      <c r="D44" s="36" t="s">
        <v>319</v>
      </c>
      <c r="E44" s="37" t="s">
        <v>445</v>
      </c>
      <c r="F44" s="36" t="s">
        <v>429</v>
      </c>
      <c r="G44" s="41" t="s">
        <v>149</v>
      </c>
      <c r="H44" s="40" t="s">
        <v>320</v>
      </c>
      <c r="I44" s="40" t="s">
        <v>161</v>
      </c>
      <c r="J44" s="39"/>
      <c r="K44" s="67" t="str">
        <f>"115,0"</f>
        <v>115,0</v>
      </c>
      <c r="L44" s="38" t="str">
        <f>"73,4965"</f>
        <v>73,4965</v>
      </c>
      <c r="M44" s="36" t="s">
        <v>438</v>
      </c>
    </row>
    <row r="45" spans="1:13">
      <c r="A45" s="39" t="s">
        <v>109</v>
      </c>
      <c r="B45" s="36" t="s">
        <v>126</v>
      </c>
      <c r="C45" s="36" t="s">
        <v>321</v>
      </c>
      <c r="D45" s="36" t="s">
        <v>92</v>
      </c>
      <c r="E45" s="37" t="s">
        <v>445</v>
      </c>
      <c r="F45" s="36" t="s">
        <v>429</v>
      </c>
      <c r="G45" s="40" t="s">
        <v>149</v>
      </c>
      <c r="H45" s="40" t="s">
        <v>150</v>
      </c>
      <c r="I45" s="41" t="s">
        <v>307</v>
      </c>
      <c r="J45" s="39"/>
      <c r="K45" s="67" t="str">
        <f>"110,0"</f>
        <v>110,0</v>
      </c>
      <c r="L45" s="38" t="str">
        <f>"71,4010"</f>
        <v>71,4010</v>
      </c>
      <c r="M45" s="36" t="s">
        <v>438</v>
      </c>
    </row>
    <row r="46" spans="1:13">
      <c r="A46" s="39" t="s">
        <v>40</v>
      </c>
      <c r="B46" s="36" t="s">
        <v>127</v>
      </c>
      <c r="C46" s="36" t="s">
        <v>94</v>
      </c>
      <c r="D46" s="36" t="s">
        <v>92</v>
      </c>
      <c r="E46" s="37" t="s">
        <v>442</v>
      </c>
      <c r="F46" s="36" t="s">
        <v>429</v>
      </c>
      <c r="G46" s="40" t="s">
        <v>160</v>
      </c>
      <c r="H46" s="40" t="s">
        <v>141</v>
      </c>
      <c r="I46" s="41" t="s">
        <v>276</v>
      </c>
      <c r="J46" s="39"/>
      <c r="K46" s="67" t="str">
        <f>"165,0"</f>
        <v>165,0</v>
      </c>
      <c r="L46" s="38" t="str">
        <f>"107,1015"</f>
        <v>107,1015</v>
      </c>
      <c r="M46" s="36" t="s">
        <v>438</v>
      </c>
    </row>
    <row r="47" spans="1:13">
      <c r="A47" s="39" t="s">
        <v>43</v>
      </c>
      <c r="B47" s="36" t="s">
        <v>365</v>
      </c>
      <c r="C47" s="36" t="s">
        <v>323</v>
      </c>
      <c r="D47" s="36" t="s">
        <v>324</v>
      </c>
      <c r="E47" s="37" t="s">
        <v>442</v>
      </c>
      <c r="F47" s="36" t="s">
        <v>429</v>
      </c>
      <c r="G47" s="40" t="s">
        <v>159</v>
      </c>
      <c r="H47" s="40" t="s">
        <v>140</v>
      </c>
      <c r="I47" s="41" t="s">
        <v>160</v>
      </c>
      <c r="J47" s="39"/>
      <c r="K47" s="67" t="str">
        <f>"155,0"</f>
        <v>155,0</v>
      </c>
      <c r="L47" s="38" t="str">
        <f>"100,4865"</f>
        <v>100,4865</v>
      </c>
      <c r="M47" s="36" t="s">
        <v>438</v>
      </c>
    </row>
    <row r="48" spans="1:13">
      <c r="A48" s="39" t="s">
        <v>109</v>
      </c>
      <c r="B48" s="36" t="s">
        <v>366</v>
      </c>
      <c r="C48" s="36" t="s">
        <v>325</v>
      </c>
      <c r="D48" s="36" t="s">
        <v>326</v>
      </c>
      <c r="E48" s="37" t="s">
        <v>442</v>
      </c>
      <c r="F48" s="36" t="s">
        <v>429</v>
      </c>
      <c r="G48" s="40" t="s">
        <v>156</v>
      </c>
      <c r="H48" s="41" t="s">
        <v>139</v>
      </c>
      <c r="I48" s="41" t="s">
        <v>139</v>
      </c>
      <c r="J48" s="39"/>
      <c r="K48" s="67" t="str">
        <f>"130,0"</f>
        <v>130,0</v>
      </c>
      <c r="L48" s="38" t="str">
        <f>"83,4210"</f>
        <v>83,4210</v>
      </c>
      <c r="M48" s="36" t="s">
        <v>438</v>
      </c>
    </row>
    <row r="49" spans="1:13">
      <c r="A49" s="39" t="s">
        <v>40</v>
      </c>
      <c r="B49" s="36" t="s">
        <v>366</v>
      </c>
      <c r="C49" s="36" t="s">
        <v>327</v>
      </c>
      <c r="D49" s="36" t="s">
        <v>326</v>
      </c>
      <c r="E49" s="37" t="s">
        <v>447</v>
      </c>
      <c r="F49" s="36" t="s">
        <v>429</v>
      </c>
      <c r="G49" s="40" t="s">
        <v>156</v>
      </c>
      <c r="H49" s="41" t="s">
        <v>139</v>
      </c>
      <c r="I49" s="41" t="s">
        <v>139</v>
      </c>
      <c r="J49" s="39"/>
      <c r="K49" s="67" t="str">
        <f>"130,0"</f>
        <v>130,0</v>
      </c>
      <c r="L49" s="38" t="str">
        <f>"85,7568"</f>
        <v>85,7568</v>
      </c>
      <c r="M49" s="36" t="s">
        <v>438</v>
      </c>
    </row>
    <row r="50" spans="1:13">
      <c r="A50" s="33" t="s">
        <v>40</v>
      </c>
      <c r="B50" s="13" t="s">
        <v>365</v>
      </c>
      <c r="C50" s="13" t="s">
        <v>328</v>
      </c>
      <c r="D50" s="13" t="s">
        <v>324</v>
      </c>
      <c r="E50" s="14" t="s">
        <v>448</v>
      </c>
      <c r="F50" s="13" t="s">
        <v>429</v>
      </c>
      <c r="G50" s="34" t="s">
        <v>159</v>
      </c>
      <c r="H50" s="34" t="s">
        <v>140</v>
      </c>
      <c r="I50" s="35" t="s">
        <v>160</v>
      </c>
      <c r="J50" s="33"/>
      <c r="K50" s="44" t="str">
        <f>"155,0"</f>
        <v>155,0</v>
      </c>
      <c r="L50" s="15" t="str">
        <f>"141,6860"</f>
        <v>141,6860</v>
      </c>
      <c r="M50" s="13" t="s">
        <v>438</v>
      </c>
    </row>
    <row r="52" spans="1:13" ht="16">
      <c r="A52" s="68" t="s">
        <v>13</v>
      </c>
      <c r="B52" s="68"/>
      <c r="C52" s="69"/>
      <c r="D52" s="69"/>
      <c r="E52" s="69"/>
      <c r="F52" s="69"/>
      <c r="G52" s="69"/>
      <c r="H52" s="69"/>
      <c r="I52" s="69"/>
      <c r="J52" s="69"/>
    </row>
    <row r="53" spans="1:13">
      <c r="A53" s="30" t="s">
        <v>40</v>
      </c>
      <c r="B53" s="10" t="s">
        <v>367</v>
      </c>
      <c r="C53" s="10" t="s">
        <v>330</v>
      </c>
      <c r="D53" s="10" t="s">
        <v>331</v>
      </c>
      <c r="E53" s="11" t="s">
        <v>445</v>
      </c>
      <c r="F53" s="10" t="s">
        <v>429</v>
      </c>
      <c r="G53" s="31" t="s">
        <v>139</v>
      </c>
      <c r="H53" s="31" t="s">
        <v>264</v>
      </c>
      <c r="I53" s="32" t="s">
        <v>159</v>
      </c>
      <c r="J53" s="30"/>
      <c r="K53" s="43" t="str">
        <f>"145,0"</f>
        <v>145,0</v>
      </c>
      <c r="L53" s="12" t="str">
        <f>"89,8130"</f>
        <v>89,8130</v>
      </c>
      <c r="M53" s="10" t="s">
        <v>438</v>
      </c>
    </row>
    <row r="54" spans="1:13">
      <c r="A54" s="39" t="s">
        <v>43</v>
      </c>
      <c r="B54" s="36" t="s">
        <v>368</v>
      </c>
      <c r="C54" s="36" t="s">
        <v>333</v>
      </c>
      <c r="D54" s="36" t="s">
        <v>334</v>
      </c>
      <c r="E54" s="37" t="s">
        <v>445</v>
      </c>
      <c r="F54" s="36" t="s">
        <v>429</v>
      </c>
      <c r="G54" s="40" t="s">
        <v>307</v>
      </c>
      <c r="H54" s="40" t="s">
        <v>310</v>
      </c>
      <c r="I54" s="40" t="s">
        <v>200</v>
      </c>
      <c r="J54" s="39"/>
      <c r="K54" s="67" t="str">
        <f>"125,0"</f>
        <v>125,0</v>
      </c>
      <c r="L54" s="38" t="str">
        <f>"77,5750"</f>
        <v>77,5750</v>
      </c>
      <c r="M54" s="36" t="s">
        <v>438</v>
      </c>
    </row>
    <row r="55" spans="1:13">
      <c r="A55" s="39" t="s">
        <v>40</v>
      </c>
      <c r="B55" s="36" t="s">
        <v>129</v>
      </c>
      <c r="C55" s="36" t="s">
        <v>97</v>
      </c>
      <c r="D55" s="36" t="s">
        <v>98</v>
      </c>
      <c r="E55" s="37" t="s">
        <v>442</v>
      </c>
      <c r="F55" s="36" t="s">
        <v>432</v>
      </c>
      <c r="G55" s="40" t="s">
        <v>335</v>
      </c>
      <c r="H55" s="40" t="s">
        <v>241</v>
      </c>
      <c r="I55" s="40" t="s">
        <v>159</v>
      </c>
      <c r="J55" s="39"/>
      <c r="K55" s="67" t="str">
        <f>"150,0"</f>
        <v>150,0</v>
      </c>
      <c r="L55" s="38" t="str">
        <f>"93,5700"</f>
        <v>93,5700</v>
      </c>
      <c r="M55" s="36" t="s">
        <v>438</v>
      </c>
    </row>
    <row r="56" spans="1:13">
      <c r="A56" s="39" t="s">
        <v>43</v>
      </c>
      <c r="B56" s="36" t="s">
        <v>369</v>
      </c>
      <c r="C56" s="36" t="s">
        <v>336</v>
      </c>
      <c r="D56" s="36" t="s">
        <v>268</v>
      </c>
      <c r="E56" s="37" t="s">
        <v>442</v>
      </c>
      <c r="F56" s="36" t="s">
        <v>429</v>
      </c>
      <c r="G56" s="40" t="s">
        <v>156</v>
      </c>
      <c r="H56" s="41" t="s">
        <v>167</v>
      </c>
      <c r="I56" s="41" t="s">
        <v>167</v>
      </c>
      <c r="J56" s="39"/>
      <c r="K56" s="67" t="str">
        <f>"130,0"</f>
        <v>130,0</v>
      </c>
      <c r="L56" s="38" t="str">
        <f>"80,2620"</f>
        <v>80,2620</v>
      </c>
      <c r="M56" s="36" t="s">
        <v>438</v>
      </c>
    </row>
    <row r="57" spans="1:13">
      <c r="A57" s="39" t="s">
        <v>109</v>
      </c>
      <c r="B57" s="36" t="s">
        <v>370</v>
      </c>
      <c r="C57" s="36" t="s">
        <v>337</v>
      </c>
      <c r="D57" s="36" t="s">
        <v>334</v>
      </c>
      <c r="E57" s="37" t="s">
        <v>442</v>
      </c>
      <c r="F57" s="36" t="s">
        <v>429</v>
      </c>
      <c r="G57" s="40" t="s">
        <v>149</v>
      </c>
      <c r="H57" s="40" t="s">
        <v>161</v>
      </c>
      <c r="I57" s="40" t="s">
        <v>155</v>
      </c>
      <c r="J57" s="39"/>
      <c r="K57" s="67" t="str">
        <f>"120,0"</f>
        <v>120,0</v>
      </c>
      <c r="L57" s="38" t="str">
        <f>"74,4720"</f>
        <v>74,4720</v>
      </c>
      <c r="M57" s="36" t="s">
        <v>438</v>
      </c>
    </row>
    <row r="58" spans="1:13">
      <c r="A58" s="33" t="s">
        <v>40</v>
      </c>
      <c r="B58" s="13" t="s">
        <v>370</v>
      </c>
      <c r="C58" s="13" t="s">
        <v>338</v>
      </c>
      <c r="D58" s="13" t="s">
        <v>334</v>
      </c>
      <c r="E58" s="14" t="s">
        <v>446</v>
      </c>
      <c r="F58" s="13" t="s">
        <v>429</v>
      </c>
      <c r="G58" s="34" t="s">
        <v>149</v>
      </c>
      <c r="H58" s="34" t="s">
        <v>161</v>
      </c>
      <c r="I58" s="34" t="s">
        <v>155</v>
      </c>
      <c r="J58" s="33"/>
      <c r="K58" s="44" t="str">
        <f>"120,0"</f>
        <v>120,0</v>
      </c>
      <c r="L58" s="15" t="str">
        <f>"94,8029"</f>
        <v>94,8029</v>
      </c>
      <c r="M58" s="13" t="s">
        <v>438</v>
      </c>
    </row>
    <row r="60" spans="1:13" ht="16">
      <c r="A60" s="68" t="s">
        <v>178</v>
      </c>
      <c r="B60" s="68"/>
      <c r="C60" s="69"/>
      <c r="D60" s="69"/>
      <c r="E60" s="69"/>
      <c r="F60" s="69"/>
      <c r="G60" s="69"/>
      <c r="H60" s="69"/>
      <c r="I60" s="69"/>
      <c r="J60" s="69"/>
    </row>
    <row r="61" spans="1:13">
      <c r="A61" s="30" t="s">
        <v>40</v>
      </c>
      <c r="B61" s="10" t="s">
        <v>371</v>
      </c>
      <c r="C61" s="10" t="s">
        <v>340</v>
      </c>
      <c r="D61" s="10" t="s">
        <v>341</v>
      </c>
      <c r="E61" s="11" t="s">
        <v>445</v>
      </c>
      <c r="F61" s="10" t="s">
        <v>429</v>
      </c>
      <c r="G61" s="31" t="s">
        <v>310</v>
      </c>
      <c r="H61" s="32" t="s">
        <v>226</v>
      </c>
      <c r="I61" s="31" t="s">
        <v>226</v>
      </c>
      <c r="J61" s="30"/>
      <c r="K61" s="43" t="str">
        <f>"132,5"</f>
        <v>132,5</v>
      </c>
      <c r="L61" s="12" t="str">
        <f>"80,3215"</f>
        <v>80,3215</v>
      </c>
      <c r="M61" s="10" t="s">
        <v>438</v>
      </c>
    </row>
    <row r="62" spans="1:13">
      <c r="A62" s="39" t="s">
        <v>43</v>
      </c>
      <c r="B62" s="36" t="s">
        <v>372</v>
      </c>
      <c r="C62" s="36" t="s">
        <v>342</v>
      </c>
      <c r="D62" s="36" t="s">
        <v>341</v>
      </c>
      <c r="E62" s="37" t="s">
        <v>445</v>
      </c>
      <c r="F62" s="36" t="s">
        <v>429</v>
      </c>
      <c r="G62" s="40" t="s">
        <v>161</v>
      </c>
      <c r="H62" s="40" t="s">
        <v>155</v>
      </c>
      <c r="I62" s="40" t="s">
        <v>200</v>
      </c>
      <c r="J62" s="39"/>
      <c r="K62" s="67" t="str">
        <f>"125,0"</f>
        <v>125,0</v>
      </c>
      <c r="L62" s="38" t="str">
        <f>"75,7750"</f>
        <v>75,7750</v>
      </c>
      <c r="M62" s="36" t="s">
        <v>438</v>
      </c>
    </row>
    <row r="63" spans="1:13">
      <c r="A63" s="33" t="s">
        <v>40</v>
      </c>
      <c r="B63" s="13" t="s">
        <v>373</v>
      </c>
      <c r="C63" s="13" t="s">
        <v>344</v>
      </c>
      <c r="D63" s="13" t="s">
        <v>345</v>
      </c>
      <c r="E63" s="14" t="s">
        <v>446</v>
      </c>
      <c r="F63" s="13" t="s">
        <v>429</v>
      </c>
      <c r="G63" s="34" t="s">
        <v>159</v>
      </c>
      <c r="H63" s="34" t="s">
        <v>140</v>
      </c>
      <c r="I63" s="34" t="s">
        <v>160</v>
      </c>
      <c r="J63" s="33"/>
      <c r="K63" s="44" t="str">
        <f>"160,0"</f>
        <v>160,0</v>
      </c>
      <c r="L63" s="15" t="str">
        <f>"112,6226"</f>
        <v>112,6226</v>
      </c>
      <c r="M63" s="13" t="s">
        <v>438</v>
      </c>
    </row>
    <row r="65" spans="1:13" ht="16">
      <c r="A65" s="68" t="s">
        <v>23</v>
      </c>
      <c r="B65" s="68"/>
      <c r="C65" s="69"/>
      <c r="D65" s="69"/>
      <c r="E65" s="69"/>
      <c r="F65" s="69"/>
      <c r="G65" s="69"/>
      <c r="H65" s="69"/>
      <c r="I65" s="69"/>
      <c r="J65" s="69"/>
    </row>
    <row r="66" spans="1:13">
      <c r="A66" s="30" t="s">
        <v>40</v>
      </c>
      <c r="B66" s="10" t="s">
        <v>256</v>
      </c>
      <c r="C66" s="10" t="s">
        <v>245</v>
      </c>
      <c r="D66" s="10" t="s">
        <v>246</v>
      </c>
      <c r="E66" s="11" t="s">
        <v>442</v>
      </c>
      <c r="F66" s="10" t="s">
        <v>429</v>
      </c>
      <c r="G66" s="31" t="s">
        <v>174</v>
      </c>
      <c r="H66" s="31" t="s">
        <v>188</v>
      </c>
      <c r="I66" s="31" t="s">
        <v>136</v>
      </c>
      <c r="J66" s="30"/>
      <c r="K66" s="43" t="str">
        <f>"200,0"</f>
        <v>200,0</v>
      </c>
      <c r="L66" s="12" t="str">
        <f>"115,7400"</f>
        <v>115,7400</v>
      </c>
      <c r="M66" s="10" t="s">
        <v>438</v>
      </c>
    </row>
    <row r="67" spans="1:13">
      <c r="A67" s="33" t="s">
        <v>43</v>
      </c>
      <c r="B67" s="13" t="s">
        <v>374</v>
      </c>
      <c r="C67" s="13" t="s">
        <v>347</v>
      </c>
      <c r="D67" s="13" t="s">
        <v>348</v>
      </c>
      <c r="E67" s="14" t="s">
        <v>442</v>
      </c>
      <c r="F67" s="13" t="s">
        <v>429</v>
      </c>
      <c r="G67" s="34" t="s">
        <v>276</v>
      </c>
      <c r="H67" s="34" t="s">
        <v>349</v>
      </c>
      <c r="I67" s="35" t="s">
        <v>174</v>
      </c>
      <c r="J67" s="33"/>
      <c r="K67" s="44" t="str">
        <f>"177,5"</f>
        <v>177,5</v>
      </c>
      <c r="L67" s="15" t="str">
        <f>"103,0210"</f>
        <v>103,0210</v>
      </c>
      <c r="M67" s="13" t="s">
        <v>438</v>
      </c>
    </row>
    <row r="69" spans="1:13" ht="16">
      <c r="F69" s="17"/>
      <c r="G69" s="5"/>
      <c r="M69" s="6"/>
    </row>
    <row r="70" spans="1:13">
      <c r="G70" s="5"/>
      <c r="M70" s="6"/>
    </row>
    <row r="71" spans="1:13" ht="18">
      <c r="B71" s="18" t="s">
        <v>28</v>
      </c>
      <c r="C71" s="18"/>
      <c r="G71" s="3"/>
      <c r="M71" s="6"/>
    </row>
    <row r="72" spans="1:13" ht="16">
      <c r="B72" s="19" t="s">
        <v>29</v>
      </c>
      <c r="C72" s="19"/>
      <c r="G72" s="3"/>
      <c r="M72" s="6"/>
    </row>
    <row r="73" spans="1:13" ht="14">
      <c r="B73" s="20"/>
      <c r="C73" s="21" t="s">
        <v>102</v>
      </c>
      <c r="G73" s="3"/>
      <c r="M73" s="6"/>
    </row>
    <row r="74" spans="1:13" ht="14">
      <c r="B74" s="22" t="s">
        <v>31</v>
      </c>
      <c r="C74" s="22" t="s">
        <v>32</v>
      </c>
      <c r="D74" s="22" t="s">
        <v>396</v>
      </c>
      <c r="E74" s="23" t="s">
        <v>35</v>
      </c>
      <c r="F74" s="22" t="s">
        <v>145</v>
      </c>
      <c r="G74" s="3"/>
      <c r="M74" s="6"/>
    </row>
    <row r="75" spans="1:13">
      <c r="B75" s="5" t="s">
        <v>329</v>
      </c>
      <c r="C75" s="5" t="s">
        <v>102</v>
      </c>
      <c r="D75" s="25" t="s">
        <v>37</v>
      </c>
      <c r="E75" s="26">
        <v>145</v>
      </c>
      <c r="F75" s="24">
        <v>89.813003540039105</v>
      </c>
      <c r="G75" s="3"/>
      <c r="M75" s="6"/>
    </row>
    <row r="76" spans="1:13">
      <c r="B76" s="5" t="s">
        <v>339</v>
      </c>
      <c r="C76" s="5" t="s">
        <v>102</v>
      </c>
      <c r="D76" s="25" t="s">
        <v>206</v>
      </c>
      <c r="E76" s="26">
        <v>132.5</v>
      </c>
      <c r="F76" s="24">
        <v>80.321497321128803</v>
      </c>
      <c r="G76" s="3"/>
      <c r="M76" s="6"/>
    </row>
    <row r="77" spans="1:13">
      <c r="B77" s="5" t="s">
        <v>332</v>
      </c>
      <c r="C77" s="5" t="s">
        <v>102</v>
      </c>
      <c r="D77" s="25" t="s">
        <v>37</v>
      </c>
      <c r="E77" s="26">
        <v>125</v>
      </c>
      <c r="F77" s="24">
        <v>77.574998140335097</v>
      </c>
      <c r="G77" s="3"/>
      <c r="M77" s="6"/>
    </row>
    <row r="78" spans="1:13">
      <c r="G78" s="3"/>
      <c r="M78" s="6"/>
    </row>
    <row r="79" spans="1:13" ht="14">
      <c r="B79" s="20"/>
      <c r="C79" s="21" t="s">
        <v>30</v>
      </c>
      <c r="G79" s="3"/>
      <c r="M79" s="6"/>
    </row>
    <row r="80" spans="1:13" ht="14">
      <c r="B80" s="22" t="s">
        <v>31</v>
      </c>
      <c r="C80" s="22" t="s">
        <v>32</v>
      </c>
      <c r="D80" s="22" t="s">
        <v>396</v>
      </c>
      <c r="E80" s="23" t="s">
        <v>35</v>
      </c>
      <c r="F80" s="22" t="s">
        <v>145</v>
      </c>
      <c r="G80" s="3"/>
      <c r="M80" s="6"/>
    </row>
    <row r="81" spans="2:13">
      <c r="B81" s="5" t="s">
        <v>244</v>
      </c>
      <c r="C81" s="5" t="s">
        <v>30</v>
      </c>
      <c r="D81" s="25" t="s">
        <v>38</v>
      </c>
      <c r="E81" s="26">
        <v>200</v>
      </c>
      <c r="F81" s="24">
        <v>115.74000120162999</v>
      </c>
      <c r="G81" s="3"/>
      <c r="M81" s="6"/>
    </row>
    <row r="82" spans="2:13">
      <c r="B82" s="5" t="s">
        <v>93</v>
      </c>
      <c r="C82" s="5" t="s">
        <v>30</v>
      </c>
      <c r="D82" s="25" t="s">
        <v>103</v>
      </c>
      <c r="E82" s="26">
        <v>165</v>
      </c>
      <c r="F82" s="24">
        <v>107.101500928402</v>
      </c>
      <c r="G82" s="3"/>
      <c r="M82" s="6"/>
    </row>
    <row r="83" spans="2:13">
      <c r="B83" s="5" t="s">
        <v>346</v>
      </c>
      <c r="C83" s="5" t="s">
        <v>30</v>
      </c>
      <c r="D83" s="25" t="s">
        <v>38</v>
      </c>
      <c r="E83" s="26">
        <v>177.5</v>
      </c>
      <c r="F83" s="24">
        <v>103.020998239517</v>
      </c>
      <c r="G83" s="3"/>
      <c r="M83" s="6"/>
    </row>
    <row r="84" spans="2:13">
      <c r="G84" s="3"/>
      <c r="M84" s="6"/>
    </row>
    <row r="85" spans="2:13" ht="14">
      <c r="B85" s="20"/>
      <c r="C85" s="21" t="s">
        <v>104</v>
      </c>
      <c r="G85" s="3"/>
      <c r="M85" s="6"/>
    </row>
    <row r="86" spans="2:13" ht="14">
      <c r="B86" s="22" t="s">
        <v>31</v>
      </c>
      <c r="C86" s="22" t="s">
        <v>32</v>
      </c>
      <c r="D86" s="22" t="s">
        <v>396</v>
      </c>
      <c r="E86" s="23" t="s">
        <v>35</v>
      </c>
      <c r="F86" s="22" t="s">
        <v>145</v>
      </c>
      <c r="G86" s="3"/>
      <c r="M86" s="6"/>
    </row>
    <row r="87" spans="2:13">
      <c r="B87" s="5" t="s">
        <v>322</v>
      </c>
      <c r="C87" s="5" t="s">
        <v>350</v>
      </c>
      <c r="D87" s="25" t="s">
        <v>103</v>
      </c>
      <c r="E87" s="26">
        <v>155</v>
      </c>
      <c r="F87" s="24">
        <v>141.68596327006799</v>
      </c>
      <c r="G87" s="3"/>
      <c r="M87" s="6"/>
    </row>
    <row r="88" spans="2:13">
      <c r="B88" s="5" t="s">
        <v>343</v>
      </c>
      <c r="C88" s="5" t="s">
        <v>207</v>
      </c>
      <c r="D88" s="25" t="s">
        <v>206</v>
      </c>
      <c r="E88" s="26">
        <v>160</v>
      </c>
      <c r="F88" s="24">
        <v>112.62255900383001</v>
      </c>
      <c r="G88" s="3"/>
      <c r="M88" s="6"/>
    </row>
    <row r="89" spans="2:13">
      <c r="B89" s="5" t="s">
        <v>76</v>
      </c>
      <c r="C89" s="5" t="s">
        <v>277</v>
      </c>
      <c r="D89" s="25" t="s">
        <v>100</v>
      </c>
      <c r="E89" s="26">
        <v>140</v>
      </c>
      <c r="F89" s="24">
        <v>101.34524821043</v>
      </c>
      <c r="G89" s="3"/>
      <c r="M89" s="6"/>
    </row>
    <row r="90" spans="2:13">
      <c r="E90" s="5"/>
      <c r="F90" s="16"/>
      <c r="G90" s="5"/>
      <c r="M90" s="6"/>
    </row>
  </sheetData>
  <mergeCells count="23">
    <mergeCell ref="A1:M2"/>
    <mergeCell ref="A3:A4"/>
    <mergeCell ref="C3:C4"/>
    <mergeCell ref="D3:D4"/>
    <mergeCell ref="E3:E4"/>
    <mergeCell ref="F3:F4"/>
    <mergeCell ref="G3:J3"/>
    <mergeCell ref="A23:J23"/>
    <mergeCell ref="A27:J27"/>
    <mergeCell ref="K3:K4"/>
    <mergeCell ref="L3:L4"/>
    <mergeCell ref="M3:M4"/>
    <mergeCell ref="A5:J5"/>
    <mergeCell ref="B3:B4"/>
    <mergeCell ref="A10:J10"/>
    <mergeCell ref="A13:J13"/>
    <mergeCell ref="A17:J17"/>
    <mergeCell ref="A20:J20"/>
    <mergeCell ref="A34:J34"/>
    <mergeCell ref="A40:J40"/>
    <mergeCell ref="A52:J52"/>
    <mergeCell ref="A60:J60"/>
    <mergeCell ref="A65:J6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37"/>
  <sheetViews>
    <sheetView workbookViewId="0">
      <selection activeCell="E27" sqref="E27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5" style="5" bestFit="1" customWidth="1"/>
    <col min="4" max="4" width="13.6640625" style="5" bestFit="1" customWidth="1"/>
    <col min="5" max="5" width="10.5" style="16" bestFit="1" customWidth="1"/>
    <col min="6" max="6" width="33.6640625" style="5" bestFit="1" customWidth="1"/>
    <col min="7" max="7" width="5.6640625" style="25" bestFit="1" customWidth="1"/>
    <col min="8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18" style="5" customWidth="1"/>
    <col min="14" max="16384" width="9.1640625" style="3"/>
  </cols>
  <sheetData>
    <row r="1" spans="1:13" s="2" customFormat="1" ht="29" customHeight="1">
      <c r="A1" s="80" t="s">
        <v>405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428</v>
      </c>
      <c r="B3" s="70" t="s">
        <v>0</v>
      </c>
      <c r="C3" s="90" t="s">
        <v>440</v>
      </c>
      <c r="D3" s="90" t="s">
        <v>6</v>
      </c>
      <c r="E3" s="92" t="s">
        <v>441</v>
      </c>
      <c r="F3" s="94" t="s">
        <v>5</v>
      </c>
      <c r="G3" s="94" t="s">
        <v>132</v>
      </c>
      <c r="H3" s="94"/>
      <c r="I3" s="94"/>
      <c r="J3" s="94"/>
      <c r="K3" s="92" t="s">
        <v>39</v>
      </c>
      <c r="L3" s="92" t="s">
        <v>3</v>
      </c>
      <c r="M3" s="76" t="s">
        <v>2</v>
      </c>
    </row>
    <row r="4" spans="1:13" s="1" customFormat="1" ht="21" customHeight="1" thickBot="1">
      <c r="A4" s="89"/>
      <c r="B4" s="71"/>
      <c r="C4" s="91"/>
      <c r="D4" s="91"/>
      <c r="E4" s="93"/>
      <c r="F4" s="91"/>
      <c r="G4" s="4">
        <v>1</v>
      </c>
      <c r="H4" s="4">
        <v>2</v>
      </c>
      <c r="I4" s="4">
        <v>3</v>
      </c>
      <c r="J4" s="4" t="s">
        <v>4</v>
      </c>
      <c r="K4" s="93"/>
      <c r="L4" s="93"/>
      <c r="M4" s="77"/>
    </row>
    <row r="5" spans="1:13" ht="16">
      <c r="A5" s="78" t="s">
        <v>64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7" t="s">
        <v>40</v>
      </c>
      <c r="B6" s="7" t="s">
        <v>278</v>
      </c>
      <c r="C6" s="7" t="s">
        <v>257</v>
      </c>
      <c r="D6" s="7" t="s">
        <v>258</v>
      </c>
      <c r="E6" s="8" t="s">
        <v>446</v>
      </c>
      <c r="F6" s="7" t="s">
        <v>429</v>
      </c>
      <c r="G6" s="28" t="s">
        <v>67</v>
      </c>
      <c r="H6" s="28" t="s">
        <v>12</v>
      </c>
      <c r="I6" s="28" t="s">
        <v>87</v>
      </c>
      <c r="J6" s="27"/>
      <c r="K6" s="9" t="str">
        <f>"67,5"</f>
        <v>67,5</v>
      </c>
      <c r="L6" s="9" t="str">
        <f>"79,0120"</f>
        <v>79,0120</v>
      </c>
      <c r="M6" s="7"/>
    </row>
    <row r="8" spans="1:13" ht="16">
      <c r="A8" s="68" t="s">
        <v>91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30" t="s">
        <v>40</v>
      </c>
      <c r="B9" s="10" t="s">
        <v>279</v>
      </c>
      <c r="C9" s="10" t="s">
        <v>259</v>
      </c>
      <c r="D9" s="10" t="s">
        <v>260</v>
      </c>
      <c r="E9" s="11" t="s">
        <v>442</v>
      </c>
      <c r="F9" s="10" t="s">
        <v>429</v>
      </c>
      <c r="G9" s="32" t="s">
        <v>141</v>
      </c>
      <c r="H9" s="31" t="s">
        <v>148</v>
      </c>
      <c r="I9" s="32" t="s">
        <v>166</v>
      </c>
      <c r="J9" s="30"/>
      <c r="K9" s="12" t="str">
        <f>"170,0"</f>
        <v>170,0</v>
      </c>
      <c r="L9" s="12" t="str">
        <f>"109,1570"</f>
        <v>109,1570</v>
      </c>
      <c r="M9" s="10" t="s">
        <v>45</v>
      </c>
    </row>
    <row r="10" spans="1:13">
      <c r="A10" s="33" t="s">
        <v>40</v>
      </c>
      <c r="B10" s="13" t="s">
        <v>280</v>
      </c>
      <c r="C10" s="13" t="s">
        <v>262</v>
      </c>
      <c r="D10" s="13" t="s">
        <v>263</v>
      </c>
      <c r="E10" s="14" t="s">
        <v>446</v>
      </c>
      <c r="F10" s="13" t="s">
        <v>429</v>
      </c>
      <c r="G10" s="34" t="s">
        <v>167</v>
      </c>
      <c r="H10" s="34" t="s">
        <v>264</v>
      </c>
      <c r="I10" s="35" t="s">
        <v>159</v>
      </c>
      <c r="J10" s="33"/>
      <c r="K10" s="15" t="str">
        <f>"145,0"</f>
        <v>145,0</v>
      </c>
      <c r="L10" s="15" t="str">
        <f>"105,8867"</f>
        <v>105,8867</v>
      </c>
      <c r="M10" s="13" t="s">
        <v>438</v>
      </c>
    </row>
    <row r="12" spans="1:13" ht="16">
      <c r="A12" s="68" t="s">
        <v>13</v>
      </c>
      <c r="B12" s="68"/>
      <c r="C12" s="69"/>
      <c r="D12" s="69"/>
      <c r="E12" s="69"/>
      <c r="F12" s="69"/>
      <c r="G12" s="69"/>
      <c r="H12" s="69"/>
      <c r="I12" s="69"/>
      <c r="J12" s="69"/>
    </row>
    <row r="13" spans="1:13">
      <c r="A13" s="30" t="s">
        <v>40</v>
      </c>
      <c r="B13" s="10" t="s">
        <v>254</v>
      </c>
      <c r="C13" s="10" t="s">
        <v>239</v>
      </c>
      <c r="D13" s="10" t="s">
        <v>240</v>
      </c>
      <c r="E13" s="11" t="s">
        <v>445</v>
      </c>
      <c r="F13" s="10" t="s">
        <v>429</v>
      </c>
      <c r="G13" s="31" t="s">
        <v>139</v>
      </c>
      <c r="H13" s="32" t="s">
        <v>241</v>
      </c>
      <c r="I13" s="32" t="s">
        <v>241</v>
      </c>
      <c r="J13" s="30"/>
      <c r="K13" s="12" t="str">
        <f>"140,0"</f>
        <v>140,0</v>
      </c>
      <c r="L13" s="12" t="str">
        <f>"87,5000"</f>
        <v>87,5000</v>
      </c>
      <c r="M13" s="10" t="s">
        <v>45</v>
      </c>
    </row>
    <row r="14" spans="1:13">
      <c r="A14" s="39" t="s">
        <v>40</v>
      </c>
      <c r="B14" s="36" t="s">
        <v>281</v>
      </c>
      <c r="C14" s="36" t="s">
        <v>265</v>
      </c>
      <c r="D14" s="36" t="s">
        <v>266</v>
      </c>
      <c r="E14" s="37" t="s">
        <v>442</v>
      </c>
      <c r="F14" s="36" t="s">
        <v>429</v>
      </c>
      <c r="G14" s="40" t="s">
        <v>163</v>
      </c>
      <c r="H14" s="40" t="s">
        <v>236</v>
      </c>
      <c r="I14" s="40" t="s">
        <v>195</v>
      </c>
      <c r="J14" s="39"/>
      <c r="K14" s="38" t="str">
        <f>"205,0"</f>
        <v>205,0</v>
      </c>
      <c r="L14" s="38" t="str">
        <f>"125,4190"</f>
        <v>125,4190</v>
      </c>
      <c r="M14" s="36" t="s">
        <v>438</v>
      </c>
    </row>
    <row r="15" spans="1:13">
      <c r="A15" s="39" t="s">
        <v>43</v>
      </c>
      <c r="B15" s="36" t="s">
        <v>211</v>
      </c>
      <c r="C15" s="36" t="s">
        <v>169</v>
      </c>
      <c r="D15" s="36" t="s">
        <v>170</v>
      </c>
      <c r="E15" s="37" t="s">
        <v>442</v>
      </c>
      <c r="F15" s="36" t="s">
        <v>431</v>
      </c>
      <c r="G15" s="40" t="s">
        <v>174</v>
      </c>
      <c r="H15" s="40" t="s">
        <v>175</v>
      </c>
      <c r="I15" s="40" t="s">
        <v>136</v>
      </c>
      <c r="J15" s="39"/>
      <c r="K15" s="38" t="str">
        <f>"200,0"</f>
        <v>200,0</v>
      </c>
      <c r="L15" s="38" t="str">
        <f>"122,3200"</f>
        <v>122,3200</v>
      </c>
      <c r="M15" s="36" t="s">
        <v>438</v>
      </c>
    </row>
    <row r="16" spans="1:13">
      <c r="A16" s="39" t="s">
        <v>109</v>
      </c>
      <c r="B16" s="36" t="s">
        <v>282</v>
      </c>
      <c r="C16" s="36" t="s">
        <v>267</v>
      </c>
      <c r="D16" s="36" t="s">
        <v>268</v>
      </c>
      <c r="E16" s="37" t="s">
        <v>442</v>
      </c>
      <c r="F16" s="36" t="s">
        <v>429</v>
      </c>
      <c r="G16" s="40" t="s">
        <v>148</v>
      </c>
      <c r="H16" s="40" t="s">
        <v>166</v>
      </c>
      <c r="I16" s="40" t="s">
        <v>162</v>
      </c>
      <c r="J16" s="39"/>
      <c r="K16" s="38" t="str">
        <f>"180,0"</f>
        <v>180,0</v>
      </c>
      <c r="L16" s="38" t="str">
        <f>"111,1320"</f>
        <v>111,1320</v>
      </c>
      <c r="M16" s="36" t="s">
        <v>438</v>
      </c>
    </row>
    <row r="17" spans="1:13">
      <c r="A17" s="39" t="s">
        <v>121</v>
      </c>
      <c r="B17" s="36" t="s">
        <v>44</v>
      </c>
      <c r="C17" s="36" t="s">
        <v>19</v>
      </c>
      <c r="D17" s="36" t="s">
        <v>20</v>
      </c>
      <c r="E17" s="37" t="s">
        <v>442</v>
      </c>
      <c r="F17" s="36" t="s">
        <v>429</v>
      </c>
      <c r="G17" s="40" t="s">
        <v>139</v>
      </c>
      <c r="H17" s="40" t="s">
        <v>264</v>
      </c>
      <c r="I17" s="40" t="s">
        <v>159</v>
      </c>
      <c r="J17" s="39"/>
      <c r="K17" s="38" t="str">
        <f>"150,0"</f>
        <v>150,0</v>
      </c>
      <c r="L17" s="38" t="str">
        <f>"92,4450"</f>
        <v>92,4450</v>
      </c>
      <c r="M17" s="36" t="s">
        <v>438</v>
      </c>
    </row>
    <row r="18" spans="1:13">
      <c r="A18" s="33" t="s">
        <v>40</v>
      </c>
      <c r="B18" s="13" t="s">
        <v>283</v>
      </c>
      <c r="C18" s="13" t="s">
        <v>269</v>
      </c>
      <c r="D18" s="13" t="s">
        <v>270</v>
      </c>
      <c r="E18" s="14" t="s">
        <v>446</v>
      </c>
      <c r="F18" s="13" t="s">
        <v>436</v>
      </c>
      <c r="G18" s="34" t="s">
        <v>150</v>
      </c>
      <c r="H18" s="34" t="s">
        <v>161</v>
      </c>
      <c r="I18" s="34" t="s">
        <v>155</v>
      </c>
      <c r="J18" s="33"/>
      <c r="K18" s="15" t="str">
        <f>"120,0"</f>
        <v>120,0</v>
      </c>
      <c r="L18" s="15" t="str">
        <f>"96,7124"</f>
        <v>96,7124</v>
      </c>
      <c r="M18" s="13" t="s">
        <v>438</v>
      </c>
    </row>
    <row r="20" spans="1:13" ht="16">
      <c r="A20" s="68" t="s">
        <v>178</v>
      </c>
      <c r="B20" s="68"/>
      <c r="C20" s="69"/>
      <c r="D20" s="69"/>
      <c r="E20" s="69"/>
      <c r="F20" s="69"/>
      <c r="G20" s="69"/>
      <c r="H20" s="69"/>
      <c r="I20" s="69"/>
      <c r="J20" s="69"/>
    </row>
    <row r="21" spans="1:13">
      <c r="A21" s="30" t="s">
        <v>40</v>
      </c>
      <c r="B21" s="10" t="s">
        <v>212</v>
      </c>
      <c r="C21" s="10" t="s">
        <v>179</v>
      </c>
      <c r="D21" s="10" t="s">
        <v>180</v>
      </c>
      <c r="E21" s="11" t="s">
        <v>445</v>
      </c>
      <c r="F21" s="10" t="s">
        <v>429</v>
      </c>
      <c r="G21" s="31" t="s">
        <v>141</v>
      </c>
      <c r="H21" s="31" t="s">
        <v>166</v>
      </c>
      <c r="I21" s="31" t="s">
        <v>162</v>
      </c>
      <c r="J21" s="30"/>
      <c r="K21" s="12" t="str">
        <f>"180,0"</f>
        <v>180,0</v>
      </c>
      <c r="L21" s="12" t="str">
        <f>"105,9300"</f>
        <v>105,9300</v>
      </c>
      <c r="M21" s="10" t="s">
        <v>438</v>
      </c>
    </row>
    <row r="22" spans="1:13">
      <c r="A22" s="39" t="s">
        <v>40</v>
      </c>
      <c r="B22" s="36" t="s">
        <v>214</v>
      </c>
      <c r="C22" s="36" t="s">
        <v>192</v>
      </c>
      <c r="D22" s="36" t="s">
        <v>193</v>
      </c>
      <c r="E22" s="37" t="s">
        <v>442</v>
      </c>
      <c r="F22" s="36" t="s">
        <v>429</v>
      </c>
      <c r="G22" s="40" t="s">
        <v>175</v>
      </c>
      <c r="H22" s="40" t="s">
        <v>195</v>
      </c>
      <c r="I22" s="40" t="s">
        <v>194</v>
      </c>
      <c r="J22" s="39"/>
      <c r="K22" s="38" t="str">
        <f>"210,0"</f>
        <v>210,0</v>
      </c>
      <c r="L22" s="38" t="str">
        <f>"123,7530"</f>
        <v>123,7530</v>
      </c>
      <c r="M22" s="36" t="s">
        <v>438</v>
      </c>
    </row>
    <row r="23" spans="1:13">
      <c r="A23" s="39" t="s">
        <v>43</v>
      </c>
      <c r="B23" s="36" t="s">
        <v>284</v>
      </c>
      <c r="C23" s="36" t="s">
        <v>271</v>
      </c>
      <c r="D23" s="36" t="s">
        <v>272</v>
      </c>
      <c r="E23" s="37" t="s">
        <v>442</v>
      </c>
      <c r="F23" s="36" t="s">
        <v>429</v>
      </c>
      <c r="G23" s="40" t="s">
        <v>174</v>
      </c>
      <c r="H23" s="40" t="s">
        <v>188</v>
      </c>
      <c r="I23" s="41" t="s">
        <v>136</v>
      </c>
      <c r="J23" s="39"/>
      <c r="K23" s="38" t="str">
        <f>"192,5"</f>
        <v>192,5</v>
      </c>
      <c r="L23" s="38" t="str">
        <f>"113,9407"</f>
        <v>113,9407</v>
      </c>
      <c r="M23" s="36" t="s">
        <v>438</v>
      </c>
    </row>
    <row r="24" spans="1:13">
      <c r="A24" s="39" t="s">
        <v>109</v>
      </c>
      <c r="B24" s="36" t="s">
        <v>213</v>
      </c>
      <c r="C24" s="36" t="s">
        <v>183</v>
      </c>
      <c r="D24" s="36" t="s">
        <v>184</v>
      </c>
      <c r="E24" s="37" t="s">
        <v>442</v>
      </c>
      <c r="F24" s="36" t="s">
        <v>432</v>
      </c>
      <c r="G24" s="40" t="s">
        <v>187</v>
      </c>
      <c r="H24" s="41" t="s">
        <v>188</v>
      </c>
      <c r="I24" s="39"/>
      <c r="J24" s="39"/>
      <c r="K24" s="38" t="str">
        <f>"182,5"</f>
        <v>182,5</v>
      </c>
      <c r="L24" s="38" t="str">
        <f>"107,6385"</f>
        <v>107,6385</v>
      </c>
      <c r="M24" s="36" t="s">
        <v>438</v>
      </c>
    </row>
    <row r="25" spans="1:13">
      <c r="A25" s="39" t="s">
        <v>121</v>
      </c>
      <c r="B25" s="36" t="s">
        <v>285</v>
      </c>
      <c r="C25" s="36" t="s">
        <v>273</v>
      </c>
      <c r="D25" s="36" t="s">
        <v>274</v>
      </c>
      <c r="E25" s="37" t="s">
        <v>442</v>
      </c>
      <c r="F25" s="36" t="s">
        <v>429</v>
      </c>
      <c r="G25" s="40" t="s">
        <v>156</v>
      </c>
      <c r="H25" s="40" t="s">
        <v>167</v>
      </c>
      <c r="I25" s="41" t="s">
        <v>139</v>
      </c>
      <c r="J25" s="39"/>
      <c r="K25" s="38" t="str">
        <f>"135,0"</f>
        <v>135,0</v>
      </c>
      <c r="L25" s="38" t="str">
        <f>"80,4060"</f>
        <v>80,4060</v>
      </c>
      <c r="M25" s="36" t="s">
        <v>438</v>
      </c>
    </row>
    <row r="26" spans="1:13">
      <c r="A26" s="33" t="s">
        <v>40</v>
      </c>
      <c r="B26" s="13" t="s">
        <v>286</v>
      </c>
      <c r="C26" s="13" t="s">
        <v>275</v>
      </c>
      <c r="D26" s="13" t="s">
        <v>180</v>
      </c>
      <c r="E26" s="14" t="s">
        <v>447</v>
      </c>
      <c r="F26" s="13" t="s">
        <v>429</v>
      </c>
      <c r="G26" s="35" t="s">
        <v>160</v>
      </c>
      <c r="H26" s="34" t="s">
        <v>141</v>
      </c>
      <c r="I26" s="34" t="s">
        <v>276</v>
      </c>
      <c r="J26" s="33"/>
      <c r="K26" s="15" t="str">
        <f>"167,5"</f>
        <v>167,5</v>
      </c>
      <c r="L26" s="15" t="str">
        <f>"108,0368"</f>
        <v>108,0368</v>
      </c>
      <c r="M26" s="13" t="s">
        <v>438</v>
      </c>
    </row>
    <row r="28" spans="1:13" ht="16">
      <c r="F28" s="17"/>
      <c r="G28" s="5"/>
      <c r="K28" s="25"/>
      <c r="M28" s="6"/>
    </row>
    <row r="29" spans="1:13">
      <c r="G29" s="5"/>
      <c r="K29" s="25"/>
      <c r="M29" s="6"/>
    </row>
    <row r="30" spans="1:13" ht="18">
      <c r="B30" s="18" t="s">
        <v>28</v>
      </c>
      <c r="C30" s="18"/>
      <c r="G30" s="3"/>
      <c r="K30" s="25"/>
      <c r="M30" s="6"/>
    </row>
    <row r="31" spans="1:13" ht="16">
      <c r="B31" s="19" t="s">
        <v>29</v>
      </c>
      <c r="C31" s="19"/>
      <c r="G31" s="3"/>
      <c r="K31" s="25"/>
      <c r="M31" s="6"/>
    </row>
    <row r="32" spans="1:13" ht="14">
      <c r="B32" s="20"/>
      <c r="C32" s="21" t="s">
        <v>30</v>
      </c>
      <c r="G32" s="3"/>
      <c r="K32" s="25"/>
      <c r="M32" s="6"/>
    </row>
    <row r="33" spans="2:13" ht="14">
      <c r="B33" s="22" t="s">
        <v>31</v>
      </c>
      <c r="C33" s="22" t="s">
        <v>32</v>
      </c>
      <c r="D33" s="22" t="s">
        <v>33</v>
      </c>
      <c r="E33" s="23" t="s">
        <v>35</v>
      </c>
      <c r="F33" s="22" t="s">
        <v>145</v>
      </c>
      <c r="G33" s="3"/>
      <c r="K33" s="25"/>
      <c r="M33" s="6"/>
    </row>
    <row r="34" spans="2:13">
      <c r="B34" s="5" t="s">
        <v>261</v>
      </c>
      <c r="C34" s="5" t="s">
        <v>30</v>
      </c>
      <c r="D34" s="25" t="s">
        <v>37</v>
      </c>
      <c r="E34" s="26">
        <v>205</v>
      </c>
      <c r="F34" s="24">
        <v>125.419003069401</v>
      </c>
      <c r="G34" s="3"/>
      <c r="K34" s="25"/>
      <c r="M34" s="6"/>
    </row>
    <row r="35" spans="2:13">
      <c r="B35" s="5" t="s">
        <v>191</v>
      </c>
      <c r="C35" s="5" t="s">
        <v>30</v>
      </c>
      <c r="D35" s="25" t="s">
        <v>206</v>
      </c>
      <c r="E35" s="26">
        <v>210</v>
      </c>
      <c r="F35" s="24">
        <v>123.75299513340001</v>
      </c>
      <c r="G35" s="3"/>
      <c r="K35" s="25"/>
      <c r="M35" s="6"/>
    </row>
    <row r="36" spans="2:13">
      <c r="B36" s="5" t="s">
        <v>168</v>
      </c>
      <c r="C36" s="5" t="s">
        <v>30</v>
      </c>
      <c r="D36" s="25" t="s">
        <v>37</v>
      </c>
      <c r="E36" s="26">
        <v>200</v>
      </c>
      <c r="F36" s="24">
        <v>122.319996356964</v>
      </c>
      <c r="G36" s="3"/>
      <c r="K36" s="25"/>
      <c r="M36" s="6"/>
    </row>
    <row r="37" spans="2:13">
      <c r="E37" s="5"/>
      <c r="F37" s="16"/>
      <c r="G37" s="5"/>
      <c r="K37" s="25"/>
      <c r="M37" s="6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20:J20"/>
    <mergeCell ref="B3:B4"/>
    <mergeCell ref="K3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0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29.5" style="5" bestFit="1" customWidth="1"/>
    <col min="7" max="7" width="4.6640625" style="25" bestFit="1" customWidth="1"/>
    <col min="8" max="9" width="4.5" style="25" customWidth="1"/>
    <col min="10" max="10" width="4.83203125" style="25" customWidth="1"/>
    <col min="11" max="11" width="10.5" style="6" bestFit="1" customWidth="1"/>
    <col min="12" max="12" width="7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80" t="s">
        <v>406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428</v>
      </c>
      <c r="B3" s="70" t="s">
        <v>0</v>
      </c>
      <c r="C3" s="90" t="s">
        <v>440</v>
      </c>
      <c r="D3" s="90" t="s">
        <v>6</v>
      </c>
      <c r="E3" s="92" t="s">
        <v>441</v>
      </c>
      <c r="F3" s="94" t="s">
        <v>5</v>
      </c>
      <c r="G3" s="94" t="s">
        <v>132</v>
      </c>
      <c r="H3" s="94"/>
      <c r="I3" s="94"/>
      <c r="J3" s="94"/>
      <c r="K3" s="92" t="s">
        <v>39</v>
      </c>
      <c r="L3" s="92" t="s">
        <v>3</v>
      </c>
      <c r="M3" s="76" t="s">
        <v>2</v>
      </c>
    </row>
    <row r="4" spans="1:13" s="1" customFormat="1" ht="21" customHeight="1" thickBot="1">
      <c r="A4" s="89"/>
      <c r="B4" s="71"/>
      <c r="C4" s="91"/>
      <c r="D4" s="91"/>
      <c r="E4" s="93"/>
      <c r="F4" s="91"/>
      <c r="G4" s="4">
        <v>1</v>
      </c>
      <c r="H4" s="4">
        <v>2</v>
      </c>
      <c r="I4" s="4">
        <v>3</v>
      </c>
      <c r="J4" s="4" t="s">
        <v>4</v>
      </c>
      <c r="K4" s="93"/>
      <c r="L4" s="93"/>
      <c r="M4" s="77"/>
    </row>
    <row r="5" spans="1:13" ht="16">
      <c r="A5" s="78" t="s">
        <v>375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7" t="s">
        <v>40</v>
      </c>
      <c r="B6" s="7" t="s">
        <v>379</v>
      </c>
      <c r="C6" s="7" t="s">
        <v>376</v>
      </c>
      <c r="D6" s="7" t="s">
        <v>377</v>
      </c>
      <c r="E6" s="8" t="s">
        <v>445</v>
      </c>
      <c r="F6" s="7" t="s">
        <v>435</v>
      </c>
      <c r="G6" s="28" t="s">
        <v>378</v>
      </c>
      <c r="H6" s="29" t="s">
        <v>55</v>
      </c>
      <c r="I6" s="29" t="s">
        <v>55</v>
      </c>
      <c r="J6" s="27"/>
      <c r="K6" s="9" t="str">
        <f>"35,0"</f>
        <v>35,0</v>
      </c>
      <c r="L6" s="9" t="str">
        <f>"42,6825"</f>
        <v>42,6825</v>
      </c>
      <c r="M6" s="7" t="s">
        <v>438</v>
      </c>
    </row>
    <row r="8" spans="1:13">
      <c r="C8" s="25"/>
      <c r="D8" s="25"/>
      <c r="E8" s="25"/>
      <c r="F8" s="6"/>
      <c r="G8" s="6"/>
      <c r="H8" s="3"/>
      <c r="I8" s="3"/>
      <c r="J8" s="3"/>
      <c r="K8" s="3"/>
      <c r="L8" s="3"/>
      <c r="M8" s="3"/>
    </row>
    <row r="9" spans="1:13">
      <c r="C9" s="25"/>
      <c r="D9" s="25"/>
      <c r="E9" s="25"/>
      <c r="F9" s="6"/>
      <c r="G9" s="6"/>
      <c r="H9" s="3"/>
      <c r="I9" s="3"/>
      <c r="J9" s="3"/>
      <c r="K9" s="3"/>
      <c r="L9" s="3"/>
      <c r="M9" s="3"/>
    </row>
    <row r="10" spans="1:13">
      <c r="E10" s="5"/>
      <c r="F10" s="16"/>
      <c r="G10" s="5"/>
      <c r="K10" s="25"/>
      <c r="M10" s="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28.5" style="5" bestFit="1" customWidth="1"/>
    <col min="7" max="9" width="5.6640625" style="25" bestFit="1" customWidth="1"/>
    <col min="10" max="10" width="4.33203125" style="25" bestFit="1" customWidth="1"/>
    <col min="11" max="11" width="10.5" style="6" bestFit="1" customWidth="1"/>
    <col min="12" max="12" width="8.664062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80" t="s">
        <v>407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428</v>
      </c>
      <c r="B3" s="70" t="s">
        <v>0</v>
      </c>
      <c r="C3" s="90" t="s">
        <v>440</v>
      </c>
      <c r="D3" s="90" t="s">
        <v>6</v>
      </c>
      <c r="E3" s="92" t="s">
        <v>441</v>
      </c>
      <c r="F3" s="94" t="s">
        <v>5</v>
      </c>
      <c r="G3" s="94" t="s">
        <v>132</v>
      </c>
      <c r="H3" s="94"/>
      <c r="I3" s="94"/>
      <c r="J3" s="94"/>
      <c r="K3" s="92" t="s">
        <v>39</v>
      </c>
      <c r="L3" s="92" t="s">
        <v>3</v>
      </c>
      <c r="M3" s="76" t="s">
        <v>2</v>
      </c>
    </row>
    <row r="4" spans="1:13" s="1" customFormat="1" ht="21" customHeight="1" thickBot="1">
      <c r="A4" s="89"/>
      <c r="B4" s="71"/>
      <c r="C4" s="91"/>
      <c r="D4" s="91"/>
      <c r="E4" s="93"/>
      <c r="F4" s="91"/>
      <c r="G4" s="4">
        <v>1</v>
      </c>
      <c r="H4" s="4">
        <v>2</v>
      </c>
      <c r="I4" s="4">
        <v>3</v>
      </c>
      <c r="J4" s="4" t="s">
        <v>4</v>
      </c>
      <c r="K4" s="93"/>
      <c r="L4" s="93"/>
      <c r="M4" s="77"/>
    </row>
    <row r="5" spans="1:13" ht="16">
      <c r="A5" s="78" t="s">
        <v>13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7" t="s">
        <v>40</v>
      </c>
      <c r="B6" s="7" t="s">
        <v>282</v>
      </c>
      <c r="C6" s="7" t="s">
        <v>267</v>
      </c>
      <c r="D6" s="7" t="s">
        <v>268</v>
      </c>
      <c r="E6" s="8" t="s">
        <v>442</v>
      </c>
      <c r="F6" s="7" t="s">
        <v>429</v>
      </c>
      <c r="G6" s="29" t="s">
        <v>136</v>
      </c>
      <c r="H6" s="29" t="s">
        <v>136</v>
      </c>
      <c r="I6" s="28" t="s">
        <v>136</v>
      </c>
      <c r="J6" s="27"/>
      <c r="K6" s="9" t="str">
        <f>"200,0"</f>
        <v>200,0</v>
      </c>
      <c r="L6" s="9" t="str">
        <f>"118,0400"</f>
        <v>118,0400</v>
      </c>
      <c r="M6" s="7" t="s">
        <v>438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1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6.6640625" style="5" bestFit="1" customWidth="1"/>
    <col min="7" max="7" width="5.6640625" style="25" bestFit="1" customWidth="1"/>
    <col min="8" max="9" width="5.5" style="25" customWidth="1"/>
    <col min="10" max="10" width="4.83203125" style="25" customWidth="1"/>
    <col min="11" max="11" width="10.5" style="6" bestFit="1" customWidth="1"/>
    <col min="12" max="12" width="7.664062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80" t="s">
        <v>408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428</v>
      </c>
      <c r="B3" s="70" t="s">
        <v>0</v>
      </c>
      <c r="C3" s="90" t="s">
        <v>440</v>
      </c>
      <c r="D3" s="90" t="s">
        <v>6</v>
      </c>
      <c r="E3" s="92" t="s">
        <v>441</v>
      </c>
      <c r="F3" s="94" t="s">
        <v>5</v>
      </c>
      <c r="G3" s="94" t="s">
        <v>132</v>
      </c>
      <c r="H3" s="94"/>
      <c r="I3" s="94"/>
      <c r="J3" s="94"/>
      <c r="K3" s="92" t="s">
        <v>39</v>
      </c>
      <c r="L3" s="92" t="s">
        <v>3</v>
      </c>
      <c r="M3" s="76" t="s">
        <v>2</v>
      </c>
    </row>
    <row r="4" spans="1:13" s="1" customFormat="1" ht="21" customHeight="1" thickBot="1">
      <c r="A4" s="89"/>
      <c r="B4" s="71"/>
      <c r="C4" s="91"/>
      <c r="D4" s="91"/>
      <c r="E4" s="93"/>
      <c r="F4" s="91"/>
      <c r="G4" s="4">
        <v>1</v>
      </c>
      <c r="H4" s="4">
        <v>2</v>
      </c>
      <c r="I4" s="4">
        <v>3</v>
      </c>
      <c r="J4" s="4" t="s">
        <v>4</v>
      </c>
      <c r="K4" s="93"/>
      <c r="L4" s="93"/>
      <c r="M4" s="77"/>
    </row>
    <row r="5" spans="1:13" ht="16">
      <c r="A5" s="78" t="s">
        <v>64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7" t="s">
        <v>40</v>
      </c>
      <c r="B6" s="7" t="s">
        <v>359</v>
      </c>
      <c r="C6" s="7" t="s">
        <v>303</v>
      </c>
      <c r="D6" s="7" t="s">
        <v>304</v>
      </c>
      <c r="E6" s="8" t="s">
        <v>442</v>
      </c>
      <c r="F6" s="7" t="s">
        <v>434</v>
      </c>
      <c r="G6" s="28" t="s">
        <v>161</v>
      </c>
      <c r="H6" s="28" t="s">
        <v>220</v>
      </c>
      <c r="I6" s="29" t="s">
        <v>200</v>
      </c>
      <c r="J6" s="27"/>
      <c r="K6" s="9" t="str">
        <f>"122,5"</f>
        <v>122,5</v>
      </c>
      <c r="L6" s="9" t="str">
        <f>"89,6945"</f>
        <v>89,6945</v>
      </c>
      <c r="M6" s="7" t="s">
        <v>438</v>
      </c>
    </row>
    <row r="8" spans="1:13" ht="16">
      <c r="A8" s="68" t="s">
        <v>7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30" t="s">
        <v>40</v>
      </c>
      <c r="B9" s="10" t="s">
        <v>360</v>
      </c>
      <c r="C9" s="10" t="s">
        <v>308</v>
      </c>
      <c r="D9" s="10" t="s">
        <v>309</v>
      </c>
      <c r="E9" s="11" t="s">
        <v>442</v>
      </c>
      <c r="F9" s="10" t="s">
        <v>429</v>
      </c>
      <c r="G9" s="31" t="s">
        <v>150</v>
      </c>
      <c r="H9" s="31" t="s">
        <v>310</v>
      </c>
      <c r="I9" s="31" t="s">
        <v>200</v>
      </c>
      <c r="J9" s="30"/>
      <c r="K9" s="12" t="str">
        <f>"125,0"</f>
        <v>125,0</v>
      </c>
      <c r="L9" s="12" t="str">
        <f>"84,4875"</f>
        <v>84,4875</v>
      </c>
      <c r="M9" s="10" t="s">
        <v>438</v>
      </c>
    </row>
    <row r="10" spans="1:13">
      <c r="A10" s="33" t="s">
        <v>40</v>
      </c>
      <c r="B10" s="13" t="s">
        <v>125</v>
      </c>
      <c r="C10" s="13" t="s">
        <v>311</v>
      </c>
      <c r="D10" s="13" t="s">
        <v>83</v>
      </c>
      <c r="E10" s="14" t="s">
        <v>447</v>
      </c>
      <c r="F10" s="13" t="s">
        <v>429</v>
      </c>
      <c r="G10" s="34" t="s">
        <v>155</v>
      </c>
      <c r="H10" s="34" t="s">
        <v>156</v>
      </c>
      <c r="I10" s="35" t="s">
        <v>167</v>
      </c>
      <c r="J10" s="33"/>
      <c r="K10" s="15" t="str">
        <f>"130,0"</f>
        <v>130,0</v>
      </c>
      <c r="L10" s="15" t="str">
        <f>"87,6720"</f>
        <v>87,6720</v>
      </c>
      <c r="M10" s="13" t="s">
        <v>438</v>
      </c>
    </row>
    <row r="12" spans="1:13">
      <c r="C12" s="25"/>
      <c r="D12" s="25"/>
      <c r="E12" s="25"/>
      <c r="F12" s="6"/>
      <c r="G12" s="6"/>
      <c r="H12" s="3"/>
      <c r="I12" s="3"/>
      <c r="J12" s="3"/>
      <c r="K12" s="3"/>
      <c r="L12" s="3"/>
      <c r="M12" s="3"/>
    </row>
    <row r="13" spans="1:13">
      <c r="C13" s="25"/>
      <c r="D13" s="25"/>
      <c r="E13" s="25"/>
      <c r="F13" s="6"/>
      <c r="G13" s="6"/>
      <c r="H13" s="3"/>
      <c r="I13" s="3"/>
      <c r="J13" s="3"/>
      <c r="K13" s="3"/>
      <c r="L13" s="3"/>
      <c r="M13" s="3"/>
    </row>
    <row r="14" spans="1:13">
      <c r="C14" s="25"/>
      <c r="D14" s="25"/>
      <c r="E14" s="25"/>
      <c r="F14" s="6"/>
      <c r="G14" s="6"/>
      <c r="H14" s="3"/>
      <c r="I14" s="3"/>
      <c r="J14" s="3"/>
      <c r="K14" s="3"/>
      <c r="L14" s="3"/>
      <c r="M14" s="3"/>
    </row>
    <row r="15" spans="1:13">
      <c r="C15" s="25"/>
      <c r="D15" s="25"/>
      <c r="E15" s="25"/>
      <c r="F15" s="6"/>
      <c r="G15" s="6"/>
      <c r="H15" s="3"/>
      <c r="I15" s="3"/>
      <c r="J15" s="3"/>
      <c r="K15" s="3"/>
      <c r="L15" s="3"/>
      <c r="M15" s="3"/>
    </row>
    <row r="16" spans="1:13">
      <c r="C16" s="25"/>
      <c r="D16" s="25"/>
      <c r="E16" s="25"/>
      <c r="F16" s="6"/>
      <c r="G16" s="6"/>
      <c r="H16" s="3"/>
      <c r="I16" s="3"/>
      <c r="J16" s="3"/>
      <c r="K16" s="3"/>
      <c r="L16" s="3"/>
      <c r="M16" s="3"/>
    </row>
    <row r="17" spans="3:13">
      <c r="C17" s="25"/>
      <c r="D17" s="25"/>
      <c r="E17" s="25"/>
      <c r="F17" s="6"/>
      <c r="G17" s="6"/>
      <c r="H17" s="3"/>
      <c r="I17" s="3"/>
      <c r="J17" s="3"/>
      <c r="K17" s="3"/>
      <c r="L17" s="3"/>
      <c r="M17" s="3"/>
    </row>
    <row r="18" spans="3:13">
      <c r="C18" s="25"/>
      <c r="D18" s="25"/>
      <c r="E18" s="25"/>
      <c r="F18" s="6"/>
      <c r="G18" s="6"/>
      <c r="H18" s="3"/>
      <c r="I18" s="3"/>
      <c r="J18" s="3"/>
      <c r="K18" s="3"/>
      <c r="L18" s="3"/>
      <c r="M18" s="3"/>
    </row>
    <row r="19" spans="3:13">
      <c r="C19" s="25"/>
      <c r="D19" s="25"/>
      <c r="E19" s="25"/>
      <c r="F19" s="6"/>
      <c r="G19" s="6"/>
      <c r="H19" s="3"/>
      <c r="I19" s="3"/>
      <c r="J19" s="3"/>
      <c r="K19" s="3"/>
      <c r="L19" s="3"/>
      <c r="M19" s="3"/>
    </row>
    <row r="20" spans="3:13">
      <c r="C20" s="25"/>
      <c r="D20" s="25"/>
      <c r="E20" s="25"/>
      <c r="F20" s="6"/>
      <c r="G20" s="6"/>
      <c r="H20" s="3"/>
      <c r="I20" s="3"/>
      <c r="J20" s="3"/>
      <c r="K20" s="3"/>
      <c r="L20" s="3"/>
      <c r="M20" s="3"/>
    </row>
    <row r="21" spans="3:13">
      <c r="E21" s="5"/>
      <c r="F21" s="16"/>
      <c r="G21" s="5"/>
      <c r="K21" s="25"/>
      <c r="M21" s="6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WRPF ПЛ без экипировки ДК</vt:lpstr>
      <vt:lpstr>WRPF ПЛ без экипировки</vt:lpstr>
      <vt:lpstr>WRPF ПЛ в бинтах</vt:lpstr>
      <vt:lpstr>WRPF Двоеборье без экип ДК</vt:lpstr>
      <vt:lpstr>WRPF Жим лежа без экип ДК</vt:lpstr>
      <vt:lpstr>WRPF Жим лежа без экип</vt:lpstr>
      <vt:lpstr>WEPF Жим софт однопетельная ДК</vt:lpstr>
      <vt:lpstr>WEPF Жим софт многопетельная</vt:lpstr>
      <vt:lpstr>WRPF Военный жим ДК</vt:lpstr>
      <vt:lpstr>WRPF Военный жим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2024-05-01T07:02:45Z</dcterms:modified>
</cp:coreProperties>
</file>