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00083ABD-31E2-5B43-ACB2-0BD3771A10AD}" xr6:coauthVersionLast="45" xr6:coauthVersionMax="45" xr10:uidLastSave="{00000000-0000-0000-0000-000000000000}"/>
  <bookViews>
    <workbookView xWindow="480" yWindow="460" windowWidth="27840" windowHeight="15800" firstSheet="3" activeTab="8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" sheetId="5" r:id="rId3"/>
    <sheet name="WRPF Жим лежа без экип ДК" sheetId="10" r:id="rId4"/>
    <sheet name="WRPF Жим лежа без экип" sheetId="9" r:id="rId5"/>
    <sheet name="WRPF Тяга без экипировки ДК" sheetId="14" r:id="rId6"/>
    <sheet name="WRPF Тяга без экипировки" sheetId="13" r:id="rId7"/>
    <sheet name="WRPF Подъем на бицепс ДК" sheetId="15" r:id="rId8"/>
    <sheet name="WRPF Подъем на бицепс" sheetId="16" r:id="rId9"/>
  </sheets>
  <definedNames>
    <definedName name="_FilterDatabase" localSheetId="2" hidden="1">'WRPF ПЛ в бинтах'!$A$1:$S$3</definedName>
    <definedName name="_FilterDatabase" localSheetId="8" hidden="1">'WRPF Подъем на бицепс'!$A$1:$K$3</definedName>
  </definedNames>
  <calcPr calcId="125725" refMode="R1C1" calcCompleted="0"/>
</workbook>
</file>

<file path=xl/calcChain.xml><?xml version="1.0" encoding="utf-8"?>
<calcChain xmlns="http://schemas.openxmlformats.org/spreadsheetml/2006/main">
  <c r="K6" i="16" l="1"/>
  <c r="L6" i="16"/>
  <c r="K6" i="15"/>
  <c r="L6" i="15"/>
  <c r="K7" i="15"/>
  <c r="L7" i="15"/>
  <c r="K8" i="15"/>
  <c r="L8" i="15"/>
  <c r="K11" i="15"/>
  <c r="L11" i="15"/>
  <c r="K12" i="15"/>
  <c r="L12" i="15"/>
  <c r="K13" i="15"/>
  <c r="L13" i="15"/>
  <c r="L24" i="14"/>
  <c r="K24" i="14"/>
  <c r="L21" i="14"/>
  <c r="K21" i="14"/>
  <c r="L20" i="14"/>
  <c r="L17" i="14"/>
  <c r="K17" i="14"/>
  <c r="L16" i="14"/>
  <c r="K16" i="14"/>
  <c r="L13" i="14"/>
  <c r="K13" i="14"/>
  <c r="L10" i="14"/>
  <c r="K10" i="14"/>
  <c r="L9" i="14"/>
  <c r="K9" i="14"/>
  <c r="L6" i="14"/>
  <c r="K6" i="14"/>
  <c r="L18" i="13"/>
  <c r="L15" i="13"/>
  <c r="K15" i="13"/>
  <c r="L12" i="13"/>
  <c r="K12" i="13"/>
  <c r="L9" i="13"/>
  <c r="K9" i="13"/>
  <c r="L6" i="13"/>
  <c r="K6" i="13"/>
  <c r="L18" i="10"/>
  <c r="K18" i="10"/>
  <c r="L17" i="10"/>
  <c r="K17" i="10"/>
  <c r="L16" i="10"/>
  <c r="K16" i="10"/>
  <c r="L15" i="10"/>
  <c r="K15" i="10"/>
  <c r="L12" i="10"/>
  <c r="K12" i="10"/>
  <c r="L9" i="10"/>
  <c r="K9" i="10"/>
  <c r="L6" i="10"/>
  <c r="K6" i="10"/>
  <c r="L18" i="9"/>
  <c r="K18" i="9"/>
  <c r="L15" i="9"/>
  <c r="K15" i="9"/>
  <c r="L12" i="9"/>
  <c r="K12" i="9"/>
  <c r="L9" i="9"/>
  <c r="K9" i="9"/>
  <c r="L6" i="9"/>
  <c r="K6" i="9"/>
  <c r="T15" i="8"/>
  <c r="S15" i="8"/>
  <c r="T12" i="8"/>
  <c r="S12" i="8"/>
  <c r="T9" i="8"/>
  <c r="S9" i="8"/>
  <c r="T6" i="8"/>
  <c r="S6" i="8"/>
  <c r="T33" i="7"/>
  <c r="S33" i="7"/>
  <c r="T30" i="7"/>
  <c r="S30" i="7"/>
  <c r="T27" i="7"/>
  <c r="S27" i="7"/>
  <c r="T24" i="7"/>
  <c r="S24" i="7"/>
  <c r="T21" i="7"/>
  <c r="S21" i="7"/>
  <c r="T20" i="7"/>
  <c r="S20" i="7"/>
  <c r="T17" i="7"/>
  <c r="S17" i="7"/>
  <c r="T16" i="7"/>
  <c r="S16" i="7"/>
  <c r="T13" i="7"/>
  <c r="S13" i="7"/>
  <c r="T12" i="7"/>
  <c r="S12" i="7"/>
  <c r="T9" i="7"/>
  <c r="S9" i="7"/>
  <c r="T6" i="7"/>
  <c r="S6" i="7"/>
  <c r="T9" i="5"/>
  <c r="S9" i="5"/>
  <c r="T6" i="5"/>
  <c r="S6" i="5"/>
</calcChain>
</file>

<file path=xl/sharedStrings.xml><?xml version="1.0" encoding="utf-8"?>
<sst xmlns="http://schemas.openxmlformats.org/spreadsheetml/2006/main" count="808" uniqueCount="284">
  <si>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</si>
  <si>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</si>
  <si>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</si>
  <si>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</si>
  <si>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</si>
  <si>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</si>
  <si>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</si>
  <si>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</si>
  <si>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</si>
  <si>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</si>
  <si>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</si>
  <si>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 xml:space="preserve">Швец Максим </t>
  </si>
  <si>
    <t>Открытая (28.10.1998)/25</t>
  </si>
  <si>
    <t>109,40</t>
  </si>
  <si>
    <t>270,0</t>
  </si>
  <si>
    <t>300,0</t>
  </si>
  <si>
    <t>200,0</t>
  </si>
  <si>
    <t>210,0</t>
  </si>
  <si>
    <t>220,0</t>
  </si>
  <si>
    <t>310,0</t>
  </si>
  <si>
    <t>320,0</t>
  </si>
  <si>
    <t xml:space="preserve">Тарасов Владимир </t>
  </si>
  <si>
    <t>ВЕСОВАЯ КАТЕГОРИЯ   125</t>
  </si>
  <si>
    <t>Открытая (18.04.1999)/24</t>
  </si>
  <si>
    <t>112,00</t>
  </si>
  <si>
    <t>280,0</t>
  </si>
  <si>
    <t>290,0</t>
  </si>
  <si>
    <t>170,0</t>
  </si>
  <si>
    <t>180,0</t>
  </si>
  <si>
    <t>312,5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</si>
  <si>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</si>
  <si>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</si>
  <si>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</si>
  <si>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</si>
  <si>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</si>
  <si>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</si>
  <si>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</si>
  <si>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125</t>
  </si>
  <si>
    <t>1</t>
  </si>
  <si>
    <t>Швец Максим</t>
  </si>
  <si>
    <t>Акишин Александр</t>
  </si>
  <si>
    <t>ВЕСОВАЯ КАТЕГОРИЯ   60</t>
  </si>
  <si>
    <t>Открытая (12.05.2004)/19</t>
  </si>
  <si>
    <t>59,20</t>
  </si>
  <si>
    <t>90,0</t>
  </si>
  <si>
    <t>100,0</t>
  </si>
  <si>
    <t>105,0</t>
  </si>
  <si>
    <t>47,5</t>
  </si>
  <si>
    <t>52,5</t>
  </si>
  <si>
    <t>55,0</t>
  </si>
  <si>
    <t>80,0</t>
  </si>
  <si>
    <t>ВЕСОВАЯ КАТЕГОРИЯ   67.5</t>
  </si>
  <si>
    <t>Открытая (24.11.2007)/16</t>
  </si>
  <si>
    <t>61,20</t>
  </si>
  <si>
    <t>87,5</t>
  </si>
  <si>
    <t>95,0</t>
  </si>
  <si>
    <t>97,5</t>
  </si>
  <si>
    <t>57,5</t>
  </si>
  <si>
    <t>102,5</t>
  </si>
  <si>
    <t>ВЕСОВАЯ КАТЕГОРИЯ   75</t>
  </si>
  <si>
    <t>Юноши 14-16 (21.04.2009)/14</t>
  </si>
  <si>
    <t>72,30</t>
  </si>
  <si>
    <t>85,0</t>
  </si>
  <si>
    <t>65,0</t>
  </si>
  <si>
    <t>70,0</t>
  </si>
  <si>
    <t>72,5</t>
  </si>
  <si>
    <t>110,0</t>
  </si>
  <si>
    <t xml:space="preserve">Шуляк Иван </t>
  </si>
  <si>
    <t>Открытая (25.04.1989)/34</t>
  </si>
  <si>
    <t>74,10</t>
  </si>
  <si>
    <t>190,0</t>
  </si>
  <si>
    <t>145,0</t>
  </si>
  <si>
    <t>152,5</t>
  </si>
  <si>
    <t>157,5</t>
  </si>
  <si>
    <t>ВЕСОВАЯ КАТЕГОРИЯ   82.5</t>
  </si>
  <si>
    <t>Открытая (21.06.2001)/22</t>
  </si>
  <si>
    <t>80,30</t>
  </si>
  <si>
    <t>155,0</t>
  </si>
  <si>
    <t>167,5</t>
  </si>
  <si>
    <t>112,5</t>
  </si>
  <si>
    <t>117,5</t>
  </si>
  <si>
    <t>125,0</t>
  </si>
  <si>
    <t>175,0</t>
  </si>
  <si>
    <t>Открытая (09.06.2007)/16</t>
  </si>
  <si>
    <t>79,60</t>
  </si>
  <si>
    <t>115,0</t>
  </si>
  <si>
    <t>77,5</t>
  </si>
  <si>
    <t>135,0</t>
  </si>
  <si>
    <t>150,0</t>
  </si>
  <si>
    <t>ВЕСОВАЯ КАТЕГОРИЯ   90</t>
  </si>
  <si>
    <t>Юноши 17-19 (11.04.2006)/17</t>
  </si>
  <si>
    <t>87,80</t>
  </si>
  <si>
    <t>107,5</t>
  </si>
  <si>
    <t>75,0</t>
  </si>
  <si>
    <t>Открытая (14.02.2007)/16</t>
  </si>
  <si>
    <t>84,60</t>
  </si>
  <si>
    <t>122,5</t>
  </si>
  <si>
    <t>120,0</t>
  </si>
  <si>
    <t>ВЕСОВАЯ КАТЕГОРИЯ   100</t>
  </si>
  <si>
    <t>Мастера 40-49 (25.03.1979)/44</t>
  </si>
  <si>
    <t>98,50</t>
  </si>
  <si>
    <t>230,0</t>
  </si>
  <si>
    <t>130,0</t>
  </si>
  <si>
    <t>140,0</t>
  </si>
  <si>
    <t>260,0</t>
  </si>
  <si>
    <t>Открытая (03.06.2005)/18</t>
  </si>
  <si>
    <t>106,40</t>
  </si>
  <si>
    <t>92,5</t>
  </si>
  <si>
    <t xml:space="preserve">Раскин Илья </t>
  </si>
  <si>
    <t>Открытая (13.02.1989)/34</t>
  </si>
  <si>
    <t>121,00</t>
  </si>
  <si>
    <t>ВЕСОВАЯ КАТЕГОРИЯ   140+</t>
  </si>
  <si>
    <t xml:space="preserve">Романенко Александр </t>
  </si>
  <si>
    <t>Открытая (17.07.1998)/25</t>
  </si>
  <si>
    <t>140,70</t>
  </si>
  <si>
    <t>265,0</t>
  </si>
  <si>
    <t>275,0</t>
  </si>
  <si>
    <t>165,0</t>
  </si>
  <si>
    <t>182,5</t>
  </si>
  <si>
    <t>285,0</t>
  </si>
  <si>
    <t>292,5</t>
  </si>
  <si>
    <t>75</t>
  </si>
  <si>
    <t>90</t>
  </si>
  <si>
    <t>140+</t>
  </si>
  <si>
    <t>100</t>
  </si>
  <si>
    <t>Кулакова Валерия</t>
  </si>
  <si>
    <t>Мин Артём</t>
  </si>
  <si>
    <t>Глушков Даниил</t>
  </si>
  <si>
    <t>Шуляк Иван</t>
  </si>
  <si>
    <t>Маслов Денис</t>
  </si>
  <si>
    <t>2</t>
  </si>
  <si>
    <t>Слободяник Денис</t>
  </si>
  <si>
    <t>Войтенко Даниил</t>
  </si>
  <si>
    <t>Кулаков Сергей</t>
  </si>
  <si>
    <t>Потапов Павел</t>
  </si>
  <si>
    <t>Князев Данил</t>
  </si>
  <si>
    <t>Раскин Илья</t>
  </si>
  <si>
    <t>Романенко Александр</t>
  </si>
  <si>
    <t>ВЕСОВАЯ КАТЕГОРИЯ   44</t>
  </si>
  <si>
    <t>Открытая (03.01.2012)/11</t>
  </si>
  <si>
    <t>41,90</t>
  </si>
  <si>
    <t>82,5</t>
  </si>
  <si>
    <t>60,0</t>
  </si>
  <si>
    <t>62,5</t>
  </si>
  <si>
    <t>Открытая (06.12.1998)/24</t>
  </si>
  <si>
    <t>58,70</t>
  </si>
  <si>
    <t>Открытая (22.02.1984)/39</t>
  </si>
  <si>
    <t>205,0</t>
  </si>
  <si>
    <t>215,0</t>
  </si>
  <si>
    <t>225,0</t>
  </si>
  <si>
    <t>250,0</t>
  </si>
  <si>
    <t>Открытая (28.09.1989)/34</t>
  </si>
  <si>
    <t>106,00</t>
  </si>
  <si>
    <t>160,0</t>
  </si>
  <si>
    <t>Шарипова Малика</t>
  </si>
  <si>
    <t>Егорова Ольга</t>
  </si>
  <si>
    <t>Фадеев Максим</t>
  </si>
  <si>
    <t>Югай Антон</t>
  </si>
  <si>
    <t>Открытая (01.02.2008)/15</t>
  </si>
  <si>
    <t>Открытая (30.11.1987)/35</t>
  </si>
  <si>
    <t>87,90</t>
  </si>
  <si>
    <t>Открытая (10.07.1987)/36</t>
  </si>
  <si>
    <t>98,90</t>
  </si>
  <si>
    <t>185,0</t>
  </si>
  <si>
    <t xml:space="preserve">Результат </t>
  </si>
  <si>
    <t>Результат</t>
  </si>
  <si>
    <t>Скрынник Иван</t>
  </si>
  <si>
    <t>Отто Максим</t>
  </si>
  <si>
    <t>Шевченко Денис</t>
  </si>
  <si>
    <t>Открытая (15.05.1995)/28</t>
  </si>
  <si>
    <t>81,30</t>
  </si>
  <si>
    <t>127,5</t>
  </si>
  <si>
    <t>132,5</t>
  </si>
  <si>
    <t xml:space="preserve">Коваль Алексей </t>
  </si>
  <si>
    <t>Открытая (18.04.1989)/34</t>
  </si>
  <si>
    <t>89,80</t>
  </si>
  <si>
    <t>142,5</t>
  </si>
  <si>
    <t>147,5</t>
  </si>
  <si>
    <t xml:space="preserve">Шанин Алексей </t>
  </si>
  <si>
    <t>Открытая (04.11.1976)/47</t>
  </si>
  <si>
    <t>89,20</t>
  </si>
  <si>
    <t xml:space="preserve">Гордиенко Андрей </t>
  </si>
  <si>
    <t>Открытая (03.09.1997)/26</t>
  </si>
  <si>
    <t>89,00</t>
  </si>
  <si>
    <t>Открытая (24.09.1997)/26</t>
  </si>
  <si>
    <t>85,80</t>
  </si>
  <si>
    <t>Аверин Юрий</t>
  </si>
  <si>
    <t>Коваль Алексей</t>
  </si>
  <si>
    <t>Шанин Алексей</t>
  </si>
  <si>
    <t>3</t>
  </si>
  <si>
    <t>Гордиенко Андрей</t>
  </si>
  <si>
    <t>4</t>
  </si>
  <si>
    <t>Терешов Никита</t>
  </si>
  <si>
    <t>Юноши 17-19 (14.03.2004)/19</t>
  </si>
  <si>
    <t>86,90</t>
  </si>
  <si>
    <t>Открытая (23.08.1990)/33</t>
  </si>
  <si>
    <t>95,70</t>
  </si>
  <si>
    <t>Открытая (01.12.1988)/34</t>
  </si>
  <si>
    <t>105,40</t>
  </si>
  <si>
    <t>82.5</t>
  </si>
  <si>
    <t>Ронжин Александр</t>
  </si>
  <si>
    <t>Кулаков Александр</t>
  </si>
  <si>
    <t>-</t>
  </si>
  <si>
    <t>Девицкий Сергей</t>
  </si>
  <si>
    <t>Юноши 14-16 (24.12.2007)/15</t>
  </si>
  <si>
    <t>60,80</t>
  </si>
  <si>
    <t>Открытая (06.02.1991)/32</t>
  </si>
  <si>
    <t>62,90</t>
  </si>
  <si>
    <t xml:space="preserve">Котов Алексей </t>
  </si>
  <si>
    <t>Открытая (19.09.1987)/36</t>
  </si>
  <si>
    <t>74,60</t>
  </si>
  <si>
    <t>232,5</t>
  </si>
  <si>
    <t xml:space="preserve">Сосновенко Артем </t>
  </si>
  <si>
    <t>Открытая (21.01.1990)/33</t>
  </si>
  <si>
    <t>Открытая (21.10.1994)/29</t>
  </si>
  <si>
    <t>81,40</t>
  </si>
  <si>
    <t>Юниоры (15.01.2001)/22</t>
  </si>
  <si>
    <t>83,50</t>
  </si>
  <si>
    <t>Открытая (12.10.1987)/36</t>
  </si>
  <si>
    <t>85,50</t>
  </si>
  <si>
    <t>202,5</t>
  </si>
  <si>
    <t xml:space="preserve">Колпинец Савелий </t>
  </si>
  <si>
    <t>Открытая (27.06.2002)/21</t>
  </si>
  <si>
    <t>92,30</t>
  </si>
  <si>
    <t>245,0</t>
  </si>
  <si>
    <t>Прилепо Владислав</t>
  </si>
  <si>
    <t>Кресс Денис</t>
  </si>
  <si>
    <t>Котов Алексей</t>
  </si>
  <si>
    <t>Сосновенко Артем</t>
  </si>
  <si>
    <t>Голубев Евгений</t>
  </si>
  <si>
    <t>Керимов Шахлар</t>
  </si>
  <si>
    <t>Опелендер Артур</t>
  </si>
  <si>
    <t>Колпинец Савелий</t>
  </si>
  <si>
    <t xml:space="preserve">Казанцев Владислав </t>
  </si>
  <si>
    <t xml:space="preserve">Gloss </t>
  </si>
  <si>
    <t>67,5</t>
  </si>
  <si>
    <t>88,40</t>
  </si>
  <si>
    <t>Баланев Никита</t>
  </si>
  <si>
    <t>45,0</t>
  </si>
  <si>
    <t>81,70</t>
  </si>
  <si>
    <t>Запара Кирилл</t>
  </si>
  <si>
    <t>50,0</t>
  </si>
  <si>
    <t>82,10</t>
  </si>
  <si>
    <t>Открытая (04.01.2001)/22</t>
  </si>
  <si>
    <t>Казанцев Владислав</t>
  </si>
  <si>
    <t>Бурцев Анатолий</t>
  </si>
  <si>
    <t>Хоменко Валерий</t>
  </si>
  <si>
    <t>Хакимов Болат</t>
  </si>
  <si>
    <t xml:space="preserve">Хакимов Болат </t>
  </si>
  <si>
    <t>Метелкин Михаил</t>
  </si>
  <si>
    <t>Мирошниченко Александр</t>
  </si>
  <si>
    <t>Федяев Василий</t>
  </si>
  <si>
    <t>Турпак Анастасия</t>
  </si>
  <si>
    <t>Всероссийский мастерский турнир «5%»
WRPF Пауэрлифтинг без экипировки ДК
Арсеньев/Приморский край, 24-26 ноября 2023 года</t>
  </si>
  <si>
    <t>Всероссийский мастерский турнир «5%»
WRPF Пауэрлифтинг без экипировки
Арсеньев/Приморский край, 24-26 ноября 2023 года</t>
  </si>
  <si>
    <t>Всероссийский мастерский турнир «5%»
WRPF Пауэрлифтинг классический в бинтах
Арсеньев/Приморский край, 24-26 ноября 2023 года</t>
  </si>
  <si>
    <t>Всероссийский мастерский турнир «5%»
WRPF Жим лежа без экипировки ДК
Арсеньев/Приморский край, 24-26 ноября 2023 года</t>
  </si>
  <si>
    <t>Всероссийский мастерский турнир «5%»
WRPF Жим лежа без экипировки
Арсеньев/Приморский край, 24-26 ноября 2023 года</t>
  </si>
  <si>
    <t>Всероссийский мастерский турнир «5%»
WRPF Становая тяга без экипировки ДК
Арсеньев/Приморский край, 24-26 ноября 2023 года</t>
  </si>
  <si>
    <t>Всероссийский мастерский турнир «5%»
WRPF Становая тяга без экипировки
Арсеньев/Приморский край, 24-26 ноября 2023 года</t>
  </si>
  <si>
    <t>Мужчины</t>
  </si>
  <si>
    <t>Весовая категория</t>
  </si>
  <si>
    <t>Мастера 40-49 (22.05.1983)/40</t>
  </si>
  <si>
    <t>Юниоры 20-23 (18.07.2003)/20</t>
  </si>
  <si>
    <t>Всероссийский мастерский турнир «5%»
WRPF Строгий подъем штанги на бицепс ДК
Арсеньев/Приморский край, 24-26 ноября 2023 года</t>
  </si>
  <si>
    <t>Всероссийский мастерский турнир «5%»
WRPF Строгий подъем штанги на бицепс
Арсеньев/Приморский край, 24-26 ноября 2023 года</t>
  </si>
  <si>
    <t>Юноши 13-19 (14.03.2004)/19</t>
  </si>
  <si>
    <t>№</t>
  </si>
  <si>
    <t>Приморский край, Партизанск</t>
  </si>
  <si>
    <t>Приморский край, Артём</t>
  </si>
  <si>
    <t>Приморский край, Находка</t>
  </si>
  <si>
    <t>Приморский край, Уссурийск</t>
  </si>
  <si>
    <t>Приморский край, Арсеньев</t>
  </si>
  <si>
    <t>Приморский край, Владивосток</t>
  </si>
  <si>
    <t>Приморский край, Лесозаводск</t>
  </si>
  <si>
    <t>жим</t>
  </si>
  <si>
    <t xml:space="preserve">
Дата рождения/Возраст</t>
  </si>
  <si>
    <t>Возрастная группа</t>
  </si>
  <si>
    <t>O</t>
  </si>
  <si>
    <t>T1</t>
  </si>
  <si>
    <t>T2</t>
  </si>
  <si>
    <t>M1</t>
  </si>
  <si>
    <t>J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</si>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</sst>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7"/>
  <sheetViews>
    <sheetView workbookViewId="0">
      <selection activeCell="E16" sqref="E16"/>
    </sheetView>
  </sheetViews>
  <sheetFormatPr baseColWidth="10" defaultColWidth="9.1640625" defaultRowHeight="13"/>
  <cols>
    <col min="1" max="1" width="7.5" style="6" bestFit="1" customWidth="1"/>
    <col min="2" max="2" width="19.6640625" style="6" customWidth="1"/>
    <col min="3" max="3" width="26.33203125" style="6" bestFit="1" customWidth="1"/>
    <col min="4" max="4" width="21.5" style="6" bestFit="1" customWidth="1"/>
    <col min="5" max="5" width="10.5" style="11" bestFit="1" customWidth="1"/>
    <col min="6" max="6" width="33.83203125" style="6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7" width="5.5" style="20" customWidth="1"/>
    <col min="18" max="18" width="4.83203125" style="20" customWidth="1"/>
    <col min="19" max="19" width="7.83203125" style="7" bestFit="1" customWidth="1"/>
    <col min="20" max="20" width="8.5" style="7" bestFit="1" customWidth="1"/>
    <col min="21" max="21" width="21" style="6" customWidth="1"/>
    <col min="22" max="16384" width="9.1640625" style="3"/>
  </cols>
  <sheetData>
    <row r="1" spans="1:21" s="2" customFormat="1" ht="29" customHeight="1">
      <c r="A1" s="61" t="s">
        <v>253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7</v>
      </c>
      <c r="H3" s="73"/>
      <c r="I3" s="73"/>
      <c r="J3" s="73"/>
      <c r="K3" s="73" t="s">
        <v>8</v>
      </c>
      <c r="L3" s="73"/>
      <c r="M3" s="73"/>
      <c r="N3" s="73"/>
      <c r="O3" s="73" t="s">
        <v>9</v>
      </c>
      <c r="P3" s="73"/>
      <c r="Q3" s="73"/>
      <c r="R3" s="73"/>
      <c r="S3" s="55" t="s">
        <v>1</v>
      </c>
      <c r="T3" s="55" t="s">
        <v>3</v>
      </c>
      <c r="U3" s="57" t="s">
        <v>2</v>
      </c>
    </row>
    <row r="4" spans="1:21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8"/>
    </row>
    <row r="5" spans="1:21" ht="16">
      <c r="A5" s="59" t="s">
        <v>138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1">
      <c r="A6" s="24" t="s">
        <v>38</v>
      </c>
      <c r="B6" s="8" t="s">
        <v>154</v>
      </c>
      <c r="C6" s="8" t="s">
        <v>139</v>
      </c>
      <c r="D6" s="8" t="s">
        <v>140</v>
      </c>
      <c r="E6" s="9" t="s">
        <v>278</v>
      </c>
      <c r="F6" s="8" t="s">
        <v>268</v>
      </c>
      <c r="G6" s="23" t="s">
        <v>86</v>
      </c>
      <c r="H6" s="23" t="s">
        <v>141</v>
      </c>
      <c r="I6" s="23" t="s">
        <v>62</v>
      </c>
      <c r="J6" s="24"/>
      <c r="K6" s="23" t="s">
        <v>57</v>
      </c>
      <c r="L6" s="23" t="s">
        <v>142</v>
      </c>
      <c r="M6" s="23" t="s">
        <v>143</v>
      </c>
      <c r="N6" s="24"/>
      <c r="O6" s="23" t="s">
        <v>62</v>
      </c>
      <c r="P6" s="23" t="s">
        <v>107</v>
      </c>
      <c r="Q6" s="23" t="s">
        <v>55</v>
      </c>
      <c r="R6" s="24"/>
      <c r="S6" s="10" t="str">
        <f>"242,5"</f>
        <v>242,5</v>
      </c>
      <c r="T6" s="10" t="str">
        <f>"352,3767"</f>
        <v>352,3767</v>
      </c>
      <c r="U6" s="43" t="s">
        <v>128</v>
      </c>
    </row>
    <row r="8" spans="1:21" ht="16">
      <c r="A8" s="51" t="s">
        <v>41</v>
      </c>
      <c r="B8" s="51"/>
      <c r="C8" s="51"/>
      <c r="D8" s="51"/>
      <c r="E8" s="52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24" t="s">
        <v>38</v>
      </c>
      <c r="B9" s="8" t="s">
        <v>155</v>
      </c>
      <c r="C9" s="8" t="s">
        <v>144</v>
      </c>
      <c r="D9" s="8" t="s">
        <v>145</v>
      </c>
      <c r="E9" s="9" t="s">
        <v>278</v>
      </c>
      <c r="F9" s="8" t="s">
        <v>269</v>
      </c>
      <c r="G9" s="23" t="s">
        <v>55</v>
      </c>
      <c r="H9" s="23" t="s">
        <v>46</v>
      </c>
      <c r="I9" s="23" t="s">
        <v>79</v>
      </c>
      <c r="J9" s="24"/>
      <c r="K9" s="23" t="s">
        <v>49</v>
      </c>
      <c r="L9" s="23" t="s">
        <v>142</v>
      </c>
      <c r="M9" s="22" t="s">
        <v>143</v>
      </c>
      <c r="N9" s="24"/>
      <c r="O9" s="23" t="s">
        <v>45</v>
      </c>
      <c r="P9" s="23" t="s">
        <v>66</v>
      </c>
      <c r="Q9" s="23" t="s">
        <v>85</v>
      </c>
      <c r="R9" s="24"/>
      <c r="S9" s="10" t="str">
        <f>"287,5"</f>
        <v>287,5</v>
      </c>
      <c r="T9" s="10" t="str">
        <f>"326,0250"</f>
        <v>326,0250</v>
      </c>
      <c r="U9" s="43" t="s">
        <v>245</v>
      </c>
    </row>
    <row r="11" spans="1:21" ht="16">
      <c r="A11" s="51" t="s">
        <v>98</v>
      </c>
      <c r="B11" s="51"/>
      <c r="C11" s="51"/>
      <c r="D11" s="51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24" t="s">
        <v>38</v>
      </c>
      <c r="B12" s="8" t="s">
        <v>156</v>
      </c>
      <c r="C12" s="8" t="s">
        <v>146</v>
      </c>
      <c r="D12" s="8" t="s">
        <v>100</v>
      </c>
      <c r="E12" s="9" t="s">
        <v>278</v>
      </c>
      <c r="F12" s="8" t="s">
        <v>270</v>
      </c>
      <c r="G12" s="23" t="s">
        <v>147</v>
      </c>
      <c r="H12" s="23" t="s">
        <v>148</v>
      </c>
      <c r="I12" s="22" t="s">
        <v>149</v>
      </c>
      <c r="J12" s="24"/>
      <c r="K12" s="23" t="s">
        <v>103</v>
      </c>
      <c r="L12" s="23" t="s">
        <v>71</v>
      </c>
      <c r="M12" s="22" t="s">
        <v>88</v>
      </c>
      <c r="N12" s="24"/>
      <c r="O12" s="23" t="s">
        <v>149</v>
      </c>
      <c r="P12" s="23" t="s">
        <v>150</v>
      </c>
      <c r="Q12" s="23" t="s">
        <v>14</v>
      </c>
      <c r="R12" s="24"/>
      <c r="S12" s="10" t="str">
        <f>"630,0"</f>
        <v>630,0</v>
      </c>
      <c r="T12" s="10" t="str">
        <f>"385,7490"</f>
        <v>385,7490</v>
      </c>
      <c r="U12" s="8" t="s">
        <v>246</v>
      </c>
    </row>
    <row r="14" spans="1:21" ht="16">
      <c r="A14" s="51" t="s">
        <v>10</v>
      </c>
      <c r="B14" s="51"/>
      <c r="C14" s="51"/>
      <c r="D14" s="51"/>
      <c r="E14" s="52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21">
      <c r="A15" s="24" t="s">
        <v>38</v>
      </c>
      <c r="B15" s="8" t="s">
        <v>157</v>
      </c>
      <c r="C15" s="8" t="s">
        <v>151</v>
      </c>
      <c r="D15" s="8" t="s">
        <v>152</v>
      </c>
      <c r="E15" s="9" t="s">
        <v>278</v>
      </c>
      <c r="F15" s="8" t="s">
        <v>270</v>
      </c>
      <c r="G15" s="23" t="s">
        <v>16</v>
      </c>
      <c r="H15" s="23" t="s">
        <v>17</v>
      </c>
      <c r="I15" s="23" t="s">
        <v>18</v>
      </c>
      <c r="J15" s="24"/>
      <c r="K15" s="23" t="s">
        <v>103</v>
      </c>
      <c r="L15" s="23" t="s">
        <v>88</v>
      </c>
      <c r="M15" s="23" t="s">
        <v>153</v>
      </c>
      <c r="N15" s="24"/>
      <c r="O15" s="23" t="s">
        <v>16</v>
      </c>
      <c r="P15" s="23" t="s">
        <v>17</v>
      </c>
      <c r="Q15" s="23" t="s">
        <v>18</v>
      </c>
      <c r="R15" s="24"/>
      <c r="S15" s="10" t="str">
        <f>"600,0"</f>
        <v>600,0</v>
      </c>
      <c r="T15" s="10" t="str">
        <f>"357,3600"</f>
        <v>357,3600</v>
      </c>
      <c r="U15" s="8"/>
    </row>
    <row r="17" spans="5:7">
      <c r="E17" s="6"/>
      <c r="F17" s="11"/>
      <c r="G17" s="6"/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B3:B4"/>
    <mergeCell ref="S3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3"/>
  <sheetViews>
    <sheetView workbookViewId="0">
      <selection activeCell="E34" sqref="E34"/>
    </sheetView>
  </sheetViews>
  <sheetFormatPr baseColWidth="10" defaultColWidth="9.1640625" defaultRowHeight="13"/>
  <cols>
    <col min="1" max="1" width="7.5" style="6" bestFit="1" customWidth="1"/>
    <col min="2" max="2" width="20.5" style="6" bestFit="1" customWidth="1"/>
    <col min="3" max="3" width="27.5" style="6" bestFit="1" customWidth="1"/>
    <col min="4" max="4" width="18.6640625" style="6" bestFit="1" customWidth="1"/>
    <col min="5" max="5" width="10.5" style="11" bestFit="1" customWidth="1"/>
    <col min="6" max="6" width="35.33203125" style="6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7" width="5.5" style="20" customWidth="1"/>
    <col min="18" max="18" width="4.83203125" style="20" customWidth="1"/>
    <col min="19" max="19" width="7.83203125" style="7" bestFit="1" customWidth="1"/>
    <col min="20" max="20" width="8.5" style="7" bestFit="1" customWidth="1"/>
    <col min="21" max="21" width="23.83203125" style="6" bestFit="1" customWidth="1"/>
    <col min="22" max="16384" width="9.1640625" style="3"/>
  </cols>
  <sheetData>
    <row r="1" spans="1:21" s="2" customFormat="1" ht="29" customHeight="1">
      <c r="A1" s="61" t="s">
        <v>254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7</v>
      </c>
      <c r="H3" s="73"/>
      <c r="I3" s="73"/>
      <c r="J3" s="73"/>
      <c r="K3" s="73" t="s">
        <v>8</v>
      </c>
      <c r="L3" s="73"/>
      <c r="M3" s="73"/>
      <c r="N3" s="73"/>
      <c r="O3" s="73" t="s">
        <v>9</v>
      </c>
      <c r="P3" s="73"/>
      <c r="Q3" s="73"/>
      <c r="R3" s="73"/>
      <c r="S3" s="55" t="s">
        <v>1</v>
      </c>
      <c r="T3" s="55" t="s">
        <v>3</v>
      </c>
      <c r="U3" s="57" t="s">
        <v>2</v>
      </c>
    </row>
    <row r="4" spans="1:21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8"/>
    </row>
    <row r="5" spans="1:21" ht="16">
      <c r="A5" s="59" t="s">
        <v>41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1">
      <c r="A6" s="24" t="s">
        <v>38</v>
      </c>
      <c r="B6" s="8" t="s">
        <v>125</v>
      </c>
      <c r="C6" s="8" t="s">
        <v>42</v>
      </c>
      <c r="D6" s="8" t="s">
        <v>43</v>
      </c>
      <c r="E6" s="9" t="s">
        <v>278</v>
      </c>
      <c r="F6" s="8" t="s">
        <v>271</v>
      </c>
      <c r="G6" s="23" t="s">
        <v>44</v>
      </c>
      <c r="H6" s="22" t="s">
        <v>45</v>
      </c>
      <c r="I6" s="23" t="s">
        <v>46</v>
      </c>
      <c r="J6" s="24"/>
      <c r="K6" s="23" t="s">
        <v>47</v>
      </c>
      <c r="L6" s="23" t="s">
        <v>48</v>
      </c>
      <c r="M6" s="23" t="s">
        <v>49</v>
      </c>
      <c r="N6" s="24"/>
      <c r="O6" s="23" t="s">
        <v>50</v>
      </c>
      <c r="P6" s="22" t="s">
        <v>44</v>
      </c>
      <c r="Q6" s="22" t="s">
        <v>44</v>
      </c>
      <c r="R6" s="24"/>
      <c r="S6" s="10" t="str">
        <f>"240,0"</f>
        <v>240,0</v>
      </c>
      <c r="T6" s="10" t="str">
        <f>"270,3840"</f>
        <v>270,3840</v>
      </c>
      <c r="U6" s="8" t="s">
        <v>247</v>
      </c>
    </row>
    <row r="8" spans="1:21" ht="16">
      <c r="A8" s="51" t="s">
        <v>51</v>
      </c>
      <c r="B8" s="51"/>
      <c r="C8" s="51"/>
      <c r="D8" s="51"/>
      <c r="E8" s="52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24" t="s">
        <v>38</v>
      </c>
      <c r="B9" s="8" t="s">
        <v>126</v>
      </c>
      <c r="C9" s="8" t="s">
        <v>52</v>
      </c>
      <c r="D9" s="8" t="s">
        <v>53</v>
      </c>
      <c r="E9" s="9" t="s">
        <v>278</v>
      </c>
      <c r="F9" s="8" t="s">
        <v>271</v>
      </c>
      <c r="G9" s="23" t="s">
        <v>54</v>
      </c>
      <c r="H9" s="23" t="s">
        <v>55</v>
      </c>
      <c r="I9" s="23" t="s">
        <v>56</v>
      </c>
      <c r="J9" s="24"/>
      <c r="K9" s="23" t="s">
        <v>48</v>
      </c>
      <c r="L9" s="22" t="s">
        <v>57</v>
      </c>
      <c r="M9" s="23" t="s">
        <v>57</v>
      </c>
      <c r="N9" s="24"/>
      <c r="O9" s="23" t="s">
        <v>55</v>
      </c>
      <c r="P9" s="23" t="s">
        <v>58</v>
      </c>
      <c r="Q9" s="22" t="s">
        <v>46</v>
      </c>
      <c r="R9" s="24"/>
      <c r="S9" s="10" t="str">
        <f>"257,5"</f>
        <v>257,5</v>
      </c>
      <c r="T9" s="10" t="str">
        <f>"215,7335"</f>
        <v>215,7335</v>
      </c>
      <c r="U9" s="8" t="s">
        <v>248</v>
      </c>
    </row>
    <row r="11" spans="1:21" ht="16">
      <c r="A11" s="51" t="s">
        <v>59</v>
      </c>
      <c r="B11" s="51"/>
      <c r="C11" s="51"/>
      <c r="D11" s="51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1">
      <c r="A12" s="33" t="s">
        <v>38</v>
      </c>
      <c r="B12" s="25" t="s">
        <v>127</v>
      </c>
      <c r="C12" s="25" t="s">
        <v>60</v>
      </c>
      <c r="D12" s="25" t="s">
        <v>61</v>
      </c>
      <c r="E12" s="26" t="s">
        <v>279</v>
      </c>
      <c r="F12" s="25" t="s">
        <v>271</v>
      </c>
      <c r="G12" s="31" t="s">
        <v>62</v>
      </c>
      <c r="H12" s="31" t="s">
        <v>44</v>
      </c>
      <c r="I12" s="32" t="s">
        <v>56</v>
      </c>
      <c r="J12" s="33"/>
      <c r="K12" s="31" t="s">
        <v>63</v>
      </c>
      <c r="L12" s="31" t="s">
        <v>64</v>
      </c>
      <c r="M12" s="32" t="s">
        <v>65</v>
      </c>
      <c r="N12" s="33"/>
      <c r="O12" s="31" t="s">
        <v>55</v>
      </c>
      <c r="P12" s="31" t="s">
        <v>58</v>
      </c>
      <c r="Q12" s="31" t="s">
        <v>66</v>
      </c>
      <c r="R12" s="33"/>
      <c r="S12" s="27" t="str">
        <f>"270,0"</f>
        <v>270,0</v>
      </c>
      <c r="T12" s="27" t="str">
        <f>"197,5050"</f>
        <v>197,5050</v>
      </c>
      <c r="U12" s="25"/>
    </row>
    <row r="13" spans="1:21">
      <c r="A13" s="35" t="s">
        <v>38</v>
      </c>
      <c r="B13" s="28" t="s">
        <v>128</v>
      </c>
      <c r="C13" s="28" t="s">
        <v>68</v>
      </c>
      <c r="D13" s="28" t="s">
        <v>69</v>
      </c>
      <c r="E13" s="29" t="s">
        <v>278</v>
      </c>
      <c r="F13" s="28" t="s">
        <v>268</v>
      </c>
      <c r="G13" s="34" t="s">
        <v>70</v>
      </c>
      <c r="H13" s="34" t="s">
        <v>16</v>
      </c>
      <c r="I13" s="34" t="s">
        <v>17</v>
      </c>
      <c r="J13" s="35"/>
      <c r="K13" s="34" t="s">
        <v>71</v>
      </c>
      <c r="L13" s="34" t="s">
        <v>72</v>
      </c>
      <c r="M13" s="34" t="s">
        <v>73</v>
      </c>
      <c r="N13" s="35"/>
      <c r="O13" s="34" t="s">
        <v>16</v>
      </c>
      <c r="P13" s="34" t="s">
        <v>17</v>
      </c>
      <c r="Q13" s="34" t="s">
        <v>18</v>
      </c>
      <c r="R13" s="35"/>
      <c r="S13" s="30" t="str">
        <f>"587,5"</f>
        <v>587,5</v>
      </c>
      <c r="T13" s="30" t="str">
        <f>"422,1775"</f>
        <v>422,1775</v>
      </c>
      <c r="U13" s="28"/>
    </row>
    <row r="15" spans="1:21" ht="16">
      <c r="A15" s="51" t="s">
        <v>74</v>
      </c>
      <c r="B15" s="51"/>
      <c r="C15" s="51"/>
      <c r="D15" s="51"/>
      <c r="E15" s="52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21">
      <c r="A16" s="33" t="s">
        <v>38</v>
      </c>
      <c r="B16" s="25" t="s">
        <v>129</v>
      </c>
      <c r="C16" s="25" t="s">
        <v>75</v>
      </c>
      <c r="D16" s="25" t="s">
        <v>76</v>
      </c>
      <c r="E16" s="26" t="s">
        <v>278</v>
      </c>
      <c r="F16" s="25" t="s">
        <v>271</v>
      </c>
      <c r="G16" s="31" t="s">
        <v>77</v>
      </c>
      <c r="H16" s="31" t="s">
        <v>78</v>
      </c>
      <c r="I16" s="31" t="s">
        <v>28</v>
      </c>
      <c r="J16" s="33"/>
      <c r="K16" s="31" t="s">
        <v>79</v>
      </c>
      <c r="L16" s="31" t="s">
        <v>80</v>
      </c>
      <c r="M16" s="31" t="s">
        <v>81</v>
      </c>
      <c r="N16" s="33"/>
      <c r="O16" s="31" t="s">
        <v>82</v>
      </c>
      <c r="P16" s="31" t="s">
        <v>70</v>
      </c>
      <c r="Q16" s="31" t="s">
        <v>16</v>
      </c>
      <c r="R16" s="33"/>
      <c r="S16" s="27" t="str">
        <f>"505,0"</f>
        <v>505,0</v>
      </c>
      <c r="T16" s="27" t="str">
        <f>"343,9555"</f>
        <v>343,9555</v>
      </c>
      <c r="U16" s="25"/>
    </row>
    <row r="17" spans="1:21">
      <c r="A17" s="35" t="s">
        <v>130</v>
      </c>
      <c r="B17" s="28" t="s">
        <v>131</v>
      </c>
      <c r="C17" s="28" t="s">
        <v>83</v>
      </c>
      <c r="D17" s="28" t="s">
        <v>84</v>
      </c>
      <c r="E17" s="29" t="s">
        <v>278</v>
      </c>
      <c r="F17" s="28" t="s">
        <v>271</v>
      </c>
      <c r="G17" s="34" t="s">
        <v>46</v>
      </c>
      <c r="H17" s="36" t="s">
        <v>85</v>
      </c>
      <c r="I17" s="34" t="s">
        <v>85</v>
      </c>
      <c r="J17" s="35"/>
      <c r="K17" s="34" t="s">
        <v>64</v>
      </c>
      <c r="L17" s="36" t="s">
        <v>86</v>
      </c>
      <c r="M17" s="36" t="s">
        <v>86</v>
      </c>
      <c r="N17" s="35"/>
      <c r="O17" s="34" t="s">
        <v>87</v>
      </c>
      <c r="P17" s="34" t="s">
        <v>71</v>
      </c>
      <c r="Q17" s="34" t="s">
        <v>88</v>
      </c>
      <c r="R17" s="35"/>
      <c r="S17" s="30" t="str">
        <f>"335,0"</f>
        <v>335,0</v>
      </c>
      <c r="T17" s="30" t="str">
        <f>"229,4415"</f>
        <v>229,4415</v>
      </c>
      <c r="U17" s="28" t="s">
        <v>248</v>
      </c>
    </row>
    <row r="19" spans="1:21" ht="16">
      <c r="A19" s="51" t="s">
        <v>89</v>
      </c>
      <c r="B19" s="51"/>
      <c r="C19" s="51"/>
      <c r="D19" s="51"/>
      <c r="E19" s="52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21">
      <c r="A20" s="33" t="s">
        <v>38</v>
      </c>
      <c r="B20" s="25" t="s">
        <v>132</v>
      </c>
      <c r="C20" s="25" t="s">
        <v>90</v>
      </c>
      <c r="D20" s="25" t="s">
        <v>91</v>
      </c>
      <c r="E20" s="26" t="s">
        <v>280</v>
      </c>
      <c r="F20" s="25" t="s">
        <v>271</v>
      </c>
      <c r="G20" s="31" t="s">
        <v>55</v>
      </c>
      <c r="H20" s="31" t="s">
        <v>58</v>
      </c>
      <c r="I20" s="32" t="s">
        <v>92</v>
      </c>
      <c r="J20" s="33"/>
      <c r="K20" s="31" t="s">
        <v>65</v>
      </c>
      <c r="L20" s="31" t="s">
        <v>93</v>
      </c>
      <c r="M20" s="31" t="s">
        <v>86</v>
      </c>
      <c r="N20" s="33"/>
      <c r="O20" s="31" t="s">
        <v>92</v>
      </c>
      <c r="P20" s="31" t="s">
        <v>79</v>
      </c>
      <c r="Q20" s="31" t="s">
        <v>80</v>
      </c>
      <c r="R20" s="33"/>
      <c r="S20" s="27" t="str">
        <f>"297,5"</f>
        <v>297,5</v>
      </c>
      <c r="T20" s="27" t="str">
        <f>"192,3933"</f>
        <v>192,3933</v>
      </c>
      <c r="U20" s="25" t="s">
        <v>248</v>
      </c>
    </row>
    <row r="21" spans="1:21">
      <c r="A21" s="35" t="s">
        <v>38</v>
      </c>
      <c r="B21" s="28" t="s">
        <v>133</v>
      </c>
      <c r="C21" s="28" t="s">
        <v>94</v>
      </c>
      <c r="D21" s="28" t="s">
        <v>95</v>
      </c>
      <c r="E21" s="29" t="s">
        <v>278</v>
      </c>
      <c r="F21" s="28" t="s">
        <v>271</v>
      </c>
      <c r="G21" s="34" t="s">
        <v>85</v>
      </c>
      <c r="H21" s="36" t="s">
        <v>96</v>
      </c>
      <c r="I21" s="34" t="s">
        <v>96</v>
      </c>
      <c r="J21" s="35"/>
      <c r="K21" s="34" t="s">
        <v>65</v>
      </c>
      <c r="L21" s="36" t="s">
        <v>86</v>
      </c>
      <c r="M21" s="36" t="s">
        <v>86</v>
      </c>
      <c r="N21" s="35"/>
      <c r="O21" s="34" t="s">
        <v>97</v>
      </c>
      <c r="P21" s="36" t="s">
        <v>96</v>
      </c>
      <c r="Q21" s="35"/>
      <c r="R21" s="35"/>
      <c r="S21" s="30" t="str">
        <f>"315,0"</f>
        <v>315,0</v>
      </c>
      <c r="T21" s="30" t="str">
        <f>"207,9315"</f>
        <v>207,9315</v>
      </c>
      <c r="U21" s="46" t="s">
        <v>247</v>
      </c>
    </row>
    <row r="23" spans="1:21" ht="16">
      <c r="A23" s="51" t="s">
        <v>98</v>
      </c>
      <c r="B23" s="51"/>
      <c r="C23" s="51"/>
      <c r="D23" s="51"/>
      <c r="E23" s="52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21">
      <c r="A24" s="24" t="s">
        <v>38</v>
      </c>
      <c r="B24" s="8" t="s">
        <v>134</v>
      </c>
      <c r="C24" s="8" t="s">
        <v>99</v>
      </c>
      <c r="D24" s="8" t="s">
        <v>100</v>
      </c>
      <c r="E24" s="9" t="s">
        <v>281</v>
      </c>
      <c r="F24" s="8" t="s">
        <v>272</v>
      </c>
      <c r="G24" s="23" t="s">
        <v>18</v>
      </c>
      <c r="H24" s="23" t="s">
        <v>101</v>
      </c>
      <c r="I24" s="24"/>
      <c r="J24" s="24"/>
      <c r="K24" s="23" t="s">
        <v>102</v>
      </c>
      <c r="L24" s="23" t="s">
        <v>103</v>
      </c>
      <c r="M24" s="24"/>
      <c r="N24" s="24"/>
      <c r="O24" s="23" t="s">
        <v>104</v>
      </c>
      <c r="P24" s="23" t="s">
        <v>25</v>
      </c>
      <c r="Q24" s="24"/>
      <c r="R24" s="24"/>
      <c r="S24" s="10" t="str">
        <f>"650,0"</f>
        <v>650,0</v>
      </c>
      <c r="T24" s="10" t="str">
        <f>"415,5068"</f>
        <v>415,5068</v>
      </c>
      <c r="U24" s="8" t="s">
        <v>249</v>
      </c>
    </row>
    <row r="26" spans="1:21" ht="16">
      <c r="A26" s="51" t="s">
        <v>10</v>
      </c>
      <c r="B26" s="51"/>
      <c r="C26" s="51"/>
      <c r="D26" s="51"/>
      <c r="E26" s="52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21">
      <c r="A27" s="24" t="s">
        <v>38</v>
      </c>
      <c r="B27" s="8" t="s">
        <v>135</v>
      </c>
      <c r="C27" s="8" t="s">
        <v>105</v>
      </c>
      <c r="D27" s="8" t="s">
        <v>106</v>
      </c>
      <c r="E27" s="9" t="s">
        <v>278</v>
      </c>
      <c r="F27" s="8" t="s">
        <v>271</v>
      </c>
      <c r="G27" s="23" t="s">
        <v>102</v>
      </c>
      <c r="H27" s="23" t="s">
        <v>103</v>
      </c>
      <c r="I27" s="23" t="s">
        <v>71</v>
      </c>
      <c r="J27" s="24"/>
      <c r="K27" s="23" t="s">
        <v>62</v>
      </c>
      <c r="L27" s="23" t="s">
        <v>107</v>
      </c>
      <c r="M27" s="22" t="s">
        <v>45</v>
      </c>
      <c r="N27" s="24"/>
      <c r="O27" s="23" t="s">
        <v>103</v>
      </c>
      <c r="P27" s="22" t="s">
        <v>77</v>
      </c>
      <c r="Q27" s="23" t="s">
        <v>77</v>
      </c>
      <c r="R27" s="24"/>
      <c r="S27" s="10" t="str">
        <f>"392,5"</f>
        <v>392,5</v>
      </c>
      <c r="T27" s="10" t="str">
        <f>"233,4590"</f>
        <v>233,4590</v>
      </c>
      <c r="U27" s="8"/>
    </row>
    <row r="29" spans="1:21" ht="16">
      <c r="A29" s="51" t="s">
        <v>22</v>
      </c>
      <c r="B29" s="51"/>
      <c r="C29" s="51"/>
      <c r="D29" s="51"/>
      <c r="E29" s="5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21">
      <c r="A30" s="24" t="s">
        <v>38</v>
      </c>
      <c r="B30" s="8" t="s">
        <v>136</v>
      </c>
      <c r="C30" s="8" t="s">
        <v>109</v>
      </c>
      <c r="D30" s="8" t="s">
        <v>110</v>
      </c>
      <c r="E30" s="9" t="s">
        <v>278</v>
      </c>
      <c r="F30" s="8" t="s">
        <v>273</v>
      </c>
      <c r="G30" s="23" t="s">
        <v>25</v>
      </c>
      <c r="H30" s="23" t="s">
        <v>26</v>
      </c>
      <c r="I30" s="24"/>
      <c r="J30" s="24"/>
      <c r="K30" s="23" t="s">
        <v>70</v>
      </c>
      <c r="L30" s="23" t="s">
        <v>16</v>
      </c>
      <c r="M30" s="24"/>
      <c r="N30" s="24"/>
      <c r="O30" s="23" t="s">
        <v>104</v>
      </c>
      <c r="P30" s="23" t="s">
        <v>25</v>
      </c>
      <c r="Q30" s="23" t="s">
        <v>26</v>
      </c>
      <c r="R30" s="24"/>
      <c r="S30" s="10" t="str">
        <f>"780,0"</f>
        <v>780,0</v>
      </c>
      <c r="T30" s="10" t="str">
        <f>"447,5640"</f>
        <v>447,5640</v>
      </c>
      <c r="U30" s="43" t="s">
        <v>250</v>
      </c>
    </row>
    <row r="32" spans="1:21" ht="16">
      <c r="A32" s="51" t="s">
        <v>111</v>
      </c>
      <c r="B32" s="51"/>
      <c r="C32" s="51"/>
      <c r="D32" s="51"/>
      <c r="E32" s="52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21">
      <c r="A33" s="24" t="s">
        <v>38</v>
      </c>
      <c r="B33" s="8" t="s">
        <v>137</v>
      </c>
      <c r="C33" s="8" t="s">
        <v>113</v>
      </c>
      <c r="D33" s="8" t="s">
        <v>114</v>
      </c>
      <c r="E33" s="9" t="s">
        <v>278</v>
      </c>
      <c r="F33" s="8" t="s">
        <v>273</v>
      </c>
      <c r="G33" s="23" t="s">
        <v>115</v>
      </c>
      <c r="H33" s="22" t="s">
        <v>116</v>
      </c>
      <c r="I33" s="22" t="s">
        <v>116</v>
      </c>
      <c r="J33" s="24"/>
      <c r="K33" s="23" t="s">
        <v>117</v>
      </c>
      <c r="L33" s="23" t="s">
        <v>82</v>
      </c>
      <c r="M33" s="23" t="s">
        <v>118</v>
      </c>
      <c r="N33" s="24"/>
      <c r="O33" s="23" t="s">
        <v>115</v>
      </c>
      <c r="P33" s="23" t="s">
        <v>119</v>
      </c>
      <c r="Q33" s="22" t="s">
        <v>120</v>
      </c>
      <c r="R33" s="24"/>
      <c r="S33" s="10" t="str">
        <f>"732,5"</f>
        <v>732,5</v>
      </c>
      <c r="T33" s="10" t="str">
        <f>"409,0280"</f>
        <v>409,0280</v>
      </c>
      <c r="U33" s="8"/>
    </row>
    <row r="37" spans="1:21" ht="18">
      <c r="B37" s="13" t="s">
        <v>30</v>
      </c>
      <c r="C37" s="13"/>
    </row>
    <row r="38" spans="1:21" ht="18">
      <c r="B38" s="47" t="s">
        <v>260</v>
      </c>
      <c r="C38" s="13"/>
    </row>
    <row r="39" spans="1:21" ht="14">
      <c r="B39" s="15"/>
      <c r="C39" s="16" t="s">
        <v>32</v>
      </c>
    </row>
    <row r="40" spans="1:21" ht="14">
      <c r="B40" s="17" t="s">
        <v>33</v>
      </c>
      <c r="C40" s="17" t="s">
        <v>34</v>
      </c>
      <c r="D40" s="17" t="s">
        <v>261</v>
      </c>
      <c r="E40" s="18" t="s">
        <v>35</v>
      </c>
      <c r="F40" s="17" t="s">
        <v>36</v>
      </c>
    </row>
    <row r="41" spans="1:21">
      <c r="B41" s="6" t="s">
        <v>108</v>
      </c>
      <c r="C41" s="6" t="s">
        <v>32</v>
      </c>
      <c r="D41" s="20" t="s">
        <v>37</v>
      </c>
      <c r="E41" s="21">
        <v>780</v>
      </c>
      <c r="F41" s="19">
        <v>447.56402134895302</v>
      </c>
    </row>
    <row r="42" spans="1:21">
      <c r="B42" s="6" t="s">
        <v>67</v>
      </c>
      <c r="C42" s="6" t="s">
        <v>32</v>
      </c>
      <c r="D42" s="20" t="s">
        <v>121</v>
      </c>
      <c r="E42" s="21">
        <v>587.5</v>
      </c>
      <c r="F42" s="19">
        <v>422.177485376596</v>
      </c>
      <c r="G42" s="6"/>
    </row>
    <row r="43" spans="1:21">
      <c r="B43" s="6" t="s">
        <v>112</v>
      </c>
      <c r="C43" s="6" t="s">
        <v>32</v>
      </c>
      <c r="D43" s="20" t="s">
        <v>123</v>
      </c>
      <c r="E43" s="21">
        <v>732.5</v>
      </c>
      <c r="F43" s="19">
        <v>409.027981907129</v>
      </c>
      <c r="G43" s="6"/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9:R29"/>
    <mergeCell ref="A32:R32"/>
    <mergeCell ref="B3:B4"/>
    <mergeCell ref="A8:R8"/>
    <mergeCell ref="A11:R11"/>
    <mergeCell ref="A15:R15"/>
    <mergeCell ref="A19:R19"/>
    <mergeCell ref="A23:R23"/>
    <mergeCell ref="A26:R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pageSetUpPr fitToPage="1"/>
  </sheetPr>
  <dimension ref="A1:U11"/>
  <sheetViews>
    <sheetView workbookViewId="0">
      <selection activeCell="E10" sqref="E10"/>
    </sheetView>
  </sheetViews>
  <sheetFormatPr baseColWidth="10" defaultColWidth="9.1640625" defaultRowHeight="13"/>
  <cols>
    <col min="1" max="1" width="7.5" style="6" bestFit="1" customWidth="1"/>
    <col min="2" max="2" width="17.83203125" style="6" bestFit="1" customWidth="1"/>
    <col min="3" max="3" width="26.33203125" style="6" bestFit="1" customWidth="1"/>
    <col min="4" max="4" width="21.5" style="6" bestFit="1" customWidth="1"/>
    <col min="5" max="5" width="10.5" style="11" bestFit="1" customWidth="1"/>
    <col min="6" max="6" width="34.33203125" style="6" customWidth="1"/>
    <col min="7" max="9" width="5.5" style="20" customWidth="1"/>
    <col min="10" max="10" width="4.83203125" style="20" customWidth="1"/>
    <col min="11" max="13" width="5.5" style="20" customWidth="1"/>
    <col min="14" max="14" width="4.83203125" style="20" customWidth="1"/>
    <col min="15" max="17" width="5.5" style="20" customWidth="1"/>
    <col min="18" max="18" width="4.83203125" style="20" customWidth="1"/>
    <col min="19" max="19" width="7.83203125" style="7" bestFit="1" customWidth="1"/>
    <col min="20" max="20" width="8.5" style="7" bestFit="1" customWidth="1"/>
    <col min="21" max="21" width="18.1640625" style="6" bestFit="1" customWidth="1"/>
    <col min="22" max="16384" width="9.1640625" style="3"/>
  </cols>
  <sheetData>
    <row r="1" spans="1:21" s="2" customFormat="1" ht="29" customHeight="1">
      <c r="A1" s="61" t="s">
        <v>255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</row>
    <row r="2" spans="1:21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7</v>
      </c>
      <c r="H3" s="73"/>
      <c r="I3" s="73"/>
      <c r="J3" s="73"/>
      <c r="K3" s="73" t="s">
        <v>8</v>
      </c>
      <c r="L3" s="73"/>
      <c r="M3" s="73"/>
      <c r="N3" s="73"/>
      <c r="O3" s="73" t="s">
        <v>9</v>
      </c>
      <c r="P3" s="73"/>
      <c r="Q3" s="73"/>
      <c r="R3" s="73"/>
      <c r="S3" s="55" t="s">
        <v>1</v>
      </c>
      <c r="T3" s="55" t="s">
        <v>3</v>
      </c>
      <c r="U3" s="57" t="s">
        <v>2</v>
      </c>
    </row>
    <row r="4" spans="1:21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6"/>
      <c r="T4" s="56"/>
      <c r="U4" s="58"/>
    </row>
    <row r="5" spans="1:21" ht="16">
      <c r="A5" s="59" t="s">
        <v>10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1">
      <c r="A6" s="24" t="s">
        <v>38</v>
      </c>
      <c r="B6" s="8" t="s">
        <v>39</v>
      </c>
      <c r="C6" s="8" t="s">
        <v>12</v>
      </c>
      <c r="D6" s="8" t="s">
        <v>13</v>
      </c>
      <c r="E6" s="9" t="s">
        <v>278</v>
      </c>
      <c r="F6" s="8" t="s">
        <v>273</v>
      </c>
      <c r="G6" s="22" t="s">
        <v>14</v>
      </c>
      <c r="H6" s="23" t="s">
        <v>14</v>
      </c>
      <c r="I6" s="22" t="s">
        <v>15</v>
      </c>
      <c r="J6" s="24"/>
      <c r="K6" s="23" t="s">
        <v>16</v>
      </c>
      <c r="L6" s="23" t="s">
        <v>17</v>
      </c>
      <c r="M6" s="22" t="s">
        <v>18</v>
      </c>
      <c r="N6" s="24"/>
      <c r="O6" s="23" t="s">
        <v>15</v>
      </c>
      <c r="P6" s="23" t="s">
        <v>19</v>
      </c>
      <c r="Q6" s="22" t="s">
        <v>20</v>
      </c>
      <c r="R6" s="24"/>
      <c r="S6" s="10" t="str">
        <f>"790,0"</f>
        <v>790,0</v>
      </c>
      <c r="T6" s="10" t="str">
        <f>"465,7050"</f>
        <v>465,7050</v>
      </c>
      <c r="U6" s="8" t="s">
        <v>21</v>
      </c>
    </row>
    <row r="8" spans="1:21" ht="16">
      <c r="A8" s="51" t="s">
        <v>22</v>
      </c>
      <c r="B8" s="51"/>
      <c r="C8" s="51"/>
      <c r="D8" s="51"/>
      <c r="E8" s="52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21">
      <c r="A9" s="24" t="s">
        <v>38</v>
      </c>
      <c r="B9" s="8" t="s">
        <v>40</v>
      </c>
      <c r="C9" s="8" t="s">
        <v>23</v>
      </c>
      <c r="D9" s="8" t="s">
        <v>24</v>
      </c>
      <c r="E9" s="9" t="s">
        <v>278</v>
      </c>
      <c r="F9" s="8" t="s">
        <v>273</v>
      </c>
      <c r="G9" s="23" t="s">
        <v>25</v>
      </c>
      <c r="H9" s="23" t="s">
        <v>26</v>
      </c>
      <c r="I9" s="23" t="s">
        <v>15</v>
      </c>
      <c r="J9" s="24"/>
      <c r="K9" s="23" t="s">
        <v>27</v>
      </c>
      <c r="L9" s="23" t="s">
        <v>28</v>
      </c>
      <c r="M9" s="22" t="s">
        <v>16</v>
      </c>
      <c r="N9" s="24"/>
      <c r="O9" s="23" t="s">
        <v>15</v>
      </c>
      <c r="P9" s="23" t="s">
        <v>29</v>
      </c>
      <c r="Q9" s="22" t="s">
        <v>20</v>
      </c>
      <c r="R9" s="24"/>
      <c r="S9" s="10" t="str">
        <f>"792,5"</f>
        <v>792,5</v>
      </c>
      <c r="T9" s="10" t="str">
        <f>"463,8503"</f>
        <v>463,8503</v>
      </c>
      <c r="U9" s="8" t="s">
        <v>11</v>
      </c>
    </row>
    <row r="11" spans="1:21">
      <c r="E11" s="6"/>
      <c r="F11" s="11"/>
      <c r="G11" s="6"/>
    </row>
  </sheetData>
  <mergeCells count="15"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B3:B4"/>
    <mergeCell ref="E3:E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selection activeCell="E19" sqref="E19"/>
    </sheetView>
  </sheetViews>
  <sheetFormatPr baseColWidth="10" defaultColWidth="9.1640625" defaultRowHeight="13"/>
  <cols>
    <col min="1" max="1" width="7.5" style="6" bestFit="1" customWidth="1"/>
    <col min="2" max="2" width="19.6640625" style="6" customWidth="1"/>
    <col min="3" max="3" width="26.33203125" style="6" bestFit="1" customWidth="1"/>
    <col min="4" max="4" width="21.5" style="6" bestFit="1" customWidth="1"/>
    <col min="5" max="5" width="10.5" style="11" bestFit="1" customWidth="1"/>
    <col min="6" max="6" width="33.33203125" style="6" customWidth="1"/>
    <col min="7" max="9" width="5.5" style="20" customWidth="1"/>
    <col min="10" max="10" width="4.83203125" style="20" customWidth="1"/>
    <col min="11" max="11" width="10.5" style="7" bestFit="1" customWidth="1"/>
    <col min="12" max="12" width="7.6640625" style="7" bestFit="1" customWidth="1"/>
    <col min="13" max="13" width="19.1640625" style="6" customWidth="1"/>
    <col min="14" max="16384" width="9.1640625" style="3"/>
  </cols>
  <sheetData>
    <row r="1" spans="1:13" s="2" customFormat="1" ht="29" customHeight="1">
      <c r="A1" s="61" t="s">
        <v>256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8</v>
      </c>
      <c r="H3" s="73"/>
      <c r="I3" s="73"/>
      <c r="J3" s="73"/>
      <c r="K3" s="55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8"/>
    </row>
    <row r="5" spans="1:13" ht="16">
      <c r="A5" s="59" t="s">
        <v>138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24" t="s">
        <v>38</v>
      </c>
      <c r="B6" s="8" t="s">
        <v>154</v>
      </c>
      <c r="C6" s="8" t="s">
        <v>139</v>
      </c>
      <c r="D6" s="8" t="s">
        <v>140</v>
      </c>
      <c r="E6" s="9" t="s">
        <v>278</v>
      </c>
      <c r="F6" s="8" t="s">
        <v>268</v>
      </c>
      <c r="G6" s="23" t="s">
        <v>57</v>
      </c>
      <c r="H6" s="23" t="s">
        <v>142</v>
      </c>
      <c r="I6" s="23" t="s">
        <v>143</v>
      </c>
      <c r="J6" s="24"/>
      <c r="K6" s="10" t="str">
        <f>"62,5"</f>
        <v>62,5</v>
      </c>
      <c r="L6" s="10" t="str">
        <f>"90,8187"</f>
        <v>90,8187</v>
      </c>
      <c r="M6" s="43" t="s">
        <v>128</v>
      </c>
    </row>
    <row r="8" spans="1:13" ht="16">
      <c r="A8" s="51" t="s">
        <v>41</v>
      </c>
      <c r="B8" s="51"/>
      <c r="C8" s="51"/>
      <c r="D8" s="51"/>
      <c r="E8" s="52"/>
      <c r="F8" s="51"/>
      <c r="G8" s="51"/>
      <c r="H8" s="51"/>
      <c r="I8" s="51"/>
      <c r="J8" s="51"/>
    </row>
    <row r="9" spans="1:13">
      <c r="A9" s="24" t="s">
        <v>38</v>
      </c>
      <c r="B9" s="8" t="s">
        <v>155</v>
      </c>
      <c r="C9" s="8" t="s">
        <v>144</v>
      </c>
      <c r="D9" s="8" t="s">
        <v>145</v>
      </c>
      <c r="E9" s="9" t="s">
        <v>278</v>
      </c>
      <c r="F9" s="8" t="s">
        <v>269</v>
      </c>
      <c r="G9" s="23" t="s">
        <v>49</v>
      </c>
      <c r="H9" s="23" t="s">
        <v>142</v>
      </c>
      <c r="I9" s="22" t="s">
        <v>143</v>
      </c>
      <c r="J9" s="24"/>
      <c r="K9" s="10" t="str">
        <f>"60,0"</f>
        <v>60,0</v>
      </c>
      <c r="L9" s="10" t="str">
        <f>"68,0400"</f>
        <v>68,0400</v>
      </c>
      <c r="M9" s="43" t="s">
        <v>245</v>
      </c>
    </row>
    <row r="11" spans="1:13" ht="16">
      <c r="A11" s="51" t="s">
        <v>74</v>
      </c>
      <c r="B11" s="51"/>
      <c r="C11" s="51"/>
      <c r="D11" s="51"/>
      <c r="E11" s="52"/>
      <c r="F11" s="51"/>
      <c r="G11" s="51"/>
      <c r="H11" s="51"/>
      <c r="I11" s="51"/>
      <c r="J11" s="51"/>
    </row>
    <row r="12" spans="1:13">
      <c r="A12" s="24" t="s">
        <v>38</v>
      </c>
      <c r="B12" s="8" t="s">
        <v>186</v>
      </c>
      <c r="C12" s="8" t="s">
        <v>169</v>
      </c>
      <c r="D12" s="8" t="s">
        <v>170</v>
      </c>
      <c r="E12" s="9" t="s">
        <v>278</v>
      </c>
      <c r="F12" s="8" t="s">
        <v>271</v>
      </c>
      <c r="G12" s="23" t="s">
        <v>97</v>
      </c>
      <c r="H12" s="23" t="s">
        <v>171</v>
      </c>
      <c r="I12" s="23" t="s">
        <v>172</v>
      </c>
      <c r="J12" s="24"/>
      <c r="K12" s="10" t="str">
        <f>"132,5"</f>
        <v>132,5</v>
      </c>
      <c r="L12" s="10" t="str">
        <f>"89,5567"</f>
        <v>89,5567</v>
      </c>
      <c r="M12" s="8"/>
    </row>
    <row r="14" spans="1:13" ht="16">
      <c r="A14" s="51" t="s">
        <v>89</v>
      </c>
      <c r="B14" s="51"/>
      <c r="C14" s="51"/>
      <c r="D14" s="51"/>
      <c r="E14" s="52"/>
      <c r="F14" s="51"/>
      <c r="G14" s="51"/>
      <c r="H14" s="51"/>
      <c r="I14" s="51"/>
      <c r="J14" s="51"/>
    </row>
    <row r="15" spans="1:13">
      <c r="A15" s="33" t="s">
        <v>38</v>
      </c>
      <c r="B15" s="25" t="s">
        <v>187</v>
      </c>
      <c r="C15" s="25" t="s">
        <v>174</v>
      </c>
      <c r="D15" s="25" t="s">
        <v>175</v>
      </c>
      <c r="E15" s="26" t="s">
        <v>278</v>
      </c>
      <c r="F15" s="25" t="s">
        <v>269</v>
      </c>
      <c r="G15" s="31" t="s">
        <v>176</v>
      </c>
      <c r="H15" s="31" t="s">
        <v>177</v>
      </c>
      <c r="I15" s="31" t="s">
        <v>88</v>
      </c>
      <c r="J15" s="33"/>
      <c r="K15" s="27" t="str">
        <f>"150,0"</f>
        <v>150,0</v>
      </c>
      <c r="L15" s="27" t="str">
        <f>"95,8650"</f>
        <v>95,8650</v>
      </c>
      <c r="M15" s="44" t="s">
        <v>245</v>
      </c>
    </row>
    <row r="16" spans="1:13">
      <c r="A16" s="40" t="s">
        <v>130</v>
      </c>
      <c r="B16" s="37" t="s">
        <v>188</v>
      </c>
      <c r="C16" s="37" t="s">
        <v>179</v>
      </c>
      <c r="D16" s="37" t="s">
        <v>180</v>
      </c>
      <c r="E16" s="38" t="s">
        <v>278</v>
      </c>
      <c r="F16" s="37" t="s">
        <v>273</v>
      </c>
      <c r="G16" s="41" t="s">
        <v>71</v>
      </c>
      <c r="H16" s="42" t="s">
        <v>71</v>
      </c>
      <c r="I16" s="42" t="s">
        <v>177</v>
      </c>
      <c r="J16" s="40"/>
      <c r="K16" s="39" t="str">
        <f>"147,5"</f>
        <v>147,5</v>
      </c>
      <c r="L16" s="39" t="str">
        <f>"94,5918"</f>
        <v>94,5918</v>
      </c>
      <c r="M16" s="45" t="s">
        <v>251</v>
      </c>
    </row>
    <row r="17" spans="1:13">
      <c r="A17" s="40" t="s">
        <v>189</v>
      </c>
      <c r="B17" s="37" t="s">
        <v>190</v>
      </c>
      <c r="C17" s="37" t="s">
        <v>182</v>
      </c>
      <c r="D17" s="37" t="s">
        <v>183</v>
      </c>
      <c r="E17" s="38" t="s">
        <v>278</v>
      </c>
      <c r="F17" s="37" t="s">
        <v>273</v>
      </c>
      <c r="G17" s="42" t="s">
        <v>87</v>
      </c>
      <c r="H17" s="41" t="s">
        <v>176</v>
      </c>
      <c r="I17" s="42" t="s">
        <v>176</v>
      </c>
      <c r="J17" s="40"/>
      <c r="K17" s="39" t="str">
        <f>"142,5"</f>
        <v>142,5</v>
      </c>
      <c r="L17" s="39" t="str">
        <f>"91,4992"</f>
        <v>91,4992</v>
      </c>
      <c r="M17" s="37"/>
    </row>
    <row r="18" spans="1:13">
      <c r="A18" s="35" t="s">
        <v>191</v>
      </c>
      <c r="B18" s="28" t="s">
        <v>192</v>
      </c>
      <c r="C18" s="28" t="s">
        <v>184</v>
      </c>
      <c r="D18" s="28" t="s">
        <v>185</v>
      </c>
      <c r="E18" s="29" t="s">
        <v>278</v>
      </c>
      <c r="F18" s="28" t="s">
        <v>273</v>
      </c>
      <c r="G18" s="36" t="s">
        <v>85</v>
      </c>
      <c r="H18" s="34" t="s">
        <v>85</v>
      </c>
      <c r="I18" s="36" t="s">
        <v>96</v>
      </c>
      <c r="J18" s="35"/>
      <c r="K18" s="30" t="str">
        <f>"115,0"</f>
        <v>115,0</v>
      </c>
      <c r="L18" s="30" t="str">
        <f>"75,3135"</f>
        <v>75,3135</v>
      </c>
      <c r="M18" s="28"/>
    </row>
    <row r="20" spans="1:13" ht="16">
      <c r="F20" s="12"/>
      <c r="G20" s="6"/>
      <c r="K20" s="20"/>
      <c r="M20" s="7"/>
    </row>
    <row r="21" spans="1:13">
      <c r="G21" s="6"/>
      <c r="K21" s="20"/>
      <c r="M21" s="7"/>
    </row>
    <row r="22" spans="1:13" ht="18">
      <c r="B22" s="13" t="s">
        <v>30</v>
      </c>
      <c r="C22" s="13"/>
      <c r="K22" s="20"/>
      <c r="M22" s="7"/>
    </row>
    <row r="23" spans="1:13" ht="16">
      <c r="B23" s="14" t="s">
        <v>31</v>
      </c>
      <c r="C23" s="14"/>
      <c r="K23" s="20"/>
      <c r="M23" s="7"/>
    </row>
    <row r="24" spans="1:13" ht="14">
      <c r="B24" s="15"/>
      <c r="C24" s="16" t="s">
        <v>32</v>
      </c>
      <c r="K24" s="20"/>
      <c r="M24" s="7"/>
    </row>
    <row r="25" spans="1:13" ht="14">
      <c r="B25" s="17" t="s">
        <v>33</v>
      </c>
      <c r="C25" s="17" t="s">
        <v>34</v>
      </c>
      <c r="D25" s="17" t="s">
        <v>261</v>
      </c>
      <c r="E25" s="18" t="s">
        <v>164</v>
      </c>
      <c r="F25" s="17" t="s">
        <v>36</v>
      </c>
      <c r="K25" s="20"/>
      <c r="M25" s="7"/>
    </row>
    <row r="26" spans="1:13">
      <c r="B26" s="6" t="s">
        <v>173</v>
      </c>
      <c r="C26" s="6" t="s">
        <v>32</v>
      </c>
      <c r="D26" s="20" t="s">
        <v>122</v>
      </c>
      <c r="E26" s="21">
        <v>150</v>
      </c>
      <c r="F26" s="19">
        <v>95.865002274513202</v>
      </c>
      <c r="K26" s="20"/>
      <c r="M26" s="7"/>
    </row>
    <row r="27" spans="1:13">
      <c r="B27" s="6" t="s">
        <v>178</v>
      </c>
      <c r="C27" s="6" t="s">
        <v>32</v>
      </c>
      <c r="D27" s="20" t="s">
        <v>122</v>
      </c>
      <c r="E27" s="21">
        <v>147.5</v>
      </c>
      <c r="F27" s="19">
        <v>94.591753333807006</v>
      </c>
      <c r="K27" s="20"/>
      <c r="M27" s="7"/>
    </row>
    <row r="28" spans="1:13">
      <c r="B28" s="6" t="s">
        <v>181</v>
      </c>
      <c r="C28" s="6" t="s">
        <v>32</v>
      </c>
      <c r="D28" s="20" t="s">
        <v>122</v>
      </c>
      <c r="E28" s="21">
        <v>142.5</v>
      </c>
      <c r="F28" s="19">
        <v>91.499246656894698</v>
      </c>
      <c r="K28" s="20"/>
      <c r="M28" s="7"/>
    </row>
    <row r="29" spans="1:13">
      <c r="E29" s="6"/>
      <c r="F29" s="11"/>
      <c r="G29" s="6"/>
      <c r="K29" s="20"/>
      <c r="M29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6" bestFit="1" customWidth="1"/>
    <col min="2" max="2" width="19.33203125" style="6" customWidth="1"/>
    <col min="3" max="3" width="26.33203125" style="6" bestFit="1" customWidth="1"/>
    <col min="4" max="4" width="21.5" style="6" bestFit="1" customWidth="1"/>
    <col min="5" max="5" width="10.5" style="11" bestFit="1" customWidth="1"/>
    <col min="6" max="6" width="34.83203125" style="6" customWidth="1"/>
    <col min="7" max="9" width="5.5" style="20" customWidth="1"/>
    <col min="10" max="10" width="4.83203125" style="20" customWidth="1"/>
    <col min="11" max="11" width="10.5" style="7" bestFit="1" customWidth="1"/>
    <col min="12" max="12" width="8.5" style="7" bestFit="1" customWidth="1"/>
    <col min="13" max="13" width="20.33203125" style="6" customWidth="1"/>
    <col min="14" max="16384" width="9.1640625" style="3"/>
  </cols>
  <sheetData>
    <row r="1" spans="1:13" s="2" customFormat="1" ht="29" customHeight="1">
      <c r="A1" s="61" t="s">
        <v>257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8</v>
      </c>
      <c r="H3" s="73"/>
      <c r="I3" s="73"/>
      <c r="J3" s="73"/>
      <c r="K3" s="55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56"/>
      <c r="L4" s="56"/>
      <c r="M4" s="58"/>
    </row>
    <row r="5" spans="1:13" ht="16">
      <c r="A5" s="59" t="s">
        <v>41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24" t="s">
        <v>38</v>
      </c>
      <c r="B6" s="8" t="s">
        <v>125</v>
      </c>
      <c r="C6" s="8" t="s">
        <v>42</v>
      </c>
      <c r="D6" s="8" t="s">
        <v>43</v>
      </c>
      <c r="E6" s="9" t="s">
        <v>278</v>
      </c>
      <c r="F6" s="8" t="s">
        <v>271</v>
      </c>
      <c r="G6" s="23" t="s">
        <v>47</v>
      </c>
      <c r="H6" s="23" t="s">
        <v>48</v>
      </c>
      <c r="I6" s="23" t="s">
        <v>49</v>
      </c>
      <c r="J6" s="24"/>
      <c r="K6" s="10" t="str">
        <f>"55,0"</f>
        <v>55,0</v>
      </c>
      <c r="L6" s="10" t="str">
        <f>"61,9630"</f>
        <v>61,9630</v>
      </c>
      <c r="M6" s="43" t="s">
        <v>248</v>
      </c>
    </row>
    <row r="8" spans="1:13" ht="16">
      <c r="A8" s="51" t="s">
        <v>59</v>
      </c>
      <c r="B8" s="51"/>
      <c r="C8" s="51"/>
      <c r="D8" s="51"/>
      <c r="E8" s="52"/>
      <c r="F8" s="51"/>
      <c r="G8" s="51"/>
      <c r="H8" s="51"/>
      <c r="I8" s="51"/>
      <c r="J8" s="51"/>
    </row>
    <row r="9" spans="1:13">
      <c r="A9" s="24" t="s">
        <v>38</v>
      </c>
      <c r="B9" s="8" t="s">
        <v>166</v>
      </c>
      <c r="C9" s="8" t="s">
        <v>158</v>
      </c>
      <c r="D9" s="8" t="s">
        <v>69</v>
      </c>
      <c r="E9" s="9" t="s">
        <v>278</v>
      </c>
      <c r="F9" s="8" t="s">
        <v>274</v>
      </c>
      <c r="G9" s="23" t="s">
        <v>80</v>
      </c>
      <c r="H9" s="22" t="s">
        <v>97</v>
      </c>
      <c r="I9" s="23" t="s">
        <v>96</v>
      </c>
      <c r="J9" s="24"/>
      <c r="K9" s="10" t="str">
        <f>"122,5"</f>
        <v>122,5</v>
      </c>
      <c r="L9" s="10" t="str">
        <f>"88,0285"</f>
        <v>88,0285</v>
      </c>
      <c r="M9" s="8"/>
    </row>
    <row r="11" spans="1:13" ht="16">
      <c r="A11" s="51" t="s">
        <v>74</v>
      </c>
      <c r="B11" s="51"/>
      <c r="C11" s="51"/>
      <c r="D11" s="51"/>
      <c r="E11" s="52"/>
      <c r="F11" s="51"/>
      <c r="G11" s="51"/>
      <c r="H11" s="51"/>
      <c r="I11" s="51"/>
      <c r="J11" s="51"/>
    </row>
    <row r="12" spans="1:13">
      <c r="A12" s="24" t="s">
        <v>38</v>
      </c>
      <c r="B12" s="8" t="s">
        <v>129</v>
      </c>
      <c r="C12" s="8" t="s">
        <v>75</v>
      </c>
      <c r="D12" s="8" t="s">
        <v>76</v>
      </c>
      <c r="E12" s="9" t="s">
        <v>278</v>
      </c>
      <c r="F12" s="8" t="s">
        <v>271</v>
      </c>
      <c r="G12" s="23" t="s">
        <v>79</v>
      </c>
      <c r="H12" s="23" t="s">
        <v>80</v>
      </c>
      <c r="I12" s="23" t="s">
        <v>81</v>
      </c>
      <c r="J12" s="24"/>
      <c r="K12" s="10" t="str">
        <f>"125,0"</f>
        <v>125,0</v>
      </c>
      <c r="L12" s="10" t="str">
        <f>"85,1375"</f>
        <v>85,1375</v>
      </c>
      <c r="M12" s="8"/>
    </row>
    <row r="14" spans="1:13" ht="16">
      <c r="A14" s="51" t="s">
        <v>89</v>
      </c>
      <c r="B14" s="51"/>
      <c r="C14" s="51"/>
      <c r="D14" s="51"/>
      <c r="E14" s="52"/>
      <c r="F14" s="51"/>
      <c r="G14" s="51"/>
      <c r="H14" s="51"/>
      <c r="I14" s="51"/>
      <c r="J14" s="51"/>
    </row>
    <row r="15" spans="1:13">
      <c r="A15" s="24" t="s">
        <v>38</v>
      </c>
      <c r="B15" s="8" t="s">
        <v>167</v>
      </c>
      <c r="C15" s="8" t="s">
        <v>159</v>
      </c>
      <c r="D15" s="8" t="s">
        <v>160</v>
      </c>
      <c r="E15" s="9" t="s">
        <v>278</v>
      </c>
      <c r="F15" s="8" t="s">
        <v>273</v>
      </c>
      <c r="G15" s="23" t="s">
        <v>71</v>
      </c>
      <c r="H15" s="22" t="s">
        <v>77</v>
      </c>
      <c r="I15" s="23" t="s">
        <v>153</v>
      </c>
      <c r="J15" s="24"/>
      <c r="K15" s="10" t="str">
        <f>"160,0"</f>
        <v>160,0</v>
      </c>
      <c r="L15" s="10" t="str">
        <f>"103,4080"</f>
        <v>103,4080</v>
      </c>
      <c r="M15" s="8"/>
    </row>
    <row r="17" spans="1:13" ht="16">
      <c r="A17" s="51" t="s">
        <v>98</v>
      </c>
      <c r="B17" s="51"/>
      <c r="C17" s="51"/>
      <c r="D17" s="51"/>
      <c r="E17" s="52"/>
      <c r="F17" s="51"/>
      <c r="G17" s="51"/>
      <c r="H17" s="51"/>
      <c r="I17" s="51"/>
      <c r="J17" s="51"/>
    </row>
    <row r="18" spans="1:13">
      <c r="A18" s="24" t="s">
        <v>38</v>
      </c>
      <c r="B18" s="8" t="s">
        <v>168</v>
      </c>
      <c r="C18" s="8" t="s">
        <v>161</v>
      </c>
      <c r="D18" s="8" t="s">
        <v>162</v>
      </c>
      <c r="E18" s="9" t="s">
        <v>278</v>
      </c>
      <c r="F18" s="8" t="s">
        <v>273</v>
      </c>
      <c r="G18" s="23" t="s">
        <v>82</v>
      </c>
      <c r="H18" s="22" t="s">
        <v>163</v>
      </c>
      <c r="I18" s="22" t="s">
        <v>163</v>
      </c>
      <c r="J18" s="24"/>
      <c r="K18" s="10" t="str">
        <f>"175,0"</f>
        <v>175,0</v>
      </c>
      <c r="L18" s="10" t="str">
        <f>"106,9775"</f>
        <v>106,9775</v>
      </c>
      <c r="M18" s="8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workbookViewId="0">
      <selection activeCell="E25" sqref="E25"/>
    </sheetView>
  </sheetViews>
  <sheetFormatPr baseColWidth="10" defaultColWidth="9.1640625" defaultRowHeight="13"/>
  <cols>
    <col min="1" max="1" width="7.5" style="6" bestFit="1" customWidth="1"/>
    <col min="2" max="2" width="22.6640625" style="6" customWidth="1"/>
    <col min="3" max="3" width="26.5" style="6" bestFit="1" customWidth="1"/>
    <col min="4" max="4" width="21.5" style="6" bestFit="1" customWidth="1"/>
    <col min="5" max="5" width="10.5" style="11" bestFit="1" customWidth="1"/>
    <col min="6" max="6" width="37.5" style="6" customWidth="1"/>
    <col min="7" max="9" width="5.5" style="20" customWidth="1"/>
    <col min="10" max="10" width="4.83203125" style="20" customWidth="1"/>
    <col min="11" max="11" width="10.5" style="21" bestFit="1" customWidth="1"/>
    <col min="12" max="12" width="8.5" style="7" bestFit="1" customWidth="1"/>
    <col min="13" max="13" width="24.1640625" style="6" customWidth="1"/>
    <col min="14" max="16384" width="9.1640625" style="3"/>
  </cols>
  <sheetData>
    <row r="1" spans="1:13" s="2" customFormat="1" ht="29" customHeight="1">
      <c r="A1" s="61" t="s">
        <v>258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9</v>
      </c>
      <c r="H3" s="73"/>
      <c r="I3" s="73"/>
      <c r="J3" s="73"/>
      <c r="K3" s="74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75"/>
      <c r="L4" s="56"/>
      <c r="M4" s="58"/>
    </row>
    <row r="5" spans="1:13" ht="16">
      <c r="A5" s="59" t="s">
        <v>41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24" t="s">
        <v>38</v>
      </c>
      <c r="B6" s="8" t="s">
        <v>155</v>
      </c>
      <c r="C6" s="8" t="s">
        <v>144</v>
      </c>
      <c r="D6" s="8" t="s">
        <v>145</v>
      </c>
      <c r="E6" s="9" t="s">
        <v>278</v>
      </c>
      <c r="F6" s="8" t="s">
        <v>269</v>
      </c>
      <c r="G6" s="23" t="s">
        <v>45</v>
      </c>
      <c r="H6" s="23" t="s">
        <v>66</v>
      </c>
      <c r="I6" s="23" t="s">
        <v>85</v>
      </c>
      <c r="J6" s="24"/>
      <c r="K6" s="48" t="str">
        <f>"115,0"</f>
        <v>115,0</v>
      </c>
      <c r="L6" s="10" t="str">
        <f>"130,4100"</f>
        <v>130,4100</v>
      </c>
      <c r="M6" s="43" t="s">
        <v>245</v>
      </c>
    </row>
    <row r="8" spans="1:13" ht="16">
      <c r="A8" s="51" t="s">
        <v>51</v>
      </c>
      <c r="B8" s="51"/>
      <c r="C8" s="51"/>
      <c r="D8" s="51"/>
      <c r="E8" s="52"/>
      <c r="F8" s="51"/>
      <c r="G8" s="51"/>
      <c r="H8" s="51"/>
      <c r="I8" s="51"/>
      <c r="J8" s="51"/>
    </row>
    <row r="9" spans="1:13">
      <c r="A9" s="33" t="s">
        <v>38</v>
      </c>
      <c r="B9" s="25" t="s">
        <v>225</v>
      </c>
      <c r="C9" s="25" t="s">
        <v>204</v>
      </c>
      <c r="D9" s="25" t="s">
        <v>205</v>
      </c>
      <c r="E9" s="26" t="s">
        <v>279</v>
      </c>
      <c r="F9" s="25" t="s">
        <v>272</v>
      </c>
      <c r="G9" s="31" t="s">
        <v>85</v>
      </c>
      <c r="H9" s="31" t="s">
        <v>80</v>
      </c>
      <c r="I9" s="32" t="s">
        <v>96</v>
      </c>
      <c r="J9" s="33"/>
      <c r="K9" s="49" t="str">
        <f>"117,5"</f>
        <v>117,5</v>
      </c>
      <c r="L9" s="27" t="str">
        <f>"99,0173"</f>
        <v>99,0173</v>
      </c>
      <c r="M9" s="25" t="s">
        <v>252</v>
      </c>
    </row>
    <row r="10" spans="1:13">
      <c r="A10" s="35" t="s">
        <v>38</v>
      </c>
      <c r="B10" s="28" t="s">
        <v>226</v>
      </c>
      <c r="C10" s="28" t="s">
        <v>206</v>
      </c>
      <c r="D10" s="28" t="s">
        <v>207</v>
      </c>
      <c r="E10" s="29" t="s">
        <v>278</v>
      </c>
      <c r="F10" s="28" t="s">
        <v>272</v>
      </c>
      <c r="G10" s="34" t="s">
        <v>117</v>
      </c>
      <c r="H10" s="34" t="s">
        <v>27</v>
      </c>
      <c r="I10" s="36" t="s">
        <v>82</v>
      </c>
      <c r="J10" s="35"/>
      <c r="K10" s="50" t="str">
        <f>"170,0"</f>
        <v>170,0</v>
      </c>
      <c r="L10" s="30" t="str">
        <f>"139,0260"</f>
        <v>139,0260</v>
      </c>
      <c r="M10" s="28"/>
    </row>
    <row r="12" spans="1:13" ht="16">
      <c r="A12" s="51" t="s">
        <v>59</v>
      </c>
      <c r="B12" s="51"/>
      <c r="C12" s="51"/>
      <c r="D12" s="51"/>
      <c r="E12" s="52"/>
      <c r="F12" s="51"/>
      <c r="G12" s="51"/>
      <c r="H12" s="51"/>
      <c r="I12" s="51"/>
      <c r="J12" s="51"/>
    </row>
    <row r="13" spans="1:13">
      <c r="A13" s="24" t="s">
        <v>38</v>
      </c>
      <c r="B13" s="8" t="s">
        <v>227</v>
      </c>
      <c r="C13" s="8" t="s">
        <v>209</v>
      </c>
      <c r="D13" s="8" t="s">
        <v>210</v>
      </c>
      <c r="E13" s="9" t="s">
        <v>278</v>
      </c>
      <c r="F13" s="8" t="s">
        <v>273</v>
      </c>
      <c r="G13" s="22" t="s">
        <v>149</v>
      </c>
      <c r="H13" s="23" t="s">
        <v>149</v>
      </c>
      <c r="I13" s="22" t="s">
        <v>211</v>
      </c>
      <c r="J13" s="24"/>
      <c r="K13" s="48" t="str">
        <f>"225,0"</f>
        <v>225,0</v>
      </c>
      <c r="L13" s="10" t="str">
        <f>"160,9200"</f>
        <v>160,9200</v>
      </c>
      <c r="M13" s="8"/>
    </row>
    <row r="15" spans="1:13" ht="16">
      <c r="A15" s="51" t="s">
        <v>74</v>
      </c>
      <c r="B15" s="51"/>
      <c r="C15" s="51"/>
      <c r="D15" s="51"/>
      <c r="E15" s="52"/>
      <c r="F15" s="51"/>
      <c r="G15" s="51"/>
      <c r="H15" s="51"/>
      <c r="I15" s="51"/>
      <c r="J15" s="51"/>
    </row>
    <row r="16" spans="1:13">
      <c r="A16" s="33" t="s">
        <v>38</v>
      </c>
      <c r="B16" s="25" t="s">
        <v>228</v>
      </c>
      <c r="C16" s="25" t="s">
        <v>213</v>
      </c>
      <c r="D16" s="25" t="s">
        <v>170</v>
      </c>
      <c r="E16" s="26" t="s">
        <v>278</v>
      </c>
      <c r="F16" s="25" t="s">
        <v>273</v>
      </c>
      <c r="G16" s="31" t="s">
        <v>70</v>
      </c>
      <c r="H16" s="32" t="s">
        <v>147</v>
      </c>
      <c r="I16" s="31" t="s">
        <v>17</v>
      </c>
      <c r="J16" s="33"/>
      <c r="K16" s="49" t="str">
        <f>"210,0"</f>
        <v>210,0</v>
      </c>
      <c r="L16" s="27" t="str">
        <f>"141,9390"</f>
        <v>141,9390</v>
      </c>
      <c r="M16" s="44" t="s">
        <v>251</v>
      </c>
    </row>
    <row r="17" spans="1:13">
      <c r="A17" s="35" t="s">
        <v>130</v>
      </c>
      <c r="B17" s="28" t="s">
        <v>229</v>
      </c>
      <c r="C17" s="28" t="s">
        <v>214</v>
      </c>
      <c r="D17" s="28" t="s">
        <v>215</v>
      </c>
      <c r="E17" s="29" t="s">
        <v>278</v>
      </c>
      <c r="F17" s="28" t="s">
        <v>273</v>
      </c>
      <c r="G17" s="34" t="s">
        <v>28</v>
      </c>
      <c r="H17" s="34" t="s">
        <v>70</v>
      </c>
      <c r="I17" s="36" t="s">
        <v>16</v>
      </c>
      <c r="J17" s="35"/>
      <c r="K17" s="50" t="str">
        <f>"190,0"</f>
        <v>190,0</v>
      </c>
      <c r="L17" s="30" t="str">
        <f>"128,3260"</f>
        <v>128,3260</v>
      </c>
      <c r="M17" s="28"/>
    </row>
    <row r="19" spans="1:13" ht="16">
      <c r="A19" s="51" t="s">
        <v>89</v>
      </c>
      <c r="B19" s="51"/>
      <c r="C19" s="51"/>
      <c r="D19" s="51"/>
      <c r="E19" s="52"/>
      <c r="F19" s="51"/>
      <c r="G19" s="51"/>
      <c r="H19" s="51"/>
      <c r="I19" s="51"/>
      <c r="J19" s="51"/>
    </row>
    <row r="20" spans="1:13">
      <c r="A20" s="33" t="s">
        <v>202</v>
      </c>
      <c r="B20" s="25" t="s">
        <v>230</v>
      </c>
      <c r="C20" s="25" t="s">
        <v>216</v>
      </c>
      <c r="D20" s="25" t="s">
        <v>217</v>
      </c>
      <c r="E20" s="26" t="s">
        <v>282</v>
      </c>
      <c r="F20" s="25" t="s">
        <v>273</v>
      </c>
      <c r="G20" s="32" t="s">
        <v>150</v>
      </c>
      <c r="H20" s="32" t="s">
        <v>150</v>
      </c>
      <c r="I20" s="33"/>
      <c r="J20" s="33"/>
      <c r="K20" s="49">
        <v>0</v>
      </c>
      <c r="L20" s="27" t="str">
        <f>"0,0000"</f>
        <v>0,0000</v>
      </c>
      <c r="M20" s="25" t="s">
        <v>39</v>
      </c>
    </row>
    <row r="21" spans="1:13">
      <c r="A21" s="35" t="s">
        <v>38</v>
      </c>
      <c r="B21" s="28" t="s">
        <v>231</v>
      </c>
      <c r="C21" s="28" t="s">
        <v>218</v>
      </c>
      <c r="D21" s="28" t="s">
        <v>219</v>
      </c>
      <c r="E21" s="29" t="s">
        <v>278</v>
      </c>
      <c r="F21" s="28" t="s">
        <v>272</v>
      </c>
      <c r="G21" s="34" t="s">
        <v>220</v>
      </c>
      <c r="H21" s="34" t="s">
        <v>17</v>
      </c>
      <c r="I21" s="36" t="s">
        <v>148</v>
      </c>
      <c r="J21" s="35"/>
      <c r="K21" s="50" t="str">
        <f>"210,0"</f>
        <v>210,0</v>
      </c>
      <c r="L21" s="30" t="str">
        <f>"137,8020"</f>
        <v>137,8020</v>
      </c>
      <c r="M21" s="28"/>
    </row>
    <row r="23" spans="1:13" ht="16">
      <c r="A23" s="51" t="s">
        <v>98</v>
      </c>
      <c r="B23" s="51"/>
      <c r="C23" s="51"/>
      <c r="D23" s="51"/>
      <c r="E23" s="52"/>
      <c r="F23" s="51"/>
      <c r="G23" s="51"/>
      <c r="H23" s="51"/>
      <c r="I23" s="51"/>
      <c r="J23" s="51"/>
    </row>
    <row r="24" spans="1:13">
      <c r="A24" s="24" t="s">
        <v>38</v>
      </c>
      <c r="B24" s="8" t="s">
        <v>232</v>
      </c>
      <c r="C24" s="8" t="s">
        <v>222</v>
      </c>
      <c r="D24" s="8" t="s">
        <v>223</v>
      </c>
      <c r="E24" s="9" t="s">
        <v>278</v>
      </c>
      <c r="F24" s="8" t="s">
        <v>273</v>
      </c>
      <c r="G24" s="23" t="s">
        <v>224</v>
      </c>
      <c r="H24" s="23" t="s">
        <v>104</v>
      </c>
      <c r="I24" s="23" t="s">
        <v>25</v>
      </c>
      <c r="J24" s="24"/>
      <c r="K24" s="48" t="str">
        <f>"280,0"</f>
        <v>280,0</v>
      </c>
      <c r="L24" s="10" t="str">
        <f>"176,5400"</f>
        <v>176,5400</v>
      </c>
      <c r="M24" s="8"/>
    </row>
    <row r="26" spans="1:13">
      <c r="G26" s="6"/>
      <c r="M26" s="7"/>
    </row>
    <row r="27" spans="1:13">
      <c r="M27" s="7"/>
    </row>
    <row r="28" spans="1:13" ht="18">
      <c r="B28" s="13" t="s">
        <v>30</v>
      </c>
      <c r="C28" s="13"/>
      <c r="M28" s="7"/>
    </row>
    <row r="29" spans="1:13" ht="16">
      <c r="B29" s="14" t="s">
        <v>31</v>
      </c>
      <c r="C29" s="14"/>
      <c r="M29" s="7"/>
    </row>
    <row r="30" spans="1:13" ht="14">
      <c r="B30" s="15"/>
      <c r="C30" s="16" t="s">
        <v>32</v>
      </c>
      <c r="M30" s="7"/>
    </row>
    <row r="31" spans="1:13" ht="14">
      <c r="B31" s="17" t="s">
        <v>33</v>
      </c>
      <c r="C31" s="17" t="s">
        <v>34</v>
      </c>
      <c r="D31" s="17" t="s">
        <v>261</v>
      </c>
      <c r="E31" s="18" t="s">
        <v>164</v>
      </c>
      <c r="F31" s="17" t="s">
        <v>36</v>
      </c>
      <c r="M31" s="7"/>
    </row>
    <row r="32" spans="1:13">
      <c r="B32" s="6" t="s">
        <v>221</v>
      </c>
      <c r="C32" s="6" t="s">
        <v>32</v>
      </c>
      <c r="D32" s="20" t="s">
        <v>124</v>
      </c>
      <c r="E32" s="21">
        <v>280</v>
      </c>
      <c r="F32" s="19">
        <v>176.54000520706199</v>
      </c>
      <c r="M32" s="7"/>
    </row>
    <row r="33" spans="2:13">
      <c r="B33" s="6" t="s">
        <v>208</v>
      </c>
      <c r="C33" s="6" t="s">
        <v>32</v>
      </c>
      <c r="D33" s="20" t="s">
        <v>121</v>
      </c>
      <c r="E33" s="21">
        <v>225</v>
      </c>
      <c r="F33" s="19">
        <v>160.92000156641001</v>
      </c>
      <c r="M33" s="7"/>
    </row>
    <row r="34" spans="2:13">
      <c r="B34" s="6" t="s">
        <v>212</v>
      </c>
      <c r="C34" s="6" t="s">
        <v>32</v>
      </c>
      <c r="D34" s="20" t="s">
        <v>199</v>
      </c>
      <c r="E34" s="21">
        <v>210</v>
      </c>
      <c r="F34" s="19">
        <v>141.93899631500199</v>
      </c>
      <c r="G34" s="6"/>
      <c r="M34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3:J23"/>
    <mergeCell ref="A5:J5"/>
    <mergeCell ref="A8:J8"/>
    <mergeCell ref="A12:J12"/>
    <mergeCell ref="A15:J15"/>
    <mergeCell ref="A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E19" sqref="E19"/>
    </sheetView>
  </sheetViews>
  <sheetFormatPr baseColWidth="10" defaultColWidth="9.1640625" defaultRowHeight="13"/>
  <cols>
    <col min="1" max="1" width="7.5" style="6" bestFit="1" customWidth="1"/>
    <col min="2" max="2" width="22.5" style="6" customWidth="1"/>
    <col min="3" max="3" width="26.5" style="6" bestFit="1" customWidth="1"/>
    <col min="4" max="4" width="21.5" style="6" bestFit="1" customWidth="1"/>
    <col min="5" max="5" width="10.5" style="11" bestFit="1" customWidth="1"/>
    <col min="6" max="6" width="36" style="6" customWidth="1"/>
    <col min="7" max="9" width="5.5" style="20" customWidth="1"/>
    <col min="10" max="10" width="4.83203125" style="20" customWidth="1"/>
    <col min="11" max="11" width="10.5" style="21" bestFit="1" customWidth="1"/>
    <col min="12" max="12" width="8.6640625" style="7" bestFit="1" customWidth="1"/>
    <col min="13" max="13" width="21.83203125" style="6" customWidth="1"/>
    <col min="14" max="16384" width="9.1640625" style="3"/>
  </cols>
  <sheetData>
    <row r="1" spans="1:13" s="2" customFormat="1" ht="29" customHeight="1">
      <c r="A1" s="61" t="s">
        <v>259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9</v>
      </c>
      <c r="H3" s="73"/>
      <c r="I3" s="73"/>
      <c r="J3" s="73"/>
      <c r="K3" s="74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4">
        <v>1</v>
      </c>
      <c r="H4" s="4">
        <v>2</v>
      </c>
      <c r="I4" s="4">
        <v>3</v>
      </c>
      <c r="J4" s="4" t="s">
        <v>4</v>
      </c>
      <c r="K4" s="75"/>
      <c r="L4" s="56"/>
      <c r="M4" s="58"/>
    </row>
    <row r="5" spans="1:13" ht="16">
      <c r="A5" s="59" t="s">
        <v>59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24" t="s">
        <v>38</v>
      </c>
      <c r="B6" s="8" t="s">
        <v>166</v>
      </c>
      <c r="C6" s="8" t="s">
        <v>158</v>
      </c>
      <c r="D6" s="8" t="s">
        <v>69</v>
      </c>
      <c r="E6" s="9" t="s">
        <v>278</v>
      </c>
      <c r="F6" s="8" t="s">
        <v>274</v>
      </c>
      <c r="G6" s="22" t="s">
        <v>82</v>
      </c>
      <c r="H6" s="23" t="s">
        <v>82</v>
      </c>
      <c r="I6" s="23" t="s">
        <v>163</v>
      </c>
      <c r="J6" s="24"/>
      <c r="K6" s="48" t="str">
        <f>"185,0"</f>
        <v>185,0</v>
      </c>
      <c r="L6" s="10" t="str">
        <f>"132,9410"</f>
        <v>132,9410</v>
      </c>
      <c r="M6" s="8"/>
    </row>
    <row r="8" spans="1:13" ht="16">
      <c r="A8" s="51" t="s">
        <v>74</v>
      </c>
      <c r="B8" s="51"/>
      <c r="C8" s="51"/>
      <c r="D8" s="51"/>
      <c r="E8" s="52"/>
      <c r="F8" s="51"/>
      <c r="G8" s="51"/>
      <c r="H8" s="51"/>
      <c r="I8" s="51"/>
      <c r="J8" s="51"/>
    </row>
    <row r="9" spans="1:13">
      <c r="A9" s="24" t="s">
        <v>38</v>
      </c>
      <c r="B9" s="8" t="s">
        <v>129</v>
      </c>
      <c r="C9" s="8" t="s">
        <v>75</v>
      </c>
      <c r="D9" s="8" t="s">
        <v>76</v>
      </c>
      <c r="E9" s="9" t="s">
        <v>278</v>
      </c>
      <c r="F9" s="8" t="s">
        <v>271</v>
      </c>
      <c r="G9" s="23" t="s">
        <v>82</v>
      </c>
      <c r="H9" s="23" t="s">
        <v>70</v>
      </c>
      <c r="I9" s="23" t="s">
        <v>16</v>
      </c>
      <c r="J9" s="24"/>
      <c r="K9" s="48" t="str">
        <f>"200,0"</f>
        <v>200,0</v>
      </c>
      <c r="L9" s="10" t="str">
        <f>"136,2200"</f>
        <v>136,2200</v>
      </c>
      <c r="M9" s="8"/>
    </row>
    <row r="11" spans="1:13" ht="16">
      <c r="A11" s="51" t="s">
        <v>89</v>
      </c>
      <c r="B11" s="51"/>
      <c r="C11" s="51"/>
      <c r="D11" s="51"/>
      <c r="E11" s="52"/>
      <c r="F11" s="51"/>
      <c r="G11" s="51"/>
      <c r="H11" s="51"/>
      <c r="I11" s="51"/>
      <c r="J11" s="51"/>
    </row>
    <row r="12" spans="1:13">
      <c r="A12" s="24" t="s">
        <v>38</v>
      </c>
      <c r="B12" s="8" t="s">
        <v>200</v>
      </c>
      <c r="C12" s="8" t="s">
        <v>193</v>
      </c>
      <c r="D12" s="8" t="s">
        <v>194</v>
      </c>
      <c r="E12" s="9" t="s">
        <v>280</v>
      </c>
      <c r="F12" s="8" t="s">
        <v>273</v>
      </c>
      <c r="G12" s="22" t="s">
        <v>71</v>
      </c>
      <c r="H12" s="23" t="s">
        <v>71</v>
      </c>
      <c r="I12" s="23" t="s">
        <v>77</v>
      </c>
      <c r="J12" s="24"/>
      <c r="K12" s="48" t="str">
        <f>"155,0"</f>
        <v>155,0</v>
      </c>
      <c r="L12" s="10" t="str">
        <f>"100,7965"</f>
        <v>100,7965</v>
      </c>
      <c r="M12" s="8"/>
    </row>
    <row r="14" spans="1:13" ht="16">
      <c r="A14" s="51" t="s">
        <v>98</v>
      </c>
      <c r="B14" s="51"/>
      <c r="C14" s="51"/>
      <c r="D14" s="51"/>
      <c r="E14" s="52"/>
      <c r="F14" s="51"/>
      <c r="G14" s="51"/>
      <c r="H14" s="51"/>
      <c r="I14" s="51"/>
      <c r="J14" s="51"/>
    </row>
    <row r="15" spans="1:13">
      <c r="A15" s="24" t="s">
        <v>38</v>
      </c>
      <c r="B15" s="8" t="s">
        <v>201</v>
      </c>
      <c r="C15" s="8" t="s">
        <v>195</v>
      </c>
      <c r="D15" s="8" t="s">
        <v>196</v>
      </c>
      <c r="E15" s="9" t="s">
        <v>278</v>
      </c>
      <c r="F15" s="8" t="s">
        <v>272</v>
      </c>
      <c r="G15" s="23" t="s">
        <v>25</v>
      </c>
      <c r="H15" s="22" t="s">
        <v>15</v>
      </c>
      <c r="I15" s="22" t="s">
        <v>15</v>
      </c>
      <c r="J15" s="24"/>
      <c r="K15" s="48" t="str">
        <f>"280,0"</f>
        <v>280,0</v>
      </c>
      <c r="L15" s="10" t="str">
        <f>"173,6000"</f>
        <v>173,6000</v>
      </c>
      <c r="M15" s="8"/>
    </row>
    <row r="17" spans="1:13" ht="16">
      <c r="A17" s="51" t="s">
        <v>10</v>
      </c>
      <c r="B17" s="51"/>
      <c r="C17" s="51"/>
      <c r="D17" s="51"/>
      <c r="E17" s="52"/>
      <c r="F17" s="51"/>
      <c r="G17" s="51"/>
      <c r="H17" s="51"/>
      <c r="I17" s="51"/>
      <c r="J17" s="51"/>
    </row>
    <row r="18" spans="1:13">
      <c r="A18" s="24" t="s">
        <v>202</v>
      </c>
      <c r="B18" s="8" t="s">
        <v>203</v>
      </c>
      <c r="C18" s="8" t="s">
        <v>197</v>
      </c>
      <c r="D18" s="8" t="s">
        <v>198</v>
      </c>
      <c r="E18" s="9" t="s">
        <v>278</v>
      </c>
      <c r="F18" s="8" t="s">
        <v>272</v>
      </c>
      <c r="G18" s="22" t="s">
        <v>25</v>
      </c>
      <c r="H18" s="22" t="s">
        <v>25</v>
      </c>
      <c r="I18" s="22" t="s">
        <v>25</v>
      </c>
      <c r="J18" s="24"/>
      <c r="K18" s="48">
        <v>0</v>
      </c>
      <c r="L18" s="10" t="str">
        <f>"0,0000"</f>
        <v>0,0000</v>
      </c>
      <c r="M18" s="8"/>
    </row>
    <row r="20" spans="1:13">
      <c r="E20" s="6"/>
      <c r="F20" s="11"/>
      <c r="G20" s="6"/>
      <c r="M20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selection activeCell="E14" sqref="E14"/>
    </sheetView>
  </sheetViews>
  <sheetFormatPr baseColWidth="10" defaultColWidth="9.1640625" defaultRowHeight="13"/>
  <cols>
    <col min="1" max="1" width="7.5" style="6" bestFit="1" customWidth="1"/>
    <col min="2" max="2" width="19.33203125" style="6" bestFit="1" customWidth="1"/>
    <col min="3" max="3" width="28.5" style="6" bestFit="1" customWidth="1"/>
    <col min="4" max="4" width="21.5" style="6" bestFit="1" customWidth="1"/>
    <col min="5" max="5" width="10.5" style="11" bestFit="1" customWidth="1"/>
    <col min="6" max="6" width="35.1640625" style="6" customWidth="1"/>
    <col min="7" max="9" width="4.6640625" style="20" bestFit="1" customWidth="1"/>
    <col min="10" max="10" width="4.33203125" style="20" bestFit="1" customWidth="1"/>
    <col min="11" max="11" width="10.5" style="7" bestFit="1" customWidth="1"/>
    <col min="12" max="12" width="7.6640625" style="7" bestFit="1" customWidth="1"/>
    <col min="13" max="13" width="16.5" style="6" bestFit="1" customWidth="1"/>
    <col min="14" max="16384" width="9.1640625" style="3"/>
  </cols>
  <sheetData>
    <row r="1" spans="1:13" s="2" customFormat="1" ht="29" customHeight="1">
      <c r="A1" s="61" t="s">
        <v>264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275</v>
      </c>
      <c r="H3" s="73"/>
      <c r="I3" s="73"/>
      <c r="J3" s="73"/>
      <c r="K3" s="55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5">
        <v>1</v>
      </c>
      <c r="H4" s="5">
        <v>2</v>
      </c>
      <c r="I4" s="5">
        <v>3</v>
      </c>
      <c r="J4" s="5" t="s">
        <v>4</v>
      </c>
      <c r="K4" s="56"/>
      <c r="L4" s="56"/>
      <c r="M4" s="58"/>
    </row>
    <row r="5" spans="1:13" ht="16">
      <c r="A5" s="59" t="s">
        <v>74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33" t="s">
        <v>38</v>
      </c>
      <c r="B6" s="25" t="s">
        <v>244</v>
      </c>
      <c r="C6" s="25" t="s">
        <v>243</v>
      </c>
      <c r="D6" s="25" t="s">
        <v>242</v>
      </c>
      <c r="E6" s="26" t="s">
        <v>278</v>
      </c>
      <c r="F6" s="25" t="s">
        <v>273</v>
      </c>
      <c r="G6" s="31" t="s">
        <v>143</v>
      </c>
      <c r="H6" s="32" t="s">
        <v>235</v>
      </c>
      <c r="I6" s="32" t="s">
        <v>235</v>
      </c>
      <c r="J6" s="33"/>
      <c r="K6" s="27" t="str">
        <f>"62,5"</f>
        <v>62,5</v>
      </c>
      <c r="L6" s="27" t="str">
        <f>"40,4156"</f>
        <v>40,4156</v>
      </c>
      <c r="M6" s="25"/>
    </row>
    <row r="7" spans="1:13">
      <c r="A7" s="40" t="s">
        <v>130</v>
      </c>
      <c r="B7" s="37" t="s">
        <v>229</v>
      </c>
      <c r="C7" s="37" t="s">
        <v>214</v>
      </c>
      <c r="D7" s="37" t="s">
        <v>215</v>
      </c>
      <c r="E7" s="38" t="s">
        <v>278</v>
      </c>
      <c r="F7" s="37" t="s">
        <v>273</v>
      </c>
      <c r="G7" s="42" t="s">
        <v>241</v>
      </c>
      <c r="H7" s="41" t="s">
        <v>142</v>
      </c>
      <c r="I7" s="41" t="s">
        <v>142</v>
      </c>
      <c r="J7" s="40"/>
      <c r="K7" s="39" t="str">
        <f>"50,0"</f>
        <v>50,0</v>
      </c>
      <c r="L7" s="39" t="str">
        <f>"32,5125"</f>
        <v>32,5125</v>
      </c>
      <c r="M7" s="37"/>
    </row>
    <row r="8" spans="1:13">
      <c r="A8" s="35" t="s">
        <v>38</v>
      </c>
      <c r="B8" s="28" t="s">
        <v>240</v>
      </c>
      <c r="C8" s="28" t="s">
        <v>262</v>
      </c>
      <c r="D8" s="28" t="s">
        <v>239</v>
      </c>
      <c r="E8" s="29" t="s">
        <v>281</v>
      </c>
      <c r="F8" s="28" t="s">
        <v>272</v>
      </c>
      <c r="G8" s="34" t="s">
        <v>238</v>
      </c>
      <c r="H8" s="34" t="s">
        <v>49</v>
      </c>
      <c r="I8" s="36" t="s">
        <v>142</v>
      </c>
      <c r="J8" s="35"/>
      <c r="K8" s="30" t="str">
        <f>"55,0"</f>
        <v>55,0</v>
      </c>
      <c r="L8" s="30" t="str">
        <f>"35,6785"</f>
        <v>35,6785</v>
      </c>
      <c r="M8" s="28"/>
    </row>
    <row r="10" spans="1:13" ht="16">
      <c r="A10" s="51" t="s">
        <v>89</v>
      </c>
      <c r="B10" s="51"/>
      <c r="C10" s="51"/>
      <c r="D10" s="51"/>
      <c r="E10" s="52"/>
      <c r="F10" s="51"/>
      <c r="G10" s="51"/>
      <c r="H10" s="51"/>
      <c r="I10" s="51"/>
      <c r="J10" s="51"/>
    </row>
    <row r="11" spans="1:13">
      <c r="A11" s="33" t="s">
        <v>38</v>
      </c>
      <c r="B11" s="25" t="s">
        <v>237</v>
      </c>
      <c r="C11" s="25" t="s">
        <v>263</v>
      </c>
      <c r="D11" s="25" t="s">
        <v>236</v>
      </c>
      <c r="E11" s="26" t="s">
        <v>282</v>
      </c>
      <c r="F11" s="25" t="s">
        <v>273</v>
      </c>
      <c r="G11" s="31" t="s">
        <v>49</v>
      </c>
      <c r="H11" s="31" t="s">
        <v>142</v>
      </c>
      <c r="I11" s="31" t="s">
        <v>143</v>
      </c>
      <c r="J11" s="33"/>
      <c r="K11" s="27" t="str">
        <f>"62,5"</f>
        <v>62,5</v>
      </c>
      <c r="L11" s="27" t="str">
        <f>"38,6312"</f>
        <v>38,6312</v>
      </c>
      <c r="M11" s="25"/>
    </row>
    <row r="12" spans="1:13">
      <c r="A12" s="40" t="s">
        <v>38</v>
      </c>
      <c r="B12" s="37" t="s">
        <v>187</v>
      </c>
      <c r="C12" s="37" t="s">
        <v>174</v>
      </c>
      <c r="D12" s="37" t="s">
        <v>175</v>
      </c>
      <c r="E12" s="38" t="s">
        <v>278</v>
      </c>
      <c r="F12" s="37" t="s">
        <v>269</v>
      </c>
      <c r="G12" s="42" t="s">
        <v>64</v>
      </c>
      <c r="H12" s="42" t="s">
        <v>93</v>
      </c>
      <c r="I12" s="41" t="s">
        <v>86</v>
      </c>
      <c r="J12" s="40"/>
      <c r="K12" s="39" t="str">
        <f>"75,0"</f>
        <v>75,0</v>
      </c>
      <c r="L12" s="39" t="str">
        <f>"45,9450"</f>
        <v>45,9450</v>
      </c>
      <c r="M12" s="45" t="s">
        <v>245</v>
      </c>
    </row>
    <row r="13" spans="1:13">
      <c r="A13" s="35" t="s">
        <v>130</v>
      </c>
      <c r="B13" s="28" t="s">
        <v>190</v>
      </c>
      <c r="C13" s="28" t="s">
        <v>182</v>
      </c>
      <c r="D13" s="28" t="s">
        <v>183</v>
      </c>
      <c r="E13" s="29" t="s">
        <v>278</v>
      </c>
      <c r="F13" s="28" t="s">
        <v>273</v>
      </c>
      <c r="G13" s="34" t="s">
        <v>142</v>
      </c>
      <c r="H13" s="36" t="s">
        <v>235</v>
      </c>
      <c r="I13" s="36" t="s">
        <v>235</v>
      </c>
      <c r="J13" s="35"/>
      <c r="K13" s="30" t="str">
        <f>"60,0"</f>
        <v>60,0</v>
      </c>
      <c r="L13" s="30" t="str">
        <f>"36,9420"</f>
        <v>36,9420</v>
      </c>
      <c r="M13" s="28"/>
    </row>
    <row r="15" spans="1:13">
      <c r="G15" s="6"/>
      <c r="K15" s="20"/>
      <c r="M15" s="7"/>
    </row>
    <row r="16" spans="1:13">
      <c r="K16" s="20"/>
      <c r="M16" s="7"/>
    </row>
    <row r="17" spans="2:13" s="3" customFormat="1" ht="18">
      <c r="B17" s="13" t="s">
        <v>30</v>
      </c>
      <c r="C17" s="13"/>
      <c r="D17" s="6"/>
      <c r="E17" s="11"/>
      <c r="F17" s="6"/>
      <c r="H17" s="20"/>
      <c r="I17" s="20"/>
      <c r="J17" s="20"/>
      <c r="K17" s="20"/>
      <c r="L17" s="7"/>
      <c r="M17" s="7"/>
    </row>
    <row r="18" spans="2:13" s="3" customFormat="1" ht="16">
      <c r="B18" s="14" t="s">
        <v>31</v>
      </c>
      <c r="C18" s="14"/>
      <c r="D18" s="6"/>
      <c r="E18" s="11"/>
      <c r="F18" s="6"/>
      <c r="H18" s="20"/>
      <c r="I18" s="20"/>
      <c r="J18" s="20"/>
      <c r="K18" s="20"/>
      <c r="L18" s="7"/>
      <c r="M18" s="7"/>
    </row>
    <row r="19" spans="2:13" s="3" customFormat="1" ht="14">
      <c r="B19" s="15"/>
      <c r="C19" s="16" t="s">
        <v>32</v>
      </c>
      <c r="D19" s="6"/>
      <c r="E19" s="11"/>
      <c r="F19" s="6"/>
      <c r="H19" s="20"/>
      <c r="I19" s="20"/>
      <c r="J19" s="20"/>
      <c r="K19" s="20"/>
      <c r="L19" s="7"/>
      <c r="M19" s="7"/>
    </row>
    <row r="20" spans="2:13" s="3" customFormat="1" ht="14">
      <c r="B20" s="17" t="s">
        <v>33</v>
      </c>
      <c r="C20" s="17" t="s">
        <v>34</v>
      </c>
      <c r="D20" s="17" t="s">
        <v>261</v>
      </c>
      <c r="E20" s="18" t="s">
        <v>164</v>
      </c>
      <c r="F20" s="17" t="s">
        <v>234</v>
      </c>
      <c r="H20" s="20"/>
      <c r="I20" s="20"/>
      <c r="J20" s="20"/>
      <c r="K20" s="20"/>
      <c r="L20" s="7"/>
      <c r="M20" s="7"/>
    </row>
    <row r="21" spans="2:13" s="3" customFormat="1">
      <c r="B21" s="6" t="s">
        <v>173</v>
      </c>
      <c r="C21" s="6" t="s">
        <v>32</v>
      </c>
      <c r="D21" s="20" t="s">
        <v>122</v>
      </c>
      <c r="E21" s="21">
        <v>75</v>
      </c>
      <c r="F21" s="19">
        <v>45.945002138614697</v>
      </c>
      <c r="H21" s="20"/>
      <c r="I21" s="20"/>
      <c r="J21" s="20"/>
      <c r="K21" s="20"/>
      <c r="L21" s="7"/>
      <c r="M21" s="7"/>
    </row>
    <row r="22" spans="2:13" s="3" customFormat="1">
      <c r="B22" s="6" t="s">
        <v>233</v>
      </c>
      <c r="C22" s="6" t="s">
        <v>32</v>
      </c>
      <c r="D22" s="20" t="s">
        <v>199</v>
      </c>
      <c r="E22" s="21">
        <v>62.5</v>
      </c>
      <c r="F22" s="19">
        <v>40.415626019239397</v>
      </c>
      <c r="H22" s="20"/>
      <c r="I22" s="20"/>
      <c r="J22" s="20"/>
      <c r="K22" s="20"/>
      <c r="L22" s="7"/>
      <c r="M22" s="7"/>
    </row>
    <row r="23" spans="2:13" s="3" customFormat="1">
      <c r="B23" s="6" t="s">
        <v>181</v>
      </c>
      <c r="C23" s="6" t="s">
        <v>32</v>
      </c>
      <c r="D23" s="20" t="s">
        <v>122</v>
      </c>
      <c r="E23" s="21">
        <v>60</v>
      </c>
      <c r="F23" s="19">
        <v>36.9420003890991</v>
      </c>
      <c r="G23" s="6"/>
      <c r="H23" s="20"/>
      <c r="I23" s="20"/>
      <c r="J23" s="20"/>
      <c r="K23" s="20"/>
      <c r="L23" s="7"/>
      <c r="M23" s="7"/>
    </row>
    <row r="24" spans="2:13" s="3" customFormat="1">
      <c r="C24" s="6"/>
      <c r="D24" s="6"/>
      <c r="E24" s="6"/>
      <c r="F24" s="11"/>
      <c r="G24" s="6"/>
      <c r="H24" s="20"/>
      <c r="I24" s="20"/>
      <c r="J24" s="20"/>
      <c r="K24" s="20"/>
      <c r="L24" s="7"/>
      <c r="M24" s="7"/>
    </row>
  </sheetData>
  <mergeCells count="13">
    <mergeCell ref="A1:M2"/>
    <mergeCell ref="A3:A4"/>
    <mergeCell ref="C3:C4"/>
    <mergeCell ref="D3:D4"/>
    <mergeCell ref="E3:E4"/>
    <mergeCell ref="F3:F4"/>
    <mergeCell ref="G3:J3"/>
    <mergeCell ref="A10:J10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6" bestFit="1" customWidth="1"/>
    <col min="2" max="2" width="20.6640625" style="6" customWidth="1"/>
    <col min="3" max="3" width="27.6640625" style="6" bestFit="1" customWidth="1"/>
    <col min="4" max="4" width="21.5" style="6" bestFit="1" customWidth="1"/>
    <col min="5" max="5" width="10.5" style="11" bestFit="1" customWidth="1"/>
    <col min="6" max="6" width="34" style="6" customWidth="1"/>
    <col min="7" max="9" width="4.5" style="20" customWidth="1"/>
    <col min="10" max="10" width="4.83203125" style="20" customWidth="1"/>
    <col min="11" max="11" width="10.5" style="7" bestFit="1" customWidth="1"/>
    <col min="12" max="12" width="7.6640625" style="7" bestFit="1" customWidth="1"/>
    <col min="13" max="13" width="21.1640625" style="6" customWidth="1"/>
    <col min="14" max="16384" width="9.1640625" style="3"/>
  </cols>
  <sheetData>
    <row r="1" spans="1:13" s="2" customFormat="1" ht="29" customHeight="1">
      <c r="A1" s="61" t="s">
        <v>265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</row>
    <row r="2" spans="1:13" s="2" customFormat="1" ht="62" customHeight="1" thickBot="1">
      <c r="A2" s="65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1" customFormat="1" ht="12.75" customHeight="1">
      <c r="A3" s="69" t="s">
        <v>267</v>
      </c>
      <c r="B3" s="53" t="s">
        <v>0</v>
      </c>
      <c r="C3" s="71" t="s">
        <v>276</v>
      </c>
      <c r="D3" s="71" t="s">
        <v>6</v>
      </c>
      <c r="E3" s="55" t="s">
        <v>277</v>
      </c>
      <c r="F3" s="73" t="s">
        <v>5</v>
      </c>
      <c r="G3" s="73" t="s">
        <v>275</v>
      </c>
      <c r="H3" s="73"/>
      <c r="I3" s="73"/>
      <c r="J3" s="73"/>
      <c r="K3" s="55" t="s">
        <v>165</v>
      </c>
      <c r="L3" s="55" t="s">
        <v>3</v>
      </c>
      <c r="M3" s="57" t="s">
        <v>2</v>
      </c>
    </row>
    <row r="4" spans="1:13" s="1" customFormat="1" ht="21" customHeight="1" thickBot="1">
      <c r="A4" s="70"/>
      <c r="B4" s="54"/>
      <c r="C4" s="72"/>
      <c r="D4" s="72"/>
      <c r="E4" s="56"/>
      <c r="F4" s="72"/>
      <c r="G4" s="5">
        <v>1</v>
      </c>
      <c r="H4" s="5">
        <v>2</v>
      </c>
      <c r="I4" s="5">
        <v>3</v>
      </c>
      <c r="J4" s="5" t="s">
        <v>4</v>
      </c>
      <c r="K4" s="56"/>
      <c r="L4" s="56"/>
      <c r="M4" s="58"/>
    </row>
    <row r="5" spans="1:13" ht="16">
      <c r="A5" s="59" t="s">
        <v>89</v>
      </c>
      <c r="B5" s="59"/>
      <c r="C5" s="60"/>
      <c r="D5" s="60"/>
      <c r="E5" s="60"/>
      <c r="F5" s="60"/>
      <c r="G5" s="60"/>
      <c r="H5" s="60"/>
      <c r="I5" s="60"/>
      <c r="J5" s="60"/>
    </row>
    <row r="6" spans="1:13">
      <c r="A6" s="24" t="s">
        <v>38</v>
      </c>
      <c r="B6" s="8" t="s">
        <v>200</v>
      </c>
      <c r="C6" s="8" t="s">
        <v>266</v>
      </c>
      <c r="D6" s="8" t="s">
        <v>194</v>
      </c>
      <c r="E6" s="9" t="s">
        <v>283</v>
      </c>
      <c r="F6" s="8" t="s">
        <v>273</v>
      </c>
      <c r="G6" s="23" t="s">
        <v>241</v>
      </c>
      <c r="H6" s="23" t="s">
        <v>49</v>
      </c>
      <c r="I6" s="22" t="s">
        <v>57</v>
      </c>
      <c r="J6" s="24"/>
      <c r="K6" s="10" t="str">
        <f>"55,0"</f>
        <v>55,0</v>
      </c>
      <c r="L6" s="10" t="str">
        <f>"34,3337"</f>
        <v>34,3337</v>
      </c>
      <c r="M6" s="8"/>
    </row>
  </sheetData>
  <mergeCells count="12">
    <mergeCell ref="A1:M2"/>
    <mergeCell ref="G3:J3"/>
    <mergeCell ref="A3:A4"/>
    <mergeCell ref="C3:C4"/>
    <mergeCell ref="D3:D4"/>
    <mergeCell ref="M3:M4"/>
    <mergeCell ref="F3:F4"/>
    <mergeCell ref="L3:L4"/>
    <mergeCell ref="A5:J5"/>
    <mergeCell ref="B3:B4"/>
    <mergeCell ref="E3:E4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ПЛ в бинтах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2023-11-30T12:43:57Z</dcterms:modified>
</cp:coreProperties>
</file>