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й/"/>
    </mc:Choice>
  </mc:AlternateContent>
  <xr:revisionPtr revIDLastSave="0" documentId="13_ncr:1_{FE4D5AF2-3B31-5949-80BA-3E498BA1C723}" xr6:coauthVersionLast="45" xr6:coauthVersionMax="45" xr10:uidLastSave="{00000000-0000-0000-0000-000000000000}"/>
  <bookViews>
    <workbookView xWindow="480" yWindow="460" windowWidth="27920" windowHeight="16000" firstSheet="10" activeTab="15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однослой" sheetId="7" r:id="rId4"/>
    <sheet name="IPL Двоеборье без экип ДК" sheetId="34" r:id="rId5"/>
    <sheet name="IPL Двоеборье без экип" sheetId="33" r:id="rId6"/>
    <sheet name="IPL Присед без экипировки ДК" sheetId="30" r:id="rId7"/>
    <sheet name="IPL Присед без экипировки" sheetId="29" r:id="rId8"/>
    <sheet name="IPL Жим без экипировки ДК" sheetId="14" r:id="rId9"/>
    <sheet name="IPL Жим без экипировки" sheetId="13" r:id="rId10"/>
    <sheet name="СПР Жим софт однопетельная ДК" sheetId="44" r:id="rId11"/>
    <sheet name="СПР Жим софт однопетельная" sheetId="43" r:id="rId12"/>
    <sheet name="IPL Тяга без экипировки ДК" sheetId="20" r:id="rId13"/>
    <sheet name="IPL Тяга без экипировки" sheetId="19" r:id="rId14"/>
    <sheet name="СПР Подъем на бицепс ДК" sheetId="40" r:id="rId15"/>
    <sheet name="СПР Подъем на бицепс" sheetId="3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44" l="1"/>
  <c r="K15" i="44"/>
  <c r="L12" i="44"/>
  <c r="K12" i="44"/>
  <c r="L9" i="44"/>
  <c r="K9" i="44"/>
  <c r="L6" i="44"/>
  <c r="K6" i="44"/>
  <c r="L6" i="43"/>
  <c r="K6" i="43"/>
  <c r="L30" i="40"/>
  <c r="K30" i="40"/>
  <c r="L29" i="40"/>
  <c r="K29" i="40"/>
  <c r="L26" i="40"/>
  <c r="K26" i="40"/>
  <c r="L23" i="40"/>
  <c r="K23" i="40"/>
  <c r="L22" i="40"/>
  <c r="K22" i="40"/>
  <c r="L21" i="40"/>
  <c r="K21" i="40"/>
  <c r="L20" i="40"/>
  <c r="K20" i="40"/>
  <c r="L19" i="40"/>
  <c r="K19" i="40"/>
  <c r="L16" i="40"/>
  <c r="K16" i="40"/>
  <c r="L15" i="40"/>
  <c r="K15" i="40"/>
  <c r="L14" i="40"/>
  <c r="K14" i="40"/>
  <c r="L11" i="40"/>
  <c r="K11" i="40"/>
  <c r="L10" i="40"/>
  <c r="K10" i="40"/>
  <c r="L9" i="40"/>
  <c r="K9" i="40"/>
  <c r="L6" i="40"/>
  <c r="K6" i="40"/>
  <c r="L9" i="39"/>
  <c r="K9" i="39"/>
  <c r="L6" i="39"/>
  <c r="K6" i="39"/>
  <c r="P11" i="34"/>
  <c r="O11" i="34"/>
  <c r="P10" i="34"/>
  <c r="O10" i="34"/>
  <c r="P7" i="34"/>
  <c r="O7" i="34"/>
  <c r="P6" i="34"/>
  <c r="O6" i="34"/>
  <c r="P9" i="33"/>
  <c r="O9" i="33"/>
  <c r="P6" i="33"/>
  <c r="L15" i="30"/>
  <c r="K15" i="30"/>
  <c r="L12" i="30"/>
  <c r="K12" i="30"/>
  <c r="L9" i="30"/>
  <c r="K9" i="30"/>
  <c r="L6" i="30"/>
  <c r="K6" i="30"/>
  <c r="L6" i="29"/>
  <c r="K6" i="29"/>
  <c r="L34" i="20"/>
  <c r="K34" i="20"/>
  <c r="L33" i="20"/>
  <c r="K33" i="20"/>
  <c r="L30" i="20"/>
  <c r="K30" i="20"/>
  <c r="L29" i="20"/>
  <c r="K29" i="20"/>
  <c r="L28" i="20"/>
  <c r="K28" i="20"/>
  <c r="L27" i="20"/>
  <c r="K27" i="20"/>
  <c r="L24" i="20"/>
  <c r="K24" i="20"/>
  <c r="L23" i="20"/>
  <c r="K23" i="20"/>
  <c r="L22" i="20"/>
  <c r="K22" i="20"/>
  <c r="L21" i="20"/>
  <c r="K21" i="20"/>
  <c r="L18" i="20"/>
  <c r="K18" i="20"/>
  <c r="L17" i="20"/>
  <c r="K17" i="20"/>
  <c r="L14" i="20"/>
  <c r="K14" i="20"/>
  <c r="L13" i="20"/>
  <c r="K13" i="20"/>
  <c r="L10" i="20"/>
  <c r="K10" i="20"/>
  <c r="L7" i="20"/>
  <c r="K7" i="20"/>
  <c r="L6" i="20"/>
  <c r="K6" i="20"/>
  <c r="L16" i="19"/>
  <c r="K16" i="19"/>
  <c r="L15" i="19"/>
  <c r="K15" i="19"/>
  <c r="L12" i="19"/>
  <c r="K12" i="19"/>
  <c r="L9" i="19"/>
  <c r="K9" i="19"/>
  <c r="L6" i="19"/>
  <c r="K6" i="19"/>
  <c r="L67" i="14"/>
  <c r="K67" i="14"/>
  <c r="L66" i="14"/>
  <c r="K66" i="14"/>
  <c r="L63" i="14"/>
  <c r="K63" i="14"/>
  <c r="L62" i="14"/>
  <c r="K62" i="14"/>
  <c r="L61" i="14"/>
  <c r="K61" i="14"/>
  <c r="L60" i="14"/>
  <c r="K60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3" i="14"/>
  <c r="K23" i="14"/>
  <c r="L22" i="14"/>
  <c r="K22" i="14"/>
  <c r="L19" i="14"/>
  <c r="K19" i="14"/>
  <c r="L18" i="14"/>
  <c r="K18" i="14"/>
  <c r="L15" i="14"/>
  <c r="K15" i="14"/>
  <c r="L12" i="14"/>
  <c r="K12" i="14"/>
  <c r="L9" i="14"/>
  <c r="K9" i="14"/>
  <c r="L6" i="14"/>
  <c r="K6" i="14"/>
  <c r="L36" i="13"/>
  <c r="K36" i="13"/>
  <c r="L35" i="13"/>
  <c r="K35" i="13"/>
  <c r="L34" i="13"/>
  <c r="K34" i="13"/>
  <c r="L33" i="13"/>
  <c r="K33" i="13"/>
  <c r="L30" i="13"/>
  <c r="L29" i="13"/>
  <c r="L28" i="13"/>
  <c r="K28" i="13"/>
  <c r="L27" i="13"/>
  <c r="K27" i="13"/>
  <c r="L24" i="13"/>
  <c r="L23" i="13"/>
  <c r="K23" i="13"/>
  <c r="L22" i="13"/>
  <c r="K22" i="13"/>
  <c r="L21" i="13"/>
  <c r="K21" i="13"/>
  <c r="L20" i="13"/>
  <c r="L19" i="13"/>
  <c r="K19" i="13"/>
  <c r="L16" i="13"/>
  <c r="K16" i="13"/>
  <c r="L15" i="13"/>
  <c r="K15" i="13"/>
  <c r="L14" i="13"/>
  <c r="K14" i="13"/>
  <c r="L13" i="13"/>
  <c r="K13" i="13"/>
  <c r="L12" i="13"/>
  <c r="K12" i="13"/>
  <c r="L11" i="13"/>
  <c r="K11" i="13"/>
  <c r="L10" i="13"/>
  <c r="K10" i="13"/>
  <c r="L7" i="13"/>
  <c r="K7" i="13"/>
  <c r="L6" i="13"/>
  <c r="K6" i="13"/>
  <c r="T6" i="12"/>
  <c r="S6" i="12"/>
  <c r="T70" i="10"/>
  <c r="S70" i="10"/>
  <c r="T67" i="10"/>
  <c r="S67" i="10"/>
  <c r="T66" i="10"/>
  <c r="S66" i="10"/>
  <c r="T65" i="10"/>
  <c r="S65" i="10"/>
  <c r="T62" i="10"/>
  <c r="S62" i="10"/>
  <c r="T61" i="10"/>
  <c r="S61" i="10"/>
  <c r="T58" i="10"/>
  <c r="S58" i="10"/>
  <c r="T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1" i="10"/>
  <c r="S41" i="10"/>
  <c r="T40" i="10"/>
  <c r="S40" i="10"/>
  <c r="T37" i="10"/>
  <c r="T36" i="10"/>
  <c r="S36" i="10"/>
  <c r="T35" i="10"/>
  <c r="S35" i="10"/>
  <c r="T34" i="10"/>
  <c r="S34" i="10"/>
  <c r="T33" i="10"/>
  <c r="S33" i="10"/>
  <c r="T32" i="10"/>
  <c r="T31" i="10"/>
  <c r="S31" i="10"/>
  <c r="T28" i="10"/>
  <c r="S28" i="10"/>
  <c r="T25" i="10"/>
  <c r="S25" i="10"/>
  <c r="T22" i="10"/>
  <c r="S22" i="10"/>
  <c r="T19" i="10"/>
  <c r="S19" i="10"/>
  <c r="T18" i="10"/>
  <c r="S18" i="10"/>
  <c r="T17" i="10"/>
  <c r="S17" i="10"/>
  <c r="T14" i="10"/>
  <c r="S14" i="10"/>
  <c r="T11" i="10"/>
  <c r="S11" i="10"/>
  <c r="T10" i="10"/>
  <c r="S10" i="10"/>
  <c r="T7" i="10"/>
  <c r="T6" i="10"/>
  <c r="T30" i="9"/>
  <c r="S30" i="9"/>
  <c r="T27" i="9"/>
  <c r="S27" i="9"/>
  <c r="T26" i="9"/>
  <c r="S26" i="9"/>
  <c r="T23" i="9"/>
  <c r="S23" i="9"/>
  <c r="T22" i="9"/>
  <c r="S22" i="9"/>
  <c r="T21" i="9"/>
  <c r="S21" i="9"/>
  <c r="T20" i="9"/>
  <c r="S20" i="9"/>
  <c r="T17" i="9"/>
  <c r="S17" i="9"/>
  <c r="T16" i="9"/>
  <c r="S16" i="9"/>
  <c r="T15" i="9"/>
  <c r="S15" i="9"/>
  <c r="T12" i="9"/>
  <c r="S12" i="9"/>
  <c r="T9" i="9"/>
  <c r="S9" i="9"/>
  <c r="T6" i="9"/>
  <c r="S6" i="9"/>
  <c r="T6" i="7"/>
  <c r="S6" i="7"/>
</calcChain>
</file>

<file path=xl/sharedStrings.xml><?xml version="1.0" encoding="utf-8"?>
<sst xmlns="http://schemas.openxmlformats.org/spreadsheetml/2006/main" count="2258" uniqueCount="603">
  <si>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</si>
  <si>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</si>
  <si>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</si>
  <si>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</si>
  <si>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</si>
  <si>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</si>
  <si>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</si>
  <si>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</si>
  <si>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</si>
  <si>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</si>
  <si>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</si>
  <si>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110</t>
  </si>
  <si>
    <t>Открытая (08.12.1992)/30</t>
  </si>
  <si>
    <t>107,00</t>
  </si>
  <si>
    <t xml:space="preserve">Норильск/Красноярский край </t>
  </si>
  <si>
    <t>290,0</t>
  </si>
  <si>
    <t>200,0</t>
  </si>
  <si>
    <t>215,0</t>
  </si>
  <si>
    <t>225,0</t>
  </si>
  <si>
    <t>265,0</t>
  </si>
  <si>
    <t>280,0</t>
  </si>
  <si>
    <t>300,0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</si>
  <si>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</si>
  <si>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</si>
  <si>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</si>
  <si>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</si>
  <si>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</si>
  <si>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</si>
  <si>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</si>
  <si>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</si>
  <si>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1</t>
  </si>
  <si>
    <t>Цабут Станислав</t>
  </si>
  <si>
    <t>ВЕСОВАЯ КАТЕГОРИЯ   56</t>
  </si>
  <si>
    <t>Открытая (20.05.1988)/35</t>
  </si>
  <si>
    <t>54,10</t>
  </si>
  <si>
    <t xml:space="preserve">Иркутск/Иркутская область </t>
  </si>
  <si>
    <t>50,0</t>
  </si>
  <si>
    <t>55,0</t>
  </si>
  <si>
    <t>60,0</t>
  </si>
  <si>
    <t>35,0</t>
  </si>
  <si>
    <t>37,5</t>
  </si>
  <si>
    <t>70,0</t>
  </si>
  <si>
    <t>75,0</t>
  </si>
  <si>
    <t>80,0</t>
  </si>
  <si>
    <t>ВЕСОВАЯ КАТЕГОРИЯ   90+</t>
  </si>
  <si>
    <t>Открытая (03.01.1989)/34</t>
  </si>
  <si>
    <t>101,90</t>
  </si>
  <si>
    <t>90,0</t>
  </si>
  <si>
    <t>100,0</t>
  </si>
  <si>
    <t>110,0</t>
  </si>
  <si>
    <t>45,0</t>
  </si>
  <si>
    <t>52,5</t>
  </si>
  <si>
    <t>117,5</t>
  </si>
  <si>
    <t>ВЕСОВАЯ КАТЕГОРИЯ   82.5</t>
  </si>
  <si>
    <t>82,50</t>
  </si>
  <si>
    <t>187,5</t>
  </si>
  <si>
    <t>195,0</t>
  </si>
  <si>
    <t>207,5</t>
  </si>
  <si>
    <t>127,5</t>
  </si>
  <si>
    <t>135,0</t>
  </si>
  <si>
    <t>137,5</t>
  </si>
  <si>
    <t>240,0</t>
  </si>
  <si>
    <t>250,0</t>
  </si>
  <si>
    <t>ВЕСОВАЯ КАТЕГОРИЯ   90</t>
  </si>
  <si>
    <t xml:space="preserve">Нурутдинов Максим </t>
  </si>
  <si>
    <t>Открытая (28.07.1982)/40</t>
  </si>
  <si>
    <t>89,20</t>
  </si>
  <si>
    <t>305,0</t>
  </si>
  <si>
    <t>320,0</t>
  </si>
  <si>
    <t>328,0</t>
  </si>
  <si>
    <t>180,0</t>
  </si>
  <si>
    <t>190,0</t>
  </si>
  <si>
    <t>315,5</t>
  </si>
  <si>
    <t xml:space="preserve">Шураев Павел </t>
  </si>
  <si>
    <t>Открытая (05.04.1991)/32</t>
  </si>
  <si>
    <t>90,00</t>
  </si>
  <si>
    <t xml:space="preserve">Ангарск/Иркутская область </t>
  </si>
  <si>
    <t>210,0</t>
  </si>
  <si>
    <t>220,0</t>
  </si>
  <si>
    <t>150,0</t>
  </si>
  <si>
    <t>157,5</t>
  </si>
  <si>
    <t>162,5</t>
  </si>
  <si>
    <t>260,0</t>
  </si>
  <si>
    <t>270,0</t>
  </si>
  <si>
    <t>Открытая (07.10.1984)/38</t>
  </si>
  <si>
    <t>89,30</t>
  </si>
  <si>
    <t>160,0</t>
  </si>
  <si>
    <t>262,5</t>
  </si>
  <si>
    <t>ВЕСОВАЯ КАТЕГОРИЯ   100</t>
  </si>
  <si>
    <t xml:space="preserve">Сосновский Никита </t>
  </si>
  <si>
    <t>Открытая (15.12.1987)/35</t>
  </si>
  <si>
    <t>100,00</t>
  </si>
  <si>
    <t>255,0</t>
  </si>
  <si>
    <t>267,5</t>
  </si>
  <si>
    <t>275,0</t>
  </si>
  <si>
    <t>170,0</t>
  </si>
  <si>
    <t>285,0</t>
  </si>
  <si>
    <t>Открытая (04.11.1982)/40</t>
  </si>
  <si>
    <t>98,80</t>
  </si>
  <si>
    <t>232,5</t>
  </si>
  <si>
    <t>165,0</t>
  </si>
  <si>
    <t>Открытая (19.06.1993)/29</t>
  </si>
  <si>
    <t>99,40</t>
  </si>
  <si>
    <t>130,0</t>
  </si>
  <si>
    <t>140,0</t>
  </si>
  <si>
    <t>145,0</t>
  </si>
  <si>
    <t>Открытая (07.07.1989)/33</t>
  </si>
  <si>
    <t>94,60</t>
  </si>
  <si>
    <t>192,5</t>
  </si>
  <si>
    <t>Открытая (19.03.1989)/34</t>
  </si>
  <si>
    <t>105,80</t>
  </si>
  <si>
    <t>230,0</t>
  </si>
  <si>
    <t>Открытая (02.02.1988)/35</t>
  </si>
  <si>
    <t>104,40</t>
  </si>
  <si>
    <t>205,0</t>
  </si>
  <si>
    <t>ВЕСОВАЯ КАТЕГОРИЯ   125</t>
  </si>
  <si>
    <t>Открытая (05.07.1983)/39</t>
  </si>
  <si>
    <t>119,20</t>
  </si>
  <si>
    <t>175,0</t>
  </si>
  <si>
    <t>82.5</t>
  </si>
  <si>
    <t>90</t>
  </si>
  <si>
    <t>100</t>
  </si>
  <si>
    <t>Вишневская Виктория</t>
  </si>
  <si>
    <t>Вотто Ульяна</t>
  </si>
  <si>
    <t>Будаев Тимур</t>
  </si>
  <si>
    <t>Нурутдинов Максим</t>
  </si>
  <si>
    <t>2</t>
  </si>
  <si>
    <t>Шураев Павел</t>
  </si>
  <si>
    <t>3</t>
  </si>
  <si>
    <t>Кучер Андрей</t>
  </si>
  <si>
    <t>Сосновский Никита</t>
  </si>
  <si>
    <t>Энгельгард Артём</t>
  </si>
  <si>
    <t>Заверткин Максим</t>
  </si>
  <si>
    <t>4</t>
  </si>
  <si>
    <t>Лаптев Александр</t>
  </si>
  <si>
    <t>Ташланов Егор</t>
  </si>
  <si>
    <t>Середин Андрей</t>
  </si>
  <si>
    <t>Сороковиков Александр</t>
  </si>
  <si>
    <t>ВЕСОВАЯ КАТЕГОРИЯ   52</t>
  </si>
  <si>
    <t>Открытая (01.05.1979)/44</t>
  </si>
  <si>
    <t>50,70</t>
  </si>
  <si>
    <t>85,0</t>
  </si>
  <si>
    <t>40,0</t>
  </si>
  <si>
    <t>125,0</t>
  </si>
  <si>
    <t>Открытая (19.09.1998)/24</t>
  </si>
  <si>
    <t>55,20</t>
  </si>
  <si>
    <t>95,0</t>
  </si>
  <si>
    <t>115,0</t>
  </si>
  <si>
    <t>120,0</t>
  </si>
  <si>
    <t>Открытая (23.04.1991)/32</t>
  </si>
  <si>
    <t>53,90</t>
  </si>
  <si>
    <t>65,0</t>
  </si>
  <si>
    <t>42,5</t>
  </si>
  <si>
    <t>107,5</t>
  </si>
  <si>
    <t>ВЕСОВАЯ КАТЕГОРИЯ   60</t>
  </si>
  <si>
    <t>Открытая (24.08.1991)/31</t>
  </si>
  <si>
    <t>59,50</t>
  </si>
  <si>
    <t>ВЕСОВАЯ КАТЕГОРИЯ   67.5</t>
  </si>
  <si>
    <t>63,30</t>
  </si>
  <si>
    <t>92,5</t>
  </si>
  <si>
    <t>Открытая (11.03.1985)/38</t>
  </si>
  <si>
    <t>105,0</t>
  </si>
  <si>
    <t>67,5</t>
  </si>
  <si>
    <t>Открытая (13.07.1987)/35</t>
  </si>
  <si>
    <t>64,50</t>
  </si>
  <si>
    <t>ВЕСОВАЯ КАТЕГОРИЯ   75</t>
  </si>
  <si>
    <t>74,60</t>
  </si>
  <si>
    <t>Открытая (04.01.2008)/15</t>
  </si>
  <si>
    <t>57,50</t>
  </si>
  <si>
    <t>122,5</t>
  </si>
  <si>
    <t>65,00</t>
  </si>
  <si>
    <t>Юноши 15-19 (27.03.2006)/17</t>
  </si>
  <si>
    <t>72,40</t>
  </si>
  <si>
    <t>97,5</t>
  </si>
  <si>
    <t>102,5</t>
  </si>
  <si>
    <t>62,5</t>
  </si>
  <si>
    <t>72,5</t>
  </si>
  <si>
    <t>Юноши 15-19 (08.10.2006)/16</t>
  </si>
  <si>
    <t>75,00</t>
  </si>
  <si>
    <t>73,80</t>
  </si>
  <si>
    <t>Открытая (13.08.1988)/34</t>
  </si>
  <si>
    <t>73,50</t>
  </si>
  <si>
    <t>217,5</t>
  </si>
  <si>
    <t>Открытая (15.01.1989)/34</t>
  </si>
  <si>
    <t>Открытая (27.08.1984)/38</t>
  </si>
  <si>
    <t>68,00</t>
  </si>
  <si>
    <t>Открытая (31.03.1994)/29</t>
  </si>
  <si>
    <t>80,90</t>
  </si>
  <si>
    <t>112,5</t>
  </si>
  <si>
    <t>185,0</t>
  </si>
  <si>
    <t>79,10</t>
  </si>
  <si>
    <t>147,5</t>
  </si>
  <si>
    <t>Открытая (11.02.1991)/32</t>
  </si>
  <si>
    <t>81,70</t>
  </si>
  <si>
    <t>177,5</t>
  </si>
  <si>
    <t>237,5</t>
  </si>
  <si>
    <t xml:space="preserve">Старцев Юрий </t>
  </si>
  <si>
    <t>Открытая (25.07.1991)/31</t>
  </si>
  <si>
    <t>75,20</t>
  </si>
  <si>
    <t>Открытая (13.11.1994)/28</t>
  </si>
  <si>
    <t>80,30</t>
  </si>
  <si>
    <t>Открытая (06.06.1991)/31</t>
  </si>
  <si>
    <t>81,40</t>
  </si>
  <si>
    <t>Открытая (30.09.1990)/32</t>
  </si>
  <si>
    <t>79,70</t>
  </si>
  <si>
    <t>132,5</t>
  </si>
  <si>
    <t>172,5</t>
  </si>
  <si>
    <t>Открытая (08.05.1999)/24</t>
  </si>
  <si>
    <t>79,00</t>
  </si>
  <si>
    <t>142,5</t>
  </si>
  <si>
    <t>86,60</t>
  </si>
  <si>
    <t>197,5</t>
  </si>
  <si>
    <t>88,90</t>
  </si>
  <si>
    <t xml:space="preserve">Усолье-Сибирское/Иркутская область </t>
  </si>
  <si>
    <t xml:space="preserve">Кривоносов Владислав </t>
  </si>
  <si>
    <t>Открытая (24.10.1987)/35</t>
  </si>
  <si>
    <t>89,10</t>
  </si>
  <si>
    <t>247,5</t>
  </si>
  <si>
    <t>308,0</t>
  </si>
  <si>
    <t>Открытая (03.10.1991)/31</t>
  </si>
  <si>
    <t>88,80</t>
  </si>
  <si>
    <t>222,5</t>
  </si>
  <si>
    <t>Открытая (24.03.1994)/29</t>
  </si>
  <si>
    <t>155,0</t>
  </si>
  <si>
    <t>152,5</t>
  </si>
  <si>
    <t>Открытая (14.07.1983)/39</t>
  </si>
  <si>
    <t>88,30</t>
  </si>
  <si>
    <t>Открытая (02.11.1987)/35</t>
  </si>
  <si>
    <t>98,20</t>
  </si>
  <si>
    <t>Юноши 15-19 (29.07.2005)/17</t>
  </si>
  <si>
    <t>109,50</t>
  </si>
  <si>
    <t>202,5</t>
  </si>
  <si>
    <t>Открытая (04.02.1998)/25</t>
  </si>
  <si>
    <t>109,90</t>
  </si>
  <si>
    <t>103,30</t>
  </si>
  <si>
    <t>Открытая (28.08.1995)/27</t>
  </si>
  <si>
    <t>119,90</t>
  </si>
  <si>
    <t xml:space="preserve">Тайшет/Иркутская область </t>
  </si>
  <si>
    <t>235,0</t>
  </si>
  <si>
    <t xml:space="preserve">Мастера </t>
  </si>
  <si>
    <t>-</t>
  </si>
  <si>
    <t>Сизых Лариса</t>
  </si>
  <si>
    <t>Сайфушева Анастасия</t>
  </si>
  <si>
    <t>Кириллова Антонина</t>
  </si>
  <si>
    <t>Сапожникова Александра</t>
  </si>
  <si>
    <t>Цыганок Юлиана</t>
  </si>
  <si>
    <t>Энгельгард Ольга</t>
  </si>
  <si>
    <t>Григорьева Оксана</t>
  </si>
  <si>
    <t>Бодина Анна</t>
  </si>
  <si>
    <t>Нурутдинов Руслан</t>
  </si>
  <si>
    <t>Кодинец Олег</t>
  </si>
  <si>
    <t>Петрушин Владимир</t>
  </si>
  <si>
    <t>Лаптев Андрей</t>
  </si>
  <si>
    <t>Парщиков Иван</t>
  </si>
  <si>
    <t>Спиридончук Михаил</t>
  </si>
  <si>
    <t>Крупельницкий Рустам</t>
  </si>
  <si>
    <t>Прядко Николай</t>
  </si>
  <si>
    <t>Тренихин Артём</t>
  </si>
  <si>
    <t>Карноухов Семен</t>
  </si>
  <si>
    <t>Летута Даниил</t>
  </si>
  <si>
    <t>Ковалёв Андрей</t>
  </si>
  <si>
    <t>Старцев Юрий</t>
  </si>
  <si>
    <t>Аюшеев Бато</t>
  </si>
  <si>
    <t>Леус Роман</t>
  </si>
  <si>
    <t>5</t>
  </si>
  <si>
    <t>Гуров Кирилл</t>
  </si>
  <si>
    <t>6</t>
  </si>
  <si>
    <t>Мирошниченко Александр</t>
  </si>
  <si>
    <t>Власевский Алексей</t>
  </si>
  <si>
    <t>Искаков Руслан</t>
  </si>
  <si>
    <t>Кривоносов Владислав</t>
  </si>
  <si>
    <t>Худоногов Никита</t>
  </si>
  <si>
    <t>Горяшин Сергей</t>
  </si>
  <si>
    <t>Бахарев Виталий</t>
  </si>
  <si>
    <t>Сапожников Дмитрий</t>
  </si>
  <si>
    <t>Мазаник Василий</t>
  </si>
  <si>
    <t>Кондратьев Сергей</t>
  </si>
  <si>
    <t>Никаноров Олег</t>
  </si>
  <si>
    <t>Зайцев Евгений</t>
  </si>
  <si>
    <t>Шульгин Алексей</t>
  </si>
  <si>
    <t>Брюханов Никита</t>
  </si>
  <si>
    <t>98,50</t>
  </si>
  <si>
    <t>Скаленковский Алексей</t>
  </si>
  <si>
    <t>Открытая (05.02.1987)/36</t>
  </si>
  <si>
    <t>Открытая (07.06.1991)/31</t>
  </si>
  <si>
    <t>73,40</t>
  </si>
  <si>
    <t xml:space="preserve">Сапожников Владислав </t>
  </si>
  <si>
    <t>Открытая (21.10.1993)/29</t>
  </si>
  <si>
    <t>86,70</t>
  </si>
  <si>
    <t xml:space="preserve">Братск/Иркутская область </t>
  </si>
  <si>
    <t>212,5</t>
  </si>
  <si>
    <t>Открытая (17.07.1978)/44</t>
  </si>
  <si>
    <t>89,40</t>
  </si>
  <si>
    <t>Открытая (13.07.1989)/33</t>
  </si>
  <si>
    <t>87,00</t>
  </si>
  <si>
    <t>Открытая (09.07.1991)/31</t>
  </si>
  <si>
    <t>Открытая (17.06.1986)/36</t>
  </si>
  <si>
    <t xml:space="preserve">Саянск/Иркутская область </t>
  </si>
  <si>
    <t>Открытая (13.06.1977)/45</t>
  </si>
  <si>
    <t>98,70</t>
  </si>
  <si>
    <t>99,30</t>
  </si>
  <si>
    <t>93,00</t>
  </si>
  <si>
    <t>97,70</t>
  </si>
  <si>
    <t xml:space="preserve">Кичигин Кирилл </t>
  </si>
  <si>
    <t>Открытая (07.08.1996)/26</t>
  </si>
  <si>
    <t>106,50</t>
  </si>
  <si>
    <t xml:space="preserve">Гладких Захар </t>
  </si>
  <si>
    <t>Открытая (25.11.1998)/24</t>
  </si>
  <si>
    <t>102,10</t>
  </si>
  <si>
    <t>Открытая (09.11.1985)/37</t>
  </si>
  <si>
    <t>107,60</t>
  </si>
  <si>
    <t>Открытая (04.10.1985)/37</t>
  </si>
  <si>
    <t>108,20</t>
  </si>
  <si>
    <t>Открытая (18.10.1977)/45</t>
  </si>
  <si>
    <t>114,60</t>
  </si>
  <si>
    <t xml:space="preserve">Киренск/Иркутская область </t>
  </si>
  <si>
    <t>Открытая (02.12.1993)/29</t>
  </si>
  <si>
    <t>113,60</t>
  </si>
  <si>
    <t>118,90</t>
  </si>
  <si>
    <t xml:space="preserve">Результат </t>
  </si>
  <si>
    <t>125</t>
  </si>
  <si>
    <t>Результат</t>
  </si>
  <si>
    <t>Васильев Виталий</t>
  </si>
  <si>
    <t>Рабданов Сокто</t>
  </si>
  <si>
    <t>Сапожников Владислав</t>
  </si>
  <si>
    <t>Фаткулов Артём</t>
  </si>
  <si>
    <t>Пятилокотов Кирилл</t>
  </si>
  <si>
    <t>Пшеничников Семен</t>
  </si>
  <si>
    <t>Доманских Максим</t>
  </si>
  <si>
    <t>Крывовязый Иван</t>
  </si>
  <si>
    <t>Андреев Илья</t>
  </si>
  <si>
    <t>Четвертных Александр</t>
  </si>
  <si>
    <t>Новиков Евгений</t>
  </si>
  <si>
    <t>Яхонтов Руслан</t>
  </si>
  <si>
    <t>Черненко Максим</t>
  </si>
  <si>
    <t>Кичигин Кирилл</t>
  </si>
  <si>
    <t>Гладких Захар</t>
  </si>
  <si>
    <t>Бондаренко Павел</t>
  </si>
  <si>
    <t>Тирских Алексей</t>
  </si>
  <si>
    <t>Французов Александр</t>
  </si>
  <si>
    <t>Загоскин Антон</t>
  </si>
  <si>
    <t>Мыра Андрей</t>
  </si>
  <si>
    <t>51,80</t>
  </si>
  <si>
    <t>Открытая (10.03.1997)/26</t>
  </si>
  <si>
    <t>55,10</t>
  </si>
  <si>
    <t xml:space="preserve">Шелехов/Иркутская область </t>
  </si>
  <si>
    <t>Открытая (11.10.1997)/25</t>
  </si>
  <si>
    <t>67,50</t>
  </si>
  <si>
    <t>77,30</t>
  </si>
  <si>
    <t>Юноши 15-19 (05.11.2007)/15</t>
  </si>
  <si>
    <t>Юноши 15-19 (20.04.2008)/15</t>
  </si>
  <si>
    <t>57,5</t>
  </si>
  <si>
    <t>Открытая (28.02.1993)/30</t>
  </si>
  <si>
    <t>Открытая (20.07.1983)/39</t>
  </si>
  <si>
    <t>72,30</t>
  </si>
  <si>
    <t>78,90</t>
  </si>
  <si>
    <t>79,60</t>
  </si>
  <si>
    <t xml:space="preserve">Процук Сергей </t>
  </si>
  <si>
    <t>Открытая (14.12.1976)/46</t>
  </si>
  <si>
    <t>82,00</t>
  </si>
  <si>
    <t>Открытая (22.02.1984)/39</t>
  </si>
  <si>
    <t>80,60</t>
  </si>
  <si>
    <t>Открытая (08.05.1986)/37</t>
  </si>
  <si>
    <t>82,10</t>
  </si>
  <si>
    <t>Открытая (23.05.1990)/33</t>
  </si>
  <si>
    <t>80,00</t>
  </si>
  <si>
    <t>89,00</t>
  </si>
  <si>
    <t xml:space="preserve">Трофимов Александр </t>
  </si>
  <si>
    <t>Открытая (22.10.1992)/30</t>
  </si>
  <si>
    <t>Открытая (02.11.1992)/30</t>
  </si>
  <si>
    <t>89,50</t>
  </si>
  <si>
    <t>Открытая (27.11.1995)/27</t>
  </si>
  <si>
    <t>Открытая (01.05.1996)/27</t>
  </si>
  <si>
    <t>87,80</t>
  </si>
  <si>
    <t>Открытая (27.05.1990)/33</t>
  </si>
  <si>
    <t>Открытая (24.08.1990)/32</t>
  </si>
  <si>
    <t>89,90</t>
  </si>
  <si>
    <t xml:space="preserve">Тарасенко Василий </t>
  </si>
  <si>
    <t xml:space="preserve">Попов Виктор </t>
  </si>
  <si>
    <t>85,30</t>
  </si>
  <si>
    <t>91,50</t>
  </si>
  <si>
    <t>Открытая (04.07.1986)/36</t>
  </si>
  <si>
    <t>95,40</t>
  </si>
  <si>
    <t>Открытая (13.10.1984)/38</t>
  </si>
  <si>
    <t>94,80</t>
  </si>
  <si>
    <t>Открытая (07.05.1989)/34</t>
  </si>
  <si>
    <t>95,30</t>
  </si>
  <si>
    <t>Юноши 15-19 (08.11.2006)/16</t>
  </si>
  <si>
    <t>105,70</t>
  </si>
  <si>
    <t>Открытая (08.10.1987)/35</t>
  </si>
  <si>
    <t>107,90</t>
  </si>
  <si>
    <t>Открытая (27.09.1985)/37</t>
  </si>
  <si>
    <t>105,10</t>
  </si>
  <si>
    <t>109,80</t>
  </si>
  <si>
    <t>167,5</t>
  </si>
  <si>
    <t xml:space="preserve">Колядин Максим </t>
  </si>
  <si>
    <t>Открытая (03.09.1994)/28</t>
  </si>
  <si>
    <t>120,00</t>
  </si>
  <si>
    <t xml:space="preserve">Сиренченко Павел </t>
  </si>
  <si>
    <t>Открытая (04.11.1991)/31</t>
  </si>
  <si>
    <t>123,10</t>
  </si>
  <si>
    <t>Кузенкова Алена</t>
  </si>
  <si>
    <t>Тумакова Кристина</t>
  </si>
  <si>
    <t>Зайцева Анна</t>
  </si>
  <si>
    <t>Гусева Наталья</t>
  </si>
  <si>
    <t>Редькин Алексей</t>
  </si>
  <si>
    <t>Жерещин Степан</t>
  </si>
  <si>
    <t>Вяхирев Илья</t>
  </si>
  <si>
    <t>Ларионов Евгений</t>
  </si>
  <si>
    <t>Номоконов Азамат</t>
  </si>
  <si>
    <t>Когут Артем</t>
  </si>
  <si>
    <t>Бруев Олег</t>
  </si>
  <si>
    <t>Процук Сергей</t>
  </si>
  <si>
    <t>Аверин Николай</t>
  </si>
  <si>
    <t>Цариев Алексей</t>
  </si>
  <si>
    <t>Дмитриев Евгений</t>
  </si>
  <si>
    <t>Серебряков Влад</t>
  </si>
  <si>
    <t>Трофимов Александр</t>
  </si>
  <si>
    <t>Ильин Артём</t>
  </si>
  <si>
    <t>Зуев Иван</t>
  </si>
  <si>
    <t>Васильченко Виталий</t>
  </si>
  <si>
    <t>7</t>
  </si>
  <si>
    <t>Ведерников Максим</t>
  </si>
  <si>
    <t>8</t>
  </si>
  <si>
    <t>Назаренко Евгений</t>
  </si>
  <si>
    <t>Семенов Александр</t>
  </si>
  <si>
    <t>Тарасенко Василий</t>
  </si>
  <si>
    <t>Серов Евгений</t>
  </si>
  <si>
    <t>Попов Виктор</t>
  </si>
  <si>
    <t>Курбанов Константин</t>
  </si>
  <si>
    <t>Пашков Олег</t>
  </si>
  <si>
    <t>Ананьев Дмитрий</t>
  </si>
  <si>
    <t>Колодин Роман</t>
  </si>
  <si>
    <t>Табаев Арсений</t>
  </si>
  <si>
    <t>Колодкин Сергей</t>
  </si>
  <si>
    <t>Назарук Дмитрий</t>
  </si>
  <si>
    <t>Куркутов Руслан</t>
  </si>
  <si>
    <t>Колядин Максим</t>
  </si>
  <si>
    <t>Сиренченко Павел</t>
  </si>
  <si>
    <t>55,90</t>
  </si>
  <si>
    <t>Открытая (24.06.1983)/39</t>
  </si>
  <si>
    <t>121,60</t>
  </si>
  <si>
    <t>Корзенникова Ирина</t>
  </si>
  <si>
    <t>Кравченко Антон</t>
  </si>
  <si>
    <t>Открытая (31.03.1978)/45</t>
  </si>
  <si>
    <t>51,10</t>
  </si>
  <si>
    <t>55,40</t>
  </si>
  <si>
    <t>Юноши 15-19 (19.01.2005)/18</t>
  </si>
  <si>
    <t>182,5</t>
  </si>
  <si>
    <t>Юноши 15-19 (14.12.2006)/16</t>
  </si>
  <si>
    <t>68,50</t>
  </si>
  <si>
    <t>Открытая (15.02.1992)/31</t>
  </si>
  <si>
    <t>81,50</t>
  </si>
  <si>
    <t>Открытая (20.05.1995)/28</t>
  </si>
  <si>
    <t xml:space="preserve">Большой Камень/Приморский край </t>
  </si>
  <si>
    <t>245,0</t>
  </si>
  <si>
    <t>Юноши 15-19 (18.04.2006)/17</t>
  </si>
  <si>
    <t>98,30</t>
  </si>
  <si>
    <t>Открытая (19.03.1992)/31</t>
  </si>
  <si>
    <t>98,00</t>
  </si>
  <si>
    <t>Открытая (02.12.1987)/35</t>
  </si>
  <si>
    <t>108,60</t>
  </si>
  <si>
    <t>Гусева Алена</t>
  </si>
  <si>
    <t>Раковская Мирослава</t>
  </si>
  <si>
    <t>Батагаев Семён</t>
  </si>
  <si>
    <t>Шевчук Демид</t>
  </si>
  <si>
    <t>Харахинов Денис</t>
  </si>
  <si>
    <t>Абдуллаев Шадиг</t>
  </si>
  <si>
    <t>Паладий Данил</t>
  </si>
  <si>
    <t>Лубенец Сергей</t>
  </si>
  <si>
    <t>Горбунов Кирилл</t>
  </si>
  <si>
    <t>94,00</t>
  </si>
  <si>
    <t>Мепаришвили Мераби</t>
  </si>
  <si>
    <t>76,80</t>
  </si>
  <si>
    <t>Открытая (19.05.1988)/35</t>
  </si>
  <si>
    <t>Слесь Данил</t>
  </si>
  <si>
    <t>Боборыко Максим</t>
  </si>
  <si>
    <t>68,30</t>
  </si>
  <si>
    <t>87,70</t>
  </si>
  <si>
    <t>Зарбаткин Данил</t>
  </si>
  <si>
    <t>Блинов Алексей</t>
  </si>
  <si>
    <t>Открытая (22.10.1983)/39</t>
  </si>
  <si>
    <t>61,70</t>
  </si>
  <si>
    <t>30,0</t>
  </si>
  <si>
    <t>32,5</t>
  </si>
  <si>
    <t>63,20</t>
  </si>
  <si>
    <t>47,5</t>
  </si>
  <si>
    <t>64,60</t>
  </si>
  <si>
    <t>65,60</t>
  </si>
  <si>
    <t xml:space="preserve">Слюдянка/Иркутская область </t>
  </si>
  <si>
    <t>76,20</t>
  </si>
  <si>
    <t>81,20</t>
  </si>
  <si>
    <t>77,90</t>
  </si>
  <si>
    <t>81,80</t>
  </si>
  <si>
    <t>80,10</t>
  </si>
  <si>
    <t xml:space="preserve">Магадан/Магаданская область </t>
  </si>
  <si>
    <t>Открытая (23.02.1991)/32</t>
  </si>
  <si>
    <t>77,5</t>
  </si>
  <si>
    <t>Открытая (13.02.1985)/38</t>
  </si>
  <si>
    <t>97,50</t>
  </si>
  <si>
    <t>Мухина Анастасия</t>
  </si>
  <si>
    <t>Шишлин Александр</t>
  </si>
  <si>
    <t>Петров Данил</t>
  </si>
  <si>
    <t>Батагаев Дмитрий</t>
  </si>
  <si>
    <t>Морозов Дмитрий</t>
  </si>
  <si>
    <t>Соболев Дмитрий</t>
  </si>
  <si>
    <t>Большаков Василий</t>
  </si>
  <si>
    <t>Мельников Сергей</t>
  </si>
  <si>
    <t>Константинов Никита</t>
  </si>
  <si>
    <t>Заяхаев Борис</t>
  </si>
  <si>
    <t>Петров Иван</t>
  </si>
  <si>
    <t>Бабаян Гарик</t>
  </si>
  <si>
    <t>Соколов Александр</t>
  </si>
  <si>
    <t>Анохов Олег</t>
  </si>
  <si>
    <t>82,5</t>
  </si>
  <si>
    <t>Серебренников Вадим</t>
  </si>
  <si>
    <t>Всероссийский турнир «The Power of Siberia»
СПР Жим лежа в однопетельной софт экипировке ДК
Иркутск/Иркутская область, 27-28 мая 2023 года</t>
  </si>
  <si>
    <t>Всероссийский турнир «The Power of Siberia»
СПР Жим лежа в однопетельной софт экипировке
Иркутск/Иркутская область, 27-28 мая 2023 года</t>
  </si>
  <si>
    <t>Всероссийский турнир «The Power of Siberia»
СПР Строгий подъем штанги на бицепс ДК
Иркутск/Иркутская область, 27-28 мая 2023 года</t>
  </si>
  <si>
    <t>Всероссийский турнир «The Power of Siberia»
СПР Строгий подъем штанги на бицепс
Иркутск/Иркутская область, 27-28 мая 2023 года</t>
  </si>
  <si>
    <t>Всероссийский турнир «The Power of Siberia»
IPL Силовое двоеборье без экипировки ДК
Иркутск/Иркутская область, 27-28 мая 2023 года</t>
  </si>
  <si>
    <t>Всероссийский турнир «The Power of Siberia»
IPL Силовое двоеборье без экипировки
Иркутск/Иркутская область, 27-28 мая 2023 года</t>
  </si>
  <si>
    <t>Всероссийский турнир «The Power of Siberia»
IPL Присед без экипировки ДК
Иркутск/Иркутская область, 27-28 мая 2023 года</t>
  </si>
  <si>
    <t>Всероссийский турнир «The Power of Siberia»
IPL Присед без экипировки
Иркутск/Иркутская область, 27-28 мая 2023 года</t>
  </si>
  <si>
    <t>Всероссийский турнир «The Power of Siberia»
IPL Становая тяга без экипировки ДК
Иркутск/Иркутская область, 27-28 мая 2023 года</t>
  </si>
  <si>
    <t>Всероссийский турнир «The Power of Siberia»
IPL Становая тяга без экипировки
Иркутск/Иркутская область, 27-28 мая 2023 года</t>
  </si>
  <si>
    <t>Всероссийский турнир «The Power of Siberia»
IPL Жим лежа без экипировки ДК
Иркутск/Иркутская область, 27-28 мая 2023 года</t>
  </si>
  <si>
    <t>Всероссийский турнир «The Power of Siberia»
IPL Жим лежа без экипировки
Иркутск/Иркутская область, 27-28 мая 2023 года</t>
  </si>
  <si>
    <t>Всероссийский турнир «The Power of Siberia»
IPL Пауэрлифтинг в бинтах ДК
Иркутск/Иркутская область, 27-28 мая 2023 года</t>
  </si>
  <si>
    <t>Всероссийский турнир «The Power of Siberia»
IPL Пауэрлифтинг без экипировки ДК
Иркутск/Иркутская область, 27-28 мая 2023 года</t>
  </si>
  <si>
    <t>Всероссийский турнир «The Power of Siberia»
IPL Пауэрлифтинг без экипировки
Иркутск/Иркутская область, 27-28 мая 2023 года</t>
  </si>
  <si>
    <t>Всероссийский турнир «The Power of Siberia»
IPL Пауэрлифтинг в однослойной экипировке
Иркутск/Иркутская область, 27-28 мая 2023 года</t>
  </si>
  <si>
    <t>Мастера 50-59 (01.06.1964)/58</t>
  </si>
  <si>
    <t>Мастера 40-49 (17.07.1978)/44</t>
  </si>
  <si>
    <t>Юноши 13-19 (10.02.2005)/18</t>
  </si>
  <si>
    <t>Юноши 13-19 (16.07.2006)/16</t>
  </si>
  <si>
    <t>Юноши 13-19 (23.05.2007)/16</t>
  </si>
  <si>
    <t>Юноши 13-19 (08.10.2006)/16</t>
  </si>
  <si>
    <t>Юноши 13-19 (27.10.2007)/15</t>
  </si>
  <si>
    <t>Юноши 13-19 (09.07.2007)/15</t>
  </si>
  <si>
    <t>Юноши 13-19 (08.01.2004)/19</t>
  </si>
  <si>
    <t>Юноши 13-19 (01.09.2005)/17</t>
  </si>
  <si>
    <t>Юноши 13-19 (18.03.2005)/18</t>
  </si>
  <si>
    <t>Юноши 13-19 (22.03.2005)/18</t>
  </si>
  <si>
    <t>Юниоры 20-23 (04.02.2002)/21</t>
  </si>
  <si>
    <t>Мастера 40-49 (19.03.1982)/41</t>
  </si>
  <si>
    <t>Юниоры 20-23 (16.07.2002)/20</t>
  </si>
  <si>
    <t>Мастера 40-49 (05.10.1981)/41</t>
  </si>
  <si>
    <t>Юниоры 20-23 (09.07.2001)/21</t>
  </si>
  <si>
    <t>Мастера 40-44 (24.09.1982)/40</t>
  </si>
  <si>
    <t>Мастера 45-49 (30.09.1975)/47</t>
  </si>
  <si>
    <t>Мастера 45-49 (31.03.1978)/45</t>
  </si>
  <si>
    <t>Юниорки 20-23 (11.01.2001)/22</t>
  </si>
  <si>
    <t>Мастера 40-44 (07.01.1979)/44</t>
  </si>
  <si>
    <t>Мастера 45-49 (20.11.1975)/47</t>
  </si>
  <si>
    <t>Юниоры 20-23 (15.04.2002)/21</t>
  </si>
  <si>
    <t>Юниоры 20-23 (31.05.2000)/22</t>
  </si>
  <si>
    <t>Юниоры 20-23 (31.07.2002)/20</t>
  </si>
  <si>
    <t>Мастера 45-49 (14.12.1976)/46</t>
  </si>
  <si>
    <t>Юниоры 20-23 (06.06.2001)/21</t>
  </si>
  <si>
    <t>Мастера 40-44 (15.03.1980)/43</t>
  </si>
  <si>
    <t>Мастера 45-49 (10.10.1976)/46</t>
  </si>
  <si>
    <t>Мастера 45-49 (12.02.1974)/49</t>
  </si>
  <si>
    <t>Мастера 60-64 (11.10.1958)/64</t>
  </si>
  <si>
    <t>Юниоры 20-23 (09.06.2000)/22</t>
  </si>
  <si>
    <t>Мастера 40-44 (04.08.1982)/40</t>
  </si>
  <si>
    <t xml:space="preserve">Мастера 45-49 </t>
  </si>
  <si>
    <t xml:space="preserve">Мастера 60-64 </t>
  </si>
  <si>
    <t>Мастера 40-44 (17.07.1978)/44</t>
  </si>
  <si>
    <t>Мастера 40-44 (22.01.1983)/40</t>
  </si>
  <si>
    <t>Мастера 40-44 (06.10.1982)/40</t>
  </si>
  <si>
    <t>Мастера 40-44 (05.01.1983)/40</t>
  </si>
  <si>
    <t>Мастера 40-44 (21.01.1980)/43</t>
  </si>
  <si>
    <t>Мастера 40-44 (03.01.1981)/42</t>
  </si>
  <si>
    <t>Мастера 45-49 (13.06.1977)/45</t>
  </si>
  <si>
    <t>Мастера 40-44 (02.09.1981)/41</t>
  </si>
  <si>
    <t>Мастера 45-49 (18.10.1977)/45</t>
  </si>
  <si>
    <t>Мастера 40-44 (09.04.1979)/44</t>
  </si>
  <si>
    <t>Мастера 40-44 (01.05.1979)/44</t>
  </si>
  <si>
    <t>Юниорки 20-23 (17.03.2002)/21</t>
  </si>
  <si>
    <t>Мастера 40-44 (01.02.1982)/41</t>
  </si>
  <si>
    <t>Юниоры 20-23 (04.08.2000)/22</t>
  </si>
  <si>
    <t>Юниоры 20-23 (30.04.2003)/20</t>
  </si>
  <si>
    <t>Юниоры 20-23 (17.03.2002)/21</t>
  </si>
  <si>
    <t>Юниоры 20-23 (17.07.1999)/23</t>
  </si>
  <si>
    <t>Юниоры 20-23 (24.11.2002)/20</t>
  </si>
  <si>
    <t>Юниоры 20-23 (07.11.1999)/23</t>
  </si>
  <si>
    <t>Юниоры 20-23 (24.08.2000)/22</t>
  </si>
  <si>
    <t>Мастера 45-49 (02.01.1978)/45</t>
  </si>
  <si>
    <t>Мастера 40-44 (18.06.1981)/41</t>
  </si>
  <si>
    <t xml:space="preserve">Улан-Удэ/Республика Бурятия </t>
  </si>
  <si>
    <t>Весовая категория</t>
  </si>
  <si>
    <t>Мужчины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</si>
  <si>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</si>
  <si>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</si>
  <si>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</si>
  <si>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</si>
  <si>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</si>
  <si>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</si>
  <si>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J</t>
  </si>
  <si>
    <t>T</t>
  </si>
  <si>
    <t>M2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</si>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</sst>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70"/>
  <sheetViews>
    <sheetView topLeftCell="A33" workbookViewId="0">
      <selection activeCell="E71" sqref="E71"/>
    </sheetView>
  </sheetViews>
  <sheetFormatPr baseColWidth="10" defaultColWidth="9.1640625" defaultRowHeight="13"/>
  <cols>
    <col min="1" max="1" width="6.6640625" style="5" bestFit="1" customWidth="1"/>
    <col min="2" max="2" width="22.83203125" style="5" bestFit="1" customWidth="1"/>
    <col min="3" max="3" width="28.33203125" style="5" bestFit="1" customWidth="1"/>
    <col min="4" max="4" width="20" style="5" bestFit="1" customWidth="1"/>
    <col min="5" max="5" width="9.6640625" style="6" bestFit="1" customWidth="1"/>
    <col min="6" max="6" width="33.83203125" style="5" bestFit="1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7" width="5.33203125" style="10" customWidth="1"/>
    <col min="18" max="18" width="4.33203125" style="10" customWidth="1"/>
    <col min="19" max="19" width="7.1640625" style="20" bestFit="1" customWidth="1"/>
    <col min="20" max="20" width="8.33203125" style="7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47" t="s">
        <v>529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62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60"/>
      <c r="U4" s="65"/>
    </row>
    <row r="5" spans="1:21" ht="16">
      <c r="A5" s="66" t="s">
        <v>138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35" t="s">
        <v>240</v>
      </c>
      <c r="B6" s="25" t="s">
        <v>241</v>
      </c>
      <c r="C6" s="25" t="s">
        <v>139</v>
      </c>
      <c r="D6" s="25" t="s">
        <v>140</v>
      </c>
      <c r="E6" s="26" t="s">
        <v>597</v>
      </c>
      <c r="F6" s="25" t="s">
        <v>35</v>
      </c>
      <c r="G6" s="36" t="s">
        <v>141</v>
      </c>
      <c r="H6" s="36" t="s">
        <v>47</v>
      </c>
      <c r="I6" s="36" t="s">
        <v>47</v>
      </c>
      <c r="J6" s="35"/>
      <c r="K6" s="36"/>
      <c r="L6" s="35"/>
      <c r="M6" s="35"/>
      <c r="N6" s="35"/>
      <c r="O6" s="36"/>
      <c r="P6" s="35"/>
      <c r="Q6" s="35"/>
      <c r="R6" s="35"/>
      <c r="S6" s="43">
        <v>0</v>
      </c>
      <c r="T6" s="27" t="str">
        <f>"0,0000"</f>
        <v>0,0000</v>
      </c>
      <c r="U6" s="25"/>
    </row>
    <row r="7" spans="1:21">
      <c r="A7" s="40" t="s">
        <v>240</v>
      </c>
      <c r="B7" s="31" t="s">
        <v>241</v>
      </c>
      <c r="C7" s="31" t="s">
        <v>578</v>
      </c>
      <c r="D7" s="31" t="s">
        <v>140</v>
      </c>
      <c r="E7" s="32" t="s">
        <v>598</v>
      </c>
      <c r="F7" s="31" t="s">
        <v>35</v>
      </c>
      <c r="G7" s="41" t="s">
        <v>141</v>
      </c>
      <c r="H7" s="41" t="s">
        <v>47</v>
      </c>
      <c r="I7" s="41" t="s">
        <v>47</v>
      </c>
      <c r="J7" s="40"/>
      <c r="K7" s="41"/>
      <c r="L7" s="40"/>
      <c r="M7" s="40"/>
      <c r="N7" s="40"/>
      <c r="O7" s="41"/>
      <c r="P7" s="40"/>
      <c r="Q7" s="40"/>
      <c r="R7" s="40"/>
      <c r="S7" s="44">
        <v>0</v>
      </c>
      <c r="T7" s="33" t="str">
        <f>"0,0000"</f>
        <v>0,0000</v>
      </c>
      <c r="U7" s="31"/>
    </row>
    <row r="9" spans="1:21" ht="16">
      <c r="A9" s="70" t="s">
        <v>32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21">
      <c r="A10" s="35" t="s">
        <v>30</v>
      </c>
      <c r="B10" s="25" t="s">
        <v>242</v>
      </c>
      <c r="C10" s="25" t="s">
        <v>144</v>
      </c>
      <c r="D10" s="25" t="s">
        <v>145</v>
      </c>
      <c r="E10" s="26" t="s">
        <v>597</v>
      </c>
      <c r="F10" s="25" t="s">
        <v>35</v>
      </c>
      <c r="G10" s="34" t="s">
        <v>47</v>
      </c>
      <c r="H10" s="36" t="s">
        <v>146</v>
      </c>
      <c r="I10" s="34" t="s">
        <v>146</v>
      </c>
      <c r="J10" s="35"/>
      <c r="K10" s="34" t="s">
        <v>51</v>
      </c>
      <c r="L10" s="36" t="s">
        <v>37</v>
      </c>
      <c r="M10" s="34" t="s">
        <v>37</v>
      </c>
      <c r="N10" s="35"/>
      <c r="O10" s="34" t="s">
        <v>49</v>
      </c>
      <c r="P10" s="34" t="s">
        <v>147</v>
      </c>
      <c r="Q10" s="34" t="s">
        <v>148</v>
      </c>
      <c r="R10" s="35"/>
      <c r="S10" s="43" t="str">
        <f>"270,0"</f>
        <v>270,0</v>
      </c>
      <c r="T10" s="27" t="str">
        <f>"321,3000"</f>
        <v>321,3000</v>
      </c>
      <c r="U10" s="25"/>
    </row>
    <row r="11" spans="1:21">
      <c r="A11" s="40" t="s">
        <v>126</v>
      </c>
      <c r="B11" s="31" t="s">
        <v>243</v>
      </c>
      <c r="C11" s="31" t="s">
        <v>149</v>
      </c>
      <c r="D11" s="31" t="s">
        <v>150</v>
      </c>
      <c r="E11" s="32" t="s">
        <v>597</v>
      </c>
      <c r="F11" s="31" t="s">
        <v>35</v>
      </c>
      <c r="G11" s="39" t="s">
        <v>37</v>
      </c>
      <c r="H11" s="39" t="s">
        <v>38</v>
      </c>
      <c r="I11" s="39" t="s">
        <v>151</v>
      </c>
      <c r="J11" s="40"/>
      <c r="K11" s="39" t="s">
        <v>152</v>
      </c>
      <c r="L11" s="41" t="s">
        <v>50</v>
      </c>
      <c r="M11" s="39" t="s">
        <v>50</v>
      </c>
      <c r="N11" s="40"/>
      <c r="O11" s="39" t="s">
        <v>47</v>
      </c>
      <c r="P11" s="39" t="s">
        <v>48</v>
      </c>
      <c r="Q11" s="39" t="s">
        <v>153</v>
      </c>
      <c r="R11" s="40"/>
      <c r="S11" s="44" t="str">
        <f>"217,5"</f>
        <v>217,5</v>
      </c>
      <c r="T11" s="33" t="str">
        <f>"263,6752"</f>
        <v>263,6752</v>
      </c>
      <c r="U11" s="31"/>
    </row>
    <row r="13" spans="1:21" ht="16">
      <c r="A13" s="70" t="s">
        <v>154</v>
      </c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21">
      <c r="A14" s="22" t="s">
        <v>30</v>
      </c>
      <c r="B14" s="11" t="s">
        <v>244</v>
      </c>
      <c r="C14" s="11" t="s">
        <v>155</v>
      </c>
      <c r="D14" s="11" t="s">
        <v>156</v>
      </c>
      <c r="E14" s="12" t="s">
        <v>597</v>
      </c>
      <c r="F14" s="11" t="s">
        <v>35</v>
      </c>
      <c r="G14" s="23" t="s">
        <v>47</v>
      </c>
      <c r="H14" s="21" t="s">
        <v>47</v>
      </c>
      <c r="I14" s="23" t="s">
        <v>48</v>
      </c>
      <c r="J14" s="22"/>
      <c r="K14" s="21" t="s">
        <v>142</v>
      </c>
      <c r="L14" s="21" t="s">
        <v>50</v>
      </c>
      <c r="M14" s="23" t="s">
        <v>36</v>
      </c>
      <c r="N14" s="22"/>
      <c r="O14" s="21" t="s">
        <v>146</v>
      </c>
      <c r="P14" s="21" t="s">
        <v>153</v>
      </c>
      <c r="Q14" s="23" t="s">
        <v>148</v>
      </c>
      <c r="R14" s="22"/>
      <c r="S14" s="45" t="str">
        <f>"242,5"</f>
        <v>242,5</v>
      </c>
      <c r="T14" s="13" t="str">
        <f>"272,1092"</f>
        <v>272,1092</v>
      </c>
      <c r="U14" s="11"/>
    </row>
    <row r="16" spans="1:21" ht="16">
      <c r="A16" s="70" t="s">
        <v>157</v>
      </c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21">
      <c r="A17" s="35" t="s">
        <v>30</v>
      </c>
      <c r="B17" s="25" t="s">
        <v>245</v>
      </c>
      <c r="C17" s="25" t="s">
        <v>579</v>
      </c>
      <c r="D17" s="25" t="s">
        <v>158</v>
      </c>
      <c r="E17" s="26" t="s">
        <v>599</v>
      </c>
      <c r="F17" s="25" t="s">
        <v>35</v>
      </c>
      <c r="G17" s="34" t="s">
        <v>43</v>
      </c>
      <c r="H17" s="34" t="s">
        <v>141</v>
      </c>
      <c r="I17" s="34" t="s">
        <v>47</v>
      </c>
      <c r="J17" s="35"/>
      <c r="K17" s="34" t="s">
        <v>36</v>
      </c>
      <c r="L17" s="34" t="s">
        <v>37</v>
      </c>
      <c r="M17" s="36" t="s">
        <v>38</v>
      </c>
      <c r="N17" s="35"/>
      <c r="O17" s="36" t="s">
        <v>141</v>
      </c>
      <c r="P17" s="34" t="s">
        <v>141</v>
      </c>
      <c r="Q17" s="34" t="s">
        <v>159</v>
      </c>
      <c r="R17" s="35"/>
      <c r="S17" s="43" t="str">
        <f>"237,5"</f>
        <v>237,5</v>
      </c>
      <c r="T17" s="27" t="str">
        <f>"254,1487"</f>
        <v>254,1487</v>
      </c>
      <c r="U17" s="25"/>
    </row>
    <row r="18" spans="1:21">
      <c r="A18" s="38" t="s">
        <v>30</v>
      </c>
      <c r="B18" s="28" t="s">
        <v>246</v>
      </c>
      <c r="C18" s="28" t="s">
        <v>160</v>
      </c>
      <c r="D18" s="28" t="s">
        <v>158</v>
      </c>
      <c r="E18" s="29" t="s">
        <v>597</v>
      </c>
      <c r="F18" s="28" t="s">
        <v>76</v>
      </c>
      <c r="G18" s="37" t="s">
        <v>161</v>
      </c>
      <c r="H18" s="37" t="s">
        <v>49</v>
      </c>
      <c r="I18" s="37" t="s">
        <v>147</v>
      </c>
      <c r="J18" s="38"/>
      <c r="K18" s="37" t="s">
        <v>38</v>
      </c>
      <c r="L18" s="37" t="s">
        <v>151</v>
      </c>
      <c r="M18" s="42" t="s">
        <v>162</v>
      </c>
      <c r="N18" s="38"/>
      <c r="O18" s="37" t="s">
        <v>143</v>
      </c>
      <c r="P18" s="37" t="s">
        <v>103</v>
      </c>
      <c r="Q18" s="37" t="s">
        <v>59</v>
      </c>
      <c r="R18" s="38"/>
      <c r="S18" s="46" t="str">
        <f>"315,0"</f>
        <v>315,0</v>
      </c>
      <c r="T18" s="30" t="str">
        <f>"337,0815"</f>
        <v>337,0815</v>
      </c>
      <c r="U18" s="28"/>
    </row>
    <row r="19" spans="1:21">
      <c r="A19" s="40" t="s">
        <v>126</v>
      </c>
      <c r="B19" s="31" t="s">
        <v>247</v>
      </c>
      <c r="C19" s="31" t="s">
        <v>163</v>
      </c>
      <c r="D19" s="31" t="s">
        <v>164</v>
      </c>
      <c r="E19" s="32" t="s">
        <v>597</v>
      </c>
      <c r="F19" s="31" t="s">
        <v>35</v>
      </c>
      <c r="G19" s="41" t="s">
        <v>41</v>
      </c>
      <c r="H19" s="39" t="s">
        <v>42</v>
      </c>
      <c r="I19" s="41" t="s">
        <v>43</v>
      </c>
      <c r="J19" s="40"/>
      <c r="K19" s="39" t="s">
        <v>142</v>
      </c>
      <c r="L19" s="39" t="s">
        <v>50</v>
      </c>
      <c r="M19" s="39" t="s">
        <v>36</v>
      </c>
      <c r="N19" s="40"/>
      <c r="O19" s="39" t="s">
        <v>49</v>
      </c>
      <c r="P19" s="41" t="s">
        <v>147</v>
      </c>
      <c r="Q19" s="41" t="s">
        <v>147</v>
      </c>
      <c r="R19" s="40"/>
      <c r="S19" s="44" t="str">
        <f>"235,0"</f>
        <v>235,0</v>
      </c>
      <c r="T19" s="33" t="str">
        <f>"247,9485"</f>
        <v>247,9485</v>
      </c>
      <c r="U19" s="31"/>
    </row>
    <row r="21" spans="1:21" ht="16">
      <c r="A21" s="70" t="s">
        <v>165</v>
      </c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1:21">
      <c r="A22" s="22" t="s">
        <v>30</v>
      </c>
      <c r="B22" s="11" t="s">
        <v>248</v>
      </c>
      <c r="C22" s="11" t="s">
        <v>580</v>
      </c>
      <c r="D22" s="11" t="s">
        <v>166</v>
      </c>
      <c r="E22" s="12" t="s">
        <v>598</v>
      </c>
      <c r="F22" s="11" t="s">
        <v>35</v>
      </c>
      <c r="G22" s="21" t="s">
        <v>146</v>
      </c>
      <c r="H22" s="21" t="s">
        <v>161</v>
      </c>
      <c r="I22" s="21" t="s">
        <v>49</v>
      </c>
      <c r="J22" s="22"/>
      <c r="K22" s="23" t="s">
        <v>38</v>
      </c>
      <c r="L22" s="23" t="s">
        <v>38</v>
      </c>
      <c r="M22" s="21" t="s">
        <v>38</v>
      </c>
      <c r="N22" s="22"/>
      <c r="O22" s="21" t="s">
        <v>148</v>
      </c>
      <c r="P22" s="21" t="s">
        <v>103</v>
      </c>
      <c r="Q22" s="21" t="s">
        <v>104</v>
      </c>
      <c r="R22" s="22"/>
      <c r="S22" s="45" t="str">
        <f>"310,0"</f>
        <v>310,0</v>
      </c>
      <c r="T22" s="13" t="str">
        <f>"297,1564"</f>
        <v>297,1564</v>
      </c>
      <c r="U22" s="11"/>
    </row>
    <row r="24" spans="1:21" ht="16">
      <c r="A24" s="70" t="s">
        <v>154</v>
      </c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21">
      <c r="A25" s="22" t="s">
        <v>30</v>
      </c>
      <c r="B25" s="11" t="s">
        <v>249</v>
      </c>
      <c r="C25" s="11" t="s">
        <v>167</v>
      </c>
      <c r="D25" s="11" t="s">
        <v>168</v>
      </c>
      <c r="E25" s="12" t="s">
        <v>597</v>
      </c>
      <c r="F25" s="11" t="s">
        <v>35</v>
      </c>
      <c r="G25" s="21" t="s">
        <v>48</v>
      </c>
      <c r="H25" s="21" t="s">
        <v>147</v>
      </c>
      <c r="I25" s="21" t="s">
        <v>169</v>
      </c>
      <c r="J25" s="22"/>
      <c r="K25" s="21" t="s">
        <v>41</v>
      </c>
      <c r="L25" s="21" t="s">
        <v>42</v>
      </c>
      <c r="M25" s="21" t="s">
        <v>43</v>
      </c>
      <c r="N25" s="22"/>
      <c r="O25" s="21" t="s">
        <v>48</v>
      </c>
      <c r="P25" s="21" t="s">
        <v>49</v>
      </c>
      <c r="Q25" s="21" t="s">
        <v>148</v>
      </c>
      <c r="R25" s="22"/>
      <c r="S25" s="45" t="str">
        <f>"322,5"</f>
        <v>322,5</v>
      </c>
      <c r="T25" s="13" t="str">
        <f>"286,1865"</f>
        <v>286,1865</v>
      </c>
      <c r="U25" s="11"/>
    </row>
    <row r="27" spans="1:21" ht="16">
      <c r="A27" s="70" t="s">
        <v>157</v>
      </c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21">
      <c r="A28" s="22" t="s">
        <v>30</v>
      </c>
      <c r="B28" s="11" t="s">
        <v>250</v>
      </c>
      <c r="C28" s="11" t="s">
        <v>581</v>
      </c>
      <c r="D28" s="11" t="s">
        <v>170</v>
      </c>
      <c r="E28" s="12" t="s">
        <v>599</v>
      </c>
      <c r="F28" s="11" t="s">
        <v>590</v>
      </c>
      <c r="G28" s="23" t="s">
        <v>104</v>
      </c>
      <c r="H28" s="21" t="s">
        <v>105</v>
      </c>
      <c r="I28" s="23" t="s">
        <v>79</v>
      </c>
      <c r="J28" s="22"/>
      <c r="K28" s="21" t="s">
        <v>48</v>
      </c>
      <c r="L28" s="23" t="s">
        <v>153</v>
      </c>
      <c r="M28" s="23" t="s">
        <v>153</v>
      </c>
      <c r="N28" s="22"/>
      <c r="O28" s="21" t="s">
        <v>95</v>
      </c>
      <c r="P28" s="21" t="s">
        <v>70</v>
      </c>
      <c r="Q28" s="23" t="s">
        <v>56</v>
      </c>
      <c r="R28" s="22"/>
      <c r="S28" s="45" t="str">
        <f>"425,0"</f>
        <v>425,0</v>
      </c>
      <c r="T28" s="13" t="str">
        <f>"337,9600"</f>
        <v>337,9600</v>
      </c>
      <c r="U28" s="11"/>
    </row>
    <row r="30" spans="1:21" ht="16">
      <c r="A30" s="70" t="s">
        <v>165</v>
      </c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</row>
    <row r="31" spans="1:21">
      <c r="A31" s="35" t="s">
        <v>30</v>
      </c>
      <c r="B31" s="25" t="s">
        <v>251</v>
      </c>
      <c r="C31" s="25" t="s">
        <v>171</v>
      </c>
      <c r="D31" s="25" t="s">
        <v>172</v>
      </c>
      <c r="E31" s="26" t="s">
        <v>600</v>
      </c>
      <c r="F31" s="25" t="s">
        <v>76</v>
      </c>
      <c r="G31" s="34" t="s">
        <v>47</v>
      </c>
      <c r="H31" s="34" t="s">
        <v>173</v>
      </c>
      <c r="I31" s="34" t="s">
        <v>174</v>
      </c>
      <c r="J31" s="35"/>
      <c r="K31" s="34" t="s">
        <v>175</v>
      </c>
      <c r="L31" s="34" t="s">
        <v>162</v>
      </c>
      <c r="M31" s="36" t="s">
        <v>176</v>
      </c>
      <c r="N31" s="35"/>
      <c r="O31" s="34" t="s">
        <v>49</v>
      </c>
      <c r="P31" s="34" t="s">
        <v>147</v>
      </c>
      <c r="Q31" s="36" t="s">
        <v>148</v>
      </c>
      <c r="R31" s="35"/>
      <c r="S31" s="43" t="str">
        <f>"285,0"</f>
        <v>285,0</v>
      </c>
      <c r="T31" s="27" t="str">
        <f>"208,2495"</f>
        <v>208,2495</v>
      </c>
      <c r="U31" s="25"/>
    </row>
    <row r="32" spans="1:21">
      <c r="A32" s="38" t="s">
        <v>240</v>
      </c>
      <c r="B32" s="28" t="s">
        <v>252</v>
      </c>
      <c r="C32" s="28" t="s">
        <v>177</v>
      </c>
      <c r="D32" s="28" t="s">
        <v>178</v>
      </c>
      <c r="E32" s="29" t="s">
        <v>600</v>
      </c>
      <c r="F32" s="28" t="s">
        <v>35</v>
      </c>
      <c r="G32" s="37" t="s">
        <v>147</v>
      </c>
      <c r="H32" s="37" t="s">
        <v>148</v>
      </c>
      <c r="I32" s="42" t="s">
        <v>103</v>
      </c>
      <c r="J32" s="38"/>
      <c r="K32" s="42" t="s">
        <v>146</v>
      </c>
      <c r="L32" s="42" t="s">
        <v>146</v>
      </c>
      <c r="M32" s="42" t="s">
        <v>146</v>
      </c>
      <c r="N32" s="38"/>
      <c r="O32" s="42"/>
      <c r="P32" s="38"/>
      <c r="Q32" s="38"/>
      <c r="R32" s="38"/>
      <c r="S32" s="46">
        <v>0</v>
      </c>
      <c r="T32" s="30" t="str">
        <f>"0,0000"</f>
        <v>0,0000</v>
      </c>
      <c r="U32" s="28"/>
    </row>
    <row r="33" spans="1:21">
      <c r="A33" s="38" t="s">
        <v>30</v>
      </c>
      <c r="B33" s="28" t="s">
        <v>253</v>
      </c>
      <c r="C33" s="28" t="s">
        <v>582</v>
      </c>
      <c r="D33" s="28" t="s">
        <v>179</v>
      </c>
      <c r="E33" s="29" t="s">
        <v>599</v>
      </c>
      <c r="F33" s="28" t="s">
        <v>35</v>
      </c>
      <c r="G33" s="37" t="s">
        <v>59</v>
      </c>
      <c r="H33" s="42" t="s">
        <v>105</v>
      </c>
      <c r="I33" s="37" t="s">
        <v>105</v>
      </c>
      <c r="J33" s="38"/>
      <c r="K33" s="37" t="s">
        <v>47</v>
      </c>
      <c r="L33" s="37" t="s">
        <v>173</v>
      </c>
      <c r="M33" s="37" t="s">
        <v>48</v>
      </c>
      <c r="N33" s="38"/>
      <c r="O33" s="37" t="s">
        <v>118</v>
      </c>
      <c r="P33" s="37" t="s">
        <v>55</v>
      </c>
      <c r="Q33" s="42" t="s">
        <v>16</v>
      </c>
      <c r="R33" s="38"/>
      <c r="S33" s="46" t="str">
        <f>"432,5"</f>
        <v>432,5</v>
      </c>
      <c r="T33" s="30" t="str">
        <f>"311,7028"</f>
        <v>311,7028</v>
      </c>
      <c r="U33" s="28"/>
    </row>
    <row r="34" spans="1:21">
      <c r="A34" s="38" t="s">
        <v>30</v>
      </c>
      <c r="B34" s="28" t="s">
        <v>254</v>
      </c>
      <c r="C34" s="28" t="s">
        <v>180</v>
      </c>
      <c r="D34" s="28" t="s">
        <v>181</v>
      </c>
      <c r="E34" s="29" t="s">
        <v>597</v>
      </c>
      <c r="F34" s="28" t="s">
        <v>35</v>
      </c>
      <c r="G34" s="37" t="s">
        <v>95</v>
      </c>
      <c r="H34" s="37" t="s">
        <v>70</v>
      </c>
      <c r="I34" s="42" t="s">
        <v>71</v>
      </c>
      <c r="J34" s="38"/>
      <c r="K34" s="37" t="s">
        <v>103</v>
      </c>
      <c r="L34" s="37" t="s">
        <v>59</v>
      </c>
      <c r="M34" s="42" t="s">
        <v>104</v>
      </c>
      <c r="N34" s="38"/>
      <c r="O34" s="37" t="s">
        <v>16</v>
      </c>
      <c r="P34" s="37" t="s">
        <v>77</v>
      </c>
      <c r="Q34" s="42" t="s">
        <v>182</v>
      </c>
      <c r="R34" s="38"/>
      <c r="S34" s="46" t="str">
        <f>"525,0"</f>
        <v>525,0</v>
      </c>
      <c r="T34" s="30" t="str">
        <f>"379,4700"</f>
        <v>379,4700</v>
      </c>
      <c r="U34" s="28"/>
    </row>
    <row r="35" spans="1:21">
      <c r="A35" s="38" t="s">
        <v>126</v>
      </c>
      <c r="B35" s="28" t="s">
        <v>255</v>
      </c>
      <c r="C35" s="28" t="s">
        <v>183</v>
      </c>
      <c r="D35" s="28" t="s">
        <v>178</v>
      </c>
      <c r="E35" s="29" t="s">
        <v>597</v>
      </c>
      <c r="F35" s="28" t="s">
        <v>35</v>
      </c>
      <c r="G35" s="42" t="s">
        <v>86</v>
      </c>
      <c r="H35" s="37" t="s">
        <v>100</v>
      </c>
      <c r="I35" s="37" t="s">
        <v>95</v>
      </c>
      <c r="J35" s="38"/>
      <c r="K35" s="37" t="s">
        <v>48</v>
      </c>
      <c r="L35" s="37" t="s">
        <v>153</v>
      </c>
      <c r="M35" s="37" t="s">
        <v>49</v>
      </c>
      <c r="N35" s="38"/>
      <c r="O35" s="37" t="s">
        <v>100</v>
      </c>
      <c r="P35" s="37" t="s">
        <v>118</v>
      </c>
      <c r="Q35" s="37" t="s">
        <v>70</v>
      </c>
      <c r="R35" s="38"/>
      <c r="S35" s="46" t="str">
        <f>"460,0"</f>
        <v>460,0</v>
      </c>
      <c r="T35" s="30" t="str">
        <f>"327,7960"</f>
        <v>327,7960</v>
      </c>
      <c r="U35" s="28"/>
    </row>
    <row r="36" spans="1:21">
      <c r="A36" s="38" t="s">
        <v>128</v>
      </c>
      <c r="B36" s="28" t="s">
        <v>256</v>
      </c>
      <c r="C36" s="28" t="s">
        <v>184</v>
      </c>
      <c r="D36" s="28" t="s">
        <v>185</v>
      </c>
      <c r="E36" s="29" t="s">
        <v>597</v>
      </c>
      <c r="F36" s="28" t="s">
        <v>35</v>
      </c>
      <c r="G36" s="37" t="s">
        <v>49</v>
      </c>
      <c r="H36" s="37" t="s">
        <v>147</v>
      </c>
      <c r="I36" s="37" t="s">
        <v>148</v>
      </c>
      <c r="J36" s="38"/>
      <c r="K36" s="37" t="s">
        <v>146</v>
      </c>
      <c r="L36" s="37" t="s">
        <v>161</v>
      </c>
      <c r="M36" s="42" t="s">
        <v>49</v>
      </c>
      <c r="N36" s="38"/>
      <c r="O36" s="37" t="s">
        <v>86</v>
      </c>
      <c r="P36" s="37" t="s">
        <v>118</v>
      </c>
      <c r="Q36" s="42" t="s">
        <v>70</v>
      </c>
      <c r="R36" s="38"/>
      <c r="S36" s="46" t="str">
        <f>"400,0"</f>
        <v>400,0</v>
      </c>
      <c r="T36" s="30" t="str">
        <f>"306,6000"</f>
        <v>306,6000</v>
      </c>
      <c r="U36" s="28"/>
    </row>
    <row r="37" spans="1:21">
      <c r="A37" s="40" t="s">
        <v>240</v>
      </c>
      <c r="B37" s="31" t="s">
        <v>257</v>
      </c>
      <c r="C37" s="31" t="s">
        <v>186</v>
      </c>
      <c r="D37" s="31" t="s">
        <v>179</v>
      </c>
      <c r="E37" s="32" t="s">
        <v>597</v>
      </c>
      <c r="F37" s="31" t="s">
        <v>35</v>
      </c>
      <c r="G37" s="41" t="s">
        <v>105</v>
      </c>
      <c r="H37" s="41" t="s">
        <v>105</v>
      </c>
      <c r="I37" s="41" t="s">
        <v>105</v>
      </c>
      <c r="J37" s="40"/>
      <c r="K37" s="41"/>
      <c r="L37" s="40"/>
      <c r="M37" s="40"/>
      <c r="N37" s="40"/>
      <c r="O37" s="41"/>
      <c r="P37" s="40"/>
      <c r="Q37" s="40"/>
      <c r="R37" s="40"/>
      <c r="S37" s="44">
        <v>0</v>
      </c>
      <c r="T37" s="33" t="str">
        <f>"0,0000"</f>
        <v>0,0000</v>
      </c>
      <c r="U37" s="31"/>
    </row>
    <row r="39" spans="1:21" ht="16">
      <c r="A39" s="70" t="s">
        <v>53</v>
      </c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21">
      <c r="A40" s="35" t="s">
        <v>30</v>
      </c>
      <c r="B40" s="25" t="s">
        <v>124</v>
      </c>
      <c r="C40" s="25" t="s">
        <v>583</v>
      </c>
      <c r="D40" s="25" t="s">
        <v>54</v>
      </c>
      <c r="E40" s="26" t="s">
        <v>599</v>
      </c>
      <c r="F40" s="25" t="s">
        <v>590</v>
      </c>
      <c r="G40" s="34" t="s">
        <v>55</v>
      </c>
      <c r="H40" s="34" t="s">
        <v>56</v>
      </c>
      <c r="I40" s="34" t="s">
        <v>57</v>
      </c>
      <c r="J40" s="35"/>
      <c r="K40" s="34" t="s">
        <v>58</v>
      </c>
      <c r="L40" s="34" t="s">
        <v>59</v>
      </c>
      <c r="M40" s="34" t="s">
        <v>60</v>
      </c>
      <c r="N40" s="35"/>
      <c r="O40" s="34" t="s">
        <v>61</v>
      </c>
      <c r="P40" s="34" t="s">
        <v>62</v>
      </c>
      <c r="Q40" s="34" t="s">
        <v>19</v>
      </c>
      <c r="R40" s="35"/>
      <c r="S40" s="43" t="str">
        <f>"610,0"</f>
        <v>610,0</v>
      </c>
      <c r="T40" s="27" t="str">
        <f>"408,6390"</f>
        <v>408,6390</v>
      </c>
      <c r="U40" s="25"/>
    </row>
    <row r="41" spans="1:21">
      <c r="A41" s="38" t="s">
        <v>126</v>
      </c>
      <c r="B41" s="28" t="s">
        <v>258</v>
      </c>
      <c r="C41" s="28" t="s">
        <v>584</v>
      </c>
      <c r="D41" s="28" t="s">
        <v>187</v>
      </c>
      <c r="E41" s="29" t="s">
        <v>599</v>
      </c>
      <c r="F41" s="28" t="s">
        <v>35</v>
      </c>
      <c r="G41" s="37" t="s">
        <v>143</v>
      </c>
      <c r="H41" s="42" t="s">
        <v>59</v>
      </c>
      <c r="I41" s="37" t="s">
        <v>104</v>
      </c>
      <c r="J41" s="38"/>
      <c r="K41" s="37" t="s">
        <v>153</v>
      </c>
      <c r="L41" s="37" t="s">
        <v>188</v>
      </c>
      <c r="M41" s="37" t="s">
        <v>52</v>
      </c>
      <c r="N41" s="38"/>
      <c r="O41" s="37" t="s">
        <v>100</v>
      </c>
      <c r="P41" s="37" t="s">
        <v>118</v>
      </c>
      <c r="Q41" s="42" t="s">
        <v>189</v>
      </c>
      <c r="R41" s="38"/>
      <c r="S41" s="46" t="str">
        <f>"432,5"</f>
        <v>432,5</v>
      </c>
      <c r="T41" s="30" t="str">
        <f>"293,1918"</f>
        <v>293,1918</v>
      </c>
      <c r="U41" s="28"/>
    </row>
    <row r="42" spans="1:21">
      <c r="A42" s="38" t="s">
        <v>128</v>
      </c>
      <c r="B42" s="28" t="s">
        <v>259</v>
      </c>
      <c r="C42" s="28" t="s">
        <v>585</v>
      </c>
      <c r="D42" s="28" t="s">
        <v>190</v>
      </c>
      <c r="E42" s="29" t="s">
        <v>599</v>
      </c>
      <c r="F42" s="28" t="s">
        <v>35</v>
      </c>
      <c r="G42" s="37" t="s">
        <v>147</v>
      </c>
      <c r="H42" s="37" t="s">
        <v>143</v>
      </c>
      <c r="I42" s="42" t="s">
        <v>59</v>
      </c>
      <c r="J42" s="38"/>
      <c r="K42" s="37" t="s">
        <v>42</v>
      </c>
      <c r="L42" s="37" t="s">
        <v>43</v>
      </c>
      <c r="M42" s="37" t="s">
        <v>141</v>
      </c>
      <c r="N42" s="38"/>
      <c r="O42" s="37" t="s">
        <v>103</v>
      </c>
      <c r="P42" s="37" t="s">
        <v>104</v>
      </c>
      <c r="Q42" s="37" t="s">
        <v>191</v>
      </c>
      <c r="R42" s="38"/>
      <c r="S42" s="46" t="str">
        <f>"357,5"</f>
        <v>357,5</v>
      </c>
      <c r="T42" s="30" t="str">
        <f>"245,8170"</f>
        <v>245,8170</v>
      </c>
      <c r="U42" s="28"/>
    </row>
    <row r="43" spans="1:21">
      <c r="A43" s="38" t="s">
        <v>30</v>
      </c>
      <c r="B43" s="28" t="s">
        <v>260</v>
      </c>
      <c r="C43" s="28" t="s">
        <v>192</v>
      </c>
      <c r="D43" s="28" t="s">
        <v>193</v>
      </c>
      <c r="E43" s="29" t="s">
        <v>597</v>
      </c>
      <c r="F43" s="28" t="s">
        <v>76</v>
      </c>
      <c r="G43" s="37" t="s">
        <v>95</v>
      </c>
      <c r="H43" s="37" t="s">
        <v>194</v>
      </c>
      <c r="I43" s="37" t="s">
        <v>189</v>
      </c>
      <c r="J43" s="38"/>
      <c r="K43" s="37" t="s">
        <v>104</v>
      </c>
      <c r="L43" s="37" t="s">
        <v>105</v>
      </c>
      <c r="M43" s="42" t="s">
        <v>79</v>
      </c>
      <c r="N43" s="38"/>
      <c r="O43" s="37" t="s">
        <v>78</v>
      </c>
      <c r="P43" s="37" t="s">
        <v>111</v>
      </c>
      <c r="Q43" s="42" t="s">
        <v>195</v>
      </c>
      <c r="R43" s="38"/>
      <c r="S43" s="46" t="str">
        <f>"560,0"</f>
        <v>560,0</v>
      </c>
      <c r="T43" s="30" t="str">
        <f>"377,3840"</f>
        <v>377,3840</v>
      </c>
      <c r="U43" s="28"/>
    </row>
    <row r="44" spans="1:21">
      <c r="A44" s="38" t="s">
        <v>126</v>
      </c>
      <c r="B44" s="28" t="s">
        <v>261</v>
      </c>
      <c r="C44" s="28" t="s">
        <v>197</v>
      </c>
      <c r="D44" s="28" t="s">
        <v>198</v>
      </c>
      <c r="E44" s="29" t="s">
        <v>597</v>
      </c>
      <c r="F44" s="28" t="s">
        <v>35</v>
      </c>
      <c r="G44" s="37" t="s">
        <v>71</v>
      </c>
      <c r="H44" s="37" t="s">
        <v>16</v>
      </c>
      <c r="I44" s="38"/>
      <c r="J44" s="38"/>
      <c r="K44" s="37" t="s">
        <v>161</v>
      </c>
      <c r="L44" s="37" t="s">
        <v>49</v>
      </c>
      <c r="M44" s="42" t="s">
        <v>147</v>
      </c>
      <c r="N44" s="38"/>
      <c r="O44" s="37" t="s">
        <v>61</v>
      </c>
      <c r="P44" s="42" t="s">
        <v>62</v>
      </c>
      <c r="Q44" s="42" t="s">
        <v>62</v>
      </c>
      <c r="R44" s="38"/>
      <c r="S44" s="46" t="str">
        <f>"550,0"</f>
        <v>550,0</v>
      </c>
      <c r="T44" s="30" t="str">
        <f>"391,1600"</f>
        <v>391,1600</v>
      </c>
      <c r="U44" s="28"/>
    </row>
    <row r="45" spans="1:21">
      <c r="A45" s="38" t="s">
        <v>128</v>
      </c>
      <c r="B45" s="28" t="s">
        <v>262</v>
      </c>
      <c r="C45" s="28" t="s">
        <v>199</v>
      </c>
      <c r="D45" s="28" t="s">
        <v>200</v>
      </c>
      <c r="E45" s="29" t="s">
        <v>597</v>
      </c>
      <c r="F45" s="28" t="s">
        <v>590</v>
      </c>
      <c r="G45" s="42" t="s">
        <v>95</v>
      </c>
      <c r="H45" s="37" t="s">
        <v>95</v>
      </c>
      <c r="I45" s="42" t="s">
        <v>70</v>
      </c>
      <c r="J45" s="38"/>
      <c r="K45" s="42" t="s">
        <v>59</v>
      </c>
      <c r="L45" s="37" t="s">
        <v>59</v>
      </c>
      <c r="M45" s="42" t="s">
        <v>104</v>
      </c>
      <c r="N45" s="38"/>
      <c r="O45" s="42" t="s">
        <v>61</v>
      </c>
      <c r="P45" s="42" t="s">
        <v>61</v>
      </c>
      <c r="Q45" s="37" t="s">
        <v>61</v>
      </c>
      <c r="R45" s="38"/>
      <c r="S45" s="46" t="str">
        <f>"545,0"</f>
        <v>545,0</v>
      </c>
      <c r="T45" s="30" t="str">
        <f>"371,1995"</f>
        <v>371,1995</v>
      </c>
      <c r="U45" s="28"/>
    </row>
    <row r="46" spans="1:21">
      <c r="A46" s="38" t="s">
        <v>133</v>
      </c>
      <c r="B46" s="28" t="s">
        <v>263</v>
      </c>
      <c r="C46" s="28" t="s">
        <v>201</v>
      </c>
      <c r="D46" s="28" t="s">
        <v>202</v>
      </c>
      <c r="E46" s="29" t="s">
        <v>597</v>
      </c>
      <c r="F46" s="28" t="s">
        <v>35</v>
      </c>
      <c r="G46" s="37" t="s">
        <v>103</v>
      </c>
      <c r="H46" s="37" t="s">
        <v>104</v>
      </c>
      <c r="I46" s="37" t="s">
        <v>79</v>
      </c>
      <c r="J46" s="38"/>
      <c r="K46" s="37" t="s">
        <v>103</v>
      </c>
      <c r="L46" s="37" t="s">
        <v>59</v>
      </c>
      <c r="M46" s="37" t="s">
        <v>60</v>
      </c>
      <c r="N46" s="38"/>
      <c r="O46" s="37" t="s">
        <v>79</v>
      </c>
      <c r="P46" s="37" t="s">
        <v>81</v>
      </c>
      <c r="Q46" s="42" t="s">
        <v>95</v>
      </c>
      <c r="R46" s="38"/>
      <c r="S46" s="46" t="str">
        <f>"450,0"</f>
        <v>450,0</v>
      </c>
      <c r="T46" s="30" t="str">
        <f>"303,9300"</f>
        <v>303,9300</v>
      </c>
      <c r="U46" s="28"/>
    </row>
    <row r="47" spans="1:21">
      <c r="A47" s="38" t="s">
        <v>264</v>
      </c>
      <c r="B47" s="28" t="s">
        <v>265</v>
      </c>
      <c r="C47" s="28" t="s">
        <v>203</v>
      </c>
      <c r="D47" s="28" t="s">
        <v>204</v>
      </c>
      <c r="E47" s="29" t="s">
        <v>597</v>
      </c>
      <c r="F47" s="28" t="s">
        <v>35</v>
      </c>
      <c r="G47" s="37" t="s">
        <v>205</v>
      </c>
      <c r="H47" s="37" t="s">
        <v>60</v>
      </c>
      <c r="I47" s="38"/>
      <c r="J47" s="38"/>
      <c r="K47" s="37" t="s">
        <v>159</v>
      </c>
      <c r="L47" s="37" t="s">
        <v>173</v>
      </c>
      <c r="M47" s="42" t="s">
        <v>48</v>
      </c>
      <c r="N47" s="38"/>
      <c r="O47" s="37" t="s">
        <v>81</v>
      </c>
      <c r="P47" s="37" t="s">
        <v>206</v>
      </c>
      <c r="Q47" s="37" t="s">
        <v>194</v>
      </c>
      <c r="R47" s="38"/>
      <c r="S47" s="46" t="str">
        <f>"412,5"</f>
        <v>412,5</v>
      </c>
      <c r="T47" s="30" t="str">
        <f>"282,2738"</f>
        <v>282,2738</v>
      </c>
      <c r="U47" s="28"/>
    </row>
    <row r="48" spans="1:21">
      <c r="A48" s="40" t="s">
        <v>266</v>
      </c>
      <c r="B48" s="31" t="s">
        <v>267</v>
      </c>
      <c r="C48" s="31" t="s">
        <v>207</v>
      </c>
      <c r="D48" s="31" t="s">
        <v>208</v>
      </c>
      <c r="E48" s="32" t="s">
        <v>597</v>
      </c>
      <c r="F48" s="31" t="s">
        <v>35</v>
      </c>
      <c r="G48" s="41" t="s">
        <v>148</v>
      </c>
      <c r="H48" s="39" t="s">
        <v>148</v>
      </c>
      <c r="I48" s="39" t="s">
        <v>205</v>
      </c>
      <c r="J48" s="40"/>
      <c r="K48" s="39" t="s">
        <v>153</v>
      </c>
      <c r="L48" s="39" t="s">
        <v>147</v>
      </c>
      <c r="M48" s="39" t="s">
        <v>148</v>
      </c>
      <c r="N48" s="40"/>
      <c r="O48" s="39" t="s">
        <v>148</v>
      </c>
      <c r="P48" s="39" t="s">
        <v>205</v>
      </c>
      <c r="Q48" s="39" t="s">
        <v>209</v>
      </c>
      <c r="R48" s="40"/>
      <c r="S48" s="44" t="str">
        <f>"395,0"</f>
        <v>395,0</v>
      </c>
      <c r="T48" s="33" t="str">
        <f>"271,8390"</f>
        <v>271,8390</v>
      </c>
      <c r="U48" s="31"/>
    </row>
    <row r="50" spans="1:21" ht="16">
      <c r="A50" s="70" t="s">
        <v>63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21">
      <c r="A51" s="35" t="s">
        <v>30</v>
      </c>
      <c r="B51" s="25" t="s">
        <v>268</v>
      </c>
      <c r="C51" s="25" t="s">
        <v>586</v>
      </c>
      <c r="D51" s="25" t="s">
        <v>210</v>
      </c>
      <c r="E51" s="26" t="s">
        <v>599</v>
      </c>
      <c r="F51" s="25" t="s">
        <v>35</v>
      </c>
      <c r="G51" s="34" t="s">
        <v>189</v>
      </c>
      <c r="H51" s="34" t="s">
        <v>108</v>
      </c>
      <c r="I51" s="36" t="s">
        <v>211</v>
      </c>
      <c r="J51" s="35"/>
      <c r="K51" s="34" t="s">
        <v>60</v>
      </c>
      <c r="L51" s="36" t="s">
        <v>209</v>
      </c>
      <c r="M51" s="34" t="s">
        <v>209</v>
      </c>
      <c r="N51" s="35"/>
      <c r="O51" s="34" t="s">
        <v>189</v>
      </c>
      <c r="P51" s="34" t="s">
        <v>108</v>
      </c>
      <c r="Q51" s="36" t="s">
        <v>211</v>
      </c>
      <c r="R51" s="35"/>
      <c r="S51" s="43" t="str">
        <f>"527,5"</f>
        <v>527,5</v>
      </c>
      <c r="T51" s="27" t="str">
        <f>"343,6662"</f>
        <v>343,6662</v>
      </c>
      <c r="U51" s="25"/>
    </row>
    <row r="52" spans="1:21">
      <c r="A52" s="38" t="s">
        <v>126</v>
      </c>
      <c r="B52" s="28" t="s">
        <v>269</v>
      </c>
      <c r="C52" s="28" t="s">
        <v>587</v>
      </c>
      <c r="D52" s="28" t="s">
        <v>212</v>
      </c>
      <c r="E52" s="29" t="s">
        <v>599</v>
      </c>
      <c r="F52" s="28" t="s">
        <v>213</v>
      </c>
      <c r="G52" s="42" t="s">
        <v>70</v>
      </c>
      <c r="H52" s="42" t="s">
        <v>70</v>
      </c>
      <c r="I52" s="37" t="s">
        <v>70</v>
      </c>
      <c r="J52" s="38"/>
      <c r="K52" s="37" t="s">
        <v>49</v>
      </c>
      <c r="L52" s="37" t="s">
        <v>147</v>
      </c>
      <c r="M52" s="42" t="s">
        <v>148</v>
      </c>
      <c r="N52" s="38"/>
      <c r="O52" s="37" t="s">
        <v>56</v>
      </c>
      <c r="P52" s="37" t="s">
        <v>114</v>
      </c>
      <c r="Q52" s="37" t="s">
        <v>77</v>
      </c>
      <c r="R52" s="38"/>
      <c r="S52" s="46" t="str">
        <f>"505,0"</f>
        <v>505,0</v>
      </c>
      <c r="T52" s="30" t="str">
        <f>"324,4120"</f>
        <v>324,4120</v>
      </c>
      <c r="U52" s="28"/>
    </row>
    <row r="53" spans="1:21">
      <c r="A53" s="38" t="s">
        <v>30</v>
      </c>
      <c r="B53" s="28" t="s">
        <v>270</v>
      </c>
      <c r="C53" s="28" t="s">
        <v>215</v>
      </c>
      <c r="D53" s="28" t="s">
        <v>216</v>
      </c>
      <c r="E53" s="29" t="s">
        <v>597</v>
      </c>
      <c r="F53" s="28" t="s">
        <v>35</v>
      </c>
      <c r="G53" s="37" t="s">
        <v>195</v>
      </c>
      <c r="H53" s="37" t="s">
        <v>217</v>
      </c>
      <c r="I53" s="37" t="s">
        <v>92</v>
      </c>
      <c r="J53" s="38"/>
      <c r="K53" s="37" t="s">
        <v>86</v>
      </c>
      <c r="L53" s="37" t="s">
        <v>95</v>
      </c>
      <c r="M53" s="42" t="s">
        <v>118</v>
      </c>
      <c r="N53" s="38"/>
      <c r="O53" s="37" t="s">
        <v>96</v>
      </c>
      <c r="P53" s="37" t="s">
        <v>21</v>
      </c>
      <c r="Q53" s="37" t="s">
        <v>218</v>
      </c>
      <c r="R53" s="38"/>
      <c r="S53" s="46" t="str">
        <f>"733,0"</f>
        <v>733,0</v>
      </c>
      <c r="T53" s="30" t="str">
        <f>"470,3661"</f>
        <v>470,3661</v>
      </c>
      <c r="U53" s="28"/>
    </row>
    <row r="54" spans="1:21">
      <c r="A54" s="38" t="s">
        <v>126</v>
      </c>
      <c r="B54" s="28" t="s">
        <v>271</v>
      </c>
      <c r="C54" s="28" t="s">
        <v>219</v>
      </c>
      <c r="D54" s="28" t="s">
        <v>220</v>
      </c>
      <c r="E54" s="29" t="s">
        <v>597</v>
      </c>
      <c r="F54" s="28" t="s">
        <v>35</v>
      </c>
      <c r="G54" s="42" t="s">
        <v>77</v>
      </c>
      <c r="H54" s="37" t="s">
        <v>17</v>
      </c>
      <c r="I54" s="37" t="s">
        <v>221</v>
      </c>
      <c r="J54" s="38"/>
      <c r="K54" s="37" t="s">
        <v>60</v>
      </c>
      <c r="L54" s="37" t="s">
        <v>104</v>
      </c>
      <c r="M54" s="37" t="s">
        <v>105</v>
      </c>
      <c r="N54" s="38"/>
      <c r="O54" s="37" t="s">
        <v>114</v>
      </c>
      <c r="P54" s="42" t="s">
        <v>17</v>
      </c>
      <c r="Q54" s="42" t="s">
        <v>17</v>
      </c>
      <c r="R54" s="38"/>
      <c r="S54" s="46" t="str">
        <f>"572,5"</f>
        <v>572,5</v>
      </c>
      <c r="T54" s="30" t="str">
        <f>"368,0030"</f>
        <v>368,0030</v>
      </c>
      <c r="U54" s="28"/>
    </row>
    <row r="55" spans="1:21">
      <c r="A55" s="38" t="s">
        <v>128</v>
      </c>
      <c r="B55" s="28" t="s">
        <v>272</v>
      </c>
      <c r="C55" s="28" t="s">
        <v>222</v>
      </c>
      <c r="D55" s="28" t="s">
        <v>75</v>
      </c>
      <c r="E55" s="29" t="s">
        <v>597</v>
      </c>
      <c r="F55" s="28" t="s">
        <v>35</v>
      </c>
      <c r="G55" s="37" t="s">
        <v>223</v>
      </c>
      <c r="H55" s="37" t="s">
        <v>81</v>
      </c>
      <c r="I55" s="42" t="s">
        <v>95</v>
      </c>
      <c r="J55" s="38"/>
      <c r="K55" s="37" t="s">
        <v>104</v>
      </c>
      <c r="L55" s="37" t="s">
        <v>191</v>
      </c>
      <c r="M55" s="42" t="s">
        <v>224</v>
      </c>
      <c r="N55" s="38"/>
      <c r="O55" s="37" t="s">
        <v>100</v>
      </c>
      <c r="P55" s="37" t="s">
        <v>206</v>
      </c>
      <c r="Q55" s="37" t="s">
        <v>70</v>
      </c>
      <c r="R55" s="38"/>
      <c r="S55" s="46" t="str">
        <f>"490,0"</f>
        <v>490,0</v>
      </c>
      <c r="T55" s="30" t="str">
        <f>"312,8160"</f>
        <v>312,8160</v>
      </c>
      <c r="U55" s="28"/>
    </row>
    <row r="56" spans="1:21">
      <c r="A56" s="38" t="s">
        <v>133</v>
      </c>
      <c r="B56" s="28" t="s">
        <v>273</v>
      </c>
      <c r="C56" s="28" t="s">
        <v>225</v>
      </c>
      <c r="D56" s="28" t="s">
        <v>212</v>
      </c>
      <c r="E56" s="29" t="s">
        <v>597</v>
      </c>
      <c r="F56" s="28" t="s">
        <v>35</v>
      </c>
      <c r="G56" s="37" t="s">
        <v>143</v>
      </c>
      <c r="H56" s="37" t="s">
        <v>60</v>
      </c>
      <c r="I56" s="37" t="s">
        <v>105</v>
      </c>
      <c r="J56" s="38"/>
      <c r="K56" s="37" t="s">
        <v>49</v>
      </c>
      <c r="L56" s="37" t="s">
        <v>52</v>
      </c>
      <c r="M56" s="42" t="s">
        <v>143</v>
      </c>
      <c r="N56" s="38"/>
      <c r="O56" s="37" t="s">
        <v>103</v>
      </c>
      <c r="P56" s="37" t="s">
        <v>105</v>
      </c>
      <c r="Q56" s="37" t="s">
        <v>223</v>
      </c>
      <c r="R56" s="38"/>
      <c r="S56" s="46" t="str">
        <f>"417,5"</f>
        <v>417,5</v>
      </c>
      <c r="T56" s="30" t="str">
        <f>"268,2020"</f>
        <v>268,2020</v>
      </c>
      <c r="U56" s="28"/>
    </row>
    <row r="57" spans="1:21">
      <c r="A57" s="38" t="s">
        <v>240</v>
      </c>
      <c r="B57" s="28" t="s">
        <v>274</v>
      </c>
      <c r="C57" s="28" t="s">
        <v>549</v>
      </c>
      <c r="D57" s="28" t="s">
        <v>85</v>
      </c>
      <c r="E57" s="29" t="s">
        <v>598</v>
      </c>
      <c r="F57" s="28" t="s">
        <v>35</v>
      </c>
      <c r="G57" s="42" t="s">
        <v>95</v>
      </c>
      <c r="H57" s="42" t="s">
        <v>118</v>
      </c>
      <c r="I57" s="42" t="s">
        <v>118</v>
      </c>
      <c r="J57" s="38"/>
      <c r="K57" s="42"/>
      <c r="L57" s="38"/>
      <c r="M57" s="38"/>
      <c r="N57" s="38"/>
      <c r="O57" s="42"/>
      <c r="P57" s="38"/>
      <c r="Q57" s="38"/>
      <c r="R57" s="38"/>
      <c r="S57" s="46">
        <v>0</v>
      </c>
      <c r="T57" s="30" t="str">
        <f>"0,0000"</f>
        <v>0,0000</v>
      </c>
      <c r="U57" s="28"/>
    </row>
    <row r="58" spans="1:21">
      <c r="A58" s="40" t="s">
        <v>30</v>
      </c>
      <c r="B58" s="31" t="s">
        <v>275</v>
      </c>
      <c r="C58" s="31" t="s">
        <v>588</v>
      </c>
      <c r="D58" s="31" t="s">
        <v>226</v>
      </c>
      <c r="E58" s="32" t="s">
        <v>601</v>
      </c>
      <c r="F58" s="31" t="s">
        <v>35</v>
      </c>
      <c r="G58" s="41" t="s">
        <v>59</v>
      </c>
      <c r="H58" s="39" t="s">
        <v>104</v>
      </c>
      <c r="I58" s="41" t="s">
        <v>105</v>
      </c>
      <c r="J58" s="40"/>
      <c r="K58" s="39" t="s">
        <v>48</v>
      </c>
      <c r="L58" s="39" t="s">
        <v>153</v>
      </c>
      <c r="M58" s="41" t="s">
        <v>49</v>
      </c>
      <c r="N58" s="40"/>
      <c r="O58" s="39" t="s">
        <v>71</v>
      </c>
      <c r="P58" s="39" t="s">
        <v>16</v>
      </c>
      <c r="Q58" s="41" t="s">
        <v>114</v>
      </c>
      <c r="R58" s="40"/>
      <c r="S58" s="44" t="str">
        <f>"447,5"</f>
        <v>447,5</v>
      </c>
      <c r="T58" s="33" t="str">
        <f>"305,8134"</f>
        <v>305,8134</v>
      </c>
      <c r="U58" s="31"/>
    </row>
    <row r="60" spans="1:21" ht="16">
      <c r="A60" s="70" t="s">
        <v>88</v>
      </c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1:21">
      <c r="A61" s="35" t="s">
        <v>30</v>
      </c>
      <c r="B61" s="25" t="s">
        <v>130</v>
      </c>
      <c r="C61" s="25" t="s">
        <v>90</v>
      </c>
      <c r="D61" s="25" t="s">
        <v>91</v>
      </c>
      <c r="E61" s="26" t="s">
        <v>597</v>
      </c>
      <c r="F61" s="25" t="s">
        <v>35</v>
      </c>
      <c r="G61" s="34" t="s">
        <v>92</v>
      </c>
      <c r="H61" s="34" t="s">
        <v>93</v>
      </c>
      <c r="I61" s="36" t="s">
        <v>94</v>
      </c>
      <c r="J61" s="35"/>
      <c r="K61" s="34" t="s">
        <v>95</v>
      </c>
      <c r="L61" s="36" t="s">
        <v>70</v>
      </c>
      <c r="M61" s="36" t="s">
        <v>70</v>
      </c>
      <c r="N61" s="35"/>
      <c r="O61" s="34" t="s">
        <v>83</v>
      </c>
      <c r="P61" s="36" t="s">
        <v>96</v>
      </c>
      <c r="Q61" s="36" t="s">
        <v>96</v>
      </c>
      <c r="R61" s="35"/>
      <c r="S61" s="43" t="str">
        <f>"707,5"</f>
        <v>707,5</v>
      </c>
      <c r="T61" s="27" t="str">
        <f>"430,5845"</f>
        <v>430,5845</v>
      </c>
      <c r="U61" s="25"/>
    </row>
    <row r="62" spans="1:21">
      <c r="A62" s="40" t="s">
        <v>126</v>
      </c>
      <c r="B62" s="31" t="s">
        <v>276</v>
      </c>
      <c r="C62" s="31" t="s">
        <v>227</v>
      </c>
      <c r="D62" s="31" t="s">
        <v>228</v>
      </c>
      <c r="E62" s="32" t="s">
        <v>597</v>
      </c>
      <c r="F62" s="31" t="s">
        <v>35</v>
      </c>
      <c r="G62" s="39" t="s">
        <v>71</v>
      </c>
      <c r="H62" s="39" t="s">
        <v>114</v>
      </c>
      <c r="I62" s="39" t="s">
        <v>78</v>
      </c>
      <c r="J62" s="40"/>
      <c r="K62" s="39" t="s">
        <v>86</v>
      </c>
      <c r="L62" s="41" t="s">
        <v>95</v>
      </c>
      <c r="M62" s="41" t="s">
        <v>95</v>
      </c>
      <c r="N62" s="40"/>
      <c r="O62" s="39" t="s">
        <v>16</v>
      </c>
      <c r="P62" s="39" t="s">
        <v>78</v>
      </c>
      <c r="Q62" s="41" t="s">
        <v>61</v>
      </c>
      <c r="R62" s="40"/>
      <c r="S62" s="44" t="str">
        <f>"600,0"</f>
        <v>600,0</v>
      </c>
      <c r="T62" s="33" t="str">
        <f>"367,8600"</f>
        <v>367,8600</v>
      </c>
      <c r="U62" s="31"/>
    </row>
    <row r="64" spans="1:21" ht="16">
      <c r="A64" s="70" t="s">
        <v>11</v>
      </c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1:21">
      <c r="A65" s="35" t="s">
        <v>30</v>
      </c>
      <c r="B65" s="25" t="s">
        <v>277</v>
      </c>
      <c r="C65" s="25" t="s">
        <v>229</v>
      </c>
      <c r="D65" s="25" t="s">
        <v>230</v>
      </c>
      <c r="E65" s="26" t="s">
        <v>600</v>
      </c>
      <c r="F65" s="25" t="s">
        <v>35</v>
      </c>
      <c r="G65" s="34" t="s">
        <v>70</v>
      </c>
      <c r="H65" s="34" t="s">
        <v>108</v>
      </c>
      <c r="I65" s="34" t="s">
        <v>231</v>
      </c>
      <c r="J65" s="35"/>
      <c r="K65" s="34" t="s">
        <v>49</v>
      </c>
      <c r="L65" s="34" t="s">
        <v>148</v>
      </c>
      <c r="M65" s="36" t="s">
        <v>103</v>
      </c>
      <c r="N65" s="35"/>
      <c r="O65" s="34" t="s">
        <v>114</v>
      </c>
      <c r="P65" s="34" t="s">
        <v>17</v>
      </c>
      <c r="Q65" s="34" t="s">
        <v>221</v>
      </c>
      <c r="R65" s="35"/>
      <c r="S65" s="43" t="str">
        <f>"545,0"</f>
        <v>545,0</v>
      </c>
      <c r="T65" s="27" t="str">
        <f>"321,1685"</f>
        <v>321,1685</v>
      </c>
      <c r="U65" s="25"/>
    </row>
    <row r="66" spans="1:21">
      <c r="A66" s="38" t="s">
        <v>30</v>
      </c>
      <c r="B66" s="28" t="s">
        <v>278</v>
      </c>
      <c r="C66" s="28" t="s">
        <v>232</v>
      </c>
      <c r="D66" s="28" t="s">
        <v>233</v>
      </c>
      <c r="E66" s="29" t="s">
        <v>597</v>
      </c>
      <c r="F66" s="28" t="s">
        <v>35</v>
      </c>
      <c r="G66" s="42" t="s">
        <v>77</v>
      </c>
      <c r="H66" s="37" t="s">
        <v>17</v>
      </c>
      <c r="I66" s="37" t="s">
        <v>221</v>
      </c>
      <c r="J66" s="38"/>
      <c r="K66" s="37" t="s">
        <v>103</v>
      </c>
      <c r="L66" s="37" t="s">
        <v>104</v>
      </c>
      <c r="M66" s="37" t="s">
        <v>191</v>
      </c>
      <c r="N66" s="38"/>
      <c r="O66" s="37" t="s">
        <v>77</v>
      </c>
      <c r="P66" s="37" t="s">
        <v>78</v>
      </c>
      <c r="Q66" s="37" t="s">
        <v>111</v>
      </c>
      <c r="R66" s="38"/>
      <c r="S66" s="46" t="str">
        <f>"600,0"</f>
        <v>600,0</v>
      </c>
      <c r="T66" s="30" t="str">
        <f>"353,2200"</f>
        <v>353,2200</v>
      </c>
      <c r="U66" s="28"/>
    </row>
    <row r="67" spans="1:21">
      <c r="A67" s="40" t="s">
        <v>30</v>
      </c>
      <c r="B67" s="31" t="s">
        <v>279</v>
      </c>
      <c r="C67" s="31" t="s">
        <v>589</v>
      </c>
      <c r="D67" s="31" t="s">
        <v>234</v>
      </c>
      <c r="E67" s="32" t="s">
        <v>598</v>
      </c>
      <c r="F67" s="31" t="s">
        <v>35</v>
      </c>
      <c r="G67" s="39" t="s">
        <v>79</v>
      </c>
      <c r="H67" s="39" t="s">
        <v>86</v>
      </c>
      <c r="I67" s="39" t="s">
        <v>95</v>
      </c>
      <c r="J67" s="40"/>
      <c r="K67" s="41" t="s">
        <v>143</v>
      </c>
      <c r="L67" s="39" t="s">
        <v>143</v>
      </c>
      <c r="M67" s="39" t="s">
        <v>205</v>
      </c>
      <c r="N67" s="40"/>
      <c r="O67" s="39" t="s">
        <v>86</v>
      </c>
      <c r="P67" s="39" t="s">
        <v>70</v>
      </c>
      <c r="Q67" s="39" t="s">
        <v>16</v>
      </c>
      <c r="R67" s="40"/>
      <c r="S67" s="44" t="str">
        <f>"502,5"</f>
        <v>502,5</v>
      </c>
      <c r="T67" s="33" t="str">
        <f>"303,5630"</f>
        <v>303,5630</v>
      </c>
      <c r="U67" s="31"/>
    </row>
    <row r="69" spans="1:21" ht="16">
      <c r="A69" s="70" t="s">
        <v>115</v>
      </c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21">
      <c r="A70" s="22" t="s">
        <v>30</v>
      </c>
      <c r="B70" s="11" t="s">
        <v>280</v>
      </c>
      <c r="C70" s="11" t="s">
        <v>235</v>
      </c>
      <c r="D70" s="11" t="s">
        <v>236</v>
      </c>
      <c r="E70" s="12" t="s">
        <v>597</v>
      </c>
      <c r="F70" s="11" t="s">
        <v>237</v>
      </c>
      <c r="G70" s="21" t="s">
        <v>77</v>
      </c>
      <c r="H70" s="21" t="s">
        <v>78</v>
      </c>
      <c r="I70" s="21" t="s">
        <v>18</v>
      </c>
      <c r="J70" s="22"/>
      <c r="K70" s="21" t="s">
        <v>118</v>
      </c>
      <c r="L70" s="21" t="s">
        <v>70</v>
      </c>
      <c r="M70" s="21" t="s">
        <v>189</v>
      </c>
      <c r="N70" s="22"/>
      <c r="O70" s="21" t="s">
        <v>78</v>
      </c>
      <c r="P70" s="21" t="s">
        <v>111</v>
      </c>
      <c r="Q70" s="21" t="s">
        <v>238</v>
      </c>
      <c r="R70" s="22"/>
      <c r="S70" s="45" t="str">
        <f>"645,0"</f>
        <v>645,0</v>
      </c>
      <c r="T70" s="13" t="str">
        <f>"370,8750"</f>
        <v>370,8750</v>
      </c>
      <c r="U70" s="11"/>
    </row>
  </sheetData>
  <mergeCells count="26">
    <mergeCell ref="A5:R5"/>
    <mergeCell ref="B3:B4"/>
    <mergeCell ref="A69:R69"/>
    <mergeCell ref="A9:R9"/>
    <mergeCell ref="A13:R13"/>
    <mergeCell ref="A16:R16"/>
    <mergeCell ref="A21:R21"/>
    <mergeCell ref="A24:R24"/>
    <mergeCell ref="A27:R27"/>
    <mergeCell ref="A30:R30"/>
    <mergeCell ref="A39:R39"/>
    <mergeCell ref="A50:R50"/>
    <mergeCell ref="A60:R60"/>
    <mergeCell ref="A64:R6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8"/>
  <sheetViews>
    <sheetView topLeftCell="A11" workbookViewId="0">
      <selection activeCell="E37" sqref="E37"/>
    </sheetView>
  </sheetViews>
  <sheetFormatPr baseColWidth="10" defaultColWidth="9.1640625" defaultRowHeight="13"/>
  <cols>
    <col min="1" max="1" width="6.6640625" style="5" bestFit="1" customWidth="1"/>
    <col min="2" max="2" width="23.3320312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8.33203125" style="5" customWidth="1"/>
    <col min="7" max="9" width="5.33203125" style="10" customWidth="1"/>
    <col min="10" max="10" width="4.33203125" style="10" customWidth="1"/>
    <col min="11" max="11" width="10.5" style="20" bestFit="1" customWidth="1"/>
    <col min="12" max="12" width="8.33203125" style="7" bestFit="1" customWidth="1"/>
    <col min="13" max="13" width="20" style="5" customWidth="1"/>
    <col min="14" max="16384" width="9.1640625" style="3"/>
  </cols>
  <sheetData>
    <row r="1" spans="1:13" s="2" customFormat="1" ht="29" customHeight="1">
      <c r="A1" s="47" t="s">
        <v>527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62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3"/>
      <c r="L4" s="60"/>
      <c r="M4" s="65"/>
    </row>
    <row r="5" spans="1:13" ht="16">
      <c r="A5" s="66" t="s">
        <v>165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5" t="s">
        <v>30</v>
      </c>
      <c r="B6" s="25" t="s">
        <v>322</v>
      </c>
      <c r="C6" s="25" t="s">
        <v>283</v>
      </c>
      <c r="D6" s="25" t="s">
        <v>181</v>
      </c>
      <c r="E6" s="26" t="s">
        <v>597</v>
      </c>
      <c r="F6" s="25" t="s">
        <v>35</v>
      </c>
      <c r="G6" s="34" t="s">
        <v>60</v>
      </c>
      <c r="H6" s="34" t="s">
        <v>191</v>
      </c>
      <c r="I6" s="34" t="s">
        <v>223</v>
      </c>
      <c r="J6" s="35"/>
      <c r="K6" s="43" t="str">
        <f>"155,0"</f>
        <v>155,0</v>
      </c>
      <c r="L6" s="27" t="str">
        <f>"112,0340"</f>
        <v>112,0340</v>
      </c>
      <c r="M6" s="25"/>
    </row>
    <row r="7" spans="1:13">
      <c r="A7" s="40" t="s">
        <v>126</v>
      </c>
      <c r="B7" s="31" t="s">
        <v>323</v>
      </c>
      <c r="C7" s="31" t="s">
        <v>284</v>
      </c>
      <c r="D7" s="31" t="s">
        <v>285</v>
      </c>
      <c r="E7" s="32" t="s">
        <v>597</v>
      </c>
      <c r="F7" s="31" t="s">
        <v>35</v>
      </c>
      <c r="G7" s="41" t="s">
        <v>143</v>
      </c>
      <c r="H7" s="41" t="s">
        <v>143</v>
      </c>
      <c r="I7" s="39" t="s">
        <v>143</v>
      </c>
      <c r="J7" s="40"/>
      <c r="K7" s="44" t="str">
        <f>"125,0"</f>
        <v>125,0</v>
      </c>
      <c r="L7" s="33" t="str">
        <f>"90,4375"</f>
        <v>90,4375</v>
      </c>
      <c r="M7" s="31"/>
    </row>
    <row r="9" spans="1:13" ht="16">
      <c r="A9" s="70" t="s">
        <v>63</v>
      </c>
      <c r="B9" s="70"/>
      <c r="C9" s="71"/>
      <c r="D9" s="71"/>
      <c r="E9" s="71"/>
      <c r="F9" s="71"/>
      <c r="G9" s="71"/>
      <c r="H9" s="71"/>
      <c r="I9" s="71"/>
      <c r="J9" s="71"/>
    </row>
    <row r="10" spans="1:13">
      <c r="A10" s="35" t="s">
        <v>30</v>
      </c>
      <c r="B10" s="25" t="s">
        <v>324</v>
      </c>
      <c r="C10" s="25" t="s">
        <v>287</v>
      </c>
      <c r="D10" s="25" t="s">
        <v>288</v>
      </c>
      <c r="E10" s="26" t="s">
        <v>597</v>
      </c>
      <c r="F10" s="25" t="s">
        <v>289</v>
      </c>
      <c r="G10" s="36" t="s">
        <v>77</v>
      </c>
      <c r="H10" s="34" t="s">
        <v>290</v>
      </c>
      <c r="I10" s="34" t="s">
        <v>182</v>
      </c>
      <c r="J10" s="35"/>
      <c r="K10" s="43" t="str">
        <f>"217,5"</f>
        <v>217,5</v>
      </c>
      <c r="L10" s="27" t="str">
        <f>"141,6142"</f>
        <v>141,6142</v>
      </c>
      <c r="M10" s="25"/>
    </row>
    <row r="11" spans="1:13">
      <c r="A11" s="38" t="s">
        <v>126</v>
      </c>
      <c r="B11" s="28" t="s">
        <v>325</v>
      </c>
      <c r="C11" s="28" t="s">
        <v>291</v>
      </c>
      <c r="D11" s="28" t="s">
        <v>292</v>
      </c>
      <c r="E11" s="29" t="s">
        <v>597</v>
      </c>
      <c r="F11" s="28" t="s">
        <v>76</v>
      </c>
      <c r="G11" s="37" t="s">
        <v>70</v>
      </c>
      <c r="H11" s="42" t="s">
        <v>189</v>
      </c>
      <c r="I11" s="38"/>
      <c r="J11" s="38"/>
      <c r="K11" s="46" t="str">
        <f>"180,0"</f>
        <v>180,0</v>
      </c>
      <c r="L11" s="30" t="str">
        <f>"115,3080"</f>
        <v>115,3080</v>
      </c>
      <c r="M11" s="28"/>
    </row>
    <row r="12" spans="1:13">
      <c r="A12" s="38" t="s">
        <v>128</v>
      </c>
      <c r="B12" s="28" t="s">
        <v>326</v>
      </c>
      <c r="C12" s="28" t="s">
        <v>293</v>
      </c>
      <c r="D12" s="28" t="s">
        <v>294</v>
      </c>
      <c r="E12" s="29" t="s">
        <v>597</v>
      </c>
      <c r="F12" s="28" t="s">
        <v>35</v>
      </c>
      <c r="G12" s="37" t="s">
        <v>95</v>
      </c>
      <c r="H12" s="37" t="s">
        <v>118</v>
      </c>
      <c r="I12" s="42" t="s">
        <v>70</v>
      </c>
      <c r="J12" s="38"/>
      <c r="K12" s="46" t="str">
        <f>"175,0"</f>
        <v>175,0</v>
      </c>
      <c r="L12" s="30" t="str">
        <f>"113,7325"</f>
        <v>113,7325</v>
      </c>
      <c r="M12" s="28"/>
    </row>
    <row r="13" spans="1:13">
      <c r="A13" s="38" t="s">
        <v>133</v>
      </c>
      <c r="B13" s="28" t="s">
        <v>327</v>
      </c>
      <c r="C13" s="28" t="s">
        <v>295</v>
      </c>
      <c r="D13" s="28" t="s">
        <v>220</v>
      </c>
      <c r="E13" s="29" t="s">
        <v>597</v>
      </c>
      <c r="F13" s="28" t="s">
        <v>289</v>
      </c>
      <c r="G13" s="37" t="s">
        <v>100</v>
      </c>
      <c r="H13" s="37" t="s">
        <v>118</v>
      </c>
      <c r="I13" s="42" t="s">
        <v>189</v>
      </c>
      <c r="J13" s="38"/>
      <c r="K13" s="46" t="str">
        <f>"175,0"</f>
        <v>175,0</v>
      </c>
      <c r="L13" s="30" t="str">
        <f>"112,4900"</f>
        <v>112,4900</v>
      </c>
      <c r="M13" s="28"/>
    </row>
    <row r="14" spans="1:13">
      <c r="A14" s="38" t="s">
        <v>30</v>
      </c>
      <c r="B14" s="28" t="s">
        <v>325</v>
      </c>
      <c r="C14" s="28" t="s">
        <v>568</v>
      </c>
      <c r="D14" s="28" t="s">
        <v>292</v>
      </c>
      <c r="E14" s="29" t="s">
        <v>598</v>
      </c>
      <c r="F14" s="28" t="s">
        <v>76</v>
      </c>
      <c r="G14" s="37" t="s">
        <v>70</v>
      </c>
      <c r="H14" s="42" t="s">
        <v>189</v>
      </c>
      <c r="I14" s="38"/>
      <c r="J14" s="38"/>
      <c r="K14" s="46" t="str">
        <f>"180,0"</f>
        <v>180,0</v>
      </c>
      <c r="L14" s="30" t="str">
        <f>"120,3816"</f>
        <v>120,3816</v>
      </c>
      <c r="M14" s="28"/>
    </row>
    <row r="15" spans="1:13">
      <c r="A15" s="38" t="s">
        <v>126</v>
      </c>
      <c r="B15" s="28" t="s">
        <v>328</v>
      </c>
      <c r="C15" s="28" t="s">
        <v>569</v>
      </c>
      <c r="D15" s="28" t="s">
        <v>85</v>
      </c>
      <c r="E15" s="29" t="s">
        <v>598</v>
      </c>
      <c r="F15" s="28" t="s">
        <v>35</v>
      </c>
      <c r="G15" s="37" t="s">
        <v>95</v>
      </c>
      <c r="H15" s="42" t="s">
        <v>118</v>
      </c>
      <c r="I15" s="38"/>
      <c r="J15" s="38"/>
      <c r="K15" s="46" t="str">
        <f>"170,0"</f>
        <v>170,0</v>
      </c>
      <c r="L15" s="30" t="str">
        <f>"108,9700"</f>
        <v>108,9700</v>
      </c>
      <c r="M15" s="28"/>
    </row>
    <row r="16" spans="1:13">
      <c r="A16" s="40" t="s">
        <v>128</v>
      </c>
      <c r="B16" s="31" t="s">
        <v>329</v>
      </c>
      <c r="C16" s="31" t="s">
        <v>570</v>
      </c>
      <c r="D16" s="31" t="s">
        <v>220</v>
      </c>
      <c r="E16" s="32" t="s">
        <v>598</v>
      </c>
      <c r="F16" s="31" t="s">
        <v>35</v>
      </c>
      <c r="G16" s="39" t="s">
        <v>148</v>
      </c>
      <c r="H16" s="39" t="s">
        <v>143</v>
      </c>
      <c r="I16" s="39" t="s">
        <v>103</v>
      </c>
      <c r="J16" s="40"/>
      <c r="K16" s="44" t="str">
        <f>"130,0"</f>
        <v>130,0</v>
      </c>
      <c r="L16" s="33" t="str">
        <f>"83,5640"</f>
        <v>83,5640</v>
      </c>
      <c r="M16" s="31"/>
    </row>
    <row r="18" spans="1:13" ht="16">
      <c r="A18" s="70" t="s">
        <v>88</v>
      </c>
      <c r="B18" s="70"/>
      <c r="C18" s="71"/>
      <c r="D18" s="71"/>
      <c r="E18" s="71"/>
      <c r="F18" s="71"/>
      <c r="G18" s="71"/>
      <c r="H18" s="71"/>
      <c r="I18" s="71"/>
      <c r="J18" s="71"/>
    </row>
    <row r="19" spans="1:13">
      <c r="A19" s="35" t="s">
        <v>30</v>
      </c>
      <c r="B19" s="25" t="s">
        <v>330</v>
      </c>
      <c r="C19" s="25" t="s">
        <v>296</v>
      </c>
      <c r="D19" s="25" t="s">
        <v>228</v>
      </c>
      <c r="E19" s="26" t="s">
        <v>597</v>
      </c>
      <c r="F19" s="25" t="s">
        <v>297</v>
      </c>
      <c r="G19" s="36" t="s">
        <v>118</v>
      </c>
      <c r="H19" s="34" t="s">
        <v>118</v>
      </c>
      <c r="I19" s="34" t="s">
        <v>189</v>
      </c>
      <c r="J19" s="35"/>
      <c r="K19" s="43" t="str">
        <f>"185,0"</f>
        <v>185,0</v>
      </c>
      <c r="L19" s="27" t="str">
        <f>"113,4235"</f>
        <v>113,4235</v>
      </c>
      <c r="M19" s="25"/>
    </row>
    <row r="20" spans="1:13">
      <c r="A20" s="38" t="s">
        <v>240</v>
      </c>
      <c r="B20" s="28" t="s">
        <v>331</v>
      </c>
      <c r="C20" s="28" t="s">
        <v>298</v>
      </c>
      <c r="D20" s="28" t="s">
        <v>299</v>
      </c>
      <c r="E20" s="29" t="s">
        <v>597</v>
      </c>
      <c r="F20" s="28" t="s">
        <v>35</v>
      </c>
      <c r="G20" s="42" t="s">
        <v>118</v>
      </c>
      <c r="H20" s="42" t="s">
        <v>118</v>
      </c>
      <c r="I20" s="42" t="s">
        <v>118</v>
      </c>
      <c r="J20" s="38"/>
      <c r="K20" s="46">
        <v>0</v>
      </c>
      <c r="L20" s="30" t="str">
        <f>"0,0000"</f>
        <v>0,0000</v>
      </c>
      <c r="M20" s="28"/>
    </row>
    <row r="21" spans="1:13">
      <c r="A21" s="38" t="s">
        <v>30</v>
      </c>
      <c r="B21" s="28" t="s">
        <v>332</v>
      </c>
      <c r="C21" s="28" t="s">
        <v>571</v>
      </c>
      <c r="D21" s="28" t="s">
        <v>300</v>
      </c>
      <c r="E21" s="29" t="s">
        <v>598</v>
      </c>
      <c r="F21" s="28" t="s">
        <v>297</v>
      </c>
      <c r="G21" s="42" t="s">
        <v>114</v>
      </c>
      <c r="H21" s="37" t="s">
        <v>114</v>
      </c>
      <c r="I21" s="38"/>
      <c r="J21" s="38"/>
      <c r="K21" s="46" t="str">
        <f>"205,0"</f>
        <v>205,0</v>
      </c>
      <c r="L21" s="30" t="str">
        <f>"125,1115"</f>
        <v>125,1115</v>
      </c>
      <c r="M21" s="28"/>
    </row>
    <row r="22" spans="1:13">
      <c r="A22" s="38" t="s">
        <v>126</v>
      </c>
      <c r="B22" s="28" t="s">
        <v>333</v>
      </c>
      <c r="C22" s="28" t="s">
        <v>572</v>
      </c>
      <c r="D22" s="28" t="s">
        <v>301</v>
      </c>
      <c r="E22" s="29" t="s">
        <v>598</v>
      </c>
      <c r="F22" s="28" t="s">
        <v>35</v>
      </c>
      <c r="G22" s="37" t="s">
        <v>79</v>
      </c>
      <c r="H22" s="37" t="s">
        <v>80</v>
      </c>
      <c r="I22" s="37" t="s">
        <v>81</v>
      </c>
      <c r="J22" s="38"/>
      <c r="K22" s="46" t="str">
        <f>"162,5"</f>
        <v>162,5</v>
      </c>
      <c r="L22" s="30" t="str">
        <f>"104,9408"</f>
        <v>104,9408</v>
      </c>
      <c r="M22" s="28"/>
    </row>
    <row r="23" spans="1:13">
      <c r="A23" s="38" t="s">
        <v>128</v>
      </c>
      <c r="B23" s="28" t="s">
        <v>334</v>
      </c>
      <c r="C23" s="28" t="s">
        <v>573</v>
      </c>
      <c r="D23" s="28" t="s">
        <v>302</v>
      </c>
      <c r="E23" s="29" t="s">
        <v>598</v>
      </c>
      <c r="F23" s="28" t="s">
        <v>35</v>
      </c>
      <c r="G23" s="37" t="s">
        <v>105</v>
      </c>
      <c r="H23" s="37" t="s">
        <v>223</v>
      </c>
      <c r="I23" s="42" t="s">
        <v>100</v>
      </c>
      <c r="J23" s="38"/>
      <c r="K23" s="46" t="str">
        <f>"155,0"</f>
        <v>155,0</v>
      </c>
      <c r="L23" s="30" t="str">
        <f>"96,5653"</f>
        <v>96,5653</v>
      </c>
      <c r="M23" s="28"/>
    </row>
    <row r="24" spans="1:13">
      <c r="A24" s="40" t="s">
        <v>240</v>
      </c>
      <c r="B24" s="31" t="s">
        <v>331</v>
      </c>
      <c r="C24" s="31" t="s">
        <v>574</v>
      </c>
      <c r="D24" s="31" t="s">
        <v>299</v>
      </c>
      <c r="E24" s="32" t="s">
        <v>601</v>
      </c>
      <c r="F24" s="31" t="s">
        <v>35</v>
      </c>
      <c r="G24" s="41" t="s">
        <v>118</v>
      </c>
      <c r="H24" s="41" t="s">
        <v>118</v>
      </c>
      <c r="I24" s="41" t="s">
        <v>118</v>
      </c>
      <c r="J24" s="40"/>
      <c r="K24" s="44">
        <v>0</v>
      </c>
      <c r="L24" s="33" t="str">
        <f>"0,0000"</f>
        <v>0,0000</v>
      </c>
      <c r="M24" s="31"/>
    </row>
    <row r="26" spans="1:13" ht="16">
      <c r="A26" s="70" t="s">
        <v>11</v>
      </c>
      <c r="B26" s="70"/>
      <c r="C26" s="71"/>
      <c r="D26" s="71"/>
      <c r="E26" s="71"/>
      <c r="F26" s="71"/>
      <c r="G26" s="71"/>
      <c r="H26" s="71"/>
      <c r="I26" s="71"/>
      <c r="J26" s="71"/>
    </row>
    <row r="27" spans="1:13">
      <c r="A27" s="35" t="s">
        <v>30</v>
      </c>
      <c r="B27" s="25" t="s">
        <v>335</v>
      </c>
      <c r="C27" s="25" t="s">
        <v>304</v>
      </c>
      <c r="D27" s="25" t="s">
        <v>305</v>
      </c>
      <c r="E27" s="26" t="s">
        <v>597</v>
      </c>
      <c r="F27" s="25" t="s">
        <v>35</v>
      </c>
      <c r="G27" s="34" t="s">
        <v>17</v>
      </c>
      <c r="H27" s="34" t="s">
        <v>18</v>
      </c>
      <c r="I27" s="34" t="s">
        <v>111</v>
      </c>
      <c r="J27" s="35"/>
      <c r="K27" s="43" t="str">
        <f>"230,0"</f>
        <v>230,0</v>
      </c>
      <c r="L27" s="27" t="str">
        <f>"136,7580"</f>
        <v>136,7580</v>
      </c>
      <c r="M27" s="25"/>
    </row>
    <row r="28" spans="1:13">
      <c r="A28" s="38" t="s">
        <v>126</v>
      </c>
      <c r="B28" s="28" t="s">
        <v>336</v>
      </c>
      <c r="C28" s="28" t="s">
        <v>307</v>
      </c>
      <c r="D28" s="28" t="s">
        <v>308</v>
      </c>
      <c r="E28" s="29" t="s">
        <v>597</v>
      </c>
      <c r="F28" s="28" t="s">
        <v>35</v>
      </c>
      <c r="G28" s="37" t="s">
        <v>114</v>
      </c>
      <c r="H28" s="37" t="s">
        <v>17</v>
      </c>
      <c r="I28" s="42" t="s">
        <v>221</v>
      </c>
      <c r="J28" s="38"/>
      <c r="K28" s="46" t="str">
        <f>"215,0"</f>
        <v>215,0</v>
      </c>
      <c r="L28" s="30" t="str">
        <f>"129,7955"</f>
        <v>129,7955</v>
      </c>
      <c r="M28" s="28"/>
    </row>
    <row r="29" spans="1:13">
      <c r="A29" s="38" t="s">
        <v>240</v>
      </c>
      <c r="B29" s="28" t="s">
        <v>337</v>
      </c>
      <c r="C29" s="28" t="s">
        <v>309</v>
      </c>
      <c r="D29" s="28" t="s">
        <v>310</v>
      </c>
      <c r="E29" s="29" t="s">
        <v>597</v>
      </c>
      <c r="F29" s="28" t="s">
        <v>35</v>
      </c>
      <c r="G29" s="42" t="s">
        <v>79</v>
      </c>
      <c r="H29" s="42" t="s">
        <v>79</v>
      </c>
      <c r="I29" s="42" t="s">
        <v>79</v>
      </c>
      <c r="J29" s="38"/>
      <c r="K29" s="46">
        <v>0</v>
      </c>
      <c r="L29" s="30" t="str">
        <f>"0,0000"</f>
        <v>0,0000</v>
      </c>
      <c r="M29" s="28"/>
    </row>
    <row r="30" spans="1:13">
      <c r="A30" s="40" t="s">
        <v>240</v>
      </c>
      <c r="B30" s="31" t="s">
        <v>338</v>
      </c>
      <c r="C30" s="31" t="s">
        <v>311</v>
      </c>
      <c r="D30" s="31" t="s">
        <v>312</v>
      </c>
      <c r="E30" s="32" t="s">
        <v>597</v>
      </c>
      <c r="F30" s="31" t="s">
        <v>297</v>
      </c>
      <c r="G30" s="41" t="s">
        <v>77</v>
      </c>
      <c r="H30" s="41" t="s">
        <v>77</v>
      </c>
      <c r="I30" s="41" t="s">
        <v>77</v>
      </c>
      <c r="J30" s="40"/>
      <c r="K30" s="44">
        <v>0</v>
      </c>
      <c r="L30" s="33" t="str">
        <f>"0,0000"</f>
        <v>0,0000</v>
      </c>
      <c r="M30" s="31"/>
    </row>
    <row r="32" spans="1:13" ht="16">
      <c r="A32" s="70" t="s">
        <v>115</v>
      </c>
      <c r="B32" s="70"/>
      <c r="C32" s="71"/>
      <c r="D32" s="71"/>
      <c r="E32" s="71"/>
      <c r="F32" s="71"/>
      <c r="G32" s="71"/>
      <c r="H32" s="71"/>
      <c r="I32" s="71"/>
      <c r="J32" s="71"/>
    </row>
    <row r="33" spans="1:13">
      <c r="A33" s="35" t="s">
        <v>30</v>
      </c>
      <c r="B33" s="25" t="s">
        <v>339</v>
      </c>
      <c r="C33" s="25" t="s">
        <v>313</v>
      </c>
      <c r="D33" s="25" t="s">
        <v>314</v>
      </c>
      <c r="E33" s="26" t="s">
        <v>597</v>
      </c>
      <c r="F33" s="25" t="s">
        <v>315</v>
      </c>
      <c r="G33" s="34" t="s">
        <v>77</v>
      </c>
      <c r="H33" s="36" t="s">
        <v>17</v>
      </c>
      <c r="I33" s="35"/>
      <c r="J33" s="35"/>
      <c r="K33" s="43" t="str">
        <f>"210,0"</f>
        <v>210,0</v>
      </c>
      <c r="L33" s="27" t="str">
        <f>"122,1360"</f>
        <v>122,1360</v>
      </c>
      <c r="M33" s="25"/>
    </row>
    <row r="34" spans="1:13">
      <c r="A34" s="38" t="s">
        <v>126</v>
      </c>
      <c r="B34" s="28" t="s">
        <v>340</v>
      </c>
      <c r="C34" s="28" t="s">
        <v>316</v>
      </c>
      <c r="D34" s="28" t="s">
        <v>317</v>
      </c>
      <c r="E34" s="29" t="s">
        <v>597</v>
      </c>
      <c r="F34" s="28" t="s">
        <v>35</v>
      </c>
      <c r="G34" s="37" t="s">
        <v>79</v>
      </c>
      <c r="H34" s="37" t="s">
        <v>86</v>
      </c>
      <c r="I34" s="42" t="s">
        <v>100</v>
      </c>
      <c r="J34" s="38"/>
      <c r="K34" s="46" t="str">
        <f>"160,0"</f>
        <v>160,0</v>
      </c>
      <c r="L34" s="30" t="str">
        <f>"93,2800"</f>
        <v>93,2800</v>
      </c>
      <c r="M34" s="28"/>
    </row>
    <row r="35" spans="1:13">
      <c r="A35" s="38" t="s">
        <v>30</v>
      </c>
      <c r="B35" s="28" t="s">
        <v>341</v>
      </c>
      <c r="C35" s="28" t="s">
        <v>575</v>
      </c>
      <c r="D35" s="28" t="s">
        <v>318</v>
      </c>
      <c r="E35" s="29" t="s">
        <v>598</v>
      </c>
      <c r="F35" s="28" t="s">
        <v>35</v>
      </c>
      <c r="G35" s="37" t="s">
        <v>100</v>
      </c>
      <c r="H35" s="37" t="s">
        <v>206</v>
      </c>
      <c r="I35" s="37" t="s">
        <v>70</v>
      </c>
      <c r="J35" s="38"/>
      <c r="K35" s="46" t="str">
        <f>"180,0"</f>
        <v>180,0</v>
      </c>
      <c r="L35" s="30" t="str">
        <f>"104,2346"</f>
        <v>104,2346</v>
      </c>
      <c r="M35" s="28"/>
    </row>
    <row r="36" spans="1:13">
      <c r="A36" s="40" t="s">
        <v>30</v>
      </c>
      <c r="B36" s="31" t="s">
        <v>339</v>
      </c>
      <c r="C36" s="31" t="s">
        <v>576</v>
      </c>
      <c r="D36" s="31" t="s">
        <v>314</v>
      </c>
      <c r="E36" s="32" t="s">
        <v>601</v>
      </c>
      <c r="F36" s="31" t="s">
        <v>315</v>
      </c>
      <c r="G36" s="39" t="s">
        <v>77</v>
      </c>
      <c r="H36" s="41" t="s">
        <v>17</v>
      </c>
      <c r="I36" s="40"/>
      <c r="J36" s="40"/>
      <c r="K36" s="44" t="str">
        <f>"210,0"</f>
        <v>210,0</v>
      </c>
      <c r="L36" s="33" t="str">
        <f>"129,4642"</f>
        <v>129,4642</v>
      </c>
      <c r="M36" s="31"/>
    </row>
    <row r="38" spans="1:13" ht="16">
      <c r="F38" s="8"/>
      <c r="G38" s="5"/>
      <c r="M38" s="7"/>
    </row>
    <row r="39" spans="1:13">
      <c r="G39" s="5"/>
      <c r="M39" s="7"/>
    </row>
    <row r="40" spans="1:13" ht="18">
      <c r="B40" s="9" t="s">
        <v>7</v>
      </c>
      <c r="C40" s="9"/>
      <c r="G40" s="3"/>
      <c r="M40" s="7"/>
    </row>
    <row r="41" spans="1:13" ht="16">
      <c r="B41" s="14" t="s">
        <v>22</v>
      </c>
      <c r="C41" s="14"/>
      <c r="G41" s="3"/>
      <c r="M41" s="7"/>
    </row>
    <row r="42" spans="1:13" ht="14">
      <c r="B42" s="15"/>
      <c r="C42" s="16" t="s">
        <v>23</v>
      </c>
      <c r="G42" s="3"/>
      <c r="M42" s="7"/>
    </row>
    <row r="43" spans="1:13" ht="14">
      <c r="B43" s="17" t="s">
        <v>24</v>
      </c>
      <c r="C43" s="17" t="s">
        <v>25</v>
      </c>
      <c r="D43" s="17" t="s">
        <v>591</v>
      </c>
      <c r="E43" s="18" t="s">
        <v>319</v>
      </c>
      <c r="F43" s="17" t="s">
        <v>28</v>
      </c>
      <c r="G43" s="3"/>
      <c r="M43" s="7"/>
    </row>
    <row r="44" spans="1:13">
      <c r="B44" s="5" t="s">
        <v>286</v>
      </c>
      <c r="C44" s="5" t="s">
        <v>23</v>
      </c>
      <c r="D44" s="10" t="s">
        <v>120</v>
      </c>
      <c r="E44" s="20">
        <v>217.5</v>
      </c>
      <c r="F44" s="19">
        <v>141.61424562335</v>
      </c>
      <c r="G44" s="3"/>
      <c r="M44" s="7"/>
    </row>
    <row r="45" spans="1:13">
      <c r="B45" s="5" t="s">
        <v>303</v>
      </c>
      <c r="C45" s="5" t="s">
        <v>23</v>
      </c>
      <c r="D45" s="10" t="s">
        <v>29</v>
      </c>
      <c r="E45" s="20">
        <v>230</v>
      </c>
      <c r="F45" s="19">
        <v>136.75800502300299</v>
      </c>
      <c r="G45" s="3"/>
      <c r="M45" s="7"/>
    </row>
    <row r="46" spans="1:13">
      <c r="B46" s="5" t="s">
        <v>306</v>
      </c>
      <c r="C46" s="5" t="s">
        <v>23</v>
      </c>
      <c r="D46" s="10" t="s">
        <v>29</v>
      </c>
      <c r="E46" s="20">
        <v>215</v>
      </c>
      <c r="F46" s="19">
        <v>129.79549616575201</v>
      </c>
      <c r="G46" s="3"/>
      <c r="M46" s="7"/>
    </row>
    <row r="47" spans="1:13">
      <c r="E47" s="5"/>
      <c r="F47" s="6"/>
      <c r="G47" s="5"/>
      <c r="M47" s="7"/>
    </row>
    <row r="48" spans="1:13">
      <c r="E48" s="5"/>
      <c r="F48" s="6"/>
      <c r="G48" s="5"/>
      <c r="M48" s="7"/>
    </row>
  </sheetData>
  <mergeCells count="16">
    <mergeCell ref="A9:J9"/>
    <mergeCell ref="A18:J18"/>
    <mergeCell ref="A26:J26"/>
    <mergeCell ref="A32:J3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6.6640625" style="5" bestFit="1" customWidth="1"/>
    <col min="2" max="2" width="24.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19" style="5" customWidth="1"/>
    <col min="14" max="16384" width="9.1640625" style="3"/>
  </cols>
  <sheetData>
    <row r="1" spans="1:13" s="2" customFormat="1" ht="29" customHeight="1">
      <c r="A1" s="47" t="s">
        <v>516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138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401</v>
      </c>
      <c r="C6" s="11" t="s">
        <v>184</v>
      </c>
      <c r="D6" s="11" t="s">
        <v>342</v>
      </c>
      <c r="E6" s="12" t="s">
        <v>597</v>
      </c>
      <c r="F6" s="11" t="s">
        <v>35</v>
      </c>
      <c r="G6" s="21" t="s">
        <v>514</v>
      </c>
      <c r="H6" s="23" t="s">
        <v>159</v>
      </c>
      <c r="I6" s="23" t="s">
        <v>159</v>
      </c>
      <c r="J6" s="22"/>
      <c r="K6" s="13" t="str">
        <f>"82,5"</f>
        <v>82,5</v>
      </c>
      <c r="L6" s="13" t="str">
        <f>"91,6575"</f>
        <v>91,6575</v>
      </c>
      <c r="M6" s="11"/>
    </row>
    <row r="8" spans="1:13" ht="16">
      <c r="A8" s="70" t="s">
        <v>165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22" t="s">
        <v>30</v>
      </c>
      <c r="B9" s="11" t="s">
        <v>254</v>
      </c>
      <c r="C9" s="11" t="s">
        <v>180</v>
      </c>
      <c r="D9" s="11" t="s">
        <v>181</v>
      </c>
      <c r="E9" s="12" t="s">
        <v>597</v>
      </c>
      <c r="F9" s="11" t="s">
        <v>35</v>
      </c>
      <c r="G9" s="21" t="s">
        <v>79</v>
      </c>
      <c r="H9" s="21" t="s">
        <v>86</v>
      </c>
      <c r="I9" s="21" t="s">
        <v>81</v>
      </c>
      <c r="J9" s="22"/>
      <c r="K9" s="13" t="str">
        <f>"162,5"</f>
        <v>162,5</v>
      </c>
      <c r="L9" s="13" t="str">
        <f>"113,5875"</f>
        <v>113,5875</v>
      </c>
      <c r="M9" s="11"/>
    </row>
    <row r="11" spans="1:13" ht="16">
      <c r="A11" s="70" t="s">
        <v>53</v>
      </c>
      <c r="B11" s="70"/>
      <c r="C11" s="71"/>
      <c r="D11" s="71"/>
      <c r="E11" s="71"/>
      <c r="F11" s="71"/>
      <c r="G11" s="71"/>
      <c r="H11" s="71"/>
      <c r="I11" s="71"/>
      <c r="J11" s="71"/>
    </row>
    <row r="12" spans="1:13">
      <c r="A12" s="22" t="s">
        <v>30</v>
      </c>
      <c r="B12" s="11" t="s">
        <v>515</v>
      </c>
      <c r="C12" s="11" t="s">
        <v>532</v>
      </c>
      <c r="D12" s="11" t="s">
        <v>361</v>
      </c>
      <c r="E12" s="12" t="s">
        <v>601</v>
      </c>
      <c r="F12" s="11" t="s">
        <v>35</v>
      </c>
      <c r="G12" s="21" t="s">
        <v>103</v>
      </c>
      <c r="H12" s="23" t="s">
        <v>104</v>
      </c>
      <c r="I12" s="21" t="s">
        <v>104</v>
      </c>
      <c r="J12" s="22"/>
      <c r="K12" s="13" t="str">
        <f>"140,0"</f>
        <v>140,0</v>
      </c>
      <c r="L12" s="13" t="str">
        <f>"118,2943"</f>
        <v>118,2943</v>
      </c>
      <c r="M12" s="11"/>
    </row>
    <row r="14" spans="1:13" ht="16">
      <c r="A14" s="70" t="s">
        <v>88</v>
      </c>
      <c r="B14" s="70"/>
      <c r="C14" s="71"/>
      <c r="D14" s="71"/>
      <c r="E14" s="71"/>
      <c r="F14" s="71"/>
      <c r="G14" s="71"/>
      <c r="H14" s="71"/>
      <c r="I14" s="71"/>
      <c r="J14" s="71"/>
    </row>
    <row r="15" spans="1:13">
      <c r="A15" s="22" t="s">
        <v>30</v>
      </c>
      <c r="B15" s="11" t="s">
        <v>430</v>
      </c>
      <c r="C15" s="11" t="s">
        <v>381</v>
      </c>
      <c r="D15" s="11" t="s">
        <v>382</v>
      </c>
      <c r="E15" s="12" t="s">
        <v>597</v>
      </c>
      <c r="F15" s="11" t="s">
        <v>35</v>
      </c>
      <c r="G15" s="21" t="s">
        <v>231</v>
      </c>
      <c r="H15" s="21" t="s">
        <v>182</v>
      </c>
      <c r="I15" s="21" t="s">
        <v>99</v>
      </c>
      <c r="J15" s="22"/>
      <c r="K15" s="13" t="str">
        <f>"232,5"</f>
        <v>232,5</v>
      </c>
      <c r="L15" s="13" t="str">
        <f>"138,0469"</f>
        <v>138,0469</v>
      </c>
      <c r="M15" s="11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17.8320312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8" width="5.33203125" style="10" customWidth="1"/>
    <col min="9" max="9" width="5.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15.33203125" style="5" bestFit="1" customWidth="1"/>
    <col min="14" max="16384" width="9.1640625" style="3"/>
  </cols>
  <sheetData>
    <row r="1" spans="1:13" s="2" customFormat="1" ht="29" customHeight="1">
      <c r="A1" s="47" t="s">
        <v>517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63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325</v>
      </c>
      <c r="C6" s="11" t="s">
        <v>533</v>
      </c>
      <c r="D6" s="11" t="s">
        <v>292</v>
      </c>
      <c r="E6" s="12" t="s">
        <v>598</v>
      </c>
      <c r="F6" s="11" t="s">
        <v>76</v>
      </c>
      <c r="G6" s="21" t="s">
        <v>16</v>
      </c>
      <c r="H6" s="21" t="s">
        <v>17</v>
      </c>
      <c r="I6" s="22"/>
      <c r="J6" s="22"/>
      <c r="K6" s="13" t="str">
        <f>"215,0"</f>
        <v>215,0</v>
      </c>
      <c r="L6" s="13" t="str">
        <f>"137,7201"</f>
        <v>137,7201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45"/>
  <sheetViews>
    <sheetView workbookViewId="0">
      <selection activeCell="E35" sqref="E35"/>
    </sheetView>
  </sheetViews>
  <sheetFormatPr baseColWidth="10" defaultColWidth="9.1640625" defaultRowHeight="13"/>
  <cols>
    <col min="1" max="1" width="6.6640625" style="5" bestFit="1" customWidth="1"/>
    <col min="2" max="2" width="24" style="5" customWidth="1"/>
    <col min="3" max="3" width="28.33203125" style="5" bestFit="1" customWidth="1"/>
    <col min="4" max="4" width="20" style="5" bestFit="1" customWidth="1"/>
    <col min="5" max="5" width="9.6640625" style="6" bestFit="1" customWidth="1"/>
    <col min="6" max="6" width="30.664062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7" t="s">
        <v>524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10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138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5" t="s">
        <v>30</v>
      </c>
      <c r="B6" s="25" t="s">
        <v>462</v>
      </c>
      <c r="C6" s="25" t="s">
        <v>444</v>
      </c>
      <c r="D6" s="25" t="s">
        <v>445</v>
      </c>
      <c r="E6" s="26" t="s">
        <v>597</v>
      </c>
      <c r="F6" s="25" t="s">
        <v>35</v>
      </c>
      <c r="G6" s="34" t="s">
        <v>52</v>
      </c>
      <c r="H6" s="34" t="s">
        <v>143</v>
      </c>
      <c r="I6" s="34" t="s">
        <v>103</v>
      </c>
      <c r="J6" s="35"/>
      <c r="K6" s="27" t="str">
        <f>"130,0"</f>
        <v>130,0</v>
      </c>
      <c r="L6" s="27" t="str">
        <f>"164,2550"</f>
        <v>164,2550</v>
      </c>
      <c r="M6" s="25"/>
    </row>
    <row r="7" spans="1:13">
      <c r="A7" s="40" t="s">
        <v>30</v>
      </c>
      <c r="B7" s="31" t="s">
        <v>462</v>
      </c>
      <c r="C7" s="31" t="s">
        <v>551</v>
      </c>
      <c r="D7" s="31" t="s">
        <v>445</v>
      </c>
      <c r="E7" s="32" t="s">
        <v>601</v>
      </c>
      <c r="F7" s="31" t="s">
        <v>35</v>
      </c>
      <c r="G7" s="39" t="s">
        <v>52</v>
      </c>
      <c r="H7" s="39" t="s">
        <v>143</v>
      </c>
      <c r="I7" s="39" t="s">
        <v>103</v>
      </c>
      <c r="J7" s="40"/>
      <c r="K7" s="33" t="str">
        <f>"130,0"</f>
        <v>130,0</v>
      </c>
      <c r="L7" s="33" t="str">
        <f>"174,1103"</f>
        <v>174,1103</v>
      </c>
      <c r="M7" s="31"/>
    </row>
    <row r="9" spans="1:13" ht="16">
      <c r="A9" s="70" t="s">
        <v>32</v>
      </c>
      <c r="B9" s="70"/>
      <c r="C9" s="71"/>
      <c r="D9" s="71"/>
      <c r="E9" s="71"/>
      <c r="F9" s="71"/>
      <c r="G9" s="71"/>
      <c r="H9" s="71"/>
      <c r="I9" s="71"/>
      <c r="J9" s="71"/>
    </row>
    <row r="10" spans="1:13">
      <c r="A10" s="22" t="s">
        <v>30</v>
      </c>
      <c r="B10" s="11" t="s">
        <v>463</v>
      </c>
      <c r="C10" s="11" t="s">
        <v>552</v>
      </c>
      <c r="D10" s="11" t="s">
        <v>446</v>
      </c>
      <c r="E10" s="12" t="s">
        <v>599</v>
      </c>
      <c r="F10" s="11" t="s">
        <v>35</v>
      </c>
      <c r="G10" s="21" t="s">
        <v>148</v>
      </c>
      <c r="H10" s="23" t="s">
        <v>143</v>
      </c>
      <c r="I10" s="21" t="s">
        <v>143</v>
      </c>
      <c r="J10" s="22"/>
      <c r="K10" s="13" t="str">
        <f>"125,0"</f>
        <v>125,0</v>
      </c>
      <c r="L10" s="13" t="str">
        <f>"148,3250"</f>
        <v>148,3250</v>
      </c>
      <c r="M10" s="11"/>
    </row>
    <row r="12" spans="1:13" ht="16">
      <c r="A12" s="70" t="s">
        <v>165</v>
      </c>
      <c r="B12" s="70"/>
      <c r="C12" s="71"/>
      <c r="D12" s="71"/>
      <c r="E12" s="71"/>
      <c r="F12" s="71"/>
      <c r="G12" s="71"/>
      <c r="H12" s="71"/>
      <c r="I12" s="71"/>
      <c r="J12" s="71"/>
    </row>
    <row r="13" spans="1:13">
      <c r="A13" s="35" t="s">
        <v>30</v>
      </c>
      <c r="B13" s="25" t="s">
        <v>464</v>
      </c>
      <c r="C13" s="25" t="s">
        <v>447</v>
      </c>
      <c r="D13" s="25" t="s">
        <v>172</v>
      </c>
      <c r="E13" s="26" t="s">
        <v>600</v>
      </c>
      <c r="F13" s="25" t="s">
        <v>35</v>
      </c>
      <c r="G13" s="36" t="s">
        <v>118</v>
      </c>
      <c r="H13" s="34" t="s">
        <v>118</v>
      </c>
      <c r="I13" s="34" t="s">
        <v>448</v>
      </c>
      <c r="J13" s="35"/>
      <c r="K13" s="27" t="str">
        <f>"182,5"</f>
        <v>182,5</v>
      </c>
      <c r="L13" s="27" t="str">
        <f>"133,3528"</f>
        <v>133,3528</v>
      </c>
      <c r="M13" s="25"/>
    </row>
    <row r="14" spans="1:13">
      <c r="A14" s="40" t="s">
        <v>126</v>
      </c>
      <c r="B14" s="31" t="s">
        <v>465</v>
      </c>
      <c r="C14" s="31" t="s">
        <v>449</v>
      </c>
      <c r="D14" s="31" t="s">
        <v>450</v>
      </c>
      <c r="E14" s="32" t="s">
        <v>600</v>
      </c>
      <c r="F14" s="31" t="s">
        <v>35</v>
      </c>
      <c r="G14" s="39" t="s">
        <v>103</v>
      </c>
      <c r="H14" s="39" t="s">
        <v>104</v>
      </c>
      <c r="I14" s="39" t="s">
        <v>191</v>
      </c>
      <c r="J14" s="40"/>
      <c r="K14" s="33" t="str">
        <f>"147,5"</f>
        <v>147,5</v>
      </c>
      <c r="L14" s="33" t="str">
        <f>"112,4097"</f>
        <v>112,4097</v>
      </c>
      <c r="M14" s="31"/>
    </row>
    <row r="16" spans="1:13" ht="16">
      <c r="A16" s="70" t="s">
        <v>53</v>
      </c>
      <c r="B16" s="70"/>
      <c r="C16" s="71"/>
      <c r="D16" s="71"/>
      <c r="E16" s="71"/>
      <c r="F16" s="71"/>
      <c r="G16" s="71"/>
      <c r="H16" s="71"/>
      <c r="I16" s="71"/>
      <c r="J16" s="71"/>
    </row>
    <row r="17" spans="1:13">
      <c r="A17" s="35" t="s">
        <v>30</v>
      </c>
      <c r="B17" s="25" t="s">
        <v>261</v>
      </c>
      <c r="C17" s="25" t="s">
        <v>197</v>
      </c>
      <c r="D17" s="25" t="s">
        <v>198</v>
      </c>
      <c r="E17" s="26" t="s">
        <v>597</v>
      </c>
      <c r="F17" s="25" t="s">
        <v>35</v>
      </c>
      <c r="G17" s="34" t="s">
        <v>61</v>
      </c>
      <c r="H17" s="36" t="s">
        <v>62</v>
      </c>
      <c r="I17" s="36" t="s">
        <v>62</v>
      </c>
      <c r="J17" s="35"/>
      <c r="K17" s="27" t="str">
        <f>"240,0"</f>
        <v>240,0</v>
      </c>
      <c r="L17" s="27" t="str">
        <f>"170,6880"</f>
        <v>170,6880</v>
      </c>
      <c r="M17" s="25"/>
    </row>
    <row r="18" spans="1:13">
      <c r="A18" s="40" t="s">
        <v>126</v>
      </c>
      <c r="B18" s="31" t="s">
        <v>466</v>
      </c>
      <c r="C18" s="31" t="s">
        <v>451</v>
      </c>
      <c r="D18" s="31" t="s">
        <v>452</v>
      </c>
      <c r="E18" s="32" t="s">
        <v>597</v>
      </c>
      <c r="F18" s="31" t="s">
        <v>35</v>
      </c>
      <c r="G18" s="39" t="s">
        <v>70</v>
      </c>
      <c r="H18" s="39" t="s">
        <v>71</v>
      </c>
      <c r="I18" s="41" t="s">
        <v>16</v>
      </c>
      <c r="J18" s="40"/>
      <c r="K18" s="33" t="str">
        <f>"190,0"</f>
        <v>190,0</v>
      </c>
      <c r="L18" s="33" t="str">
        <f>"128,2310"</f>
        <v>128,2310</v>
      </c>
      <c r="M18" s="31"/>
    </row>
    <row r="20" spans="1:13" ht="16">
      <c r="A20" s="70" t="s">
        <v>63</v>
      </c>
      <c r="B20" s="70"/>
      <c r="C20" s="71"/>
      <c r="D20" s="71"/>
      <c r="E20" s="71"/>
      <c r="F20" s="71"/>
      <c r="G20" s="71"/>
      <c r="H20" s="71"/>
      <c r="I20" s="71"/>
      <c r="J20" s="71"/>
    </row>
    <row r="21" spans="1:13">
      <c r="A21" s="35" t="s">
        <v>30</v>
      </c>
      <c r="B21" s="25" t="s">
        <v>270</v>
      </c>
      <c r="C21" s="25" t="s">
        <v>215</v>
      </c>
      <c r="D21" s="25" t="s">
        <v>216</v>
      </c>
      <c r="E21" s="26" t="s">
        <v>597</v>
      </c>
      <c r="F21" s="25" t="s">
        <v>35</v>
      </c>
      <c r="G21" s="34" t="s">
        <v>96</v>
      </c>
      <c r="H21" s="34" t="s">
        <v>21</v>
      </c>
      <c r="I21" s="34" t="s">
        <v>218</v>
      </c>
      <c r="J21" s="35"/>
      <c r="K21" s="27" t="str">
        <f>"308,0"</f>
        <v>308,0</v>
      </c>
      <c r="L21" s="27" t="str">
        <f>"197,6436"</f>
        <v>197,6436</v>
      </c>
      <c r="M21" s="25"/>
    </row>
    <row r="22" spans="1:13">
      <c r="A22" s="38" t="s">
        <v>126</v>
      </c>
      <c r="B22" s="28" t="s">
        <v>467</v>
      </c>
      <c r="C22" s="28" t="s">
        <v>453</v>
      </c>
      <c r="D22" s="28" t="s">
        <v>216</v>
      </c>
      <c r="E22" s="29" t="s">
        <v>597</v>
      </c>
      <c r="F22" s="28" t="s">
        <v>454</v>
      </c>
      <c r="G22" s="37" t="s">
        <v>78</v>
      </c>
      <c r="H22" s="37" t="s">
        <v>238</v>
      </c>
      <c r="I22" s="37" t="s">
        <v>455</v>
      </c>
      <c r="J22" s="38"/>
      <c r="K22" s="30" t="str">
        <f>"245,0"</f>
        <v>245,0</v>
      </c>
      <c r="L22" s="30" t="str">
        <f>"157,2165"</f>
        <v>157,2165</v>
      </c>
      <c r="M22" s="28"/>
    </row>
    <row r="23" spans="1:13">
      <c r="A23" s="38" t="s">
        <v>128</v>
      </c>
      <c r="B23" s="28" t="s">
        <v>424</v>
      </c>
      <c r="C23" s="28" t="s">
        <v>375</v>
      </c>
      <c r="D23" s="28" t="s">
        <v>75</v>
      </c>
      <c r="E23" s="29" t="s">
        <v>597</v>
      </c>
      <c r="F23" s="28" t="s">
        <v>35</v>
      </c>
      <c r="G23" s="37" t="s">
        <v>100</v>
      </c>
      <c r="H23" s="37" t="s">
        <v>189</v>
      </c>
      <c r="I23" s="37" t="s">
        <v>231</v>
      </c>
      <c r="J23" s="38"/>
      <c r="K23" s="30" t="str">
        <f>"202,5"</f>
        <v>202,5</v>
      </c>
      <c r="L23" s="30" t="str">
        <f>"129,2760"</f>
        <v>129,2760</v>
      </c>
      <c r="M23" s="28"/>
    </row>
    <row r="24" spans="1:13">
      <c r="A24" s="40" t="s">
        <v>30</v>
      </c>
      <c r="B24" s="31" t="s">
        <v>274</v>
      </c>
      <c r="C24" s="31" t="s">
        <v>549</v>
      </c>
      <c r="D24" s="31" t="s">
        <v>66</v>
      </c>
      <c r="E24" s="32" t="s">
        <v>598</v>
      </c>
      <c r="F24" s="31" t="s">
        <v>35</v>
      </c>
      <c r="G24" s="39" t="s">
        <v>71</v>
      </c>
      <c r="H24" s="39" t="s">
        <v>231</v>
      </c>
      <c r="I24" s="40"/>
      <c r="J24" s="40"/>
      <c r="K24" s="33" t="str">
        <f>"202,5"</f>
        <v>202,5</v>
      </c>
      <c r="L24" s="33" t="str">
        <f>"129,8633"</f>
        <v>129,8633</v>
      </c>
      <c r="M24" s="31"/>
    </row>
    <row r="26" spans="1:13" ht="16">
      <c r="A26" s="70" t="s">
        <v>88</v>
      </c>
      <c r="B26" s="70"/>
      <c r="C26" s="71"/>
      <c r="D26" s="71"/>
      <c r="E26" s="71"/>
      <c r="F26" s="71"/>
      <c r="G26" s="71"/>
      <c r="H26" s="71"/>
      <c r="I26" s="71"/>
      <c r="J26" s="71"/>
    </row>
    <row r="27" spans="1:13">
      <c r="A27" s="35" t="s">
        <v>30</v>
      </c>
      <c r="B27" s="25" t="s">
        <v>468</v>
      </c>
      <c r="C27" s="25" t="s">
        <v>456</v>
      </c>
      <c r="D27" s="25" t="s">
        <v>457</v>
      </c>
      <c r="E27" s="26" t="s">
        <v>600</v>
      </c>
      <c r="F27" s="25" t="s">
        <v>35</v>
      </c>
      <c r="G27" s="34" t="s">
        <v>100</v>
      </c>
      <c r="H27" s="34" t="s">
        <v>118</v>
      </c>
      <c r="I27" s="34" t="s">
        <v>189</v>
      </c>
      <c r="J27" s="35"/>
      <c r="K27" s="27" t="str">
        <f>"185,0"</f>
        <v>185,0</v>
      </c>
      <c r="L27" s="27" t="str">
        <f>"113,3865"</f>
        <v>113,3865</v>
      </c>
      <c r="M27" s="25"/>
    </row>
    <row r="28" spans="1:13">
      <c r="A28" s="38" t="s">
        <v>30</v>
      </c>
      <c r="B28" s="28" t="s">
        <v>130</v>
      </c>
      <c r="C28" s="28" t="s">
        <v>90</v>
      </c>
      <c r="D28" s="28" t="s">
        <v>91</v>
      </c>
      <c r="E28" s="29" t="s">
        <v>597</v>
      </c>
      <c r="F28" s="28" t="s">
        <v>35</v>
      </c>
      <c r="G28" s="37" t="s">
        <v>83</v>
      </c>
      <c r="H28" s="42" t="s">
        <v>96</v>
      </c>
      <c r="I28" s="42" t="s">
        <v>96</v>
      </c>
      <c r="J28" s="38"/>
      <c r="K28" s="30" t="str">
        <f>"270,0"</f>
        <v>270,0</v>
      </c>
      <c r="L28" s="30" t="str">
        <f>"164,3220"</f>
        <v>164,3220</v>
      </c>
      <c r="M28" s="28"/>
    </row>
    <row r="29" spans="1:13">
      <c r="A29" s="38" t="s">
        <v>126</v>
      </c>
      <c r="B29" s="28" t="s">
        <v>469</v>
      </c>
      <c r="C29" s="28" t="s">
        <v>458</v>
      </c>
      <c r="D29" s="28" t="s">
        <v>459</v>
      </c>
      <c r="E29" s="29" t="s">
        <v>597</v>
      </c>
      <c r="F29" s="28" t="s">
        <v>35</v>
      </c>
      <c r="G29" s="37" t="s">
        <v>455</v>
      </c>
      <c r="H29" s="37" t="s">
        <v>92</v>
      </c>
      <c r="I29" s="37" t="s">
        <v>87</v>
      </c>
      <c r="J29" s="38"/>
      <c r="K29" s="30" t="str">
        <f>"262,5"</f>
        <v>262,5</v>
      </c>
      <c r="L29" s="30" t="str">
        <f>"161,0700"</f>
        <v>161,0700</v>
      </c>
      <c r="M29" s="28"/>
    </row>
    <row r="30" spans="1:13">
      <c r="A30" s="40" t="s">
        <v>128</v>
      </c>
      <c r="B30" s="31" t="s">
        <v>276</v>
      </c>
      <c r="C30" s="31" t="s">
        <v>227</v>
      </c>
      <c r="D30" s="31" t="s">
        <v>228</v>
      </c>
      <c r="E30" s="32" t="s">
        <v>597</v>
      </c>
      <c r="F30" s="31" t="s">
        <v>35</v>
      </c>
      <c r="G30" s="39" t="s">
        <v>16</v>
      </c>
      <c r="H30" s="39" t="s">
        <v>78</v>
      </c>
      <c r="I30" s="41" t="s">
        <v>61</v>
      </c>
      <c r="J30" s="40"/>
      <c r="K30" s="33" t="str">
        <f>"220,0"</f>
        <v>220,0</v>
      </c>
      <c r="L30" s="33" t="str">
        <f>"134,8820"</f>
        <v>134,8820</v>
      </c>
      <c r="M30" s="31"/>
    </row>
    <row r="32" spans="1:13" ht="16">
      <c r="A32" s="70" t="s">
        <v>11</v>
      </c>
      <c r="B32" s="70"/>
      <c r="C32" s="71"/>
      <c r="D32" s="71"/>
      <c r="E32" s="71"/>
      <c r="F32" s="71"/>
      <c r="G32" s="71"/>
      <c r="H32" s="71"/>
      <c r="I32" s="71"/>
      <c r="J32" s="71"/>
    </row>
    <row r="33" spans="1:13">
      <c r="A33" s="35" t="s">
        <v>30</v>
      </c>
      <c r="B33" s="25" t="s">
        <v>277</v>
      </c>
      <c r="C33" s="25" t="s">
        <v>229</v>
      </c>
      <c r="D33" s="25" t="s">
        <v>230</v>
      </c>
      <c r="E33" s="26" t="s">
        <v>600</v>
      </c>
      <c r="F33" s="25" t="s">
        <v>35</v>
      </c>
      <c r="G33" s="34" t="s">
        <v>114</v>
      </c>
      <c r="H33" s="34" t="s">
        <v>17</v>
      </c>
      <c r="I33" s="34" t="s">
        <v>221</v>
      </c>
      <c r="J33" s="35"/>
      <c r="K33" s="27" t="str">
        <f>"222,5"</f>
        <v>222,5</v>
      </c>
      <c r="L33" s="27" t="str">
        <f>"131,1192"</f>
        <v>131,1192</v>
      </c>
      <c r="M33" s="25"/>
    </row>
    <row r="34" spans="1:13">
      <c r="A34" s="40" t="s">
        <v>30</v>
      </c>
      <c r="B34" s="31" t="s">
        <v>470</v>
      </c>
      <c r="C34" s="31" t="s">
        <v>460</v>
      </c>
      <c r="D34" s="31" t="s">
        <v>461</v>
      </c>
      <c r="E34" s="32" t="s">
        <v>597</v>
      </c>
      <c r="F34" s="31" t="s">
        <v>35</v>
      </c>
      <c r="G34" s="39" t="s">
        <v>16</v>
      </c>
      <c r="H34" s="39" t="s">
        <v>17</v>
      </c>
      <c r="I34" s="39" t="s">
        <v>18</v>
      </c>
      <c r="J34" s="40"/>
      <c r="K34" s="33" t="str">
        <f>"225,0"</f>
        <v>225,0</v>
      </c>
      <c r="L34" s="33" t="str">
        <f>"132,9525"</f>
        <v>132,9525</v>
      </c>
      <c r="M34" s="31"/>
    </row>
    <row r="36" spans="1:13" ht="16">
      <c r="F36" s="8"/>
      <c r="G36" s="5"/>
      <c r="K36" s="10"/>
      <c r="M36" s="7"/>
    </row>
    <row r="37" spans="1:13">
      <c r="G37" s="5"/>
      <c r="K37" s="10"/>
      <c r="M37" s="7"/>
    </row>
    <row r="38" spans="1:13" ht="18">
      <c r="B38" s="9" t="s">
        <v>7</v>
      </c>
      <c r="C38" s="9"/>
      <c r="G38" s="3"/>
      <c r="K38" s="10"/>
      <c r="M38" s="7"/>
    </row>
    <row r="39" spans="1:13" ht="16">
      <c r="B39" s="14" t="s">
        <v>592</v>
      </c>
      <c r="C39" s="14"/>
      <c r="G39" s="3"/>
      <c r="K39" s="10"/>
      <c r="M39" s="7"/>
    </row>
    <row r="40" spans="1:13" ht="14">
      <c r="B40" s="15"/>
      <c r="C40" s="16" t="s">
        <v>23</v>
      </c>
      <c r="G40" s="3"/>
      <c r="K40" s="10"/>
      <c r="M40" s="7"/>
    </row>
    <row r="41" spans="1:13" ht="14">
      <c r="B41" s="17" t="s">
        <v>24</v>
      </c>
      <c r="C41" s="17" t="s">
        <v>25</v>
      </c>
      <c r="D41" s="17" t="s">
        <v>591</v>
      </c>
      <c r="E41" s="18" t="s">
        <v>319</v>
      </c>
      <c r="F41" s="17" t="s">
        <v>28</v>
      </c>
      <c r="G41" s="3"/>
      <c r="K41" s="10"/>
      <c r="M41" s="7"/>
    </row>
    <row r="42" spans="1:13">
      <c r="B42" s="5" t="s">
        <v>214</v>
      </c>
      <c r="C42" s="5" t="s">
        <v>23</v>
      </c>
      <c r="D42" s="10" t="s">
        <v>120</v>
      </c>
      <c r="E42" s="20">
        <v>308</v>
      </c>
      <c r="F42" s="19">
        <v>197.64360904693601</v>
      </c>
      <c r="G42" s="3"/>
      <c r="K42" s="10"/>
      <c r="M42" s="7"/>
    </row>
    <row r="43" spans="1:13">
      <c r="B43" s="5" t="s">
        <v>196</v>
      </c>
      <c r="C43" s="5" t="s">
        <v>23</v>
      </c>
      <c r="D43" s="10" t="s">
        <v>119</v>
      </c>
      <c r="E43" s="20">
        <v>240</v>
      </c>
      <c r="F43" s="19">
        <v>170.687999725342</v>
      </c>
      <c r="G43" s="3"/>
      <c r="K43" s="10"/>
      <c r="M43" s="7"/>
    </row>
    <row r="44" spans="1:13">
      <c r="B44" s="5" t="s">
        <v>89</v>
      </c>
      <c r="C44" s="5" t="s">
        <v>23</v>
      </c>
      <c r="D44" s="10" t="s">
        <v>121</v>
      </c>
      <c r="E44" s="20">
        <v>270</v>
      </c>
      <c r="F44" s="19">
        <v>164.32200551033</v>
      </c>
      <c r="G44" s="3"/>
      <c r="K44" s="10"/>
      <c r="M44" s="7"/>
    </row>
    <row r="45" spans="1:13">
      <c r="E45" s="5"/>
      <c r="F45" s="6"/>
      <c r="G45" s="5"/>
      <c r="K45" s="10"/>
      <c r="M45" s="7"/>
    </row>
  </sheetData>
  <mergeCells count="18">
    <mergeCell ref="A32:J32"/>
    <mergeCell ref="K3:K4"/>
    <mergeCell ref="L3:L4"/>
    <mergeCell ref="M3:M4"/>
    <mergeCell ref="A5:J5"/>
    <mergeCell ref="B3:B4"/>
    <mergeCell ref="A9:J9"/>
    <mergeCell ref="A12:J12"/>
    <mergeCell ref="A16:J16"/>
    <mergeCell ref="A20:J20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6"/>
  <sheetViews>
    <sheetView workbookViewId="0">
      <selection activeCell="E17" sqref="E17"/>
    </sheetView>
  </sheetViews>
  <sheetFormatPr baseColWidth="10" defaultColWidth="9.1640625" defaultRowHeight="13"/>
  <cols>
    <col min="1" max="1" width="6.6640625" style="5" bestFit="1" customWidth="1"/>
    <col min="2" max="2" width="21.3320312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8" style="5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7" t="s">
        <v>525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10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32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442</v>
      </c>
      <c r="C6" s="11" t="s">
        <v>553</v>
      </c>
      <c r="D6" s="11" t="s">
        <v>439</v>
      </c>
      <c r="E6" s="12" t="s">
        <v>598</v>
      </c>
      <c r="F6" s="11" t="s">
        <v>315</v>
      </c>
      <c r="G6" s="21" t="s">
        <v>143</v>
      </c>
      <c r="H6" s="23" t="s">
        <v>209</v>
      </c>
      <c r="I6" s="23" t="s">
        <v>209</v>
      </c>
      <c r="J6" s="22"/>
      <c r="K6" s="13" t="str">
        <f>"125,0"</f>
        <v>125,0</v>
      </c>
      <c r="L6" s="13" t="str">
        <f>"153,7682"</f>
        <v>153,7682</v>
      </c>
      <c r="M6" s="11"/>
    </row>
    <row r="8" spans="1:13" ht="16">
      <c r="A8" s="70" t="s">
        <v>88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22" t="s">
        <v>30</v>
      </c>
      <c r="B9" s="11" t="s">
        <v>131</v>
      </c>
      <c r="C9" s="11" t="s">
        <v>97</v>
      </c>
      <c r="D9" s="11" t="s">
        <v>98</v>
      </c>
      <c r="E9" s="12" t="s">
        <v>597</v>
      </c>
      <c r="F9" s="11" t="s">
        <v>76</v>
      </c>
      <c r="G9" s="21" t="s">
        <v>82</v>
      </c>
      <c r="H9" s="21" t="s">
        <v>83</v>
      </c>
      <c r="I9" s="21" t="s">
        <v>20</v>
      </c>
      <c r="J9" s="22"/>
      <c r="K9" s="13" t="str">
        <f>"280,0"</f>
        <v>280,0</v>
      </c>
      <c r="L9" s="13" t="str">
        <f>"171,2480"</f>
        <v>171,2480</v>
      </c>
      <c r="M9" s="11"/>
    </row>
    <row r="11" spans="1:13" ht="16">
      <c r="A11" s="70" t="s">
        <v>11</v>
      </c>
      <c r="B11" s="70"/>
      <c r="C11" s="71"/>
      <c r="D11" s="71"/>
      <c r="E11" s="71"/>
      <c r="F11" s="71"/>
      <c r="G11" s="71"/>
      <c r="H11" s="71"/>
      <c r="I11" s="71"/>
      <c r="J11" s="71"/>
    </row>
    <row r="12" spans="1:13">
      <c r="A12" s="22" t="s">
        <v>30</v>
      </c>
      <c r="B12" s="11" t="s">
        <v>338</v>
      </c>
      <c r="C12" s="11" t="s">
        <v>311</v>
      </c>
      <c r="D12" s="11" t="s">
        <v>312</v>
      </c>
      <c r="E12" s="12" t="s">
        <v>597</v>
      </c>
      <c r="F12" s="11" t="s">
        <v>297</v>
      </c>
      <c r="G12" s="21" t="s">
        <v>83</v>
      </c>
      <c r="H12" s="23" t="s">
        <v>20</v>
      </c>
      <c r="I12" s="23" t="s">
        <v>20</v>
      </c>
      <c r="J12" s="22"/>
      <c r="K12" s="13" t="str">
        <f>"270,0"</f>
        <v>270,0</v>
      </c>
      <c r="L12" s="13" t="str">
        <f>"159,7320"</f>
        <v>159,7320</v>
      </c>
      <c r="M12" s="11"/>
    </row>
    <row r="14" spans="1:13" ht="16">
      <c r="A14" s="70" t="s">
        <v>115</v>
      </c>
      <c r="B14" s="70"/>
      <c r="C14" s="71"/>
      <c r="D14" s="71"/>
      <c r="E14" s="71"/>
      <c r="F14" s="71"/>
      <c r="G14" s="71"/>
      <c r="H14" s="71"/>
      <c r="I14" s="71"/>
      <c r="J14" s="71"/>
    </row>
    <row r="15" spans="1:13">
      <c r="A15" s="35" t="s">
        <v>30</v>
      </c>
      <c r="B15" s="25" t="s">
        <v>137</v>
      </c>
      <c r="C15" s="25" t="s">
        <v>116</v>
      </c>
      <c r="D15" s="25" t="s">
        <v>117</v>
      </c>
      <c r="E15" s="26" t="s">
        <v>597</v>
      </c>
      <c r="F15" s="25" t="s">
        <v>35</v>
      </c>
      <c r="G15" s="34" t="s">
        <v>82</v>
      </c>
      <c r="H15" s="34" t="s">
        <v>94</v>
      </c>
      <c r="I15" s="36" t="s">
        <v>96</v>
      </c>
      <c r="J15" s="35"/>
      <c r="K15" s="27" t="str">
        <f>"275,0"</f>
        <v>275,0</v>
      </c>
      <c r="L15" s="27" t="str">
        <f>"158,3450"</f>
        <v>158,3450</v>
      </c>
      <c r="M15" s="25"/>
    </row>
    <row r="16" spans="1:13">
      <c r="A16" s="40" t="s">
        <v>126</v>
      </c>
      <c r="B16" s="31" t="s">
        <v>443</v>
      </c>
      <c r="C16" s="31" t="s">
        <v>440</v>
      </c>
      <c r="D16" s="31" t="s">
        <v>441</v>
      </c>
      <c r="E16" s="32" t="s">
        <v>597</v>
      </c>
      <c r="F16" s="31" t="s">
        <v>35</v>
      </c>
      <c r="G16" s="39" t="s">
        <v>92</v>
      </c>
      <c r="H16" s="41" t="s">
        <v>83</v>
      </c>
      <c r="I16" s="40"/>
      <c r="J16" s="40"/>
      <c r="K16" s="33" t="str">
        <f>"255,0"</f>
        <v>255,0</v>
      </c>
      <c r="L16" s="33" t="str">
        <f>"146,1660"</f>
        <v>146,1660</v>
      </c>
      <c r="M16" s="31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0"/>
  <sheetViews>
    <sheetView workbookViewId="0">
      <selection activeCell="E31" sqref="E31"/>
    </sheetView>
  </sheetViews>
  <sheetFormatPr baseColWidth="10" defaultColWidth="9.1640625" defaultRowHeight="13"/>
  <cols>
    <col min="1" max="1" width="6.6640625" style="5" bestFit="1" customWidth="1"/>
    <col min="2" max="2" width="20.8320312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31.33203125" style="5" customWidth="1"/>
    <col min="7" max="10" width="4.33203125" style="10" customWidth="1"/>
    <col min="11" max="11" width="10.5" style="7" bestFit="1" customWidth="1"/>
    <col min="12" max="12" width="7.33203125" style="7" bestFit="1" customWidth="1"/>
    <col min="13" max="13" width="22" style="5" customWidth="1"/>
    <col min="14" max="16384" width="9.1640625" style="3"/>
  </cols>
  <sheetData>
    <row r="1" spans="1:13" s="2" customFormat="1" ht="29" customHeight="1">
      <c r="A1" s="47" t="s">
        <v>518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593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157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500</v>
      </c>
      <c r="C6" s="11" t="s">
        <v>481</v>
      </c>
      <c r="D6" s="11" t="s">
        <v>482</v>
      </c>
      <c r="E6" s="12" t="s">
        <v>597</v>
      </c>
      <c r="F6" s="11" t="s">
        <v>35</v>
      </c>
      <c r="G6" s="23" t="s">
        <v>483</v>
      </c>
      <c r="H6" s="21" t="s">
        <v>483</v>
      </c>
      <c r="I6" s="23" t="s">
        <v>484</v>
      </c>
      <c r="J6" s="22"/>
      <c r="K6" s="13" t="str">
        <f>"30,0"</f>
        <v>30,0</v>
      </c>
      <c r="L6" s="13" t="str">
        <f>"28,9725"</f>
        <v>28,9725</v>
      </c>
      <c r="M6" s="11"/>
    </row>
    <row r="8" spans="1:13" ht="16">
      <c r="A8" s="70" t="s">
        <v>157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35" t="s">
        <v>30</v>
      </c>
      <c r="B9" s="25" t="s">
        <v>501</v>
      </c>
      <c r="C9" s="25" t="s">
        <v>534</v>
      </c>
      <c r="D9" s="25" t="s">
        <v>485</v>
      </c>
      <c r="E9" s="26" t="s">
        <v>600</v>
      </c>
      <c r="F9" s="25" t="s">
        <v>35</v>
      </c>
      <c r="G9" s="34" t="s">
        <v>142</v>
      </c>
      <c r="H9" s="34" t="s">
        <v>50</v>
      </c>
      <c r="I9" s="34" t="s">
        <v>486</v>
      </c>
      <c r="J9" s="35"/>
      <c r="K9" s="27" t="str">
        <f>"47,5"</f>
        <v>47,5</v>
      </c>
      <c r="L9" s="27" t="str">
        <f>"37,6699"</f>
        <v>37,6699</v>
      </c>
      <c r="M9" s="25"/>
    </row>
    <row r="10" spans="1:13">
      <c r="A10" s="38" t="s">
        <v>126</v>
      </c>
      <c r="B10" s="28" t="s">
        <v>502</v>
      </c>
      <c r="C10" s="28" t="s">
        <v>535</v>
      </c>
      <c r="D10" s="28" t="s">
        <v>487</v>
      </c>
      <c r="E10" s="29" t="s">
        <v>600</v>
      </c>
      <c r="F10" s="28" t="s">
        <v>35</v>
      </c>
      <c r="G10" s="37" t="s">
        <v>142</v>
      </c>
      <c r="H10" s="37" t="s">
        <v>152</v>
      </c>
      <c r="I10" s="37" t="s">
        <v>50</v>
      </c>
      <c r="J10" s="38"/>
      <c r="K10" s="30" t="str">
        <f>"45,0"</f>
        <v>45,0</v>
      </c>
      <c r="L10" s="30" t="str">
        <f>"34,9875"</f>
        <v>34,9875</v>
      </c>
      <c r="M10" s="28"/>
    </row>
    <row r="11" spans="1:13">
      <c r="A11" s="40" t="s">
        <v>128</v>
      </c>
      <c r="B11" s="31" t="s">
        <v>503</v>
      </c>
      <c r="C11" s="31" t="s">
        <v>536</v>
      </c>
      <c r="D11" s="31" t="s">
        <v>488</v>
      </c>
      <c r="E11" s="32" t="s">
        <v>600</v>
      </c>
      <c r="F11" s="31" t="s">
        <v>35</v>
      </c>
      <c r="G11" s="39" t="s">
        <v>142</v>
      </c>
      <c r="H11" s="39" t="s">
        <v>50</v>
      </c>
      <c r="I11" s="41" t="s">
        <v>486</v>
      </c>
      <c r="J11" s="40"/>
      <c r="K11" s="33" t="str">
        <f>"45,0"</f>
        <v>45,0</v>
      </c>
      <c r="L11" s="33" t="str">
        <f>"34,5173"</f>
        <v>34,5173</v>
      </c>
      <c r="M11" s="31"/>
    </row>
    <row r="13" spans="1:13" ht="16">
      <c r="A13" s="70" t="s">
        <v>165</v>
      </c>
      <c r="B13" s="70"/>
      <c r="C13" s="71"/>
      <c r="D13" s="71"/>
      <c r="E13" s="71"/>
      <c r="F13" s="71"/>
      <c r="G13" s="71"/>
      <c r="H13" s="71"/>
      <c r="I13" s="71"/>
      <c r="J13" s="71"/>
    </row>
    <row r="14" spans="1:13">
      <c r="A14" s="35" t="s">
        <v>30</v>
      </c>
      <c r="B14" s="25" t="s">
        <v>252</v>
      </c>
      <c r="C14" s="25" t="s">
        <v>537</v>
      </c>
      <c r="D14" s="25" t="s">
        <v>178</v>
      </c>
      <c r="E14" s="26" t="s">
        <v>600</v>
      </c>
      <c r="F14" s="25" t="s">
        <v>35</v>
      </c>
      <c r="G14" s="34" t="s">
        <v>50</v>
      </c>
      <c r="H14" s="34" t="s">
        <v>36</v>
      </c>
      <c r="I14" s="34" t="s">
        <v>38</v>
      </c>
      <c r="J14" s="35"/>
      <c r="K14" s="27" t="str">
        <f>"60,0"</f>
        <v>60,0</v>
      </c>
      <c r="L14" s="27" t="str">
        <f>"41,3130"</f>
        <v>41,3130</v>
      </c>
      <c r="M14" s="25"/>
    </row>
    <row r="15" spans="1:13">
      <c r="A15" s="38" t="s">
        <v>126</v>
      </c>
      <c r="B15" s="28" t="s">
        <v>504</v>
      </c>
      <c r="C15" s="28" t="s">
        <v>538</v>
      </c>
      <c r="D15" s="28" t="s">
        <v>166</v>
      </c>
      <c r="E15" s="29" t="s">
        <v>600</v>
      </c>
      <c r="F15" s="28" t="s">
        <v>35</v>
      </c>
      <c r="G15" s="37" t="s">
        <v>36</v>
      </c>
      <c r="H15" s="37" t="s">
        <v>351</v>
      </c>
      <c r="I15" s="42" t="s">
        <v>38</v>
      </c>
      <c r="J15" s="38"/>
      <c r="K15" s="30" t="str">
        <f>"57,5"</f>
        <v>57,5</v>
      </c>
      <c r="L15" s="30" t="str">
        <f>"39,7469"</f>
        <v>39,7469</v>
      </c>
      <c r="M15" s="28"/>
    </row>
    <row r="16" spans="1:13">
      <c r="A16" s="40" t="s">
        <v>128</v>
      </c>
      <c r="B16" s="31" t="s">
        <v>505</v>
      </c>
      <c r="C16" s="31" t="s">
        <v>539</v>
      </c>
      <c r="D16" s="31" t="s">
        <v>185</v>
      </c>
      <c r="E16" s="32" t="s">
        <v>600</v>
      </c>
      <c r="F16" s="31" t="s">
        <v>489</v>
      </c>
      <c r="G16" s="39" t="s">
        <v>50</v>
      </c>
      <c r="H16" s="39" t="s">
        <v>36</v>
      </c>
      <c r="I16" s="41" t="s">
        <v>37</v>
      </c>
      <c r="J16" s="40"/>
      <c r="K16" s="33" t="str">
        <f>"50,0"</f>
        <v>50,0</v>
      </c>
      <c r="L16" s="33" t="str">
        <f>"37,1900"</f>
        <v>37,1900</v>
      </c>
      <c r="M16" s="31"/>
    </row>
    <row r="18" spans="1:13" ht="16">
      <c r="A18" s="70" t="s">
        <v>53</v>
      </c>
      <c r="B18" s="70"/>
      <c r="C18" s="71"/>
      <c r="D18" s="71"/>
      <c r="E18" s="71"/>
      <c r="F18" s="71"/>
      <c r="G18" s="71"/>
      <c r="H18" s="71"/>
      <c r="I18" s="71"/>
      <c r="J18" s="71"/>
    </row>
    <row r="19" spans="1:13">
      <c r="A19" s="35" t="s">
        <v>30</v>
      </c>
      <c r="B19" s="25" t="s">
        <v>506</v>
      </c>
      <c r="C19" s="25" t="s">
        <v>540</v>
      </c>
      <c r="D19" s="25" t="s">
        <v>490</v>
      </c>
      <c r="E19" s="26" t="s">
        <v>600</v>
      </c>
      <c r="F19" s="25" t="s">
        <v>35</v>
      </c>
      <c r="G19" s="34" t="s">
        <v>37</v>
      </c>
      <c r="H19" s="34" t="s">
        <v>38</v>
      </c>
      <c r="I19" s="36" t="s">
        <v>175</v>
      </c>
      <c r="J19" s="35"/>
      <c r="K19" s="27" t="str">
        <f>"60,0"</f>
        <v>60,0</v>
      </c>
      <c r="L19" s="27" t="str">
        <f>"40,8330"</f>
        <v>40,8330</v>
      </c>
      <c r="M19" s="25"/>
    </row>
    <row r="20" spans="1:13">
      <c r="A20" s="38" t="s">
        <v>126</v>
      </c>
      <c r="B20" s="28" t="s">
        <v>507</v>
      </c>
      <c r="C20" s="28" t="s">
        <v>541</v>
      </c>
      <c r="D20" s="28" t="s">
        <v>491</v>
      </c>
      <c r="E20" s="29" t="s">
        <v>600</v>
      </c>
      <c r="F20" s="28" t="s">
        <v>35</v>
      </c>
      <c r="G20" s="37" t="s">
        <v>36</v>
      </c>
      <c r="H20" s="37" t="s">
        <v>37</v>
      </c>
      <c r="I20" s="37" t="s">
        <v>351</v>
      </c>
      <c r="J20" s="38"/>
      <c r="K20" s="30" t="str">
        <f>"57,5"</f>
        <v>57,5</v>
      </c>
      <c r="L20" s="30" t="str">
        <f>"37,4498"</f>
        <v>37,4498</v>
      </c>
      <c r="M20" s="28"/>
    </row>
    <row r="21" spans="1:13">
      <c r="A21" s="38" t="s">
        <v>128</v>
      </c>
      <c r="B21" s="28" t="s">
        <v>508</v>
      </c>
      <c r="C21" s="28" t="s">
        <v>542</v>
      </c>
      <c r="D21" s="28" t="s">
        <v>492</v>
      </c>
      <c r="E21" s="29" t="s">
        <v>600</v>
      </c>
      <c r="F21" s="28" t="s">
        <v>289</v>
      </c>
      <c r="G21" s="42" t="s">
        <v>37</v>
      </c>
      <c r="H21" s="37" t="s">
        <v>37</v>
      </c>
      <c r="I21" s="42" t="s">
        <v>175</v>
      </c>
      <c r="J21" s="38"/>
      <c r="K21" s="30" t="str">
        <f>"55,0"</f>
        <v>55,0</v>
      </c>
      <c r="L21" s="30" t="str">
        <f>"36,8473"</f>
        <v>36,8473</v>
      </c>
      <c r="M21" s="28"/>
    </row>
    <row r="22" spans="1:13">
      <c r="A22" s="38" t="s">
        <v>133</v>
      </c>
      <c r="B22" s="28" t="s">
        <v>509</v>
      </c>
      <c r="C22" s="28" t="s">
        <v>543</v>
      </c>
      <c r="D22" s="28" t="s">
        <v>493</v>
      </c>
      <c r="E22" s="29" t="s">
        <v>600</v>
      </c>
      <c r="F22" s="28" t="s">
        <v>35</v>
      </c>
      <c r="G22" s="42" t="s">
        <v>36</v>
      </c>
      <c r="H22" s="37" t="s">
        <v>37</v>
      </c>
      <c r="I22" s="42" t="s">
        <v>351</v>
      </c>
      <c r="J22" s="38"/>
      <c r="K22" s="30" t="str">
        <f>"55,0"</f>
        <v>55,0</v>
      </c>
      <c r="L22" s="30" t="str">
        <f>"35,6510"</f>
        <v>35,6510</v>
      </c>
      <c r="M22" s="28"/>
    </row>
    <row r="23" spans="1:13">
      <c r="A23" s="40" t="s">
        <v>30</v>
      </c>
      <c r="B23" s="31" t="s">
        <v>510</v>
      </c>
      <c r="C23" s="31" t="s">
        <v>544</v>
      </c>
      <c r="D23" s="31" t="s">
        <v>494</v>
      </c>
      <c r="E23" s="32" t="s">
        <v>599</v>
      </c>
      <c r="F23" s="31" t="s">
        <v>495</v>
      </c>
      <c r="G23" s="39" t="s">
        <v>37</v>
      </c>
      <c r="H23" s="39" t="s">
        <v>351</v>
      </c>
      <c r="I23" s="39" t="s">
        <v>175</v>
      </c>
      <c r="J23" s="40"/>
      <c r="K23" s="33" t="str">
        <f>"62,5"</f>
        <v>62,5</v>
      </c>
      <c r="L23" s="33" t="str">
        <f>"41,0812"</f>
        <v>41,0812</v>
      </c>
      <c r="M23" s="31"/>
    </row>
    <row r="25" spans="1:13" ht="16">
      <c r="A25" s="70" t="s">
        <v>63</v>
      </c>
      <c r="B25" s="70"/>
      <c r="C25" s="71"/>
      <c r="D25" s="71"/>
      <c r="E25" s="71"/>
      <c r="F25" s="71"/>
      <c r="G25" s="71"/>
      <c r="H25" s="71"/>
      <c r="I25" s="71"/>
      <c r="J25" s="71"/>
    </row>
    <row r="26" spans="1:13">
      <c r="A26" s="22" t="s">
        <v>30</v>
      </c>
      <c r="B26" s="11" t="s">
        <v>511</v>
      </c>
      <c r="C26" s="11" t="s">
        <v>496</v>
      </c>
      <c r="D26" s="11" t="s">
        <v>66</v>
      </c>
      <c r="E26" s="12" t="s">
        <v>597</v>
      </c>
      <c r="F26" s="11" t="s">
        <v>315</v>
      </c>
      <c r="G26" s="21" t="s">
        <v>162</v>
      </c>
      <c r="H26" s="23" t="s">
        <v>497</v>
      </c>
      <c r="I26" s="21" t="s">
        <v>497</v>
      </c>
      <c r="J26" s="22"/>
      <c r="K26" s="13" t="str">
        <f>"77,5"</f>
        <v>77,5</v>
      </c>
      <c r="L26" s="13" t="str">
        <f>"47,6547"</f>
        <v>47,6547</v>
      </c>
      <c r="M26" s="11"/>
    </row>
    <row r="28" spans="1:13" ht="16">
      <c r="A28" s="70" t="s">
        <v>88</v>
      </c>
      <c r="B28" s="70"/>
      <c r="C28" s="71"/>
      <c r="D28" s="71"/>
      <c r="E28" s="71"/>
      <c r="F28" s="71"/>
      <c r="G28" s="71"/>
      <c r="H28" s="71"/>
      <c r="I28" s="71"/>
      <c r="J28" s="71"/>
    </row>
    <row r="29" spans="1:13">
      <c r="A29" s="35" t="s">
        <v>30</v>
      </c>
      <c r="B29" s="25" t="s">
        <v>512</v>
      </c>
      <c r="C29" s="25" t="s">
        <v>498</v>
      </c>
      <c r="D29" s="25" t="s">
        <v>102</v>
      </c>
      <c r="E29" s="26" t="s">
        <v>597</v>
      </c>
      <c r="F29" s="25" t="s">
        <v>35</v>
      </c>
      <c r="G29" s="34" t="s">
        <v>41</v>
      </c>
      <c r="H29" s="36" t="s">
        <v>42</v>
      </c>
      <c r="I29" s="36" t="s">
        <v>42</v>
      </c>
      <c r="J29" s="35"/>
      <c r="K29" s="27" t="str">
        <f>"70,0"</f>
        <v>70,0</v>
      </c>
      <c r="L29" s="27" t="str">
        <f>"40,7960"</f>
        <v>40,7960</v>
      </c>
      <c r="M29" s="25"/>
    </row>
    <row r="30" spans="1:13">
      <c r="A30" s="40" t="s">
        <v>30</v>
      </c>
      <c r="B30" s="31" t="s">
        <v>513</v>
      </c>
      <c r="C30" s="31" t="s">
        <v>545</v>
      </c>
      <c r="D30" s="31" t="s">
        <v>499</v>
      </c>
      <c r="E30" s="32" t="s">
        <v>598</v>
      </c>
      <c r="F30" s="31" t="s">
        <v>345</v>
      </c>
      <c r="G30" s="39" t="s">
        <v>37</v>
      </c>
      <c r="H30" s="39" t="s">
        <v>151</v>
      </c>
      <c r="I30" s="41" t="s">
        <v>41</v>
      </c>
      <c r="J30" s="40"/>
      <c r="K30" s="33" t="str">
        <f>"65,0"</f>
        <v>65,0</v>
      </c>
      <c r="L30" s="33" t="str">
        <f>"38,5858"</f>
        <v>38,5858</v>
      </c>
      <c r="M30" s="31"/>
    </row>
  </sheetData>
  <mergeCells count="17">
    <mergeCell ref="A28:J28"/>
    <mergeCell ref="A5:J5"/>
    <mergeCell ref="A8:J8"/>
    <mergeCell ref="A13:J13"/>
    <mergeCell ref="A18:J18"/>
    <mergeCell ref="A25:J2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"/>
  <sheetViews>
    <sheetView tabSelected="1"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19.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10" width="4.33203125" style="10" customWidth="1"/>
    <col min="11" max="11" width="10.5" style="7" bestFit="1" customWidth="1"/>
    <col min="12" max="12" width="10" style="7" customWidth="1"/>
    <col min="13" max="13" width="18.33203125" style="5" customWidth="1"/>
    <col min="14" max="16384" width="9.1640625" style="3"/>
  </cols>
  <sheetData>
    <row r="1" spans="1:13" s="2" customFormat="1" ht="29" customHeight="1">
      <c r="A1" s="47" t="s">
        <v>519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593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165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479</v>
      </c>
      <c r="C6" s="11" t="s">
        <v>546</v>
      </c>
      <c r="D6" s="11" t="s">
        <v>477</v>
      </c>
      <c r="E6" s="12" t="s">
        <v>599</v>
      </c>
      <c r="F6" s="11" t="s">
        <v>35</v>
      </c>
      <c r="G6" s="21" t="s">
        <v>351</v>
      </c>
      <c r="H6" s="21" t="s">
        <v>175</v>
      </c>
      <c r="I6" s="23" t="s">
        <v>151</v>
      </c>
      <c r="J6" s="22"/>
      <c r="K6" s="13" t="str">
        <f>"62,5"</f>
        <v>62,5</v>
      </c>
      <c r="L6" s="13" t="str">
        <f>"46,3156"</f>
        <v>46,3156</v>
      </c>
      <c r="M6" s="11"/>
    </row>
    <row r="8" spans="1:13" ht="16">
      <c r="A8" s="70" t="s">
        <v>63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22" t="s">
        <v>30</v>
      </c>
      <c r="B9" s="11" t="s">
        <v>480</v>
      </c>
      <c r="C9" s="11" t="s">
        <v>547</v>
      </c>
      <c r="D9" s="11" t="s">
        <v>478</v>
      </c>
      <c r="E9" s="12" t="s">
        <v>598</v>
      </c>
      <c r="F9" s="11" t="s">
        <v>35</v>
      </c>
      <c r="G9" s="21" t="s">
        <v>38</v>
      </c>
      <c r="H9" s="21" t="s">
        <v>42</v>
      </c>
      <c r="I9" s="21" t="s">
        <v>141</v>
      </c>
      <c r="J9" s="22"/>
      <c r="K9" s="13" t="str">
        <f>"85,0"</f>
        <v>85,0</v>
      </c>
      <c r="L9" s="13" t="str">
        <f>"53,3043"</f>
        <v>53,3043</v>
      </c>
      <c r="M9" s="11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41"/>
  <sheetViews>
    <sheetView workbookViewId="0">
      <selection activeCell="E31" sqref="E31"/>
    </sheetView>
  </sheetViews>
  <sheetFormatPr baseColWidth="10" defaultColWidth="9.1640625" defaultRowHeight="13"/>
  <cols>
    <col min="1" max="1" width="6.6640625" style="5" bestFit="1" customWidth="1"/>
    <col min="2" max="2" width="21.33203125" style="5" bestFit="1" customWidth="1"/>
    <col min="3" max="3" width="27.83203125" style="5" customWidth="1"/>
    <col min="4" max="4" width="20" style="5" bestFit="1" customWidth="1"/>
    <col min="5" max="5" width="9.6640625" style="6" bestFit="1" customWidth="1"/>
    <col min="6" max="6" width="28.33203125" style="5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7" width="5.33203125" style="10" customWidth="1"/>
    <col min="18" max="18" width="4.33203125" style="10" customWidth="1"/>
    <col min="19" max="19" width="7.1640625" style="7" bestFit="1" customWidth="1"/>
    <col min="20" max="20" width="8.33203125" style="7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47" t="s">
        <v>530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32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30</v>
      </c>
      <c r="B6" s="11" t="s">
        <v>122</v>
      </c>
      <c r="C6" s="11" t="s">
        <v>33</v>
      </c>
      <c r="D6" s="11" t="s">
        <v>34</v>
      </c>
      <c r="E6" s="12" t="s">
        <v>597</v>
      </c>
      <c r="F6" s="11" t="s">
        <v>35</v>
      </c>
      <c r="G6" s="21" t="s">
        <v>36</v>
      </c>
      <c r="H6" s="21" t="s">
        <v>37</v>
      </c>
      <c r="I6" s="23" t="s">
        <v>38</v>
      </c>
      <c r="J6" s="22"/>
      <c r="K6" s="21" t="s">
        <v>39</v>
      </c>
      <c r="L6" s="23" t="s">
        <v>40</v>
      </c>
      <c r="M6" s="22"/>
      <c r="N6" s="22"/>
      <c r="O6" s="21" t="s">
        <v>41</v>
      </c>
      <c r="P6" s="21" t="s">
        <v>42</v>
      </c>
      <c r="Q6" s="21" t="s">
        <v>43</v>
      </c>
      <c r="R6" s="22"/>
      <c r="S6" s="13" t="str">
        <f>"170,0"</f>
        <v>170,0</v>
      </c>
      <c r="T6" s="13" t="str">
        <f>"205,4960"</f>
        <v>205,4960</v>
      </c>
      <c r="U6" s="11"/>
    </row>
    <row r="8" spans="1:21" ht="16">
      <c r="A8" s="70" t="s">
        <v>44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21">
      <c r="A9" s="22" t="s">
        <v>30</v>
      </c>
      <c r="B9" s="11" t="s">
        <v>123</v>
      </c>
      <c r="C9" s="11" t="s">
        <v>45</v>
      </c>
      <c r="D9" s="11" t="s">
        <v>46</v>
      </c>
      <c r="E9" s="12" t="s">
        <v>597</v>
      </c>
      <c r="F9" s="11" t="s">
        <v>35</v>
      </c>
      <c r="G9" s="21" t="s">
        <v>47</v>
      </c>
      <c r="H9" s="23" t="s">
        <v>48</v>
      </c>
      <c r="I9" s="21" t="s">
        <v>49</v>
      </c>
      <c r="J9" s="22"/>
      <c r="K9" s="21" t="s">
        <v>50</v>
      </c>
      <c r="L9" s="21" t="s">
        <v>51</v>
      </c>
      <c r="M9" s="23" t="s">
        <v>38</v>
      </c>
      <c r="N9" s="22"/>
      <c r="O9" s="21" t="s">
        <v>49</v>
      </c>
      <c r="P9" s="23" t="s">
        <v>52</v>
      </c>
      <c r="Q9" s="23" t="s">
        <v>52</v>
      </c>
      <c r="R9" s="22"/>
      <c r="S9" s="13" t="str">
        <f>"272,5"</f>
        <v>272,5</v>
      </c>
      <c r="T9" s="13" t="str">
        <f>"225,6845"</f>
        <v>225,6845</v>
      </c>
      <c r="U9" s="11"/>
    </row>
    <row r="11" spans="1:21" ht="16">
      <c r="A11" s="70" t="s">
        <v>53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21">
      <c r="A12" s="22" t="s">
        <v>30</v>
      </c>
      <c r="B12" s="11" t="s">
        <v>124</v>
      </c>
      <c r="C12" s="11" t="s">
        <v>583</v>
      </c>
      <c r="D12" s="11" t="s">
        <v>54</v>
      </c>
      <c r="E12" s="12" t="s">
        <v>599</v>
      </c>
      <c r="F12" s="11" t="s">
        <v>590</v>
      </c>
      <c r="G12" s="21" t="s">
        <v>55</v>
      </c>
      <c r="H12" s="21" t="s">
        <v>56</v>
      </c>
      <c r="I12" s="21" t="s">
        <v>57</v>
      </c>
      <c r="J12" s="22"/>
      <c r="K12" s="21" t="s">
        <v>58</v>
      </c>
      <c r="L12" s="21" t="s">
        <v>59</v>
      </c>
      <c r="M12" s="21" t="s">
        <v>60</v>
      </c>
      <c r="N12" s="22"/>
      <c r="O12" s="21" t="s">
        <v>61</v>
      </c>
      <c r="P12" s="21" t="s">
        <v>62</v>
      </c>
      <c r="Q12" s="21" t="s">
        <v>19</v>
      </c>
      <c r="R12" s="22"/>
      <c r="S12" s="13" t="str">
        <f>"610,0"</f>
        <v>610,0</v>
      </c>
      <c r="T12" s="13" t="str">
        <f>"408,6390"</f>
        <v>408,6390</v>
      </c>
      <c r="U12" s="11"/>
    </row>
    <row r="14" spans="1:21" ht="16">
      <c r="A14" s="70" t="s">
        <v>63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21">
      <c r="A15" s="35" t="s">
        <v>30</v>
      </c>
      <c r="B15" s="25" t="s">
        <v>125</v>
      </c>
      <c r="C15" s="25" t="s">
        <v>65</v>
      </c>
      <c r="D15" s="25" t="s">
        <v>66</v>
      </c>
      <c r="E15" s="26" t="s">
        <v>597</v>
      </c>
      <c r="F15" s="25" t="s">
        <v>35</v>
      </c>
      <c r="G15" s="34" t="s">
        <v>67</v>
      </c>
      <c r="H15" s="34" t="s">
        <v>68</v>
      </c>
      <c r="I15" s="34" t="s">
        <v>69</v>
      </c>
      <c r="J15" s="35"/>
      <c r="K15" s="34" t="s">
        <v>70</v>
      </c>
      <c r="L15" s="34" t="s">
        <v>71</v>
      </c>
      <c r="M15" s="36" t="s">
        <v>56</v>
      </c>
      <c r="N15" s="35"/>
      <c r="O15" s="34" t="s">
        <v>21</v>
      </c>
      <c r="P15" s="34" t="s">
        <v>72</v>
      </c>
      <c r="Q15" s="36" t="s">
        <v>68</v>
      </c>
      <c r="R15" s="35"/>
      <c r="S15" s="27" t="str">
        <f>"833,5"</f>
        <v>833,5</v>
      </c>
      <c r="T15" s="27" t="str">
        <f>"534,5236"</f>
        <v>534,5236</v>
      </c>
      <c r="U15" s="25"/>
    </row>
    <row r="16" spans="1:21">
      <c r="A16" s="38" t="s">
        <v>126</v>
      </c>
      <c r="B16" s="28" t="s">
        <v>127</v>
      </c>
      <c r="C16" s="28" t="s">
        <v>74</v>
      </c>
      <c r="D16" s="28" t="s">
        <v>75</v>
      </c>
      <c r="E16" s="29" t="s">
        <v>597</v>
      </c>
      <c r="F16" s="28" t="s">
        <v>76</v>
      </c>
      <c r="G16" s="37" t="s">
        <v>16</v>
      </c>
      <c r="H16" s="37" t="s">
        <v>77</v>
      </c>
      <c r="I16" s="37" t="s">
        <v>78</v>
      </c>
      <c r="J16" s="38"/>
      <c r="K16" s="37" t="s">
        <v>79</v>
      </c>
      <c r="L16" s="37" t="s">
        <v>80</v>
      </c>
      <c r="M16" s="37" t="s">
        <v>81</v>
      </c>
      <c r="N16" s="38"/>
      <c r="O16" s="37" t="s">
        <v>82</v>
      </c>
      <c r="P16" s="37" t="s">
        <v>83</v>
      </c>
      <c r="Q16" s="37" t="s">
        <v>20</v>
      </c>
      <c r="R16" s="38"/>
      <c r="S16" s="30" t="str">
        <f>"662,5"</f>
        <v>662,5</v>
      </c>
      <c r="T16" s="30" t="str">
        <f>"422,9400"</f>
        <v>422,9400</v>
      </c>
      <c r="U16" s="28"/>
    </row>
    <row r="17" spans="1:21">
      <c r="A17" s="40" t="s">
        <v>128</v>
      </c>
      <c r="B17" s="31" t="s">
        <v>129</v>
      </c>
      <c r="C17" s="31" t="s">
        <v>84</v>
      </c>
      <c r="D17" s="31" t="s">
        <v>85</v>
      </c>
      <c r="E17" s="32" t="s">
        <v>597</v>
      </c>
      <c r="F17" s="31" t="s">
        <v>35</v>
      </c>
      <c r="G17" s="39" t="s">
        <v>71</v>
      </c>
      <c r="H17" s="39" t="s">
        <v>57</v>
      </c>
      <c r="I17" s="39" t="s">
        <v>17</v>
      </c>
      <c r="J17" s="40"/>
      <c r="K17" s="41" t="s">
        <v>79</v>
      </c>
      <c r="L17" s="39" t="s">
        <v>79</v>
      </c>
      <c r="M17" s="39" t="s">
        <v>86</v>
      </c>
      <c r="N17" s="40"/>
      <c r="O17" s="39" t="s">
        <v>78</v>
      </c>
      <c r="P17" s="39" t="s">
        <v>61</v>
      </c>
      <c r="Q17" s="41" t="s">
        <v>87</v>
      </c>
      <c r="R17" s="40"/>
      <c r="S17" s="33" t="str">
        <f>"615,0"</f>
        <v>615,0</v>
      </c>
      <c r="T17" s="33" t="str">
        <f>"394,2150"</f>
        <v>394,2150</v>
      </c>
      <c r="U17" s="31"/>
    </row>
    <row r="19" spans="1:21" ht="16">
      <c r="A19" s="70" t="s">
        <v>88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21">
      <c r="A20" s="35" t="s">
        <v>30</v>
      </c>
      <c r="B20" s="25" t="s">
        <v>130</v>
      </c>
      <c r="C20" s="25" t="s">
        <v>90</v>
      </c>
      <c r="D20" s="25" t="s">
        <v>91</v>
      </c>
      <c r="E20" s="26" t="s">
        <v>597</v>
      </c>
      <c r="F20" s="25" t="s">
        <v>35</v>
      </c>
      <c r="G20" s="34" t="s">
        <v>92</v>
      </c>
      <c r="H20" s="34" t="s">
        <v>93</v>
      </c>
      <c r="I20" s="36" t="s">
        <v>94</v>
      </c>
      <c r="J20" s="35"/>
      <c r="K20" s="34" t="s">
        <v>95</v>
      </c>
      <c r="L20" s="36" t="s">
        <v>70</v>
      </c>
      <c r="M20" s="36" t="s">
        <v>70</v>
      </c>
      <c r="N20" s="35"/>
      <c r="O20" s="34" t="s">
        <v>83</v>
      </c>
      <c r="P20" s="36" t="s">
        <v>96</v>
      </c>
      <c r="Q20" s="36" t="s">
        <v>96</v>
      </c>
      <c r="R20" s="35"/>
      <c r="S20" s="27" t="str">
        <f>"707,5"</f>
        <v>707,5</v>
      </c>
      <c r="T20" s="27" t="str">
        <f>"430,5845"</f>
        <v>430,5845</v>
      </c>
      <c r="U20" s="25"/>
    </row>
    <row r="21" spans="1:21">
      <c r="A21" s="38" t="s">
        <v>126</v>
      </c>
      <c r="B21" s="28" t="s">
        <v>131</v>
      </c>
      <c r="C21" s="28" t="s">
        <v>97</v>
      </c>
      <c r="D21" s="28" t="s">
        <v>98</v>
      </c>
      <c r="E21" s="29" t="s">
        <v>597</v>
      </c>
      <c r="F21" s="28" t="s">
        <v>76</v>
      </c>
      <c r="G21" s="37" t="s">
        <v>17</v>
      </c>
      <c r="H21" s="37" t="s">
        <v>18</v>
      </c>
      <c r="I21" s="37" t="s">
        <v>99</v>
      </c>
      <c r="J21" s="38"/>
      <c r="K21" s="37" t="s">
        <v>86</v>
      </c>
      <c r="L21" s="37" t="s">
        <v>100</v>
      </c>
      <c r="M21" s="37" t="s">
        <v>95</v>
      </c>
      <c r="N21" s="38"/>
      <c r="O21" s="37" t="s">
        <v>82</v>
      </c>
      <c r="P21" s="37" t="s">
        <v>83</v>
      </c>
      <c r="Q21" s="37" t="s">
        <v>20</v>
      </c>
      <c r="R21" s="38"/>
      <c r="S21" s="30" t="str">
        <f>"682,5"</f>
        <v>682,5</v>
      </c>
      <c r="T21" s="30" t="str">
        <f>"417,4170"</f>
        <v>417,4170</v>
      </c>
      <c r="U21" s="28"/>
    </row>
    <row r="22" spans="1:21">
      <c r="A22" s="38" t="s">
        <v>128</v>
      </c>
      <c r="B22" s="28" t="s">
        <v>132</v>
      </c>
      <c r="C22" s="28" t="s">
        <v>101</v>
      </c>
      <c r="D22" s="28" t="s">
        <v>102</v>
      </c>
      <c r="E22" s="29" t="s">
        <v>597</v>
      </c>
      <c r="F22" s="28" t="s">
        <v>35</v>
      </c>
      <c r="G22" s="37" t="s">
        <v>16</v>
      </c>
      <c r="H22" s="37" t="s">
        <v>17</v>
      </c>
      <c r="I22" s="37" t="s">
        <v>18</v>
      </c>
      <c r="J22" s="38"/>
      <c r="K22" s="37" t="s">
        <v>103</v>
      </c>
      <c r="L22" s="37" t="s">
        <v>104</v>
      </c>
      <c r="M22" s="42" t="s">
        <v>105</v>
      </c>
      <c r="N22" s="38"/>
      <c r="O22" s="37" t="s">
        <v>78</v>
      </c>
      <c r="P22" s="37" t="s">
        <v>61</v>
      </c>
      <c r="Q22" s="37" t="s">
        <v>62</v>
      </c>
      <c r="R22" s="38"/>
      <c r="S22" s="30" t="str">
        <f>"615,0"</f>
        <v>615,0</v>
      </c>
      <c r="T22" s="30" t="str">
        <f>"375,2115"</f>
        <v>375,2115</v>
      </c>
      <c r="U22" s="28"/>
    </row>
    <row r="23" spans="1:21">
      <c r="A23" s="40" t="s">
        <v>133</v>
      </c>
      <c r="B23" s="31" t="s">
        <v>134</v>
      </c>
      <c r="C23" s="31" t="s">
        <v>106</v>
      </c>
      <c r="D23" s="31" t="s">
        <v>107</v>
      </c>
      <c r="E23" s="32" t="s">
        <v>597</v>
      </c>
      <c r="F23" s="31" t="s">
        <v>35</v>
      </c>
      <c r="G23" s="39" t="s">
        <v>95</v>
      </c>
      <c r="H23" s="39" t="s">
        <v>70</v>
      </c>
      <c r="I23" s="39" t="s">
        <v>108</v>
      </c>
      <c r="J23" s="40"/>
      <c r="K23" s="39" t="s">
        <v>104</v>
      </c>
      <c r="L23" s="39" t="s">
        <v>79</v>
      </c>
      <c r="M23" s="39" t="s">
        <v>86</v>
      </c>
      <c r="N23" s="40"/>
      <c r="O23" s="39" t="s">
        <v>70</v>
      </c>
      <c r="P23" s="39" t="s">
        <v>56</v>
      </c>
      <c r="Q23" s="39" t="s">
        <v>16</v>
      </c>
      <c r="R23" s="40"/>
      <c r="S23" s="33" t="str">
        <f>"552,5"</f>
        <v>552,5</v>
      </c>
      <c r="T23" s="33" t="str">
        <f>"344,3180"</f>
        <v>344,3180</v>
      </c>
      <c r="U23" s="31"/>
    </row>
    <row r="25" spans="1:21" ht="16">
      <c r="A25" s="70" t="s">
        <v>11</v>
      </c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1:21">
      <c r="A26" s="35" t="s">
        <v>30</v>
      </c>
      <c r="B26" s="25" t="s">
        <v>135</v>
      </c>
      <c r="C26" s="25" t="s">
        <v>109</v>
      </c>
      <c r="D26" s="25" t="s">
        <v>110</v>
      </c>
      <c r="E26" s="26" t="s">
        <v>597</v>
      </c>
      <c r="F26" s="25" t="s">
        <v>35</v>
      </c>
      <c r="G26" s="34" t="s">
        <v>111</v>
      </c>
      <c r="H26" s="34" t="s">
        <v>61</v>
      </c>
      <c r="I26" s="34" t="s">
        <v>62</v>
      </c>
      <c r="J26" s="35"/>
      <c r="K26" s="34" t="s">
        <v>70</v>
      </c>
      <c r="L26" s="34" t="s">
        <v>71</v>
      </c>
      <c r="M26" s="34" t="s">
        <v>16</v>
      </c>
      <c r="N26" s="35"/>
      <c r="O26" s="34" t="s">
        <v>61</v>
      </c>
      <c r="P26" s="34" t="s">
        <v>92</v>
      </c>
      <c r="Q26" s="36" t="s">
        <v>83</v>
      </c>
      <c r="R26" s="35"/>
      <c r="S26" s="27" t="str">
        <f>"705,0"</f>
        <v>705,0</v>
      </c>
      <c r="T26" s="27" t="str">
        <f>"420,1800"</f>
        <v>420,1800</v>
      </c>
      <c r="U26" s="25"/>
    </row>
    <row r="27" spans="1:21">
      <c r="A27" s="40" t="s">
        <v>126</v>
      </c>
      <c r="B27" s="31" t="s">
        <v>136</v>
      </c>
      <c r="C27" s="31" t="s">
        <v>112</v>
      </c>
      <c r="D27" s="31" t="s">
        <v>113</v>
      </c>
      <c r="E27" s="32" t="s">
        <v>597</v>
      </c>
      <c r="F27" s="31" t="s">
        <v>35</v>
      </c>
      <c r="G27" s="39" t="s">
        <v>16</v>
      </c>
      <c r="H27" s="41" t="s">
        <v>114</v>
      </c>
      <c r="I27" s="39" t="s">
        <v>114</v>
      </c>
      <c r="J27" s="40"/>
      <c r="K27" s="39" t="s">
        <v>104</v>
      </c>
      <c r="L27" s="39" t="s">
        <v>105</v>
      </c>
      <c r="M27" s="41" t="s">
        <v>79</v>
      </c>
      <c r="N27" s="40"/>
      <c r="O27" s="39" t="s">
        <v>78</v>
      </c>
      <c r="P27" s="39" t="s">
        <v>111</v>
      </c>
      <c r="Q27" s="41" t="s">
        <v>61</v>
      </c>
      <c r="R27" s="40"/>
      <c r="S27" s="33" t="str">
        <f>"580,0"</f>
        <v>580,0</v>
      </c>
      <c r="T27" s="33" t="str">
        <f>"347,3040"</f>
        <v>347,3040</v>
      </c>
      <c r="U27" s="31"/>
    </row>
    <row r="29" spans="1:21" ht="16">
      <c r="A29" s="70" t="s">
        <v>115</v>
      </c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0" spans="1:21">
      <c r="A30" s="22" t="s">
        <v>30</v>
      </c>
      <c r="B30" s="11" t="s">
        <v>137</v>
      </c>
      <c r="C30" s="11" t="s">
        <v>116</v>
      </c>
      <c r="D30" s="11" t="s">
        <v>117</v>
      </c>
      <c r="E30" s="12" t="s">
        <v>597</v>
      </c>
      <c r="F30" s="11" t="s">
        <v>35</v>
      </c>
      <c r="G30" s="21" t="s">
        <v>77</v>
      </c>
      <c r="H30" s="21" t="s">
        <v>111</v>
      </c>
      <c r="I30" s="23" t="s">
        <v>62</v>
      </c>
      <c r="J30" s="22"/>
      <c r="K30" s="21" t="s">
        <v>86</v>
      </c>
      <c r="L30" s="21" t="s">
        <v>95</v>
      </c>
      <c r="M30" s="23" t="s">
        <v>118</v>
      </c>
      <c r="N30" s="22"/>
      <c r="O30" s="21" t="s">
        <v>82</v>
      </c>
      <c r="P30" s="21" t="s">
        <v>94</v>
      </c>
      <c r="Q30" s="23" t="s">
        <v>96</v>
      </c>
      <c r="R30" s="22"/>
      <c r="S30" s="13" t="str">
        <f>"675,0"</f>
        <v>675,0</v>
      </c>
      <c r="T30" s="13" t="str">
        <f>"388,6650"</f>
        <v>388,6650</v>
      </c>
      <c r="U30" s="11"/>
    </row>
    <row r="32" spans="1:21" ht="16">
      <c r="F32" s="8"/>
      <c r="G32" s="5"/>
    </row>
    <row r="33" spans="2:7">
      <c r="G33" s="5"/>
    </row>
    <row r="34" spans="2:7" ht="18">
      <c r="B34" s="9" t="s">
        <v>7</v>
      </c>
      <c r="C34" s="9"/>
      <c r="G34" s="3"/>
    </row>
    <row r="35" spans="2:7" ht="16">
      <c r="B35" s="14" t="s">
        <v>22</v>
      </c>
      <c r="C35" s="14"/>
      <c r="G35" s="3"/>
    </row>
    <row r="36" spans="2:7" ht="14">
      <c r="B36" s="15"/>
      <c r="C36" s="16" t="s">
        <v>23</v>
      </c>
      <c r="G36" s="3"/>
    </row>
    <row r="37" spans="2:7" ht="14">
      <c r="B37" s="17" t="s">
        <v>24</v>
      </c>
      <c r="C37" s="17" t="s">
        <v>25</v>
      </c>
      <c r="D37" s="17" t="s">
        <v>591</v>
      </c>
      <c r="E37" s="18" t="s">
        <v>27</v>
      </c>
      <c r="F37" s="17" t="s">
        <v>28</v>
      </c>
      <c r="G37" s="3"/>
    </row>
    <row r="38" spans="2:7">
      <c r="B38" s="5" t="s">
        <v>64</v>
      </c>
      <c r="C38" s="5" t="s">
        <v>23</v>
      </c>
      <c r="D38" s="10" t="s">
        <v>120</v>
      </c>
      <c r="E38" s="20">
        <v>833.5</v>
      </c>
      <c r="F38" s="19">
        <v>534.52356883883499</v>
      </c>
      <c r="G38" s="3"/>
    </row>
    <row r="39" spans="2:7">
      <c r="B39" s="5" t="s">
        <v>89</v>
      </c>
      <c r="C39" s="5" t="s">
        <v>23</v>
      </c>
      <c r="D39" s="10" t="s">
        <v>121</v>
      </c>
      <c r="E39" s="20">
        <v>707.5</v>
      </c>
      <c r="F39" s="19">
        <v>430.58451443910599</v>
      </c>
      <c r="G39" s="3"/>
    </row>
    <row r="40" spans="2:7">
      <c r="B40" s="5" t="s">
        <v>73</v>
      </c>
      <c r="C40" s="5" t="s">
        <v>23</v>
      </c>
      <c r="D40" s="10" t="s">
        <v>120</v>
      </c>
      <c r="E40" s="20">
        <v>662.5</v>
      </c>
      <c r="F40" s="19">
        <v>422.94001206755598</v>
      </c>
      <c r="G40" s="3"/>
    </row>
    <row r="41" spans="2:7">
      <c r="E41" s="5"/>
      <c r="F41" s="6"/>
      <c r="G41" s="5"/>
    </row>
  </sheetData>
  <mergeCells count="20">
    <mergeCell ref="A29:R29"/>
    <mergeCell ref="S3:S4"/>
    <mergeCell ref="T3:T4"/>
    <mergeCell ref="U3:U4"/>
    <mergeCell ref="A5:R5"/>
    <mergeCell ref="B3:B4"/>
    <mergeCell ref="A8:R8"/>
    <mergeCell ref="A11:R11"/>
    <mergeCell ref="A14:R14"/>
    <mergeCell ref="A19:R19"/>
    <mergeCell ref="A25:R2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20.664062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1" width="4.33203125" style="10" customWidth="1"/>
    <col min="12" max="13" width="5.33203125" style="10" customWidth="1"/>
    <col min="14" max="14" width="4.33203125" style="10" customWidth="1"/>
    <col min="15" max="17" width="5.33203125" style="10" customWidth="1"/>
    <col min="18" max="18" width="4.33203125" style="10" customWidth="1"/>
    <col min="19" max="19" width="7.1640625" style="7" bestFit="1" customWidth="1"/>
    <col min="20" max="20" width="8.33203125" style="7" bestFit="1" customWidth="1"/>
    <col min="21" max="21" width="15.33203125" style="5" bestFit="1" customWidth="1"/>
    <col min="22" max="16384" width="9.1640625" style="3"/>
  </cols>
  <sheetData>
    <row r="1" spans="1:21" s="2" customFormat="1" ht="29" customHeight="1">
      <c r="A1" s="47" t="s">
        <v>528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88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30</v>
      </c>
      <c r="B6" s="11" t="s">
        <v>282</v>
      </c>
      <c r="C6" s="11" t="s">
        <v>577</v>
      </c>
      <c r="D6" s="11" t="s">
        <v>281</v>
      </c>
      <c r="E6" s="12" t="s">
        <v>598</v>
      </c>
      <c r="F6" s="11" t="s">
        <v>35</v>
      </c>
      <c r="G6" s="21" t="s">
        <v>104</v>
      </c>
      <c r="H6" s="21" t="s">
        <v>224</v>
      </c>
      <c r="I6" s="23" t="s">
        <v>100</v>
      </c>
      <c r="J6" s="22"/>
      <c r="K6" s="21" t="s">
        <v>146</v>
      </c>
      <c r="L6" s="21" t="s">
        <v>174</v>
      </c>
      <c r="M6" s="21" t="s">
        <v>49</v>
      </c>
      <c r="N6" s="22"/>
      <c r="O6" s="21" t="s">
        <v>103</v>
      </c>
      <c r="P6" s="21" t="s">
        <v>104</v>
      </c>
      <c r="Q6" s="21" t="s">
        <v>79</v>
      </c>
      <c r="R6" s="22"/>
      <c r="S6" s="13" t="str">
        <f>"412,5"</f>
        <v>412,5</v>
      </c>
      <c r="T6" s="13" t="str">
        <f>"263,6870"</f>
        <v>263,6870</v>
      </c>
      <c r="U6" s="11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19.1640625" style="5" customWidth="1"/>
    <col min="3" max="3" width="24.5" style="5" bestFit="1" customWidth="1"/>
    <col min="4" max="4" width="20" style="5" bestFit="1" customWidth="1"/>
    <col min="5" max="5" width="9.6640625" style="6" bestFit="1" customWidth="1"/>
    <col min="6" max="6" width="28.6640625" style="5" customWidth="1"/>
    <col min="7" max="7" width="5.33203125" style="10" customWidth="1"/>
    <col min="8" max="9" width="5.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7" width="5.33203125" style="10" customWidth="1"/>
    <col min="18" max="18" width="4.33203125" style="10" customWidth="1"/>
    <col min="19" max="19" width="7.1640625" style="7" bestFit="1" customWidth="1"/>
    <col min="20" max="20" width="8.33203125" style="7" bestFit="1" customWidth="1"/>
    <col min="21" max="21" width="15.33203125" style="5" bestFit="1" customWidth="1"/>
    <col min="22" max="16384" width="9.1640625" style="3"/>
  </cols>
  <sheetData>
    <row r="1" spans="1:21" s="2" customFormat="1" ht="29" customHeight="1">
      <c r="A1" s="47" t="s">
        <v>531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11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30</v>
      </c>
      <c r="B6" s="11" t="s">
        <v>31</v>
      </c>
      <c r="C6" s="11" t="s">
        <v>12</v>
      </c>
      <c r="D6" s="11" t="s">
        <v>13</v>
      </c>
      <c r="E6" s="12" t="s">
        <v>597</v>
      </c>
      <c r="F6" s="11" t="s">
        <v>14</v>
      </c>
      <c r="G6" s="21" t="s">
        <v>15</v>
      </c>
      <c r="H6" s="22"/>
      <c r="I6" s="22"/>
      <c r="J6" s="22"/>
      <c r="K6" s="21" t="s">
        <v>16</v>
      </c>
      <c r="L6" s="21" t="s">
        <v>17</v>
      </c>
      <c r="M6" s="23" t="s">
        <v>18</v>
      </c>
      <c r="N6" s="22"/>
      <c r="O6" s="21" t="s">
        <v>19</v>
      </c>
      <c r="P6" s="21" t="s">
        <v>20</v>
      </c>
      <c r="Q6" s="21" t="s">
        <v>21</v>
      </c>
      <c r="R6" s="22"/>
      <c r="S6" s="13" t="str">
        <f>"805,0"</f>
        <v>805,0</v>
      </c>
      <c r="T6" s="13" t="str">
        <f>"477,9285"</f>
        <v>477,9285</v>
      </c>
      <c r="U6" s="11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1"/>
  <sheetViews>
    <sheetView workbookViewId="0">
      <selection sqref="A1:Q2"/>
    </sheetView>
  </sheetViews>
  <sheetFormatPr baseColWidth="10" defaultColWidth="9.1640625" defaultRowHeight="13"/>
  <cols>
    <col min="1" max="1" width="6.6640625" style="5" bestFit="1" customWidth="1"/>
    <col min="2" max="2" width="20.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5" width="7.1640625" style="7" bestFit="1" customWidth="1"/>
    <col min="16" max="16" width="8.33203125" style="7" bestFit="1" customWidth="1"/>
    <col min="17" max="17" width="15.33203125" style="5" bestFit="1" customWidth="1"/>
    <col min="18" max="16384" width="9.1640625" style="3"/>
  </cols>
  <sheetData>
    <row r="1" spans="1:17" s="2" customFormat="1" ht="29" customHeight="1">
      <c r="A1" s="47" t="s">
        <v>520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5"/>
    </row>
    <row r="5" spans="1:17" ht="16">
      <c r="A5" s="66" t="s">
        <v>53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35" t="s">
        <v>30</v>
      </c>
      <c r="B6" s="25" t="s">
        <v>475</v>
      </c>
      <c r="C6" s="25" t="s">
        <v>548</v>
      </c>
      <c r="D6" s="25" t="s">
        <v>473</v>
      </c>
      <c r="E6" s="26" t="s">
        <v>599</v>
      </c>
      <c r="F6" s="25" t="s">
        <v>35</v>
      </c>
      <c r="G6" s="34" t="s">
        <v>161</v>
      </c>
      <c r="H6" s="34" t="s">
        <v>49</v>
      </c>
      <c r="I6" s="36" t="s">
        <v>147</v>
      </c>
      <c r="J6" s="35"/>
      <c r="K6" s="34" t="s">
        <v>71</v>
      </c>
      <c r="L6" s="34" t="s">
        <v>16</v>
      </c>
      <c r="M6" s="36" t="s">
        <v>114</v>
      </c>
      <c r="N6" s="35"/>
      <c r="O6" s="27" t="str">
        <f>"310,0"</f>
        <v>310,0</v>
      </c>
      <c r="P6" s="27" t="str">
        <f>"217,3410"</f>
        <v>217,3410</v>
      </c>
      <c r="Q6" s="25"/>
    </row>
    <row r="7" spans="1:17">
      <c r="A7" s="40" t="s">
        <v>30</v>
      </c>
      <c r="B7" s="31" t="s">
        <v>476</v>
      </c>
      <c r="C7" s="31" t="s">
        <v>474</v>
      </c>
      <c r="D7" s="31" t="s">
        <v>54</v>
      </c>
      <c r="E7" s="32" t="s">
        <v>597</v>
      </c>
      <c r="F7" s="31" t="s">
        <v>35</v>
      </c>
      <c r="G7" s="39" t="s">
        <v>49</v>
      </c>
      <c r="H7" s="39" t="s">
        <v>147</v>
      </c>
      <c r="I7" s="41" t="s">
        <v>148</v>
      </c>
      <c r="J7" s="40"/>
      <c r="K7" s="39" t="s">
        <v>95</v>
      </c>
      <c r="L7" s="39" t="s">
        <v>70</v>
      </c>
      <c r="M7" s="39" t="s">
        <v>189</v>
      </c>
      <c r="N7" s="40"/>
      <c r="O7" s="33" t="str">
        <f>"300,0"</f>
        <v>300,0</v>
      </c>
      <c r="P7" s="33" t="str">
        <f>"200,9700"</f>
        <v>200,9700</v>
      </c>
      <c r="Q7" s="31"/>
    </row>
    <row r="9" spans="1:17" ht="16">
      <c r="A9" s="70" t="s">
        <v>63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7">
      <c r="A10" s="35" t="s">
        <v>30</v>
      </c>
      <c r="B10" s="25" t="s">
        <v>270</v>
      </c>
      <c r="C10" s="25" t="s">
        <v>215</v>
      </c>
      <c r="D10" s="25" t="s">
        <v>216</v>
      </c>
      <c r="E10" s="26" t="s">
        <v>597</v>
      </c>
      <c r="F10" s="25" t="s">
        <v>35</v>
      </c>
      <c r="G10" s="34" t="s">
        <v>86</v>
      </c>
      <c r="H10" s="34" t="s">
        <v>95</v>
      </c>
      <c r="I10" s="36" t="s">
        <v>118</v>
      </c>
      <c r="J10" s="35"/>
      <c r="K10" s="34" t="s">
        <v>96</v>
      </c>
      <c r="L10" s="34" t="s">
        <v>21</v>
      </c>
      <c r="M10" s="34" t="s">
        <v>218</v>
      </c>
      <c r="N10" s="35"/>
      <c r="O10" s="27" t="str">
        <f>"478,0"</f>
        <v>478,0</v>
      </c>
      <c r="P10" s="27" t="str">
        <f>"306,7326"</f>
        <v>306,7326</v>
      </c>
      <c r="Q10" s="25"/>
    </row>
    <row r="11" spans="1:17">
      <c r="A11" s="40" t="s">
        <v>30</v>
      </c>
      <c r="B11" s="31" t="s">
        <v>274</v>
      </c>
      <c r="C11" s="31" t="s">
        <v>549</v>
      </c>
      <c r="D11" s="31" t="s">
        <v>66</v>
      </c>
      <c r="E11" s="32" t="s">
        <v>598</v>
      </c>
      <c r="F11" s="31" t="s">
        <v>35</v>
      </c>
      <c r="G11" s="39" t="s">
        <v>148</v>
      </c>
      <c r="H11" s="39" t="s">
        <v>205</v>
      </c>
      <c r="I11" s="39" t="s">
        <v>59</v>
      </c>
      <c r="J11" s="40"/>
      <c r="K11" s="39" t="s">
        <v>71</v>
      </c>
      <c r="L11" s="39" t="s">
        <v>231</v>
      </c>
      <c r="M11" s="40"/>
      <c r="N11" s="40"/>
      <c r="O11" s="33" t="str">
        <f>"337,5"</f>
        <v>337,5</v>
      </c>
      <c r="P11" s="33" t="str">
        <f>"216,4388"</f>
        <v>216,4388</v>
      </c>
      <c r="Q11" s="31"/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9"/>
  <sheetViews>
    <sheetView workbookViewId="0">
      <selection activeCell="F18" sqref="F18"/>
    </sheetView>
  </sheetViews>
  <sheetFormatPr baseColWidth="10" defaultColWidth="9.1640625" defaultRowHeight="13"/>
  <cols>
    <col min="1" max="1" width="6.6640625" style="5" bestFit="1" customWidth="1"/>
    <col min="2" max="2" width="21.33203125" style="5" bestFit="1" customWidth="1"/>
    <col min="3" max="3" width="24.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5" width="7.1640625" style="20" bestFit="1" customWidth="1"/>
    <col min="16" max="16" width="8.33203125" style="7" bestFit="1" customWidth="1"/>
    <col min="17" max="17" width="15.33203125" style="5" bestFit="1" customWidth="1"/>
    <col min="18" max="16384" width="9.1640625" style="3"/>
  </cols>
  <sheetData>
    <row r="1" spans="1:17" s="2" customFormat="1" ht="29" customHeight="1">
      <c r="A1" s="47" t="s">
        <v>521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62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0"/>
      <c r="Q4" s="65"/>
    </row>
    <row r="5" spans="1:17" ht="16">
      <c r="A5" s="66" t="s">
        <v>11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240</v>
      </c>
      <c r="B6" s="11" t="s">
        <v>338</v>
      </c>
      <c r="C6" s="11" t="s">
        <v>311</v>
      </c>
      <c r="D6" s="11" t="s">
        <v>312</v>
      </c>
      <c r="E6" s="12" t="s">
        <v>597</v>
      </c>
      <c r="F6" s="11" t="s">
        <v>297</v>
      </c>
      <c r="G6" s="23" t="s">
        <v>77</v>
      </c>
      <c r="H6" s="23" t="s">
        <v>77</v>
      </c>
      <c r="I6" s="23" t="s">
        <v>77</v>
      </c>
      <c r="J6" s="22"/>
      <c r="K6" s="23"/>
      <c r="L6" s="22"/>
      <c r="M6" s="22"/>
      <c r="N6" s="22"/>
      <c r="O6" s="45">
        <v>0</v>
      </c>
      <c r="P6" s="13" t="str">
        <f>"0,0000"</f>
        <v>0,0000</v>
      </c>
      <c r="Q6" s="11"/>
    </row>
    <row r="8" spans="1:17" ht="16">
      <c r="A8" s="70" t="s">
        <v>115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>
      <c r="A9" s="22" t="s">
        <v>30</v>
      </c>
      <c r="B9" s="11" t="s">
        <v>137</v>
      </c>
      <c r="C9" s="11" t="s">
        <v>116</v>
      </c>
      <c r="D9" s="11" t="s">
        <v>117</v>
      </c>
      <c r="E9" s="12" t="s">
        <v>597</v>
      </c>
      <c r="F9" s="11" t="s">
        <v>35</v>
      </c>
      <c r="G9" s="21" t="s">
        <v>86</v>
      </c>
      <c r="H9" s="21" t="s">
        <v>95</v>
      </c>
      <c r="I9" s="23" t="s">
        <v>118</v>
      </c>
      <c r="J9" s="22"/>
      <c r="K9" s="21" t="s">
        <v>82</v>
      </c>
      <c r="L9" s="21" t="s">
        <v>94</v>
      </c>
      <c r="M9" s="23" t="s">
        <v>96</v>
      </c>
      <c r="N9" s="22"/>
      <c r="O9" s="45" t="str">
        <f>"445,0"</f>
        <v>445,0</v>
      </c>
      <c r="P9" s="13" t="str">
        <f>"256,2310"</f>
        <v>256,2310</v>
      </c>
      <c r="Q9" s="11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6.6640625" style="5" bestFit="1" customWidth="1"/>
    <col min="2" max="2" width="22.5" style="5" bestFit="1" customWidth="1"/>
    <col min="3" max="3" width="25.832031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522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154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244</v>
      </c>
      <c r="C6" s="11" t="s">
        <v>155</v>
      </c>
      <c r="D6" s="11" t="s">
        <v>156</v>
      </c>
      <c r="E6" s="12" t="s">
        <v>597</v>
      </c>
      <c r="F6" s="11" t="s">
        <v>35</v>
      </c>
      <c r="G6" s="23" t="s">
        <v>47</v>
      </c>
      <c r="H6" s="21" t="s">
        <v>47</v>
      </c>
      <c r="I6" s="23" t="s">
        <v>48</v>
      </c>
      <c r="J6" s="22"/>
      <c r="K6" s="13" t="str">
        <f>"90,0"</f>
        <v>90,0</v>
      </c>
      <c r="L6" s="13" t="str">
        <f>"100,9890"</f>
        <v>100,9890</v>
      </c>
      <c r="M6" s="11"/>
    </row>
    <row r="8" spans="1:13" ht="16">
      <c r="A8" s="70" t="s">
        <v>63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22" t="s">
        <v>30</v>
      </c>
      <c r="B9" s="11" t="s">
        <v>270</v>
      </c>
      <c r="C9" s="11" t="s">
        <v>215</v>
      </c>
      <c r="D9" s="11" t="s">
        <v>216</v>
      </c>
      <c r="E9" s="12" t="s">
        <v>597</v>
      </c>
      <c r="F9" s="11" t="s">
        <v>35</v>
      </c>
      <c r="G9" s="21" t="s">
        <v>195</v>
      </c>
      <c r="H9" s="21" t="s">
        <v>217</v>
      </c>
      <c r="I9" s="21" t="s">
        <v>92</v>
      </c>
      <c r="J9" s="22"/>
      <c r="K9" s="13" t="str">
        <f>"255,0"</f>
        <v>255,0</v>
      </c>
      <c r="L9" s="13" t="str">
        <f>"163,6335"</f>
        <v>163,6335</v>
      </c>
      <c r="M9" s="11"/>
    </row>
    <row r="11" spans="1:13" ht="16">
      <c r="A11" s="70" t="s">
        <v>88</v>
      </c>
      <c r="B11" s="70"/>
      <c r="C11" s="71"/>
      <c r="D11" s="71"/>
      <c r="E11" s="71"/>
      <c r="F11" s="71"/>
      <c r="G11" s="71"/>
      <c r="H11" s="71"/>
      <c r="I11" s="71"/>
      <c r="J11" s="71"/>
    </row>
    <row r="12" spans="1:13">
      <c r="A12" s="22" t="s">
        <v>30</v>
      </c>
      <c r="B12" s="11" t="s">
        <v>276</v>
      </c>
      <c r="C12" s="11" t="s">
        <v>227</v>
      </c>
      <c r="D12" s="11" t="s">
        <v>228</v>
      </c>
      <c r="E12" s="12" t="s">
        <v>597</v>
      </c>
      <c r="F12" s="11" t="s">
        <v>35</v>
      </c>
      <c r="G12" s="21" t="s">
        <v>71</v>
      </c>
      <c r="H12" s="21" t="s">
        <v>114</v>
      </c>
      <c r="I12" s="21" t="s">
        <v>78</v>
      </c>
      <c r="J12" s="22"/>
      <c r="K12" s="13" t="str">
        <f>"220,0"</f>
        <v>220,0</v>
      </c>
      <c r="L12" s="13" t="str">
        <f>"134,8820"</f>
        <v>134,8820</v>
      </c>
      <c r="M12" s="11"/>
    </row>
    <row r="14" spans="1:13" ht="16">
      <c r="A14" s="70" t="s">
        <v>11</v>
      </c>
      <c r="B14" s="70"/>
      <c r="C14" s="71"/>
      <c r="D14" s="71"/>
      <c r="E14" s="71"/>
      <c r="F14" s="71"/>
      <c r="G14" s="71"/>
      <c r="H14" s="71"/>
      <c r="I14" s="71"/>
      <c r="J14" s="71"/>
    </row>
    <row r="15" spans="1:13">
      <c r="A15" s="22" t="s">
        <v>30</v>
      </c>
      <c r="B15" s="11" t="s">
        <v>277</v>
      </c>
      <c r="C15" s="11" t="s">
        <v>229</v>
      </c>
      <c r="D15" s="11" t="s">
        <v>230</v>
      </c>
      <c r="E15" s="12" t="s">
        <v>600</v>
      </c>
      <c r="F15" s="11" t="s">
        <v>35</v>
      </c>
      <c r="G15" s="21" t="s">
        <v>70</v>
      </c>
      <c r="H15" s="21" t="s">
        <v>108</v>
      </c>
      <c r="I15" s="21" t="s">
        <v>231</v>
      </c>
      <c r="J15" s="22"/>
      <c r="K15" s="13" t="str">
        <f>"202,5"</f>
        <v>202,5</v>
      </c>
      <c r="L15" s="13" t="str">
        <f>"119,3332"</f>
        <v>119,3332</v>
      </c>
      <c r="M15" s="11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workbookViewId="0">
      <selection activeCell="C13" sqref="C13"/>
    </sheetView>
  </sheetViews>
  <sheetFormatPr baseColWidth="10" defaultColWidth="9.1640625" defaultRowHeight="13"/>
  <cols>
    <col min="1" max="1" width="6.6640625" style="5" bestFit="1" customWidth="1"/>
    <col min="2" max="2" width="19.664062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4.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15.33203125" style="5" bestFit="1" customWidth="1"/>
    <col min="14" max="16384" width="9.1640625" style="3"/>
  </cols>
  <sheetData>
    <row r="1" spans="1:13" s="2" customFormat="1" ht="29" customHeight="1">
      <c r="A1" s="47" t="s">
        <v>523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8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88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472</v>
      </c>
      <c r="C6" s="11" t="s">
        <v>550</v>
      </c>
      <c r="D6" s="11" t="s">
        <v>471</v>
      </c>
      <c r="E6" s="12" t="s">
        <v>601</v>
      </c>
      <c r="F6" s="11" t="s">
        <v>35</v>
      </c>
      <c r="G6" s="23" t="s">
        <v>86</v>
      </c>
      <c r="H6" s="21" t="s">
        <v>86</v>
      </c>
      <c r="I6" s="23" t="s">
        <v>95</v>
      </c>
      <c r="J6" s="22"/>
      <c r="K6" s="13" t="str">
        <f>"160,0"</f>
        <v>160,0</v>
      </c>
      <c r="L6" s="13" t="str">
        <f>"109,6000"</f>
        <v>109,6000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84"/>
  <sheetViews>
    <sheetView topLeftCell="A28" workbookViewId="0">
      <selection activeCell="E68" sqref="E68"/>
    </sheetView>
  </sheetViews>
  <sheetFormatPr baseColWidth="10" defaultColWidth="9.1640625" defaultRowHeight="13"/>
  <cols>
    <col min="1" max="1" width="6.6640625" style="5" bestFit="1" customWidth="1"/>
    <col min="2" max="2" width="22.83203125" style="5" customWidth="1"/>
    <col min="3" max="3" width="30.83203125" style="5" customWidth="1"/>
    <col min="4" max="4" width="20" style="5" bestFit="1" customWidth="1"/>
    <col min="5" max="5" width="9.6640625" style="6" bestFit="1" customWidth="1"/>
    <col min="6" max="6" width="31" style="5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7" t="s">
        <v>526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594</v>
      </c>
      <c r="B3" s="68" t="s">
        <v>0</v>
      </c>
      <c r="C3" s="57" t="s">
        <v>595</v>
      </c>
      <c r="D3" s="57" t="s">
        <v>6</v>
      </c>
      <c r="E3" s="59" t="s">
        <v>596</v>
      </c>
      <c r="F3" s="61" t="s">
        <v>5</v>
      </c>
      <c r="G3" s="61" t="s">
        <v>9</v>
      </c>
      <c r="H3" s="61"/>
      <c r="I3" s="61"/>
      <c r="J3" s="61"/>
      <c r="K3" s="59" t="s">
        <v>321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138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11" t="s">
        <v>401</v>
      </c>
      <c r="C6" s="11" t="s">
        <v>184</v>
      </c>
      <c r="D6" s="11" t="s">
        <v>342</v>
      </c>
      <c r="E6" s="12" t="s">
        <v>597</v>
      </c>
      <c r="F6" s="11" t="s">
        <v>35</v>
      </c>
      <c r="G6" s="21" t="s">
        <v>151</v>
      </c>
      <c r="H6" s="21" t="s">
        <v>162</v>
      </c>
      <c r="I6" s="22"/>
      <c r="J6" s="22"/>
      <c r="K6" s="13" t="str">
        <f>"67,5"</f>
        <v>67,5</v>
      </c>
      <c r="L6" s="13" t="str">
        <f>"84,4020"</f>
        <v>84,4020</v>
      </c>
      <c r="M6" s="11"/>
    </row>
    <row r="8" spans="1:13" ht="16">
      <c r="A8" s="70" t="s">
        <v>32</v>
      </c>
      <c r="B8" s="70"/>
      <c r="C8" s="71"/>
      <c r="D8" s="71"/>
      <c r="E8" s="71"/>
      <c r="F8" s="71"/>
      <c r="G8" s="71"/>
      <c r="H8" s="71"/>
      <c r="I8" s="71"/>
      <c r="J8" s="71"/>
    </row>
    <row r="9" spans="1:13">
      <c r="A9" s="22" t="s">
        <v>30</v>
      </c>
      <c r="B9" s="11" t="s">
        <v>402</v>
      </c>
      <c r="C9" s="11" t="s">
        <v>343</v>
      </c>
      <c r="D9" s="11" t="s">
        <v>344</v>
      </c>
      <c r="E9" s="12" t="s">
        <v>597</v>
      </c>
      <c r="F9" s="11" t="s">
        <v>345</v>
      </c>
      <c r="G9" s="21" t="s">
        <v>151</v>
      </c>
      <c r="H9" s="23" t="s">
        <v>41</v>
      </c>
      <c r="I9" s="21" t="s">
        <v>41</v>
      </c>
      <c r="J9" s="22"/>
      <c r="K9" s="13" t="str">
        <f>"70,0"</f>
        <v>70,0</v>
      </c>
      <c r="L9" s="13" t="str">
        <f>"83,4120"</f>
        <v>83,4120</v>
      </c>
      <c r="M9" s="11"/>
    </row>
    <row r="11" spans="1:13" ht="16">
      <c r="A11" s="70" t="s">
        <v>157</v>
      </c>
      <c r="B11" s="70"/>
      <c r="C11" s="71"/>
      <c r="D11" s="71"/>
      <c r="E11" s="71"/>
      <c r="F11" s="71"/>
      <c r="G11" s="71"/>
      <c r="H11" s="71"/>
      <c r="I11" s="71"/>
      <c r="J11" s="71"/>
    </row>
    <row r="12" spans="1:13">
      <c r="A12" s="22" t="s">
        <v>30</v>
      </c>
      <c r="B12" s="11" t="s">
        <v>403</v>
      </c>
      <c r="C12" s="11" t="s">
        <v>346</v>
      </c>
      <c r="D12" s="11" t="s">
        <v>347</v>
      </c>
      <c r="E12" s="12" t="s">
        <v>597</v>
      </c>
      <c r="F12" s="11" t="s">
        <v>35</v>
      </c>
      <c r="G12" s="21" t="s">
        <v>37</v>
      </c>
      <c r="H12" s="21" t="s">
        <v>38</v>
      </c>
      <c r="I12" s="21" t="s">
        <v>175</v>
      </c>
      <c r="J12" s="22"/>
      <c r="K12" s="13" t="str">
        <f>"62,5"</f>
        <v>62,5</v>
      </c>
      <c r="L12" s="13" t="str">
        <f>"63,7875"</f>
        <v>63,7875</v>
      </c>
      <c r="M12" s="11"/>
    </row>
    <row r="14" spans="1:13" ht="16">
      <c r="A14" s="70" t="s">
        <v>53</v>
      </c>
      <c r="B14" s="70"/>
      <c r="C14" s="71"/>
      <c r="D14" s="71"/>
      <c r="E14" s="71"/>
      <c r="F14" s="71"/>
      <c r="G14" s="71"/>
      <c r="H14" s="71"/>
      <c r="I14" s="71"/>
      <c r="J14" s="71"/>
    </row>
    <row r="15" spans="1:13">
      <c r="A15" s="22" t="s">
        <v>30</v>
      </c>
      <c r="B15" s="11" t="s">
        <v>404</v>
      </c>
      <c r="C15" s="11" t="s">
        <v>554</v>
      </c>
      <c r="D15" s="11" t="s">
        <v>348</v>
      </c>
      <c r="E15" s="12" t="s">
        <v>601</v>
      </c>
      <c r="F15" s="11" t="s">
        <v>35</v>
      </c>
      <c r="G15" s="23" t="s">
        <v>51</v>
      </c>
      <c r="H15" s="23" t="s">
        <v>51</v>
      </c>
      <c r="I15" s="21" t="s">
        <v>37</v>
      </c>
      <c r="J15" s="22"/>
      <c r="K15" s="13" t="str">
        <f>"55,0"</f>
        <v>55,0</v>
      </c>
      <c r="L15" s="13" t="str">
        <f>"56,2593"</f>
        <v>56,2593</v>
      </c>
      <c r="M15" s="11"/>
    </row>
    <row r="17" spans="1:13" ht="16">
      <c r="A17" s="70" t="s">
        <v>157</v>
      </c>
      <c r="B17" s="70"/>
      <c r="C17" s="71"/>
      <c r="D17" s="71"/>
      <c r="E17" s="71"/>
      <c r="F17" s="71"/>
      <c r="G17" s="71"/>
      <c r="H17" s="71"/>
      <c r="I17" s="71"/>
      <c r="J17" s="71"/>
    </row>
    <row r="18" spans="1:13">
      <c r="A18" s="35" t="s">
        <v>30</v>
      </c>
      <c r="B18" s="25" t="s">
        <v>405</v>
      </c>
      <c r="C18" s="25" t="s">
        <v>349</v>
      </c>
      <c r="D18" s="25" t="s">
        <v>170</v>
      </c>
      <c r="E18" s="26" t="s">
        <v>600</v>
      </c>
      <c r="F18" s="25" t="s">
        <v>35</v>
      </c>
      <c r="G18" s="34" t="s">
        <v>141</v>
      </c>
      <c r="H18" s="34" t="s">
        <v>47</v>
      </c>
      <c r="I18" s="36" t="s">
        <v>159</v>
      </c>
      <c r="J18" s="35"/>
      <c r="K18" s="27" t="str">
        <f>"90,0"</f>
        <v>90,0</v>
      </c>
      <c r="L18" s="27" t="str">
        <f>"71,5680"</f>
        <v>71,5680</v>
      </c>
      <c r="M18" s="25"/>
    </row>
    <row r="19" spans="1:13">
      <c r="A19" s="40" t="s">
        <v>126</v>
      </c>
      <c r="B19" s="31" t="s">
        <v>406</v>
      </c>
      <c r="C19" s="31" t="s">
        <v>350</v>
      </c>
      <c r="D19" s="31" t="s">
        <v>347</v>
      </c>
      <c r="E19" s="32" t="s">
        <v>600</v>
      </c>
      <c r="F19" s="31" t="s">
        <v>35</v>
      </c>
      <c r="G19" s="39" t="s">
        <v>36</v>
      </c>
      <c r="H19" s="39" t="s">
        <v>351</v>
      </c>
      <c r="I19" s="39" t="s">
        <v>175</v>
      </c>
      <c r="J19" s="40"/>
      <c r="K19" s="33" t="str">
        <f>"62,5"</f>
        <v>62,5</v>
      </c>
      <c r="L19" s="33" t="str">
        <f>"48,1875"</f>
        <v>48,1875</v>
      </c>
      <c r="M19" s="31"/>
    </row>
    <row r="21" spans="1:13" ht="16">
      <c r="A21" s="70" t="s">
        <v>165</v>
      </c>
      <c r="B21" s="70"/>
      <c r="C21" s="71"/>
      <c r="D21" s="71"/>
      <c r="E21" s="71"/>
      <c r="F21" s="71"/>
      <c r="G21" s="71"/>
      <c r="H21" s="71"/>
      <c r="I21" s="71"/>
      <c r="J21" s="71"/>
    </row>
    <row r="22" spans="1:13">
      <c r="A22" s="35" t="s">
        <v>30</v>
      </c>
      <c r="B22" s="25" t="s">
        <v>407</v>
      </c>
      <c r="C22" s="25" t="s">
        <v>352</v>
      </c>
      <c r="D22" s="25" t="s">
        <v>285</v>
      </c>
      <c r="E22" s="26" t="s">
        <v>597</v>
      </c>
      <c r="F22" s="25" t="s">
        <v>76</v>
      </c>
      <c r="G22" s="34" t="s">
        <v>105</v>
      </c>
      <c r="H22" s="34" t="s">
        <v>79</v>
      </c>
      <c r="I22" s="36" t="s">
        <v>223</v>
      </c>
      <c r="J22" s="35"/>
      <c r="K22" s="27" t="str">
        <f>"150,0"</f>
        <v>150,0</v>
      </c>
      <c r="L22" s="27" t="str">
        <f>"108,5250"</f>
        <v>108,5250</v>
      </c>
      <c r="M22" s="25"/>
    </row>
    <row r="23" spans="1:13">
      <c r="A23" s="40" t="s">
        <v>126</v>
      </c>
      <c r="B23" s="31" t="s">
        <v>408</v>
      </c>
      <c r="C23" s="31" t="s">
        <v>353</v>
      </c>
      <c r="D23" s="31" t="s">
        <v>354</v>
      </c>
      <c r="E23" s="32" t="s">
        <v>597</v>
      </c>
      <c r="F23" s="31" t="s">
        <v>35</v>
      </c>
      <c r="G23" s="39" t="s">
        <v>58</v>
      </c>
      <c r="H23" s="41" t="s">
        <v>59</v>
      </c>
      <c r="I23" s="39" t="s">
        <v>59</v>
      </c>
      <c r="J23" s="40"/>
      <c r="K23" s="33" t="str">
        <f>"135,0"</f>
        <v>135,0</v>
      </c>
      <c r="L23" s="33" t="str">
        <f>"98,7525"</f>
        <v>98,7525</v>
      </c>
      <c r="M23" s="31"/>
    </row>
    <row r="25" spans="1:13" ht="16">
      <c r="A25" s="70" t="s">
        <v>53</v>
      </c>
      <c r="B25" s="70"/>
      <c r="C25" s="71"/>
      <c r="D25" s="71"/>
      <c r="E25" s="71"/>
      <c r="F25" s="71"/>
      <c r="G25" s="71"/>
      <c r="H25" s="71"/>
      <c r="I25" s="71"/>
      <c r="J25" s="71"/>
    </row>
    <row r="26" spans="1:13">
      <c r="A26" s="35" t="s">
        <v>30</v>
      </c>
      <c r="B26" s="25" t="s">
        <v>409</v>
      </c>
      <c r="C26" s="25" t="s">
        <v>555</v>
      </c>
      <c r="D26" s="25" t="s">
        <v>54</v>
      </c>
      <c r="E26" s="26" t="s">
        <v>599</v>
      </c>
      <c r="F26" s="25" t="s">
        <v>35</v>
      </c>
      <c r="G26" s="34" t="s">
        <v>169</v>
      </c>
      <c r="H26" s="34" t="s">
        <v>58</v>
      </c>
      <c r="I26" s="36" t="s">
        <v>103</v>
      </c>
      <c r="J26" s="35"/>
      <c r="K26" s="27" t="str">
        <f>"127,5"</f>
        <v>127,5</v>
      </c>
      <c r="L26" s="27" t="str">
        <f>"85,4123"</f>
        <v>85,4123</v>
      </c>
      <c r="M26" s="25"/>
    </row>
    <row r="27" spans="1:13">
      <c r="A27" s="38" t="s">
        <v>126</v>
      </c>
      <c r="B27" s="28" t="s">
        <v>410</v>
      </c>
      <c r="C27" s="28" t="s">
        <v>556</v>
      </c>
      <c r="D27" s="28" t="s">
        <v>355</v>
      </c>
      <c r="E27" s="29" t="s">
        <v>599</v>
      </c>
      <c r="F27" s="28" t="s">
        <v>35</v>
      </c>
      <c r="G27" s="37" t="s">
        <v>146</v>
      </c>
      <c r="H27" s="37" t="s">
        <v>174</v>
      </c>
      <c r="I27" s="37" t="s">
        <v>153</v>
      </c>
      <c r="J27" s="38"/>
      <c r="K27" s="30" t="str">
        <f>"107,5"</f>
        <v>107,5</v>
      </c>
      <c r="L27" s="30" t="str">
        <f>"74,0460"</f>
        <v>74,0460</v>
      </c>
      <c r="M27" s="28"/>
    </row>
    <row r="28" spans="1:13">
      <c r="A28" s="38" t="s">
        <v>128</v>
      </c>
      <c r="B28" s="28" t="s">
        <v>411</v>
      </c>
      <c r="C28" s="28" t="s">
        <v>557</v>
      </c>
      <c r="D28" s="28" t="s">
        <v>356</v>
      </c>
      <c r="E28" s="29" t="s">
        <v>599</v>
      </c>
      <c r="F28" s="28" t="s">
        <v>35</v>
      </c>
      <c r="G28" s="37" t="s">
        <v>146</v>
      </c>
      <c r="H28" s="42" t="s">
        <v>48</v>
      </c>
      <c r="I28" s="42" t="s">
        <v>48</v>
      </c>
      <c r="J28" s="38"/>
      <c r="K28" s="30" t="str">
        <f>"95,0"</f>
        <v>95,0</v>
      </c>
      <c r="L28" s="30" t="str">
        <f>"65,0655"</f>
        <v>65,0655</v>
      </c>
      <c r="M28" s="28"/>
    </row>
    <row r="29" spans="1:13">
      <c r="A29" s="38" t="s">
        <v>30</v>
      </c>
      <c r="B29" s="28" t="s">
        <v>412</v>
      </c>
      <c r="C29" s="28" t="s">
        <v>358</v>
      </c>
      <c r="D29" s="28" t="s">
        <v>359</v>
      </c>
      <c r="E29" s="29" t="s">
        <v>597</v>
      </c>
      <c r="F29" s="28" t="s">
        <v>35</v>
      </c>
      <c r="G29" s="37" t="s">
        <v>191</v>
      </c>
      <c r="H29" s="37" t="s">
        <v>224</v>
      </c>
      <c r="I29" s="37" t="s">
        <v>80</v>
      </c>
      <c r="J29" s="38"/>
      <c r="K29" s="30" t="str">
        <f>"157,5"</f>
        <v>157,5</v>
      </c>
      <c r="L29" s="30" t="str">
        <f>"105,9030"</f>
        <v>105,9030</v>
      </c>
      <c r="M29" s="28"/>
    </row>
    <row r="30" spans="1:13">
      <c r="A30" s="38" t="s">
        <v>126</v>
      </c>
      <c r="B30" s="28" t="s">
        <v>413</v>
      </c>
      <c r="C30" s="28" t="s">
        <v>360</v>
      </c>
      <c r="D30" s="28" t="s">
        <v>361</v>
      </c>
      <c r="E30" s="29" t="s">
        <v>597</v>
      </c>
      <c r="F30" s="28" t="s">
        <v>35</v>
      </c>
      <c r="G30" s="42" t="s">
        <v>105</v>
      </c>
      <c r="H30" s="37" t="s">
        <v>105</v>
      </c>
      <c r="I30" s="42" t="s">
        <v>191</v>
      </c>
      <c r="J30" s="38"/>
      <c r="K30" s="30" t="str">
        <f>"145,0"</f>
        <v>145,0</v>
      </c>
      <c r="L30" s="30" t="str">
        <f>"98,5275"</f>
        <v>98,5275</v>
      </c>
      <c r="M30" s="28"/>
    </row>
    <row r="31" spans="1:13">
      <c r="A31" s="38" t="s">
        <v>128</v>
      </c>
      <c r="B31" s="28" t="s">
        <v>414</v>
      </c>
      <c r="C31" s="28" t="s">
        <v>362</v>
      </c>
      <c r="D31" s="28" t="s">
        <v>363</v>
      </c>
      <c r="E31" s="29" t="s">
        <v>597</v>
      </c>
      <c r="F31" s="28" t="s">
        <v>35</v>
      </c>
      <c r="G31" s="37" t="s">
        <v>147</v>
      </c>
      <c r="H31" s="37" t="s">
        <v>52</v>
      </c>
      <c r="I31" s="42" t="s">
        <v>148</v>
      </c>
      <c r="J31" s="38"/>
      <c r="K31" s="30" t="str">
        <f>"117,5"</f>
        <v>117,5</v>
      </c>
      <c r="L31" s="30" t="str">
        <f>"78,9482"</f>
        <v>78,9482</v>
      </c>
      <c r="M31" s="28"/>
    </row>
    <row r="32" spans="1:13">
      <c r="A32" s="38" t="s">
        <v>240</v>
      </c>
      <c r="B32" s="28" t="s">
        <v>415</v>
      </c>
      <c r="C32" s="28" t="s">
        <v>364</v>
      </c>
      <c r="D32" s="28" t="s">
        <v>365</v>
      </c>
      <c r="E32" s="29" t="s">
        <v>597</v>
      </c>
      <c r="F32" s="28" t="s">
        <v>35</v>
      </c>
      <c r="G32" s="42" t="s">
        <v>104</v>
      </c>
      <c r="H32" s="42" t="s">
        <v>209</v>
      </c>
      <c r="I32" s="42" t="s">
        <v>105</v>
      </c>
      <c r="J32" s="38"/>
      <c r="K32" s="30" t="str">
        <f>"0.00"</f>
        <v>0.00</v>
      </c>
      <c r="L32" s="30" t="str">
        <f>"0,0000"</f>
        <v>0,0000</v>
      </c>
      <c r="M32" s="28"/>
    </row>
    <row r="33" spans="1:13">
      <c r="A33" s="40" t="s">
        <v>30</v>
      </c>
      <c r="B33" s="31" t="s">
        <v>412</v>
      </c>
      <c r="C33" s="31" t="s">
        <v>558</v>
      </c>
      <c r="D33" s="31" t="s">
        <v>359</v>
      </c>
      <c r="E33" s="32" t="s">
        <v>601</v>
      </c>
      <c r="F33" s="31" t="s">
        <v>35</v>
      </c>
      <c r="G33" s="39" t="s">
        <v>191</v>
      </c>
      <c r="H33" s="39" t="s">
        <v>224</v>
      </c>
      <c r="I33" s="39" t="s">
        <v>80</v>
      </c>
      <c r="J33" s="40"/>
      <c r="K33" s="33" t="str">
        <f>"157,5"</f>
        <v>157,5</v>
      </c>
      <c r="L33" s="33" t="str">
        <f>"114,1634"</f>
        <v>114,1634</v>
      </c>
      <c r="M33" s="31"/>
    </row>
    <row r="35" spans="1:13" ht="16">
      <c r="A35" s="70" t="s">
        <v>63</v>
      </c>
      <c r="B35" s="70"/>
      <c r="C35" s="71"/>
      <c r="D35" s="71"/>
      <c r="E35" s="71"/>
      <c r="F35" s="71"/>
      <c r="G35" s="71"/>
      <c r="H35" s="71"/>
      <c r="I35" s="71"/>
      <c r="J35" s="71"/>
    </row>
    <row r="36" spans="1:13">
      <c r="A36" s="35" t="s">
        <v>30</v>
      </c>
      <c r="B36" s="25" t="s">
        <v>416</v>
      </c>
      <c r="C36" s="25" t="s">
        <v>559</v>
      </c>
      <c r="D36" s="25" t="s">
        <v>366</v>
      </c>
      <c r="E36" s="26" t="s">
        <v>599</v>
      </c>
      <c r="F36" s="25" t="s">
        <v>35</v>
      </c>
      <c r="G36" s="34" t="s">
        <v>146</v>
      </c>
      <c r="H36" s="34" t="s">
        <v>174</v>
      </c>
      <c r="I36" s="34" t="s">
        <v>153</v>
      </c>
      <c r="J36" s="35"/>
      <c r="K36" s="27" t="str">
        <f>"107,5"</f>
        <v>107,5</v>
      </c>
      <c r="L36" s="27" t="str">
        <f>"69,0257"</f>
        <v>69,0257</v>
      </c>
      <c r="M36" s="25"/>
    </row>
    <row r="37" spans="1:13">
      <c r="A37" s="38" t="s">
        <v>30</v>
      </c>
      <c r="B37" s="28" t="s">
        <v>417</v>
      </c>
      <c r="C37" s="28" t="s">
        <v>368</v>
      </c>
      <c r="D37" s="28" t="s">
        <v>85</v>
      </c>
      <c r="E37" s="29" t="s">
        <v>597</v>
      </c>
      <c r="F37" s="28" t="s">
        <v>35</v>
      </c>
      <c r="G37" s="37" t="s">
        <v>231</v>
      </c>
      <c r="H37" s="37" t="s">
        <v>57</v>
      </c>
      <c r="I37" s="37" t="s">
        <v>77</v>
      </c>
      <c r="J37" s="38"/>
      <c r="K37" s="30" t="str">
        <f>"210,0"</f>
        <v>210,0</v>
      </c>
      <c r="L37" s="30" t="str">
        <f>"134,6100"</f>
        <v>134,6100</v>
      </c>
      <c r="M37" s="28"/>
    </row>
    <row r="38" spans="1:13">
      <c r="A38" s="38" t="s">
        <v>126</v>
      </c>
      <c r="B38" s="28" t="s">
        <v>270</v>
      </c>
      <c r="C38" s="28" t="s">
        <v>215</v>
      </c>
      <c r="D38" s="28" t="s">
        <v>216</v>
      </c>
      <c r="E38" s="29" t="s">
        <v>597</v>
      </c>
      <c r="F38" s="28" t="s">
        <v>35</v>
      </c>
      <c r="G38" s="37" t="s">
        <v>86</v>
      </c>
      <c r="H38" s="37" t="s">
        <v>95</v>
      </c>
      <c r="I38" s="42" t="s">
        <v>118</v>
      </c>
      <c r="J38" s="38"/>
      <c r="K38" s="30" t="str">
        <f>"170,0"</f>
        <v>170,0</v>
      </c>
      <c r="L38" s="30" t="str">
        <f>"109,0890"</f>
        <v>109,0890</v>
      </c>
      <c r="M38" s="28"/>
    </row>
    <row r="39" spans="1:13">
      <c r="A39" s="38" t="s">
        <v>128</v>
      </c>
      <c r="B39" s="28" t="s">
        <v>418</v>
      </c>
      <c r="C39" s="28" t="s">
        <v>369</v>
      </c>
      <c r="D39" s="28" t="s">
        <v>370</v>
      </c>
      <c r="E39" s="29" t="s">
        <v>597</v>
      </c>
      <c r="F39" s="28" t="s">
        <v>35</v>
      </c>
      <c r="G39" s="37" t="s">
        <v>105</v>
      </c>
      <c r="H39" s="37" t="s">
        <v>224</v>
      </c>
      <c r="I39" s="37" t="s">
        <v>80</v>
      </c>
      <c r="J39" s="38"/>
      <c r="K39" s="30" t="str">
        <f>"157,5"</f>
        <v>157,5</v>
      </c>
      <c r="L39" s="30" t="str">
        <f>"100,8315"</f>
        <v>100,8315</v>
      </c>
      <c r="M39" s="28"/>
    </row>
    <row r="40" spans="1:13">
      <c r="A40" s="38" t="s">
        <v>133</v>
      </c>
      <c r="B40" s="28" t="s">
        <v>272</v>
      </c>
      <c r="C40" s="28" t="s">
        <v>222</v>
      </c>
      <c r="D40" s="28" t="s">
        <v>75</v>
      </c>
      <c r="E40" s="29" t="s">
        <v>597</v>
      </c>
      <c r="F40" s="28" t="s">
        <v>35</v>
      </c>
      <c r="G40" s="37" t="s">
        <v>104</v>
      </c>
      <c r="H40" s="37" t="s">
        <v>191</v>
      </c>
      <c r="I40" s="42" t="s">
        <v>224</v>
      </c>
      <c r="J40" s="38"/>
      <c r="K40" s="30" t="str">
        <f>"147,5"</f>
        <v>147,5</v>
      </c>
      <c r="L40" s="30" t="str">
        <f>"94,1640"</f>
        <v>94,1640</v>
      </c>
      <c r="M40" s="28"/>
    </row>
    <row r="41" spans="1:13">
      <c r="A41" s="38" t="s">
        <v>264</v>
      </c>
      <c r="B41" s="28" t="s">
        <v>419</v>
      </c>
      <c r="C41" s="28" t="s">
        <v>371</v>
      </c>
      <c r="D41" s="28" t="s">
        <v>66</v>
      </c>
      <c r="E41" s="29" t="s">
        <v>597</v>
      </c>
      <c r="F41" s="28" t="s">
        <v>35</v>
      </c>
      <c r="G41" s="37" t="s">
        <v>169</v>
      </c>
      <c r="H41" s="37" t="s">
        <v>205</v>
      </c>
      <c r="I41" s="37" t="s">
        <v>104</v>
      </c>
      <c r="J41" s="38"/>
      <c r="K41" s="30" t="str">
        <f>"140,0"</f>
        <v>140,0</v>
      </c>
      <c r="L41" s="30" t="str">
        <f>"89,7820"</f>
        <v>89,7820</v>
      </c>
      <c r="M41" s="28"/>
    </row>
    <row r="42" spans="1:13">
      <c r="A42" s="38" t="s">
        <v>266</v>
      </c>
      <c r="B42" s="28" t="s">
        <v>420</v>
      </c>
      <c r="C42" s="28" t="s">
        <v>372</v>
      </c>
      <c r="D42" s="28" t="s">
        <v>373</v>
      </c>
      <c r="E42" s="29" t="s">
        <v>597</v>
      </c>
      <c r="F42" s="28" t="s">
        <v>35</v>
      </c>
      <c r="G42" s="37" t="s">
        <v>58</v>
      </c>
      <c r="H42" s="42" t="s">
        <v>205</v>
      </c>
      <c r="I42" s="37" t="s">
        <v>205</v>
      </c>
      <c r="J42" s="38"/>
      <c r="K42" s="30" t="str">
        <f>"132,5"</f>
        <v>132,5</v>
      </c>
      <c r="L42" s="30" t="str">
        <f>"85,6878"</f>
        <v>85,6878</v>
      </c>
      <c r="M42" s="28"/>
    </row>
    <row r="43" spans="1:13">
      <c r="A43" s="38" t="s">
        <v>421</v>
      </c>
      <c r="B43" s="28" t="s">
        <v>422</v>
      </c>
      <c r="C43" s="28" t="s">
        <v>374</v>
      </c>
      <c r="D43" s="28" t="s">
        <v>370</v>
      </c>
      <c r="E43" s="29" t="s">
        <v>597</v>
      </c>
      <c r="F43" s="28" t="s">
        <v>35</v>
      </c>
      <c r="G43" s="37" t="s">
        <v>205</v>
      </c>
      <c r="H43" s="42" t="s">
        <v>60</v>
      </c>
      <c r="I43" s="42" t="s">
        <v>60</v>
      </c>
      <c r="J43" s="38"/>
      <c r="K43" s="30" t="str">
        <f>"132,5"</f>
        <v>132,5</v>
      </c>
      <c r="L43" s="30" t="str">
        <f>"84,8265"</f>
        <v>84,8265</v>
      </c>
      <c r="M43" s="28"/>
    </row>
    <row r="44" spans="1:13">
      <c r="A44" s="38" t="s">
        <v>423</v>
      </c>
      <c r="B44" s="28" t="s">
        <v>424</v>
      </c>
      <c r="C44" s="28" t="s">
        <v>375</v>
      </c>
      <c r="D44" s="28" t="s">
        <v>75</v>
      </c>
      <c r="E44" s="29" t="s">
        <v>597</v>
      </c>
      <c r="F44" s="28" t="s">
        <v>35</v>
      </c>
      <c r="G44" s="37" t="s">
        <v>103</v>
      </c>
      <c r="H44" s="42" t="s">
        <v>209</v>
      </c>
      <c r="I44" s="42" t="s">
        <v>209</v>
      </c>
      <c r="J44" s="38"/>
      <c r="K44" s="30" t="str">
        <f>"130,0"</f>
        <v>130,0</v>
      </c>
      <c r="L44" s="30" t="str">
        <f>"82,9920"</f>
        <v>82,9920</v>
      </c>
      <c r="M44" s="28"/>
    </row>
    <row r="45" spans="1:13">
      <c r="A45" s="38" t="s">
        <v>30</v>
      </c>
      <c r="B45" s="28" t="s">
        <v>425</v>
      </c>
      <c r="C45" s="28" t="s">
        <v>560</v>
      </c>
      <c r="D45" s="28" t="s">
        <v>376</v>
      </c>
      <c r="E45" s="29" t="s">
        <v>598</v>
      </c>
      <c r="F45" s="28" t="s">
        <v>35</v>
      </c>
      <c r="G45" s="37" t="s">
        <v>59</v>
      </c>
      <c r="H45" s="37" t="s">
        <v>209</v>
      </c>
      <c r="I45" s="37" t="s">
        <v>191</v>
      </c>
      <c r="J45" s="38"/>
      <c r="K45" s="30" t="str">
        <f>"147,5"</f>
        <v>147,5</v>
      </c>
      <c r="L45" s="30" t="str">
        <f>"96,8612"</f>
        <v>96,8612</v>
      </c>
      <c r="M45" s="28"/>
    </row>
    <row r="46" spans="1:13">
      <c r="A46" s="38" t="s">
        <v>126</v>
      </c>
      <c r="B46" s="28" t="s">
        <v>274</v>
      </c>
      <c r="C46" s="28" t="s">
        <v>549</v>
      </c>
      <c r="D46" s="28" t="s">
        <v>66</v>
      </c>
      <c r="E46" s="29" t="s">
        <v>598</v>
      </c>
      <c r="F46" s="28" t="s">
        <v>35</v>
      </c>
      <c r="G46" s="37" t="s">
        <v>148</v>
      </c>
      <c r="H46" s="37" t="s">
        <v>205</v>
      </c>
      <c r="I46" s="37" t="s">
        <v>59</v>
      </c>
      <c r="J46" s="38"/>
      <c r="K46" s="30" t="str">
        <f>"135,0"</f>
        <v>135,0</v>
      </c>
      <c r="L46" s="30" t="str">
        <f>"86,5755"</f>
        <v>86,5755</v>
      </c>
      <c r="M46" s="28"/>
    </row>
    <row r="47" spans="1:13">
      <c r="A47" s="38" t="s">
        <v>30</v>
      </c>
      <c r="B47" s="28" t="s">
        <v>426</v>
      </c>
      <c r="C47" s="28" t="s">
        <v>561</v>
      </c>
      <c r="D47" s="28" t="s">
        <v>66</v>
      </c>
      <c r="E47" s="29" t="s">
        <v>601</v>
      </c>
      <c r="F47" s="28" t="s">
        <v>35</v>
      </c>
      <c r="G47" s="37" t="s">
        <v>79</v>
      </c>
      <c r="H47" s="37" t="s">
        <v>223</v>
      </c>
      <c r="I47" s="42" t="s">
        <v>86</v>
      </c>
      <c r="J47" s="38"/>
      <c r="K47" s="30" t="str">
        <f>"155,0"</f>
        <v>155,0</v>
      </c>
      <c r="L47" s="30" t="str">
        <f>"107,1548"</f>
        <v>107,1548</v>
      </c>
      <c r="M47" s="28"/>
    </row>
    <row r="48" spans="1:13">
      <c r="A48" s="38" t="s">
        <v>126</v>
      </c>
      <c r="B48" s="28" t="s">
        <v>427</v>
      </c>
      <c r="C48" s="28" t="s">
        <v>562</v>
      </c>
      <c r="D48" s="28" t="s">
        <v>366</v>
      </c>
      <c r="E48" s="29" t="s">
        <v>601</v>
      </c>
      <c r="F48" s="28" t="s">
        <v>35</v>
      </c>
      <c r="G48" s="37" t="s">
        <v>103</v>
      </c>
      <c r="H48" s="37" t="s">
        <v>60</v>
      </c>
      <c r="I48" s="37" t="s">
        <v>104</v>
      </c>
      <c r="J48" s="38"/>
      <c r="K48" s="30" t="str">
        <f>"140,0"</f>
        <v>140,0</v>
      </c>
      <c r="L48" s="30" t="str">
        <f>"101,7600"</f>
        <v>101,7600</v>
      </c>
      <c r="M48" s="28"/>
    </row>
    <row r="49" spans="1:13">
      <c r="A49" s="40" t="s">
        <v>30</v>
      </c>
      <c r="B49" s="31" t="s">
        <v>428</v>
      </c>
      <c r="C49" s="31" t="s">
        <v>563</v>
      </c>
      <c r="D49" s="31" t="s">
        <v>379</v>
      </c>
      <c r="E49" s="32" t="s">
        <v>602</v>
      </c>
      <c r="F49" s="31" t="s">
        <v>35</v>
      </c>
      <c r="G49" s="39" t="s">
        <v>48</v>
      </c>
      <c r="H49" s="41" t="s">
        <v>49</v>
      </c>
      <c r="I49" s="39" t="s">
        <v>49</v>
      </c>
      <c r="J49" s="40"/>
      <c r="K49" s="33" t="str">
        <f>"110,0"</f>
        <v>110,0</v>
      </c>
      <c r="L49" s="33" t="str">
        <f>"108,4773"</f>
        <v>108,4773</v>
      </c>
      <c r="M49" s="31"/>
    </row>
    <row r="51" spans="1:13" ht="16">
      <c r="A51" s="70" t="s">
        <v>88</v>
      </c>
      <c r="B51" s="70"/>
      <c r="C51" s="71"/>
      <c r="D51" s="71"/>
      <c r="E51" s="71"/>
      <c r="F51" s="71"/>
      <c r="G51" s="71"/>
      <c r="H51" s="71"/>
      <c r="I51" s="71"/>
      <c r="J51" s="71"/>
    </row>
    <row r="52" spans="1:13">
      <c r="A52" s="35" t="s">
        <v>30</v>
      </c>
      <c r="B52" s="25" t="s">
        <v>429</v>
      </c>
      <c r="C52" s="25" t="s">
        <v>564</v>
      </c>
      <c r="D52" s="25" t="s">
        <v>380</v>
      </c>
      <c r="E52" s="26" t="s">
        <v>599</v>
      </c>
      <c r="F52" s="25" t="s">
        <v>35</v>
      </c>
      <c r="G52" s="34" t="s">
        <v>104</v>
      </c>
      <c r="H52" s="34" t="s">
        <v>105</v>
      </c>
      <c r="I52" s="34" t="s">
        <v>79</v>
      </c>
      <c r="J52" s="35"/>
      <c r="K52" s="27" t="str">
        <f>"150,0"</f>
        <v>150,0</v>
      </c>
      <c r="L52" s="27" t="str">
        <f>"94,9650"</f>
        <v>94,9650</v>
      </c>
      <c r="M52" s="25"/>
    </row>
    <row r="53" spans="1:13">
      <c r="A53" s="38" t="s">
        <v>30</v>
      </c>
      <c r="B53" s="28" t="s">
        <v>130</v>
      </c>
      <c r="C53" s="28" t="s">
        <v>90</v>
      </c>
      <c r="D53" s="28" t="s">
        <v>91</v>
      </c>
      <c r="E53" s="29" t="s">
        <v>597</v>
      </c>
      <c r="F53" s="28" t="s">
        <v>35</v>
      </c>
      <c r="G53" s="37" t="s">
        <v>95</v>
      </c>
      <c r="H53" s="42" t="s">
        <v>70</v>
      </c>
      <c r="I53" s="42" t="s">
        <v>70</v>
      </c>
      <c r="J53" s="38"/>
      <c r="K53" s="30" t="str">
        <f>"170,0"</f>
        <v>170,0</v>
      </c>
      <c r="L53" s="30" t="str">
        <f>"103,4620"</f>
        <v>103,4620</v>
      </c>
      <c r="M53" s="28"/>
    </row>
    <row r="54" spans="1:13">
      <c r="A54" s="38" t="s">
        <v>126</v>
      </c>
      <c r="B54" s="28" t="s">
        <v>430</v>
      </c>
      <c r="C54" s="28" t="s">
        <v>381</v>
      </c>
      <c r="D54" s="28" t="s">
        <v>382</v>
      </c>
      <c r="E54" s="29" t="s">
        <v>597</v>
      </c>
      <c r="F54" s="28" t="s">
        <v>35</v>
      </c>
      <c r="G54" s="37" t="s">
        <v>223</v>
      </c>
      <c r="H54" s="37" t="s">
        <v>100</v>
      </c>
      <c r="I54" s="42" t="s">
        <v>95</v>
      </c>
      <c r="J54" s="38"/>
      <c r="K54" s="30" t="str">
        <f>"165,0"</f>
        <v>165,0</v>
      </c>
      <c r="L54" s="30" t="str">
        <f>"102,4485"</f>
        <v>102,4485</v>
      </c>
      <c r="M54" s="28"/>
    </row>
    <row r="55" spans="1:13">
      <c r="A55" s="38" t="s">
        <v>128</v>
      </c>
      <c r="B55" s="28" t="s">
        <v>276</v>
      </c>
      <c r="C55" s="28" t="s">
        <v>227</v>
      </c>
      <c r="D55" s="28" t="s">
        <v>228</v>
      </c>
      <c r="E55" s="29" t="s">
        <v>597</v>
      </c>
      <c r="F55" s="28" t="s">
        <v>35</v>
      </c>
      <c r="G55" s="37" t="s">
        <v>86</v>
      </c>
      <c r="H55" s="42" t="s">
        <v>95</v>
      </c>
      <c r="I55" s="42" t="s">
        <v>95</v>
      </c>
      <c r="J55" s="38"/>
      <c r="K55" s="30" t="str">
        <f>"160,0"</f>
        <v>160,0</v>
      </c>
      <c r="L55" s="30" t="str">
        <f>"98,0960"</f>
        <v>98,0960</v>
      </c>
      <c r="M55" s="28"/>
    </row>
    <row r="56" spans="1:13">
      <c r="A56" s="38" t="s">
        <v>133</v>
      </c>
      <c r="B56" s="28" t="s">
        <v>431</v>
      </c>
      <c r="C56" s="28" t="s">
        <v>383</v>
      </c>
      <c r="D56" s="28" t="s">
        <v>384</v>
      </c>
      <c r="E56" s="29" t="s">
        <v>597</v>
      </c>
      <c r="F56" s="28" t="s">
        <v>35</v>
      </c>
      <c r="G56" s="37" t="s">
        <v>104</v>
      </c>
      <c r="H56" s="37" t="s">
        <v>105</v>
      </c>
      <c r="I56" s="37" t="s">
        <v>79</v>
      </c>
      <c r="J56" s="38"/>
      <c r="K56" s="30" t="str">
        <f>"150,0"</f>
        <v>150,0</v>
      </c>
      <c r="L56" s="30" t="str">
        <f>"93,3900"</f>
        <v>93,3900</v>
      </c>
      <c r="M56" s="28"/>
    </row>
    <row r="57" spans="1:13">
      <c r="A57" s="40" t="s">
        <v>264</v>
      </c>
      <c r="B57" s="31" t="s">
        <v>432</v>
      </c>
      <c r="C57" s="31" t="s">
        <v>385</v>
      </c>
      <c r="D57" s="31" t="s">
        <v>386</v>
      </c>
      <c r="E57" s="32" t="s">
        <v>597</v>
      </c>
      <c r="F57" s="31" t="s">
        <v>35</v>
      </c>
      <c r="G57" s="39" t="s">
        <v>148</v>
      </c>
      <c r="H57" s="39" t="s">
        <v>58</v>
      </c>
      <c r="I57" s="39" t="s">
        <v>103</v>
      </c>
      <c r="J57" s="40"/>
      <c r="K57" s="33" t="str">
        <f>"130,0"</f>
        <v>130,0</v>
      </c>
      <c r="L57" s="33" t="str">
        <f>"80,7430"</f>
        <v>80,7430</v>
      </c>
      <c r="M57" s="31"/>
    </row>
    <row r="59" spans="1:13" ht="16">
      <c r="A59" s="70" t="s">
        <v>11</v>
      </c>
      <c r="B59" s="70"/>
      <c r="C59" s="71"/>
      <c r="D59" s="71"/>
      <c r="E59" s="71"/>
      <c r="F59" s="71"/>
      <c r="G59" s="71"/>
      <c r="H59" s="71"/>
      <c r="I59" s="71"/>
      <c r="J59" s="71"/>
    </row>
    <row r="60" spans="1:13">
      <c r="A60" s="35" t="s">
        <v>30</v>
      </c>
      <c r="B60" s="25" t="s">
        <v>433</v>
      </c>
      <c r="C60" s="25" t="s">
        <v>387</v>
      </c>
      <c r="D60" s="25" t="s">
        <v>388</v>
      </c>
      <c r="E60" s="26" t="s">
        <v>600</v>
      </c>
      <c r="F60" s="25" t="s">
        <v>35</v>
      </c>
      <c r="G60" s="34" t="s">
        <v>47</v>
      </c>
      <c r="H60" s="34" t="s">
        <v>48</v>
      </c>
      <c r="I60" s="36" t="s">
        <v>161</v>
      </c>
      <c r="J60" s="35"/>
      <c r="K60" s="27" t="str">
        <f>"100,0"</f>
        <v>100,0</v>
      </c>
      <c r="L60" s="27" t="str">
        <f>"59,6200"</f>
        <v>59,6200</v>
      </c>
      <c r="M60" s="25"/>
    </row>
    <row r="61" spans="1:13">
      <c r="A61" s="38" t="s">
        <v>30</v>
      </c>
      <c r="B61" s="28" t="s">
        <v>434</v>
      </c>
      <c r="C61" s="28" t="s">
        <v>389</v>
      </c>
      <c r="D61" s="28" t="s">
        <v>390</v>
      </c>
      <c r="E61" s="29" t="s">
        <v>597</v>
      </c>
      <c r="F61" s="28" t="s">
        <v>35</v>
      </c>
      <c r="G61" s="37" t="s">
        <v>86</v>
      </c>
      <c r="H61" s="37" t="s">
        <v>95</v>
      </c>
      <c r="I61" s="37" t="s">
        <v>70</v>
      </c>
      <c r="J61" s="38"/>
      <c r="K61" s="30" t="str">
        <f>"180,0"</f>
        <v>180,0</v>
      </c>
      <c r="L61" s="30" t="str">
        <f>"106,5780"</f>
        <v>106,5780</v>
      </c>
      <c r="M61" s="28"/>
    </row>
    <row r="62" spans="1:13">
      <c r="A62" s="38" t="s">
        <v>126</v>
      </c>
      <c r="B62" s="28" t="s">
        <v>435</v>
      </c>
      <c r="C62" s="28" t="s">
        <v>391</v>
      </c>
      <c r="D62" s="28" t="s">
        <v>392</v>
      </c>
      <c r="E62" s="29" t="s">
        <v>597</v>
      </c>
      <c r="F62" s="28" t="s">
        <v>289</v>
      </c>
      <c r="G62" s="42" t="s">
        <v>224</v>
      </c>
      <c r="H62" s="42" t="s">
        <v>224</v>
      </c>
      <c r="I62" s="37" t="s">
        <v>224</v>
      </c>
      <c r="J62" s="38"/>
      <c r="K62" s="30" t="str">
        <f>"152,5"</f>
        <v>152,5</v>
      </c>
      <c r="L62" s="30" t="str">
        <f>"91,1035"</f>
        <v>91,1035</v>
      </c>
      <c r="M62" s="28"/>
    </row>
    <row r="63" spans="1:13">
      <c r="A63" s="40" t="s">
        <v>30</v>
      </c>
      <c r="B63" s="31" t="s">
        <v>436</v>
      </c>
      <c r="C63" s="31" t="s">
        <v>565</v>
      </c>
      <c r="D63" s="31" t="s">
        <v>393</v>
      </c>
      <c r="E63" s="32" t="s">
        <v>598</v>
      </c>
      <c r="F63" s="31" t="s">
        <v>35</v>
      </c>
      <c r="G63" s="39" t="s">
        <v>86</v>
      </c>
      <c r="H63" s="39" t="s">
        <v>394</v>
      </c>
      <c r="I63" s="39" t="s">
        <v>95</v>
      </c>
      <c r="J63" s="40"/>
      <c r="K63" s="33" t="str">
        <f>"170,0"</f>
        <v>170,0</v>
      </c>
      <c r="L63" s="33" t="str">
        <f>"100,0960"</f>
        <v>100,0960</v>
      </c>
      <c r="M63" s="31"/>
    </row>
    <row r="65" spans="1:13" ht="16">
      <c r="A65" s="70" t="s">
        <v>115</v>
      </c>
      <c r="B65" s="70"/>
      <c r="C65" s="71"/>
      <c r="D65" s="71"/>
      <c r="E65" s="71"/>
      <c r="F65" s="71"/>
      <c r="G65" s="71"/>
      <c r="H65" s="71"/>
      <c r="I65" s="71"/>
      <c r="J65" s="71"/>
    </row>
    <row r="66" spans="1:13">
      <c r="A66" s="35" t="s">
        <v>30</v>
      </c>
      <c r="B66" s="25" t="s">
        <v>437</v>
      </c>
      <c r="C66" s="25" t="s">
        <v>396</v>
      </c>
      <c r="D66" s="25" t="s">
        <v>397</v>
      </c>
      <c r="E66" s="26" t="s">
        <v>597</v>
      </c>
      <c r="F66" s="25" t="s">
        <v>35</v>
      </c>
      <c r="G66" s="34" t="s">
        <v>70</v>
      </c>
      <c r="H66" s="34" t="s">
        <v>108</v>
      </c>
      <c r="I66" s="34" t="s">
        <v>16</v>
      </c>
      <c r="J66" s="35"/>
      <c r="K66" s="27" t="str">
        <f>"200,0"</f>
        <v>200,0</v>
      </c>
      <c r="L66" s="27" t="str">
        <f>"114,9800"</f>
        <v>114,9800</v>
      </c>
      <c r="M66" s="25"/>
    </row>
    <row r="67" spans="1:13">
      <c r="A67" s="40" t="s">
        <v>126</v>
      </c>
      <c r="B67" s="31" t="s">
        <v>438</v>
      </c>
      <c r="C67" s="31" t="s">
        <v>399</v>
      </c>
      <c r="D67" s="31" t="s">
        <v>400</v>
      </c>
      <c r="E67" s="32" t="s">
        <v>597</v>
      </c>
      <c r="F67" s="31" t="s">
        <v>35</v>
      </c>
      <c r="G67" s="39" t="s">
        <v>71</v>
      </c>
      <c r="H67" s="39" t="s">
        <v>56</v>
      </c>
      <c r="I67" s="41" t="s">
        <v>16</v>
      </c>
      <c r="J67" s="40"/>
      <c r="K67" s="33" t="str">
        <f>"195,0"</f>
        <v>195,0</v>
      </c>
      <c r="L67" s="33" t="str">
        <f>"111,4815"</f>
        <v>111,4815</v>
      </c>
      <c r="M67" s="31"/>
    </row>
    <row r="69" spans="1:13" ht="16">
      <c r="F69" s="8"/>
      <c r="G69" s="5"/>
      <c r="K69" s="10"/>
      <c r="M69" s="7"/>
    </row>
    <row r="70" spans="1:13">
      <c r="G70" s="5"/>
      <c r="K70" s="10"/>
      <c r="M70" s="7"/>
    </row>
    <row r="71" spans="1:13" ht="18">
      <c r="B71" s="9" t="s">
        <v>7</v>
      </c>
      <c r="C71" s="9"/>
      <c r="G71" s="3"/>
      <c r="K71" s="10"/>
      <c r="M71" s="7"/>
    </row>
    <row r="72" spans="1:13" ht="16">
      <c r="B72" s="24" t="s">
        <v>592</v>
      </c>
      <c r="G72" s="3"/>
      <c r="K72" s="10"/>
      <c r="M72" s="7"/>
    </row>
    <row r="73" spans="1:13" ht="14">
      <c r="B73" s="15"/>
      <c r="C73" s="16" t="s">
        <v>23</v>
      </c>
      <c r="G73" s="3"/>
      <c r="K73" s="10"/>
      <c r="M73" s="7"/>
    </row>
    <row r="74" spans="1:13" ht="14">
      <c r="B74" s="17" t="s">
        <v>24</v>
      </c>
      <c r="C74" s="17" t="s">
        <v>25</v>
      </c>
      <c r="D74" s="17" t="s">
        <v>26</v>
      </c>
      <c r="E74" s="18" t="s">
        <v>319</v>
      </c>
      <c r="F74" s="17" t="s">
        <v>28</v>
      </c>
      <c r="G74" s="3"/>
      <c r="K74" s="10"/>
      <c r="M74" s="7"/>
    </row>
    <row r="75" spans="1:13">
      <c r="B75" s="5" t="s">
        <v>367</v>
      </c>
      <c r="C75" s="5" t="s">
        <v>23</v>
      </c>
      <c r="D75" s="10" t="s">
        <v>120</v>
      </c>
      <c r="E75" s="20">
        <v>210</v>
      </c>
      <c r="F75" s="19">
        <v>134.60999429225899</v>
      </c>
      <c r="G75" s="3"/>
      <c r="K75" s="10"/>
      <c r="M75" s="7"/>
    </row>
    <row r="76" spans="1:13">
      <c r="B76" s="5" t="s">
        <v>395</v>
      </c>
      <c r="C76" s="5" t="s">
        <v>23</v>
      </c>
      <c r="D76" s="10" t="s">
        <v>320</v>
      </c>
      <c r="E76" s="20">
        <v>200</v>
      </c>
      <c r="F76" s="19">
        <v>114.979994297028</v>
      </c>
      <c r="G76" s="3"/>
      <c r="K76" s="10"/>
      <c r="M76" s="7"/>
    </row>
    <row r="77" spans="1:13">
      <c r="B77" s="5" t="s">
        <v>398</v>
      </c>
      <c r="C77" s="5" t="s">
        <v>23</v>
      </c>
      <c r="D77" s="10" t="s">
        <v>320</v>
      </c>
      <c r="E77" s="20">
        <v>195</v>
      </c>
      <c r="F77" s="19">
        <v>111.481495499611</v>
      </c>
      <c r="G77" s="3"/>
      <c r="K77" s="10"/>
      <c r="M77" s="7"/>
    </row>
    <row r="78" spans="1:13">
      <c r="G78" s="3"/>
      <c r="K78" s="10"/>
      <c r="M78" s="7"/>
    </row>
    <row r="79" spans="1:13" ht="14">
      <c r="B79" s="15"/>
      <c r="C79" s="16" t="s">
        <v>239</v>
      </c>
      <c r="G79" s="3"/>
      <c r="K79" s="10"/>
      <c r="M79" s="7"/>
    </row>
    <row r="80" spans="1:13" ht="14">
      <c r="B80" s="17" t="s">
        <v>24</v>
      </c>
      <c r="C80" s="17" t="s">
        <v>25</v>
      </c>
      <c r="D80" s="17" t="s">
        <v>26</v>
      </c>
      <c r="E80" s="18" t="s">
        <v>319</v>
      </c>
      <c r="F80" s="17" t="s">
        <v>28</v>
      </c>
      <c r="G80" s="3"/>
      <c r="K80" s="10"/>
      <c r="M80" s="7"/>
    </row>
    <row r="81" spans="2:13">
      <c r="B81" s="5" t="s">
        <v>357</v>
      </c>
      <c r="C81" s="5" t="s">
        <v>566</v>
      </c>
      <c r="D81" s="10" t="s">
        <v>119</v>
      </c>
      <c r="E81" s="20">
        <v>157.5</v>
      </c>
      <c r="F81" s="19">
        <v>114.163433611393</v>
      </c>
      <c r="G81" s="3"/>
      <c r="K81" s="10"/>
      <c r="M81" s="7"/>
    </row>
    <row r="82" spans="2:13">
      <c r="B82" s="5" t="s">
        <v>378</v>
      </c>
      <c r="C82" s="5" t="s">
        <v>567</v>
      </c>
      <c r="D82" s="10" t="s">
        <v>120</v>
      </c>
      <c r="E82" s="20">
        <v>110</v>
      </c>
      <c r="F82" s="19">
        <v>108.47727086603599</v>
      </c>
      <c r="G82" s="3"/>
      <c r="K82" s="10"/>
      <c r="M82" s="7"/>
    </row>
    <row r="83" spans="2:13">
      <c r="B83" s="5" t="s">
        <v>377</v>
      </c>
      <c r="C83" s="5" t="s">
        <v>566</v>
      </c>
      <c r="D83" s="10" t="s">
        <v>120</v>
      </c>
      <c r="E83" s="20">
        <v>155</v>
      </c>
      <c r="F83" s="19">
        <v>107.154820776582</v>
      </c>
      <c r="G83" s="3"/>
      <c r="K83" s="10"/>
      <c r="M83" s="7"/>
    </row>
    <row r="84" spans="2:13">
      <c r="E84" s="5"/>
      <c r="F84" s="6"/>
      <c r="G84" s="5"/>
      <c r="K84" s="10"/>
      <c r="M84" s="7"/>
    </row>
  </sheetData>
  <mergeCells count="22">
    <mergeCell ref="A35:J35"/>
    <mergeCell ref="A51:J51"/>
    <mergeCell ref="A59:J59"/>
    <mergeCell ref="A65:J65"/>
    <mergeCell ref="B3:B4"/>
    <mergeCell ref="A8:J8"/>
    <mergeCell ref="A11:J11"/>
    <mergeCell ref="A14:J14"/>
    <mergeCell ref="A17:J17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IPL ПЛ без экипировки ДК</vt:lpstr>
      <vt:lpstr>IPL ПЛ без экипировки</vt:lpstr>
      <vt:lpstr>IPL ПЛ в бинтах ДК</vt:lpstr>
      <vt:lpstr>IPL ПЛ однослой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2023-06-01T09:51:28Z</dcterms:modified>
</cp:coreProperties>
</file>