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Май/"/>
    </mc:Choice>
  </mc:AlternateContent>
  <xr:revisionPtr revIDLastSave="0" documentId="13_ncr:1_{043A5697-69F4-9D41-B891-D54B5D73DFCA}" xr6:coauthVersionLast="45" xr6:coauthVersionMax="45" xr10:uidLastSave="{00000000-0000-0000-0000-000000000000}"/>
  <bookViews>
    <workbookView xWindow="480" yWindow="460" windowWidth="28320" windowHeight="15360" firstSheet="15" activeTab="20" xr2:uid="{00000000-000D-0000-FFFF-FFFF00000000}"/>
  </bookViews>
  <sheets>
    <sheet name="IPL ПЛ без экипировки ДК" sheetId="6" r:id="rId1"/>
    <sheet name="IPL ПЛ без экипировки" sheetId="5" r:id="rId2"/>
    <sheet name="IPL ПЛ в бинтах ДК" sheetId="8" r:id="rId3"/>
    <sheet name="IPL Двоеборье без экип ДК" sheetId="16" r:id="rId4"/>
    <sheet name="IPL Двоеборье без экип" sheetId="15" r:id="rId5"/>
    <sheet name="IPL Присед без экипировки ДК" sheetId="13" r:id="rId6"/>
    <sheet name="IPL Присед в бинтах" sheetId="14" r:id="rId7"/>
    <sheet name="IPL Жим без экипировки ДК" sheetId="10" r:id="rId8"/>
    <sheet name="IPL Жим без экипировки" sheetId="9" r:id="rId9"/>
    <sheet name="СПР Жим софт однопетельная ДК" sheetId="18" r:id="rId10"/>
    <sheet name="СПР Жим софт однопетельная" sheetId="17" r:id="rId11"/>
    <sheet name="СПР Жим софт многопетельная" sheetId="19" r:id="rId12"/>
    <sheet name="WRPF Военный жим ДК" sheetId="47" r:id="rId13"/>
    <sheet name="WRPF Военный жим" sheetId="46" r:id="rId14"/>
    <sheet name="СПР Жим СФО" sheetId="43" r:id="rId15"/>
    <sheet name="IPL Тяга без экипировки ДК" sheetId="12" r:id="rId16"/>
    <sheet name="IPL Тяга без экипировки" sheetId="11" r:id="rId17"/>
    <sheet name="СПР Подъем на бицепс ДК" sheetId="24" r:id="rId18"/>
    <sheet name="СПР Подъем на бицепс" sheetId="23" r:id="rId19"/>
    <sheet name="WRPF Подъем на бицепс ДК" sheetId="45" r:id="rId20"/>
    <sheet name="WRPF Подъем на бицепс" sheetId="44" r:id="rId21"/>
  </sheets>
  <definedNames>
    <definedName name="_FilterDatabase" localSheetId="1" hidden="1">'IPL ПЛ без экипировки'!$A$1:$S$3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6" i="47" l="1"/>
  <c r="K26" i="47"/>
  <c r="L25" i="47"/>
  <c r="K25" i="47"/>
  <c r="L22" i="47"/>
  <c r="K22" i="47"/>
  <c r="L21" i="47"/>
  <c r="K21" i="47"/>
  <c r="L20" i="47"/>
  <c r="K20" i="47"/>
  <c r="L19" i="47"/>
  <c r="K19" i="47"/>
  <c r="L16" i="47"/>
  <c r="K16" i="47"/>
  <c r="L15" i="47"/>
  <c r="K15" i="47"/>
  <c r="L14" i="47"/>
  <c r="K14" i="47"/>
  <c r="L13" i="47"/>
  <c r="K13" i="47"/>
  <c r="L12" i="47"/>
  <c r="K12" i="47"/>
  <c r="L9" i="47"/>
  <c r="K9" i="47"/>
  <c r="L6" i="47"/>
  <c r="K6" i="47"/>
  <c r="L12" i="46"/>
  <c r="K12" i="46"/>
  <c r="L9" i="46"/>
  <c r="K9" i="46"/>
  <c r="L6" i="46"/>
  <c r="K6" i="46"/>
  <c r="L28" i="45"/>
  <c r="K28" i="45"/>
  <c r="L25" i="45"/>
  <c r="L24" i="45"/>
  <c r="L21" i="45"/>
  <c r="K21" i="45"/>
  <c r="L20" i="45"/>
  <c r="K20" i="45"/>
  <c r="L19" i="45"/>
  <c r="K19" i="45"/>
  <c r="L16" i="45"/>
  <c r="K16" i="45"/>
  <c r="L15" i="45"/>
  <c r="K15" i="45"/>
  <c r="L12" i="45"/>
  <c r="K12" i="45"/>
  <c r="L9" i="45"/>
  <c r="K9" i="45"/>
  <c r="L6" i="45"/>
  <c r="K6" i="45"/>
  <c r="L14" i="44"/>
  <c r="K14" i="44"/>
  <c r="L11" i="44"/>
  <c r="K11" i="44"/>
  <c r="L10" i="44"/>
  <c r="K10" i="44"/>
  <c r="L7" i="44"/>
  <c r="K7" i="44"/>
  <c r="L6" i="44"/>
  <c r="K6" i="44"/>
  <c r="L6" i="43"/>
  <c r="K6" i="43"/>
  <c r="L13" i="24"/>
  <c r="K13" i="24"/>
  <c r="L10" i="24"/>
  <c r="K10" i="24"/>
  <c r="L7" i="24"/>
  <c r="K7" i="24"/>
  <c r="L6" i="24"/>
  <c r="K6" i="24"/>
  <c r="L9" i="23"/>
  <c r="K9" i="23"/>
  <c r="L6" i="23"/>
  <c r="K6" i="23"/>
  <c r="L9" i="19"/>
  <c r="K9" i="19"/>
  <c r="L6" i="19"/>
  <c r="K6" i="19"/>
  <c r="L6" i="18"/>
  <c r="K6" i="18"/>
  <c r="L9" i="17"/>
  <c r="K9" i="17"/>
  <c r="L6" i="17"/>
  <c r="K6" i="17"/>
  <c r="P10" i="16"/>
  <c r="O10" i="16"/>
  <c r="P7" i="16"/>
  <c r="O7" i="16"/>
  <c r="P6" i="16"/>
  <c r="O6" i="16"/>
  <c r="P6" i="15"/>
  <c r="O6" i="15"/>
  <c r="L6" i="14"/>
  <c r="K6" i="14"/>
  <c r="L6" i="13"/>
  <c r="K6" i="13"/>
  <c r="L25" i="12"/>
  <c r="K25" i="12"/>
  <c r="L22" i="12"/>
  <c r="K22" i="12"/>
  <c r="L21" i="12"/>
  <c r="K21" i="12"/>
  <c r="L18" i="12"/>
  <c r="K18" i="12"/>
  <c r="L17" i="12"/>
  <c r="K17" i="12"/>
  <c r="L14" i="12"/>
  <c r="K14" i="12"/>
  <c r="L13" i="12"/>
  <c r="K13" i="12"/>
  <c r="L10" i="12"/>
  <c r="K10" i="12"/>
  <c r="L7" i="12"/>
  <c r="K7" i="12"/>
  <c r="L6" i="12"/>
  <c r="K6" i="12"/>
  <c r="L13" i="11"/>
  <c r="K13" i="11"/>
  <c r="L10" i="11"/>
  <c r="K10" i="11"/>
  <c r="L9" i="11"/>
  <c r="K9" i="11"/>
  <c r="L6" i="11"/>
  <c r="K6" i="11"/>
  <c r="L54" i="10"/>
  <c r="K54" i="10"/>
  <c r="L53" i="10"/>
  <c r="K53" i="10"/>
  <c r="L50" i="10"/>
  <c r="K50" i="10"/>
  <c r="L49" i="10"/>
  <c r="K49" i="10"/>
  <c r="L48" i="10"/>
  <c r="K48" i="10"/>
  <c r="L45" i="10"/>
  <c r="L44" i="10"/>
  <c r="L41" i="10"/>
  <c r="L40" i="10"/>
  <c r="K40" i="10"/>
  <c r="L39" i="10"/>
  <c r="K39" i="10"/>
  <c r="L38" i="10"/>
  <c r="K38" i="10"/>
  <c r="L37" i="10"/>
  <c r="K37" i="10"/>
  <c r="L34" i="10"/>
  <c r="K34" i="10"/>
  <c r="L33" i="10"/>
  <c r="K33" i="10"/>
  <c r="L32" i="10"/>
  <c r="K32" i="10"/>
  <c r="L31" i="10"/>
  <c r="K31" i="10"/>
  <c r="L30" i="10"/>
  <c r="K30" i="10"/>
  <c r="L27" i="10"/>
  <c r="K27" i="10"/>
  <c r="L24" i="10"/>
  <c r="K24" i="10"/>
  <c r="L21" i="10"/>
  <c r="K21" i="10"/>
  <c r="L20" i="10"/>
  <c r="K20" i="10"/>
  <c r="L19" i="10"/>
  <c r="K19" i="10"/>
  <c r="L16" i="10"/>
  <c r="K16" i="10"/>
  <c r="L15" i="10"/>
  <c r="K15" i="10"/>
  <c r="L12" i="10"/>
  <c r="K12" i="10"/>
  <c r="L11" i="10"/>
  <c r="K11" i="10"/>
  <c r="L10" i="10"/>
  <c r="K10" i="10"/>
  <c r="L7" i="10"/>
  <c r="K7" i="10"/>
  <c r="L6" i="10"/>
  <c r="K6" i="10"/>
  <c r="L36" i="9"/>
  <c r="K36" i="9"/>
  <c r="L35" i="9"/>
  <c r="K35" i="9"/>
  <c r="L34" i="9"/>
  <c r="K34" i="9"/>
  <c r="L33" i="9"/>
  <c r="K33" i="9"/>
  <c r="L30" i="9"/>
  <c r="K30" i="9"/>
  <c r="L29" i="9"/>
  <c r="K29" i="9"/>
  <c r="L28" i="9"/>
  <c r="K28" i="9"/>
  <c r="L27" i="9"/>
  <c r="K27" i="9"/>
  <c r="L24" i="9"/>
  <c r="K24" i="9"/>
  <c r="L23" i="9"/>
  <c r="K23" i="9"/>
  <c r="L22" i="9"/>
  <c r="K22" i="9"/>
  <c r="L21" i="9"/>
  <c r="K21" i="9"/>
  <c r="L20" i="9"/>
  <c r="K20" i="9"/>
  <c r="L17" i="9"/>
  <c r="K17" i="9"/>
  <c r="L14" i="9"/>
  <c r="K14" i="9"/>
  <c r="L13" i="9"/>
  <c r="K13" i="9"/>
  <c r="L12" i="9"/>
  <c r="K12" i="9"/>
  <c r="L9" i="9"/>
  <c r="K9" i="9"/>
  <c r="L6" i="9"/>
  <c r="K6" i="9"/>
  <c r="T10" i="8"/>
  <c r="S10" i="8"/>
  <c r="T7" i="8"/>
  <c r="S7" i="8"/>
  <c r="T6" i="8"/>
  <c r="S6" i="8"/>
  <c r="T16" i="6"/>
  <c r="S16" i="6"/>
  <c r="T15" i="6"/>
  <c r="S15" i="6"/>
  <c r="T12" i="6"/>
  <c r="S12" i="6"/>
  <c r="T9" i="6"/>
  <c r="S9" i="6"/>
  <c r="T6" i="6"/>
  <c r="S6" i="6"/>
  <c r="T19" i="5"/>
  <c r="S19" i="5"/>
  <c r="T16" i="5"/>
  <c r="S16" i="5"/>
  <c r="T13" i="5"/>
  <c r="S13" i="5"/>
  <c r="T12" i="5"/>
  <c r="S12" i="5"/>
  <c r="T9" i="5"/>
  <c r="S9" i="5"/>
  <c r="T6" i="5"/>
  <c r="S6" i="5"/>
</calcChain>
</file>

<file path=xl/sharedStrings.xml><?xml version="1.0" encoding="utf-8"?>
<sst xmlns="http://schemas.openxmlformats.org/spreadsheetml/2006/main" count="1715" uniqueCount="496">
  <si>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</si>
  <si>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</si>
  <si>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</si>
  <si>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</si>
  <si>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</si>
  <si>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</si>
  <si>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</si>
  <si>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</si>
  <si>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</si>
  <si>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</si>
  <si>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52</t>
  </si>
  <si>
    <t>Юноши 15-19 (10.06.2008)/14</t>
  </si>
  <si>
    <t>49,45</t>
  </si>
  <si>
    <t>50,0</t>
  </si>
  <si>
    <t>55,0</t>
  </si>
  <si>
    <t>60,0</t>
  </si>
  <si>
    <t>30,0</t>
  </si>
  <si>
    <t>35,0</t>
  </si>
  <si>
    <t>40,0</t>
  </si>
  <si>
    <t>70,0</t>
  </si>
  <si>
    <t>75,0</t>
  </si>
  <si>
    <t>80,0</t>
  </si>
  <si>
    <t xml:space="preserve">Дыга Виталий </t>
  </si>
  <si>
    <t>ВЕСОВАЯ КАТЕГОРИЯ   56</t>
  </si>
  <si>
    <t>Юноши 15-19 (08.09.2008)/14</t>
  </si>
  <si>
    <t>52,70</t>
  </si>
  <si>
    <t>65,0</t>
  </si>
  <si>
    <t>ВЕСОВАЯ КАТЕГОРИЯ   60</t>
  </si>
  <si>
    <t>Юноши 15-19 (01.10.2008)/14</t>
  </si>
  <si>
    <t>57,90</t>
  </si>
  <si>
    <t>85,0</t>
  </si>
  <si>
    <t>100,0</t>
  </si>
  <si>
    <t>110,0</t>
  </si>
  <si>
    <t>120,0</t>
  </si>
  <si>
    <t xml:space="preserve">Гусев Денис </t>
  </si>
  <si>
    <t>59,30</t>
  </si>
  <si>
    <t xml:space="preserve">Чайковский/Пермский край </t>
  </si>
  <si>
    <t>90,0</t>
  </si>
  <si>
    <t>160,0</t>
  </si>
  <si>
    <t>165,0</t>
  </si>
  <si>
    <t>167,5</t>
  </si>
  <si>
    <t>ВЕСОВАЯ КАТЕГОРИЯ   82.5</t>
  </si>
  <si>
    <t>Юноши 15-19 (15.06.2007)/15</t>
  </si>
  <si>
    <t>81,70</t>
  </si>
  <si>
    <t>ВЕСОВАЯ КАТЕГОРИЯ   90</t>
  </si>
  <si>
    <t>Открытая (17.05.1986)/37</t>
  </si>
  <si>
    <t>89,20</t>
  </si>
  <si>
    <t>210,0</t>
  </si>
  <si>
    <t>220,0</t>
  </si>
  <si>
    <t>230,0</t>
  </si>
  <si>
    <t>150,0</t>
  </si>
  <si>
    <t xml:space="preserve">Абсолютный зачёт </t>
  </si>
  <si>
    <t xml:space="preserve">Мужчины </t>
  </si>
  <si>
    <t xml:space="preserve">ФИО </t>
  </si>
  <si>
    <t xml:space="preserve">Возрастная группа </t>
  </si>
  <si>
    <t xml:space="preserve">Wilks </t>
  </si>
  <si>
    <t>60</t>
  </si>
  <si>
    <t>52</t>
  </si>
  <si>
    <t xml:space="preserve">Открытая </t>
  </si>
  <si>
    <t>90</t>
  </si>
  <si>
    <t>1</t>
  </si>
  <si>
    <t>Роев Олег</t>
  </si>
  <si>
    <t>Фролов Мирон</t>
  </si>
  <si>
    <t>Сафин Марсель</t>
  </si>
  <si>
    <t>Ахметзянов Галимжан</t>
  </si>
  <si>
    <t>Тельнов Михаил</t>
  </si>
  <si>
    <t>Гусев Денис</t>
  </si>
  <si>
    <t>54,60</t>
  </si>
  <si>
    <t>97,5</t>
  </si>
  <si>
    <t>42,5</t>
  </si>
  <si>
    <t>117,5</t>
  </si>
  <si>
    <t>125,0</t>
  </si>
  <si>
    <t xml:space="preserve">Гуменный Иван </t>
  </si>
  <si>
    <t>ВЕСОВАЯ КАТЕГОРИЯ   75</t>
  </si>
  <si>
    <t>Открытая (02.10.1988)/34</t>
  </si>
  <si>
    <t>71,00</t>
  </si>
  <si>
    <t>95,0</t>
  </si>
  <si>
    <t>45,0</t>
  </si>
  <si>
    <t>52,5</t>
  </si>
  <si>
    <t>130,0</t>
  </si>
  <si>
    <t>Юноши 15-19 (05.07.2003)/19</t>
  </si>
  <si>
    <t>73,10</t>
  </si>
  <si>
    <t>175,0</t>
  </si>
  <si>
    <t>170,0</t>
  </si>
  <si>
    <t>180,0</t>
  </si>
  <si>
    <t>Открытая (31.07.1988)/34</t>
  </si>
  <si>
    <t>80,50</t>
  </si>
  <si>
    <t>145,0</t>
  </si>
  <si>
    <t>200,0</t>
  </si>
  <si>
    <t>Открытая (27.01.1987)/36</t>
  </si>
  <si>
    <t>80,40</t>
  </si>
  <si>
    <t>102,5</t>
  </si>
  <si>
    <t>107,5</t>
  </si>
  <si>
    <t xml:space="preserve">Женщины </t>
  </si>
  <si>
    <t>75</t>
  </si>
  <si>
    <t>82.5</t>
  </si>
  <si>
    <t>Сальникова Дарья</t>
  </si>
  <si>
    <t>Кабачева Дарья</t>
  </si>
  <si>
    <t>Тукаев Артем</t>
  </si>
  <si>
    <t>Дункель Александр</t>
  </si>
  <si>
    <t>2</t>
  </si>
  <si>
    <t>Самойлов Максим</t>
  </si>
  <si>
    <t>ВЕСОВАЯ КАТЕГОРИЯ   67.5</t>
  </si>
  <si>
    <t xml:space="preserve">Заплатина Полина </t>
  </si>
  <si>
    <t>67,20</t>
  </si>
  <si>
    <t>135,0</t>
  </si>
  <si>
    <t>142,5</t>
  </si>
  <si>
    <t>115,0</t>
  </si>
  <si>
    <t xml:space="preserve">Килин Роман </t>
  </si>
  <si>
    <t>Открытая (20.08.1994)/28</t>
  </si>
  <si>
    <t>67,00</t>
  </si>
  <si>
    <t>47,5</t>
  </si>
  <si>
    <t>112,5</t>
  </si>
  <si>
    <t>ВЕСОВАЯ КАТЕГОРИЯ   110</t>
  </si>
  <si>
    <t>Открытая (21.11.2003)/19</t>
  </si>
  <si>
    <t>109,20</t>
  </si>
  <si>
    <t xml:space="preserve">Пермь/Пермский край </t>
  </si>
  <si>
    <t>190,0</t>
  </si>
  <si>
    <t>140,0</t>
  </si>
  <si>
    <t>147,5</t>
  </si>
  <si>
    <t>152,5</t>
  </si>
  <si>
    <t>225,0</t>
  </si>
  <si>
    <t>240,0</t>
  </si>
  <si>
    <t xml:space="preserve">Новиков Иван </t>
  </si>
  <si>
    <t>Заплатина Полина</t>
  </si>
  <si>
    <t>Дерюшева Анастасия</t>
  </si>
  <si>
    <t>Катраев Александр</t>
  </si>
  <si>
    <t>Открытая (04.09.1986)/36</t>
  </si>
  <si>
    <t>56,60</t>
  </si>
  <si>
    <t xml:space="preserve">Баландин Сергей </t>
  </si>
  <si>
    <t>Юноши 15-19 (20.10.2007)/15</t>
  </si>
  <si>
    <t>55,40</t>
  </si>
  <si>
    <t xml:space="preserve">Самара/Самарская область </t>
  </si>
  <si>
    <t>67,5</t>
  </si>
  <si>
    <t xml:space="preserve">Зворыгин Сергей </t>
  </si>
  <si>
    <t xml:space="preserve">Вахрушев Даниил </t>
  </si>
  <si>
    <t>Открытая (12.05.2003)/20</t>
  </si>
  <si>
    <t>66,80</t>
  </si>
  <si>
    <t>127,5</t>
  </si>
  <si>
    <t>Открытая (21.12.1985)/37</t>
  </si>
  <si>
    <t>66,20</t>
  </si>
  <si>
    <t>61,50</t>
  </si>
  <si>
    <t>57,5</t>
  </si>
  <si>
    <t>Юноши 15-19 (04.08.2006)/16</t>
  </si>
  <si>
    <t>70,30</t>
  </si>
  <si>
    <t>82,5</t>
  </si>
  <si>
    <t xml:space="preserve">Попов Максим </t>
  </si>
  <si>
    <t>Открытая (18.09.1979)/43</t>
  </si>
  <si>
    <t>80,00</t>
  </si>
  <si>
    <t xml:space="preserve">Нытва/Пермский край </t>
  </si>
  <si>
    <t>172,5</t>
  </si>
  <si>
    <t xml:space="preserve">Койков Егор </t>
  </si>
  <si>
    <t xml:space="preserve">Лусников Иван </t>
  </si>
  <si>
    <t>Открытая (25.12.1985)/37</t>
  </si>
  <si>
    <t>82,40</t>
  </si>
  <si>
    <t>Открытая (02.06.1998)/24</t>
  </si>
  <si>
    <t>81,60</t>
  </si>
  <si>
    <t xml:space="preserve">Смирнов Дмитрий </t>
  </si>
  <si>
    <t>Открытая (31.07.1996)/26</t>
  </si>
  <si>
    <t>80,60</t>
  </si>
  <si>
    <t>132,5</t>
  </si>
  <si>
    <t>ВЕСОВАЯ КАТЕГОРИЯ   100</t>
  </si>
  <si>
    <t xml:space="preserve">Холмогоров Алексей </t>
  </si>
  <si>
    <t>Открытая (28.08.1976)/46</t>
  </si>
  <si>
    <t>96,40</t>
  </si>
  <si>
    <t>207,5</t>
  </si>
  <si>
    <t>94,40</t>
  </si>
  <si>
    <t>97,50</t>
  </si>
  <si>
    <t xml:space="preserve">Гребёнкин Никита </t>
  </si>
  <si>
    <t>Открытая (29.05.1976)/46</t>
  </si>
  <si>
    <t>103,50</t>
  </si>
  <si>
    <t>182,5</t>
  </si>
  <si>
    <t>192,5</t>
  </si>
  <si>
    <t>Открытая (26.04.1982)/41</t>
  </si>
  <si>
    <t>106,80</t>
  </si>
  <si>
    <t xml:space="preserve">Результат </t>
  </si>
  <si>
    <t>100</t>
  </si>
  <si>
    <t>Результат</t>
  </si>
  <si>
    <t>Василькова Наталья</t>
  </si>
  <si>
    <t>Смирнов Кирилл</t>
  </si>
  <si>
    <t>Вахрушев Даниил</t>
  </si>
  <si>
    <t>Калашников Павел</t>
  </si>
  <si>
    <t>Ашхацава Заур</t>
  </si>
  <si>
    <t>Данилов Егор</t>
  </si>
  <si>
    <t>Попов Максим</t>
  </si>
  <si>
    <t>Лусников Иван</t>
  </si>
  <si>
    <t>3</t>
  </si>
  <si>
    <t>Килин Роман</t>
  </si>
  <si>
    <t>4</t>
  </si>
  <si>
    <t>Перевощиков Илья</t>
  </si>
  <si>
    <t>Холмогоров Алексей</t>
  </si>
  <si>
    <t>Басков Юрий</t>
  </si>
  <si>
    <t>Сантьяго Игорь</t>
  </si>
  <si>
    <t>Лихачев Михаил</t>
  </si>
  <si>
    <t>Казанцев Александр</t>
  </si>
  <si>
    <t>ВЕСОВАЯ КАТЕГОРИЯ   48</t>
  </si>
  <si>
    <t>Открытая (05.11.1991)/31</t>
  </si>
  <si>
    <t>47,95</t>
  </si>
  <si>
    <t xml:space="preserve">Гайсин Владислав </t>
  </si>
  <si>
    <t>47,45</t>
  </si>
  <si>
    <t>37,5</t>
  </si>
  <si>
    <t xml:space="preserve">Наймушина Эльвира </t>
  </si>
  <si>
    <t>Открытая (28.11.1996)/26</t>
  </si>
  <si>
    <t>51,60</t>
  </si>
  <si>
    <t>Открытая (27.05.1984)/38</t>
  </si>
  <si>
    <t>50,70</t>
  </si>
  <si>
    <t>Открытая (13.02.1998)/25</t>
  </si>
  <si>
    <t>32,5</t>
  </si>
  <si>
    <t>Открытая (27.09.1997)/25</t>
  </si>
  <si>
    <t>55,80</t>
  </si>
  <si>
    <t>Открытая (22.07.1996)/26</t>
  </si>
  <si>
    <t>54,90</t>
  </si>
  <si>
    <t xml:space="preserve">Геташвили Мария </t>
  </si>
  <si>
    <t>Открытая (18.06.1980)/42</t>
  </si>
  <si>
    <t>58,50</t>
  </si>
  <si>
    <t>77,5</t>
  </si>
  <si>
    <t xml:space="preserve">Савкина Элен </t>
  </si>
  <si>
    <t>Открытая (26.08.1976)/46</t>
  </si>
  <si>
    <t>58,90</t>
  </si>
  <si>
    <t>72,5</t>
  </si>
  <si>
    <t>60,00</t>
  </si>
  <si>
    <t>Юноши 15-19 (20.12.2010)/12</t>
  </si>
  <si>
    <t>40,00</t>
  </si>
  <si>
    <t>22,5</t>
  </si>
  <si>
    <t>25,0</t>
  </si>
  <si>
    <t>27,5</t>
  </si>
  <si>
    <t>Открытая (10.06.1996)/26</t>
  </si>
  <si>
    <t xml:space="preserve">Гибадуллин Рафис </t>
  </si>
  <si>
    <t>Юноши 15-19 (05.11.2005)/17</t>
  </si>
  <si>
    <t>74,20</t>
  </si>
  <si>
    <t xml:space="preserve">Гудков Александр </t>
  </si>
  <si>
    <t>Открытая (11.06.1987)/35</t>
  </si>
  <si>
    <t>75,00</t>
  </si>
  <si>
    <t>155,0</t>
  </si>
  <si>
    <t>Открытая (12.05.1993)/30</t>
  </si>
  <si>
    <t>73,90</t>
  </si>
  <si>
    <t xml:space="preserve">Малюганов Евгений </t>
  </si>
  <si>
    <t>Открытая (18.09.1990)/32</t>
  </si>
  <si>
    <t>73,40</t>
  </si>
  <si>
    <t>73,80</t>
  </si>
  <si>
    <t>77,30</t>
  </si>
  <si>
    <t xml:space="preserve">Наполов Александр </t>
  </si>
  <si>
    <t>Открытая (30.06.2002)/20</t>
  </si>
  <si>
    <t>81,20</t>
  </si>
  <si>
    <t>Открытая (12.03.1995)/28</t>
  </si>
  <si>
    <t>82,20</t>
  </si>
  <si>
    <t>137,5</t>
  </si>
  <si>
    <t xml:space="preserve">Ашрафзянов Закий </t>
  </si>
  <si>
    <t>Открытая (14.12.1990)/32</t>
  </si>
  <si>
    <t>77,00</t>
  </si>
  <si>
    <t>105,0</t>
  </si>
  <si>
    <t xml:space="preserve">Галкин Владимир </t>
  </si>
  <si>
    <t>Открытая (07.05.1979)/44</t>
  </si>
  <si>
    <t>76,20</t>
  </si>
  <si>
    <t>157,5</t>
  </si>
  <si>
    <t xml:space="preserve">Метельский Виталий </t>
  </si>
  <si>
    <t>Открытая (12.03.1985)/38</t>
  </si>
  <si>
    <t>84,70</t>
  </si>
  <si>
    <t>Открытая (01.02.1990)/33</t>
  </si>
  <si>
    <t>86,90</t>
  </si>
  <si>
    <t>Юноши 15-19 (25.10.2007)/15</t>
  </si>
  <si>
    <t>98,10</t>
  </si>
  <si>
    <t xml:space="preserve">Бобылев Илья </t>
  </si>
  <si>
    <t>Открытая (17.04.1988)/35</t>
  </si>
  <si>
    <t>99,50</t>
  </si>
  <si>
    <t>99,00</t>
  </si>
  <si>
    <t>ВЕСОВАЯ КАТЕГОРИЯ   125</t>
  </si>
  <si>
    <t xml:space="preserve">Балабанов Павел </t>
  </si>
  <si>
    <t>Открытая (21.09.1982)/40</t>
  </si>
  <si>
    <t>116,20</t>
  </si>
  <si>
    <t>205,0</t>
  </si>
  <si>
    <t>212,5</t>
  </si>
  <si>
    <t>125</t>
  </si>
  <si>
    <t>Сапегина Алина</t>
  </si>
  <si>
    <t>Колпакова Елена</t>
  </si>
  <si>
    <t>Наймушина Эльвира</t>
  </si>
  <si>
    <t>Ерофеева Елена</t>
  </si>
  <si>
    <t>Доронина Анастасия</t>
  </si>
  <si>
    <t>Борисенко Анна</t>
  </si>
  <si>
    <t>Артемьева Елена</t>
  </si>
  <si>
    <t>Геташвили Мария</t>
  </si>
  <si>
    <t>Савкина Элен</t>
  </si>
  <si>
    <t>Шаламова Ольга</t>
  </si>
  <si>
    <t>Мартюшев Илья</t>
  </si>
  <si>
    <t>Гараев Ильяс</t>
  </si>
  <si>
    <t>Санников Илья</t>
  </si>
  <si>
    <t>Гудков Александр</t>
  </si>
  <si>
    <t>Васин Евгений</t>
  </si>
  <si>
    <t>Потемка Александр</t>
  </si>
  <si>
    <t>Горнус Андрей</t>
  </si>
  <si>
    <t>Попов Даниил</t>
  </si>
  <si>
    <t>Наполов Александр</t>
  </si>
  <si>
    <t>Горбунов Алексей</t>
  </si>
  <si>
    <t>Альборов Аслан</t>
  </si>
  <si>
    <t>-</t>
  </si>
  <si>
    <t>Рожин Сергей</t>
  </si>
  <si>
    <t>Метельский Виталий</t>
  </si>
  <si>
    <t>Суренков Максим</t>
  </si>
  <si>
    <t>Ланге Алексей</t>
  </si>
  <si>
    <t>Бобылев Илья</t>
  </si>
  <si>
    <t>Конев Дмитрий</t>
  </si>
  <si>
    <t>Балабанов Павел</t>
  </si>
  <si>
    <t>Открытая (22.05.1996)/26</t>
  </si>
  <si>
    <t>109,50</t>
  </si>
  <si>
    <t>232,5</t>
  </si>
  <si>
    <t>245,0</t>
  </si>
  <si>
    <t>105,80</t>
  </si>
  <si>
    <t>285,0</t>
  </si>
  <si>
    <t>300,0</t>
  </si>
  <si>
    <t>310,0</t>
  </si>
  <si>
    <t>Открытая (23.05.1996)/26</t>
  </si>
  <si>
    <t>120,00</t>
  </si>
  <si>
    <t>330,0</t>
  </si>
  <si>
    <t>355,0</t>
  </si>
  <si>
    <t>Лопатин Алексей</t>
  </si>
  <si>
    <t>Гибадуллин Рафис</t>
  </si>
  <si>
    <t>Тройников Сергей</t>
  </si>
  <si>
    <t>Новиков Иван</t>
  </si>
  <si>
    <t>51,30</t>
  </si>
  <si>
    <t>92,5</t>
  </si>
  <si>
    <t>Открытая (12.09.2001)/21</t>
  </si>
  <si>
    <t>51,40</t>
  </si>
  <si>
    <t>Открытая (01.04.2000)/23</t>
  </si>
  <si>
    <t>Открытая (08.06.1975)/47</t>
  </si>
  <si>
    <t>71,40</t>
  </si>
  <si>
    <t xml:space="preserve">Заитов Ралиф </t>
  </si>
  <si>
    <t>Юноши 15-19 (08.08.2006)/16</t>
  </si>
  <si>
    <t>59,80</t>
  </si>
  <si>
    <t>122,5</t>
  </si>
  <si>
    <t>Открытая (17.08.1996)/26</t>
  </si>
  <si>
    <t>74,60</t>
  </si>
  <si>
    <t>Юноши 15-19 (26.02.2010)/13</t>
  </si>
  <si>
    <t>91,80</t>
  </si>
  <si>
    <t>Клячина Анастасия</t>
  </si>
  <si>
    <t>Абдрафикова Полина</t>
  </si>
  <si>
    <t>Золотарёва Елена</t>
  </si>
  <si>
    <t>Пермяков Иван</t>
  </si>
  <si>
    <t>Гайсин Владислав</t>
  </si>
  <si>
    <t>Миронов Владимир</t>
  </si>
  <si>
    <t>Девушки 15-19 (14.04.2009)/14</t>
  </si>
  <si>
    <t>65,90</t>
  </si>
  <si>
    <t xml:space="preserve">Поткина Татьяна </t>
  </si>
  <si>
    <t>Сухопарова Дарья</t>
  </si>
  <si>
    <t>Юноши 15-19 (05.08.2007)/15</t>
  </si>
  <si>
    <t>116,90</t>
  </si>
  <si>
    <t xml:space="preserve">Филимоненко Владимир </t>
  </si>
  <si>
    <t>Травушкин Денис</t>
  </si>
  <si>
    <t>Открытая (07.09.1983)/39</t>
  </si>
  <si>
    <t>79,90</t>
  </si>
  <si>
    <t>80,90</t>
  </si>
  <si>
    <t>Открытая (21.10.1988)/34</t>
  </si>
  <si>
    <t>89,40</t>
  </si>
  <si>
    <t>Мурашов Алексей</t>
  </si>
  <si>
    <t>Князев Денис</t>
  </si>
  <si>
    <t>Оганесян Арсен</t>
  </si>
  <si>
    <t>250,0</t>
  </si>
  <si>
    <t>260,0</t>
  </si>
  <si>
    <t>Открытая (12.07.1985)/37</t>
  </si>
  <si>
    <t>88,75</t>
  </si>
  <si>
    <t>Матюшев Фанис</t>
  </si>
  <si>
    <t>96,50</t>
  </si>
  <si>
    <t>Журавлев Сергей</t>
  </si>
  <si>
    <t>Открытая (09.06.1988)/34</t>
  </si>
  <si>
    <t>320,0</t>
  </si>
  <si>
    <t>Открытая (27.03.1985)/38</t>
  </si>
  <si>
    <t>105,00</t>
  </si>
  <si>
    <t>380,0</t>
  </si>
  <si>
    <t>Бурнин Артём</t>
  </si>
  <si>
    <t>Койков Егор</t>
  </si>
  <si>
    <t>87,5</t>
  </si>
  <si>
    <t>Открытая (07.08.1990)/32</t>
  </si>
  <si>
    <t>105,60</t>
  </si>
  <si>
    <t>Додонов Сергей</t>
  </si>
  <si>
    <t>49,10</t>
  </si>
  <si>
    <t>20,0</t>
  </si>
  <si>
    <t>Крупина Анна</t>
  </si>
  <si>
    <t>87,15</t>
  </si>
  <si>
    <t>Открытая (07.05.1994)/29</t>
  </si>
  <si>
    <t>63,30</t>
  </si>
  <si>
    <t xml:space="preserve">Некрасов Иван </t>
  </si>
  <si>
    <t>Крохалев Дмитрий</t>
  </si>
  <si>
    <t>62,25</t>
  </si>
  <si>
    <t>66,75</t>
  </si>
  <si>
    <t>78,00</t>
  </si>
  <si>
    <t xml:space="preserve">Новоильинский/Пермский край </t>
  </si>
  <si>
    <t>82,35</t>
  </si>
  <si>
    <t>94,35</t>
  </si>
  <si>
    <t>Бондаренко Артём</t>
  </si>
  <si>
    <t>Пичкалев Егор</t>
  </si>
  <si>
    <t>50,65</t>
  </si>
  <si>
    <t xml:space="preserve">Токарев Иван </t>
  </si>
  <si>
    <t>Открытая (10.12.1990)/32</t>
  </si>
  <si>
    <t>74,90</t>
  </si>
  <si>
    <t>74,55</t>
  </si>
  <si>
    <t>81,15</t>
  </si>
  <si>
    <t>62,5</t>
  </si>
  <si>
    <t>76,95</t>
  </si>
  <si>
    <t>Открытая (23.05.1987)/35</t>
  </si>
  <si>
    <t>81,55</t>
  </si>
  <si>
    <t>Открытая (28.06.1995)/27</t>
  </si>
  <si>
    <t>Токарев Иван</t>
  </si>
  <si>
    <t>Мартюшев Алексей</t>
  </si>
  <si>
    <t>Акулян Ашот</t>
  </si>
  <si>
    <t>Юноши 14-16 (19.02.2008)/15</t>
  </si>
  <si>
    <t>68,40</t>
  </si>
  <si>
    <t>162,5</t>
  </si>
  <si>
    <t>Мастера 50-59 (21.02.1971)/52</t>
  </si>
  <si>
    <t>98,80</t>
  </si>
  <si>
    <t>Филимоненко Тимур</t>
  </si>
  <si>
    <t>Волк Алексей</t>
  </si>
  <si>
    <t>Открытая (12.11.1991)/31</t>
  </si>
  <si>
    <t>51,10</t>
  </si>
  <si>
    <t>Мастера 40-49 (30.07.1981)/41</t>
  </si>
  <si>
    <t>Мастера 40-49 (23.01.1976)/47</t>
  </si>
  <si>
    <t xml:space="preserve">Беляев Андрей </t>
  </si>
  <si>
    <t>Открытая (08.08.1993)/29</t>
  </si>
  <si>
    <t>88,20</t>
  </si>
  <si>
    <t>Юноши 14-16 (25.10.2007)/15</t>
  </si>
  <si>
    <t>Открытая (30.11.1994)/28</t>
  </si>
  <si>
    <t>96,30</t>
  </si>
  <si>
    <t>Токарева Алина</t>
  </si>
  <si>
    <t>Кирьянова Наталья</t>
  </si>
  <si>
    <t>Беляев Андрей</t>
  </si>
  <si>
    <t>Боголюбов Алексей</t>
  </si>
  <si>
    <t>Ижевск/Удмуртская Республика</t>
  </si>
  <si>
    <t>Воткинск/Удмуртская Республика</t>
  </si>
  <si>
    <t>Сарапул/Удмуртская Республика</t>
  </si>
  <si>
    <t>Всероссийский турнир «Стань Легендой»
IPL Пауэрлифтинг без экипировки ДК
Чайковский/Пермский край, 20-21 мая 2023 года</t>
  </si>
  <si>
    <t>Всероссийский турнир «Стань Легендой»
IPL Пауэрлифтинг без экипировки
Чайковский/Пермский край, 20-21 мая 2023 года</t>
  </si>
  <si>
    <t>Всероссийский турнир «Стань Легендой»
IPL Пауэрлифтинг в бинтах ДК
Чайковский/Пермский край, 20-21 мая 2023 года</t>
  </si>
  <si>
    <t>Всероссийский турнир «Стань Легендой»
IPL Силовое двоеборье без экипировки ДК
Чайковский/Пермский край, 20-21 мая 2023 года</t>
  </si>
  <si>
    <t>Всероссийский турнир «Стань Легендой»
IPL Силовое двоеборье без экипировки
Чайковский/Пермский край, 20-21 мая 2023 года</t>
  </si>
  <si>
    <t>Всероссийский турнир «Стань Легендой»
IPL Присед без экипировки ДК
Чайковский/Пермский край, 20-21 мая 2023 года</t>
  </si>
  <si>
    <t>Всероссийский турнир «Стань Легендой»
IPL Присед в бинтах
Чайковский/Пермский край, 20-21 мая 2023 года</t>
  </si>
  <si>
    <t>Всероссийский турнир «Стань Легендой»
IPL Жим лежа без экипировки ДК
Чайковский/Пермский край, 20-21 мая 2023 года</t>
  </si>
  <si>
    <t>Всероссийский турнир «Стань Легендой»
IPL Жим лежа без экипировки
Чайковский/Пермский край, 20-21 мая 2023 года</t>
  </si>
  <si>
    <t>Всероссийский турнир «Стань Легендой»
СПР Жим лежа в однопетельной софт экипировке ДК
Чайковский/Пермский край, 20-21 мая 2023 года</t>
  </si>
  <si>
    <t>Всероссийский турнир «Стань Легендой»
СПР Жим лежа в однопетельной софт экипировке
Чайковский/Пермский край, 20-21 мая 2023 года</t>
  </si>
  <si>
    <t>Всероссийский турнир «Стань Легендой»
СПР Жим лежа в многопетельной софт экипировке
Чайковский/Пермский край, 20-21 мая 2023 года</t>
  </si>
  <si>
    <t>Всероссийский турнир «Стань Легендой»
WRPF Военный жим лежа с ДК
Чайковский/Пермский край, 20-21 мая 2023 года</t>
  </si>
  <si>
    <t>Всероссийский турнир «Стань Легендой»
WRPF Военный жим лежа
Чайковский/Пермский край, 20-21 мая 2023 года</t>
  </si>
  <si>
    <t>Всероссийский турнир «Стань Легендой»
СПР Жим лежа среди спортсменов с физическими особенностями
Чайковский/Пермский край, 20-21 мая 2023 года</t>
  </si>
  <si>
    <t>Всероссийский турнир «Стань Легендой»
IPL Становая тяга без экипировки ДК
Чайковский/Пермский край, 20-21 мая 2023 года</t>
  </si>
  <si>
    <t>Всероссийский турнир «Стань Легендой»
IPL Становая тяга без экипировки
Чайковский/Пермский край, 20-21 мая 2023 года</t>
  </si>
  <si>
    <t>Всероссийский турнир «Стань Легендой»
СПР Строгий подъем штанги на бицепс ДК
Чайковский/Пермский край, 20-21 мая 2023 года</t>
  </si>
  <si>
    <t>Всероссийский турнир «Стань Легендой»
СПР Строгий подъем штанги на бицепс
Чайковский/Пермский край, 20-21 мая 2023 года</t>
  </si>
  <si>
    <t>Всероссийский турнир «Стань Легендой»
WRPF Строгий подъем штанги на бицепс ДК
Чайковский/Пермский край, 20-21 мая 2023 года</t>
  </si>
  <si>
    <t>Всероссийский турнир «Стань Легендой»
WRPF Строгий подъем штанги на бицепс
Чайковский/Пермский край, 20-21 мая 2023 года</t>
  </si>
  <si>
    <t>Юниорки 20-23 (01.04.2000)/23</t>
  </si>
  <si>
    <t>Мастера 70-74 (29.10.1952)/70</t>
  </si>
  <si>
    <t>Юниорки 20-23 (24.09.2002)/20</t>
  </si>
  <si>
    <t>Мастера 45-49 (23.01.1976)/47</t>
  </si>
  <si>
    <t>Мастера 40-44 (20.09.1979)/43</t>
  </si>
  <si>
    <t>Мастера 45-49 (15.09.1977)/45</t>
  </si>
  <si>
    <t>Мастера 45-49 (01.06.1977)/45</t>
  </si>
  <si>
    <t>Юниоры 20-23 (24.02.2003)/20</t>
  </si>
  <si>
    <t>Мастера 50-54 (18.03.1971)/52</t>
  </si>
  <si>
    <t>Мастера 40-44 (21.09.1982)/40</t>
  </si>
  <si>
    <t>Мастера 70-74 (13.03.1953)/70</t>
  </si>
  <si>
    <t>Мастера 40-44 (18.09.1979)/43</t>
  </si>
  <si>
    <t>Мастера 45-49 (28.08.1976)/46</t>
  </si>
  <si>
    <t>Мастера 55-59 (12.04.1964)/59</t>
  </si>
  <si>
    <t>Мастера 60-64 (21.04.1962)/61</t>
  </si>
  <si>
    <t>Мастера 40-44 (26.04.1982)/41</t>
  </si>
  <si>
    <t>Мастера 45-49 (29.05.1976)/46</t>
  </si>
  <si>
    <t>Мастера 50-59 (04.11.1972)/50</t>
  </si>
  <si>
    <t>Юниорки 20-23 (15.11.1999)/23</t>
  </si>
  <si>
    <t>Мастера 45-49 (08.06.1975)/47</t>
  </si>
  <si>
    <t>Юниоры 20-23 (20.04.2002)/21</t>
  </si>
  <si>
    <t>Мастера 50-54 (26.09.1971)/51</t>
  </si>
  <si>
    <t>Девушки 13-19 (18.11.2003)/19</t>
  </si>
  <si>
    <t>Мастера 40-49 (20.09.1979)/43</t>
  </si>
  <si>
    <t>Мастера 40-49 (15.09.1977)/45</t>
  </si>
  <si>
    <t>Мастера 50-59 (18.03.1971)/52</t>
  </si>
  <si>
    <t>Юноши 13-19 (22.05.2007)/15</t>
  </si>
  <si>
    <t>Юноши 13-19 (15.11.2006)/16</t>
  </si>
  <si>
    <t>Мастера 50-59 (12.04.1964)/59</t>
  </si>
  <si>
    <t>Весовая категория</t>
  </si>
  <si>
    <t>Заитов Ралиф</t>
  </si>
  <si>
    <t xml:space="preserve">Барда/Пермский край </t>
  </si>
  <si>
    <t xml:space="preserve">Нижнекамск/Республика Татарстан </t>
  </si>
  <si>
    <t>Насонов Дмитрий</t>
  </si>
  <si>
    <t>Жим</t>
  </si>
  <si>
    <t>№</t>
  </si>
  <si>
    <t xml:space="preserve">
Дата рождения/Возраст</t>
  </si>
  <si>
    <t>Возрастная группа</t>
  </si>
  <si>
    <t>J</t>
  </si>
  <si>
    <t>O</t>
  </si>
  <si>
    <t>T</t>
  </si>
  <si>
    <t>M7</t>
  </si>
  <si>
    <t>M2</t>
  </si>
  <si>
    <t>M1</t>
  </si>
  <si>
    <t>M3</t>
  </si>
  <si>
    <t>M4</t>
  </si>
  <si>
    <t>M5</t>
  </si>
  <si>
    <t>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</si>
</sst>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0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0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sz val="10"/>
      <color rgb="FF000000"/>
      <name val="Arimo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0" fontId="4" fillId="0" borderId="0"/>
  </cellStyleXfs>
  <cellXfs count="7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workbookViewId="0">
      <selection activeCell="E17" sqref="E17"/>
    </sheetView>
  </sheetViews>
  <sheetFormatPr baseColWidth="10" defaultColWidth="9.1640625" defaultRowHeight="13"/>
  <cols>
    <col min="1" max="1" width="7.1640625" style="5" bestFit="1" customWidth="1"/>
    <col min="2" max="2" width="18.1640625" style="5" bestFit="1" customWidth="1"/>
    <col min="3" max="3" width="28.83203125" style="5" bestFit="1" customWidth="1"/>
    <col min="4" max="4" width="20.83203125" style="5" bestFit="1" customWidth="1"/>
    <col min="5" max="5" width="10.1640625" style="16" bestFit="1" customWidth="1"/>
    <col min="6" max="6" width="37" style="5" customWidth="1"/>
    <col min="7" max="9" width="5.5" style="24" customWidth="1"/>
    <col min="10" max="10" width="4.5" style="24" customWidth="1"/>
    <col min="11" max="13" width="5.5" style="24" customWidth="1"/>
    <col min="14" max="14" width="4.5" style="24" customWidth="1"/>
    <col min="15" max="17" width="5.5" style="24" customWidth="1"/>
    <col min="18" max="18" width="4.5" style="24" customWidth="1"/>
    <col min="19" max="19" width="7.6640625" style="6" bestFit="1" customWidth="1"/>
    <col min="20" max="20" width="8.5" style="6" bestFit="1" customWidth="1"/>
    <col min="21" max="21" width="20.6640625" style="5" customWidth="1"/>
    <col min="22" max="16384" width="9.1640625" style="3"/>
  </cols>
  <sheetData>
    <row r="1" spans="1:21" s="2" customFormat="1" ht="29" customHeight="1">
      <c r="A1" s="51" t="s">
        <v>427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4"/>
    </row>
    <row r="2" spans="1:21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8"/>
    </row>
    <row r="3" spans="1:21" s="1" customFormat="1" ht="12.75" customHeight="1">
      <c r="A3" s="59" t="s">
        <v>483</v>
      </c>
      <c r="B3" s="66" t="s">
        <v>0</v>
      </c>
      <c r="C3" s="61" t="s">
        <v>484</v>
      </c>
      <c r="D3" s="61" t="s">
        <v>6</v>
      </c>
      <c r="E3" s="45" t="s">
        <v>485</v>
      </c>
      <c r="F3" s="63" t="s">
        <v>5</v>
      </c>
      <c r="G3" s="63" t="s">
        <v>7</v>
      </c>
      <c r="H3" s="63"/>
      <c r="I3" s="63"/>
      <c r="J3" s="63"/>
      <c r="K3" s="63" t="s">
        <v>8</v>
      </c>
      <c r="L3" s="63"/>
      <c r="M3" s="63"/>
      <c r="N3" s="63"/>
      <c r="O3" s="63" t="s">
        <v>9</v>
      </c>
      <c r="P3" s="63"/>
      <c r="Q3" s="63"/>
      <c r="R3" s="63"/>
      <c r="S3" s="45" t="s">
        <v>1</v>
      </c>
      <c r="T3" s="45" t="s">
        <v>3</v>
      </c>
      <c r="U3" s="47" t="s">
        <v>2</v>
      </c>
    </row>
    <row r="4" spans="1:21" s="1" customFormat="1" ht="21" customHeight="1" thickBot="1">
      <c r="A4" s="60"/>
      <c r="B4" s="67"/>
      <c r="C4" s="62"/>
      <c r="D4" s="62"/>
      <c r="E4" s="46"/>
      <c r="F4" s="62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6"/>
      <c r="T4" s="46"/>
      <c r="U4" s="48"/>
    </row>
    <row r="5" spans="1:21" ht="16">
      <c r="A5" s="49" t="s">
        <v>23</v>
      </c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21">
      <c r="A6" s="28" t="s">
        <v>60</v>
      </c>
      <c r="B6" s="7" t="s">
        <v>96</v>
      </c>
      <c r="C6" s="7" t="s">
        <v>448</v>
      </c>
      <c r="D6" s="7" t="s">
        <v>67</v>
      </c>
      <c r="E6" s="8" t="s">
        <v>486</v>
      </c>
      <c r="F6" s="7" t="s">
        <v>424</v>
      </c>
      <c r="G6" s="26" t="s">
        <v>30</v>
      </c>
      <c r="H6" s="26" t="s">
        <v>37</v>
      </c>
      <c r="I6" s="26" t="s">
        <v>68</v>
      </c>
      <c r="J6" s="28"/>
      <c r="K6" s="26" t="s">
        <v>17</v>
      </c>
      <c r="L6" s="26" t="s">
        <v>18</v>
      </c>
      <c r="M6" s="26" t="s">
        <v>69</v>
      </c>
      <c r="N6" s="28"/>
      <c r="O6" s="26" t="s">
        <v>32</v>
      </c>
      <c r="P6" s="26" t="s">
        <v>70</v>
      </c>
      <c r="Q6" s="26" t="s">
        <v>71</v>
      </c>
      <c r="R6" s="28"/>
      <c r="S6" s="9" t="str">
        <f>"265,0"</f>
        <v>265,0</v>
      </c>
      <c r="T6" s="9" t="str">
        <f>"318,0530"</f>
        <v>318,0530</v>
      </c>
      <c r="U6" s="7" t="s">
        <v>72</v>
      </c>
    </row>
    <row r="8" spans="1:21" ht="16">
      <c r="A8" s="64" t="s">
        <v>73</v>
      </c>
      <c r="B8" s="64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</row>
    <row r="9" spans="1:21">
      <c r="A9" s="28" t="s">
        <v>60</v>
      </c>
      <c r="B9" s="7" t="s">
        <v>97</v>
      </c>
      <c r="C9" s="7" t="s">
        <v>74</v>
      </c>
      <c r="D9" s="7" t="s">
        <v>75</v>
      </c>
      <c r="E9" s="8" t="s">
        <v>487</v>
      </c>
      <c r="F9" s="7" t="s">
        <v>425</v>
      </c>
      <c r="G9" s="26" t="s">
        <v>76</v>
      </c>
      <c r="H9" s="26" t="s">
        <v>31</v>
      </c>
      <c r="I9" s="26" t="s">
        <v>32</v>
      </c>
      <c r="J9" s="28"/>
      <c r="K9" s="26" t="s">
        <v>77</v>
      </c>
      <c r="L9" s="26" t="s">
        <v>13</v>
      </c>
      <c r="M9" s="27" t="s">
        <v>78</v>
      </c>
      <c r="N9" s="28"/>
      <c r="O9" s="26" t="s">
        <v>33</v>
      </c>
      <c r="P9" s="26" t="s">
        <v>71</v>
      </c>
      <c r="Q9" s="26" t="s">
        <v>79</v>
      </c>
      <c r="R9" s="28"/>
      <c r="S9" s="9" t="str">
        <f>"290,0"</f>
        <v>290,0</v>
      </c>
      <c r="T9" s="9" t="str">
        <f>"285,7080"</f>
        <v>285,7080</v>
      </c>
      <c r="U9" s="7"/>
    </row>
    <row r="11" spans="1:21" ht="16">
      <c r="A11" s="64" t="s">
        <v>73</v>
      </c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</row>
    <row r="12" spans="1:21">
      <c r="A12" s="28" t="s">
        <v>60</v>
      </c>
      <c r="B12" s="7" t="s">
        <v>98</v>
      </c>
      <c r="C12" s="7" t="s">
        <v>80</v>
      </c>
      <c r="D12" s="7" t="s">
        <v>81</v>
      </c>
      <c r="E12" s="8" t="s">
        <v>488</v>
      </c>
      <c r="F12" s="7" t="s">
        <v>424</v>
      </c>
      <c r="G12" s="26" t="s">
        <v>82</v>
      </c>
      <c r="H12" s="28"/>
      <c r="I12" s="28"/>
      <c r="J12" s="28"/>
      <c r="K12" s="26" t="s">
        <v>37</v>
      </c>
      <c r="L12" s="26" t="s">
        <v>76</v>
      </c>
      <c r="M12" s="26" t="s">
        <v>31</v>
      </c>
      <c r="N12" s="28"/>
      <c r="O12" s="26" t="s">
        <v>83</v>
      </c>
      <c r="P12" s="26" t="s">
        <v>82</v>
      </c>
      <c r="Q12" s="26" t="s">
        <v>84</v>
      </c>
      <c r="R12" s="28"/>
      <c r="S12" s="9" t="str">
        <f>"455,0"</f>
        <v>455,0</v>
      </c>
      <c r="T12" s="9" t="str">
        <f>"330,1480"</f>
        <v>330,1480</v>
      </c>
      <c r="U12" s="7"/>
    </row>
    <row r="14" spans="1:21" ht="16">
      <c r="A14" s="64" t="s">
        <v>41</v>
      </c>
      <c r="B14" s="64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</row>
    <row r="15" spans="1:21">
      <c r="A15" s="31" t="s">
        <v>60</v>
      </c>
      <c r="B15" s="10" t="s">
        <v>99</v>
      </c>
      <c r="C15" s="10" t="s">
        <v>85</v>
      </c>
      <c r="D15" s="10" t="s">
        <v>86</v>
      </c>
      <c r="E15" s="11" t="s">
        <v>487</v>
      </c>
      <c r="F15" s="10" t="s">
        <v>424</v>
      </c>
      <c r="G15" s="30" t="s">
        <v>82</v>
      </c>
      <c r="H15" s="30" t="s">
        <v>82</v>
      </c>
      <c r="I15" s="29" t="s">
        <v>82</v>
      </c>
      <c r="J15" s="31"/>
      <c r="K15" s="30" t="s">
        <v>87</v>
      </c>
      <c r="L15" s="29" t="s">
        <v>87</v>
      </c>
      <c r="M15" s="30" t="s">
        <v>50</v>
      </c>
      <c r="N15" s="31"/>
      <c r="O15" s="29" t="s">
        <v>88</v>
      </c>
      <c r="P15" s="30" t="s">
        <v>47</v>
      </c>
      <c r="Q15" s="30" t="s">
        <v>47</v>
      </c>
      <c r="R15" s="31"/>
      <c r="S15" s="12" t="str">
        <f>"520,0"</f>
        <v>520,0</v>
      </c>
      <c r="T15" s="12" t="str">
        <f>"353,6000"</f>
        <v>353,6000</v>
      </c>
      <c r="U15" s="10"/>
    </row>
    <row r="16" spans="1:21">
      <c r="A16" s="34" t="s">
        <v>100</v>
      </c>
      <c r="B16" s="13" t="s">
        <v>101</v>
      </c>
      <c r="C16" s="13" t="s">
        <v>89</v>
      </c>
      <c r="D16" s="13" t="s">
        <v>90</v>
      </c>
      <c r="E16" s="14" t="s">
        <v>487</v>
      </c>
      <c r="F16" s="13" t="s">
        <v>424</v>
      </c>
      <c r="G16" s="32" t="s">
        <v>50</v>
      </c>
      <c r="H16" s="32" t="s">
        <v>50</v>
      </c>
      <c r="I16" s="33" t="s">
        <v>50</v>
      </c>
      <c r="J16" s="34"/>
      <c r="K16" s="32" t="s">
        <v>91</v>
      </c>
      <c r="L16" s="33" t="s">
        <v>91</v>
      </c>
      <c r="M16" s="32" t="s">
        <v>92</v>
      </c>
      <c r="N16" s="34"/>
      <c r="O16" s="32" t="s">
        <v>83</v>
      </c>
      <c r="P16" s="33" t="s">
        <v>83</v>
      </c>
      <c r="Q16" s="33" t="s">
        <v>84</v>
      </c>
      <c r="R16" s="34"/>
      <c r="S16" s="15" t="str">
        <f>"432,5"</f>
        <v>432,5</v>
      </c>
      <c r="T16" s="15" t="str">
        <f>"294,3595"</f>
        <v>294,3595</v>
      </c>
      <c r="U16" s="13"/>
    </row>
  </sheetData>
  <mergeCells count="17">
    <mergeCell ref="A8:R8"/>
    <mergeCell ref="A11:R11"/>
    <mergeCell ref="A14:R14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8.6640625" style="5" customWidth="1"/>
    <col min="3" max="3" width="28.6640625" style="5" bestFit="1" customWidth="1"/>
    <col min="4" max="4" width="20.83203125" style="5" bestFit="1" customWidth="1"/>
    <col min="5" max="5" width="10.1640625" style="16" bestFit="1" customWidth="1"/>
    <col min="6" max="6" width="20.33203125" style="5" bestFit="1" customWidth="1"/>
    <col min="7" max="9" width="5.5" style="24" customWidth="1"/>
    <col min="10" max="10" width="4.5" style="24" customWidth="1"/>
    <col min="11" max="11" width="10.5" style="6" bestFit="1" customWidth="1"/>
    <col min="12" max="12" width="8.5" style="6" bestFit="1" customWidth="1"/>
    <col min="13" max="13" width="16.6640625" style="5" bestFit="1" customWidth="1"/>
    <col min="14" max="16384" width="9.1640625" style="3"/>
  </cols>
  <sheetData>
    <row r="1" spans="1:13" s="2" customFormat="1" ht="29" customHeight="1">
      <c r="A1" s="51" t="s">
        <v>436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483</v>
      </c>
      <c r="B3" s="66" t="s">
        <v>0</v>
      </c>
      <c r="C3" s="61" t="s">
        <v>484</v>
      </c>
      <c r="D3" s="61" t="s">
        <v>6</v>
      </c>
      <c r="E3" s="45" t="s">
        <v>485</v>
      </c>
      <c r="F3" s="63" t="s">
        <v>5</v>
      </c>
      <c r="G3" s="63" t="s">
        <v>8</v>
      </c>
      <c r="H3" s="63"/>
      <c r="I3" s="63"/>
      <c r="J3" s="63"/>
      <c r="K3" s="45" t="s">
        <v>177</v>
      </c>
      <c r="L3" s="45" t="s">
        <v>3</v>
      </c>
      <c r="M3" s="47" t="s">
        <v>2</v>
      </c>
    </row>
    <row r="4" spans="1:13" s="1" customFormat="1" ht="21" customHeight="1" thickBot="1">
      <c r="A4" s="60"/>
      <c r="B4" s="67"/>
      <c r="C4" s="62"/>
      <c r="D4" s="62"/>
      <c r="E4" s="46"/>
      <c r="F4" s="62"/>
      <c r="G4" s="4">
        <v>1</v>
      </c>
      <c r="H4" s="4">
        <v>2</v>
      </c>
      <c r="I4" s="4">
        <v>3</v>
      </c>
      <c r="J4" s="4" t="s">
        <v>4</v>
      </c>
      <c r="K4" s="46"/>
      <c r="L4" s="46"/>
      <c r="M4" s="48"/>
    </row>
    <row r="5" spans="1:13" ht="16">
      <c r="A5" s="49" t="s">
        <v>161</v>
      </c>
      <c r="B5" s="49"/>
      <c r="C5" s="50"/>
      <c r="D5" s="50"/>
      <c r="E5" s="50"/>
      <c r="F5" s="50"/>
      <c r="G5" s="50"/>
      <c r="H5" s="50"/>
      <c r="I5" s="50"/>
      <c r="J5" s="50"/>
    </row>
    <row r="6" spans="1:13">
      <c r="A6" s="28" t="s">
        <v>60</v>
      </c>
      <c r="B6" s="7" t="s">
        <v>361</v>
      </c>
      <c r="C6" s="7" t="s">
        <v>465</v>
      </c>
      <c r="D6" s="7" t="s">
        <v>360</v>
      </c>
      <c r="E6" s="8" t="s">
        <v>490</v>
      </c>
      <c r="F6" s="7" t="s">
        <v>116</v>
      </c>
      <c r="G6" s="26" t="s">
        <v>38</v>
      </c>
      <c r="H6" s="27" t="s">
        <v>83</v>
      </c>
      <c r="I6" s="26" t="s">
        <v>83</v>
      </c>
      <c r="J6" s="28"/>
      <c r="K6" s="9" t="str">
        <f>"170,0"</f>
        <v>170,0</v>
      </c>
      <c r="L6" s="9" t="str">
        <f>"113,4350"</f>
        <v>113,4350</v>
      </c>
      <c r="M6" s="7" t="s">
        <v>129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5" bestFit="1" customWidth="1"/>
    <col min="2" max="2" width="17.83203125" style="5" customWidth="1"/>
    <col min="3" max="3" width="25.1640625" style="5" bestFit="1" customWidth="1"/>
    <col min="4" max="4" width="20.83203125" style="5" bestFit="1" customWidth="1"/>
    <col min="5" max="5" width="10.1640625" style="16" bestFit="1" customWidth="1"/>
    <col min="6" max="6" width="28" style="5" customWidth="1"/>
    <col min="7" max="9" width="5.5" style="24" customWidth="1"/>
    <col min="10" max="10" width="4.5" style="24" customWidth="1"/>
    <col min="11" max="11" width="10.5" style="6" bestFit="1" customWidth="1"/>
    <col min="12" max="12" width="8.5" style="6" bestFit="1" customWidth="1"/>
    <col min="13" max="13" width="15.83203125" style="5" bestFit="1" customWidth="1"/>
    <col min="14" max="16384" width="9.1640625" style="3"/>
  </cols>
  <sheetData>
    <row r="1" spans="1:13" s="2" customFormat="1" ht="29" customHeight="1">
      <c r="A1" s="51" t="s">
        <v>437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483</v>
      </c>
      <c r="B3" s="66" t="s">
        <v>0</v>
      </c>
      <c r="C3" s="61" t="s">
        <v>484</v>
      </c>
      <c r="D3" s="61" t="s">
        <v>6</v>
      </c>
      <c r="E3" s="45" t="s">
        <v>485</v>
      </c>
      <c r="F3" s="63" t="s">
        <v>5</v>
      </c>
      <c r="G3" s="63" t="s">
        <v>8</v>
      </c>
      <c r="H3" s="63"/>
      <c r="I3" s="63"/>
      <c r="J3" s="63"/>
      <c r="K3" s="45" t="s">
        <v>177</v>
      </c>
      <c r="L3" s="45" t="s">
        <v>3</v>
      </c>
      <c r="M3" s="47" t="s">
        <v>2</v>
      </c>
    </row>
    <row r="4" spans="1:13" s="1" customFormat="1" ht="21" customHeight="1" thickBot="1">
      <c r="A4" s="60"/>
      <c r="B4" s="67"/>
      <c r="C4" s="62"/>
      <c r="D4" s="62"/>
      <c r="E4" s="46"/>
      <c r="F4" s="62"/>
      <c r="G4" s="4">
        <v>1</v>
      </c>
      <c r="H4" s="4">
        <v>2</v>
      </c>
      <c r="I4" s="4">
        <v>3</v>
      </c>
      <c r="J4" s="4" t="s">
        <v>4</v>
      </c>
      <c r="K4" s="46"/>
      <c r="L4" s="46"/>
      <c r="M4" s="48"/>
    </row>
    <row r="5" spans="1:13" ht="16">
      <c r="A5" s="49" t="s">
        <v>41</v>
      </c>
      <c r="B5" s="49"/>
      <c r="C5" s="50"/>
      <c r="D5" s="50"/>
      <c r="E5" s="50"/>
      <c r="F5" s="50"/>
      <c r="G5" s="50"/>
      <c r="H5" s="50"/>
      <c r="I5" s="50"/>
      <c r="J5" s="50"/>
    </row>
    <row r="6" spans="1:13">
      <c r="A6" s="28" t="s">
        <v>60</v>
      </c>
      <c r="B6" s="7" t="s">
        <v>184</v>
      </c>
      <c r="C6" s="7" t="s">
        <v>147</v>
      </c>
      <c r="D6" s="7" t="s">
        <v>148</v>
      </c>
      <c r="E6" s="8" t="s">
        <v>487</v>
      </c>
      <c r="F6" s="7" t="s">
        <v>149</v>
      </c>
      <c r="G6" s="27" t="s">
        <v>355</v>
      </c>
      <c r="H6" s="26" t="s">
        <v>355</v>
      </c>
      <c r="I6" s="27" t="s">
        <v>356</v>
      </c>
      <c r="J6" s="28"/>
      <c r="K6" s="9" t="str">
        <f>"250,0"</f>
        <v>250,0</v>
      </c>
      <c r="L6" s="9" t="str">
        <f>"164,4500"</f>
        <v>164,4500</v>
      </c>
      <c r="M6" s="7" t="s">
        <v>151</v>
      </c>
    </row>
    <row r="8" spans="1:13" ht="16">
      <c r="A8" s="64" t="s">
        <v>44</v>
      </c>
      <c r="B8" s="64"/>
      <c r="C8" s="65"/>
      <c r="D8" s="65"/>
      <c r="E8" s="65"/>
      <c r="F8" s="65"/>
      <c r="G8" s="65"/>
      <c r="H8" s="65"/>
      <c r="I8" s="65"/>
      <c r="J8" s="65"/>
    </row>
    <row r="9" spans="1:13">
      <c r="A9" s="28" t="s">
        <v>60</v>
      </c>
      <c r="B9" s="7" t="s">
        <v>359</v>
      </c>
      <c r="C9" s="7" t="s">
        <v>357</v>
      </c>
      <c r="D9" s="7" t="s">
        <v>358</v>
      </c>
      <c r="E9" s="8" t="s">
        <v>487</v>
      </c>
      <c r="F9" s="7" t="s">
        <v>479</v>
      </c>
      <c r="G9" s="26" t="s">
        <v>88</v>
      </c>
      <c r="H9" s="28"/>
      <c r="I9" s="28"/>
      <c r="J9" s="28"/>
      <c r="K9" s="9" t="str">
        <f>"200,0"</f>
        <v>200,0</v>
      </c>
      <c r="L9" s="9" t="str">
        <f>"123,3300"</f>
        <v>123,3300</v>
      </c>
      <c r="M9" s="7"/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5" bestFit="1" customWidth="1"/>
    <col min="2" max="2" width="18" style="5" customWidth="1"/>
    <col min="3" max="3" width="25.1640625" style="5" bestFit="1" customWidth="1"/>
    <col min="4" max="4" width="20.83203125" style="5" bestFit="1" customWidth="1"/>
    <col min="5" max="5" width="10.1640625" style="16" bestFit="1" customWidth="1"/>
    <col min="6" max="6" width="27.6640625" style="5" customWidth="1"/>
    <col min="7" max="9" width="5.5" style="24" customWidth="1"/>
    <col min="10" max="10" width="4.5" style="24" customWidth="1"/>
    <col min="11" max="11" width="10.5" style="6" bestFit="1" customWidth="1"/>
    <col min="12" max="12" width="8.5" style="6" bestFit="1" customWidth="1"/>
    <col min="13" max="13" width="19.6640625" style="5" customWidth="1"/>
    <col min="14" max="16384" width="9.1640625" style="3"/>
  </cols>
  <sheetData>
    <row r="1" spans="1:13" s="2" customFormat="1" ht="29" customHeight="1">
      <c r="A1" s="51" t="s">
        <v>438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483</v>
      </c>
      <c r="B3" s="66" t="s">
        <v>0</v>
      </c>
      <c r="C3" s="61" t="s">
        <v>484</v>
      </c>
      <c r="D3" s="61" t="s">
        <v>6</v>
      </c>
      <c r="E3" s="45" t="s">
        <v>485</v>
      </c>
      <c r="F3" s="63" t="s">
        <v>5</v>
      </c>
      <c r="G3" s="63" t="s">
        <v>8</v>
      </c>
      <c r="H3" s="63"/>
      <c r="I3" s="63"/>
      <c r="J3" s="63"/>
      <c r="K3" s="45" t="s">
        <v>177</v>
      </c>
      <c r="L3" s="45" t="s">
        <v>3</v>
      </c>
      <c r="M3" s="47" t="s">
        <v>2</v>
      </c>
    </row>
    <row r="4" spans="1:13" s="1" customFormat="1" ht="21" customHeight="1" thickBot="1">
      <c r="A4" s="60"/>
      <c r="B4" s="67"/>
      <c r="C4" s="62"/>
      <c r="D4" s="62"/>
      <c r="E4" s="46"/>
      <c r="F4" s="62"/>
      <c r="G4" s="4">
        <v>1</v>
      </c>
      <c r="H4" s="4">
        <v>2</v>
      </c>
      <c r="I4" s="4">
        <v>3</v>
      </c>
      <c r="J4" s="4" t="s">
        <v>4</v>
      </c>
      <c r="K4" s="46"/>
      <c r="L4" s="46"/>
      <c r="M4" s="48"/>
    </row>
    <row r="5" spans="1:13" ht="16">
      <c r="A5" s="49" t="s">
        <v>161</v>
      </c>
      <c r="B5" s="49"/>
      <c r="C5" s="50"/>
      <c r="D5" s="50"/>
      <c r="E5" s="50"/>
      <c r="F5" s="50"/>
      <c r="G5" s="50"/>
      <c r="H5" s="50"/>
      <c r="I5" s="50"/>
      <c r="J5" s="50"/>
    </row>
    <row r="6" spans="1:13">
      <c r="A6" s="28" t="s">
        <v>60</v>
      </c>
      <c r="B6" s="7" t="s">
        <v>367</v>
      </c>
      <c r="C6" s="7" t="s">
        <v>362</v>
      </c>
      <c r="D6" s="7" t="s">
        <v>332</v>
      </c>
      <c r="E6" s="8" t="s">
        <v>487</v>
      </c>
      <c r="F6" s="7" t="s">
        <v>480</v>
      </c>
      <c r="G6" s="27" t="s">
        <v>309</v>
      </c>
      <c r="H6" s="26" t="s">
        <v>309</v>
      </c>
      <c r="I6" s="27" t="s">
        <v>363</v>
      </c>
      <c r="J6" s="28"/>
      <c r="K6" s="9" t="str">
        <f>"310,0"</f>
        <v>310,0</v>
      </c>
      <c r="L6" s="9" t="str">
        <f>"187,6585"</f>
        <v>187,6585</v>
      </c>
      <c r="M6" s="7"/>
    </row>
    <row r="8" spans="1:13" ht="16">
      <c r="A8" s="64" t="s">
        <v>113</v>
      </c>
      <c r="B8" s="64"/>
      <c r="C8" s="65"/>
      <c r="D8" s="65"/>
      <c r="E8" s="65"/>
      <c r="F8" s="65"/>
      <c r="G8" s="65"/>
      <c r="H8" s="65"/>
      <c r="I8" s="65"/>
      <c r="J8" s="65"/>
    </row>
    <row r="9" spans="1:13">
      <c r="A9" s="28" t="s">
        <v>294</v>
      </c>
      <c r="B9" s="7" t="s">
        <v>368</v>
      </c>
      <c r="C9" s="7" t="s">
        <v>364</v>
      </c>
      <c r="D9" s="7" t="s">
        <v>365</v>
      </c>
      <c r="E9" s="8" t="s">
        <v>487</v>
      </c>
      <c r="F9" s="7" t="s">
        <v>149</v>
      </c>
      <c r="G9" s="27" t="s">
        <v>366</v>
      </c>
      <c r="H9" s="27" t="s">
        <v>366</v>
      </c>
      <c r="I9" s="27" t="s">
        <v>366</v>
      </c>
      <c r="J9" s="28"/>
      <c r="K9" s="9" t="str">
        <f>"0.00"</f>
        <v>0.00</v>
      </c>
      <c r="L9" s="9" t="str">
        <f>"0,0000"</f>
        <v>0,0000</v>
      </c>
      <c r="M9" s="7"/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6"/>
  <sheetViews>
    <sheetView workbookViewId="0">
      <selection activeCell="E27" sqref="E27"/>
    </sheetView>
  </sheetViews>
  <sheetFormatPr baseColWidth="10" defaultColWidth="9.1640625" defaultRowHeight="13"/>
  <cols>
    <col min="1" max="1" width="7.1640625" style="5" bestFit="1" customWidth="1"/>
    <col min="2" max="2" width="23.33203125" style="5" customWidth="1"/>
    <col min="3" max="3" width="27.5" style="5" bestFit="1" customWidth="1"/>
    <col min="4" max="4" width="20.83203125" style="5" bestFit="1" customWidth="1"/>
    <col min="5" max="5" width="10.1640625" style="16" bestFit="1" customWidth="1"/>
    <col min="6" max="6" width="26.33203125" style="5" bestFit="1" customWidth="1"/>
    <col min="7" max="9" width="5.5" style="24" customWidth="1"/>
    <col min="10" max="10" width="4.5" style="24" customWidth="1"/>
    <col min="11" max="11" width="10.5" style="6" bestFit="1" customWidth="1"/>
    <col min="12" max="12" width="7.5" style="6" bestFit="1" customWidth="1"/>
    <col min="13" max="13" width="19.83203125" style="5" bestFit="1" customWidth="1"/>
    <col min="14" max="16384" width="9.1640625" style="3"/>
  </cols>
  <sheetData>
    <row r="1" spans="1:13" s="2" customFormat="1" ht="29" customHeight="1">
      <c r="A1" s="51" t="s">
        <v>439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483</v>
      </c>
      <c r="B3" s="66" t="s">
        <v>0</v>
      </c>
      <c r="C3" s="61" t="s">
        <v>484</v>
      </c>
      <c r="D3" s="61" t="s">
        <v>6</v>
      </c>
      <c r="E3" s="45" t="s">
        <v>485</v>
      </c>
      <c r="F3" s="63" t="s">
        <v>5</v>
      </c>
      <c r="G3" s="63" t="s">
        <v>8</v>
      </c>
      <c r="H3" s="63"/>
      <c r="I3" s="63"/>
      <c r="J3" s="63"/>
      <c r="K3" s="45" t="s">
        <v>177</v>
      </c>
      <c r="L3" s="45" t="s">
        <v>3</v>
      </c>
      <c r="M3" s="47" t="s">
        <v>2</v>
      </c>
    </row>
    <row r="4" spans="1:13" s="1" customFormat="1" ht="21" customHeight="1" thickBot="1">
      <c r="A4" s="60"/>
      <c r="B4" s="67"/>
      <c r="C4" s="62"/>
      <c r="D4" s="62"/>
      <c r="E4" s="46"/>
      <c r="F4" s="62"/>
      <c r="G4" s="4">
        <v>1</v>
      </c>
      <c r="H4" s="4">
        <v>2</v>
      </c>
      <c r="I4" s="4">
        <v>3</v>
      </c>
      <c r="J4" s="4" t="s">
        <v>4</v>
      </c>
      <c r="K4" s="46"/>
      <c r="L4" s="46"/>
      <c r="M4" s="48"/>
    </row>
    <row r="5" spans="1:13" ht="16">
      <c r="A5" s="49" t="s">
        <v>10</v>
      </c>
      <c r="B5" s="49"/>
      <c r="C5" s="50"/>
      <c r="D5" s="50"/>
      <c r="E5" s="50"/>
      <c r="F5" s="50"/>
      <c r="G5" s="50"/>
      <c r="H5" s="50"/>
      <c r="I5" s="50"/>
      <c r="J5" s="50"/>
    </row>
    <row r="6" spans="1:13">
      <c r="A6" s="28" t="s">
        <v>60</v>
      </c>
      <c r="B6" s="7" t="s">
        <v>420</v>
      </c>
      <c r="C6" s="7" t="s">
        <v>410</v>
      </c>
      <c r="D6" s="7" t="s">
        <v>411</v>
      </c>
      <c r="E6" s="8" t="s">
        <v>487</v>
      </c>
      <c r="F6" s="7" t="s">
        <v>116</v>
      </c>
      <c r="G6" s="26" t="s">
        <v>18</v>
      </c>
      <c r="H6" s="26" t="s">
        <v>77</v>
      </c>
      <c r="I6" s="27" t="s">
        <v>78</v>
      </c>
      <c r="J6" s="28"/>
      <c r="K6" s="9" t="str">
        <f>"45,0"</f>
        <v>45,0</v>
      </c>
      <c r="L6" s="9" t="str">
        <f>"56,8575"</f>
        <v>56,8575</v>
      </c>
      <c r="M6" s="7" t="s">
        <v>390</v>
      </c>
    </row>
    <row r="8" spans="1:13" ht="16">
      <c r="A8" s="64" t="s">
        <v>73</v>
      </c>
      <c r="B8" s="64"/>
      <c r="C8" s="65"/>
      <c r="D8" s="65"/>
      <c r="E8" s="65"/>
      <c r="F8" s="65"/>
      <c r="G8" s="65"/>
      <c r="H8" s="65"/>
      <c r="I8" s="65"/>
      <c r="J8" s="65"/>
    </row>
    <row r="9" spans="1:13">
      <c r="A9" s="28" t="s">
        <v>60</v>
      </c>
      <c r="B9" s="7" t="s">
        <v>421</v>
      </c>
      <c r="C9" s="7" t="s">
        <v>412</v>
      </c>
      <c r="D9" s="7" t="s">
        <v>330</v>
      </c>
      <c r="E9" s="8" t="s">
        <v>491</v>
      </c>
      <c r="F9" s="7" t="s">
        <v>36</v>
      </c>
      <c r="G9" s="26" t="s">
        <v>78</v>
      </c>
      <c r="H9" s="27" t="s">
        <v>14</v>
      </c>
      <c r="I9" s="27" t="s">
        <v>14</v>
      </c>
      <c r="J9" s="28"/>
      <c r="K9" s="9" t="str">
        <f>"52,5"</f>
        <v>52,5</v>
      </c>
      <c r="L9" s="9" t="str">
        <f>"50,3249"</f>
        <v>50,3249</v>
      </c>
      <c r="M9" s="7" t="s">
        <v>108</v>
      </c>
    </row>
    <row r="11" spans="1:13" ht="16">
      <c r="A11" s="64" t="s">
        <v>41</v>
      </c>
      <c r="B11" s="64"/>
      <c r="C11" s="65"/>
      <c r="D11" s="65"/>
      <c r="E11" s="65"/>
      <c r="F11" s="65"/>
      <c r="G11" s="65"/>
      <c r="H11" s="65"/>
      <c r="I11" s="65"/>
      <c r="J11" s="65"/>
    </row>
    <row r="12" spans="1:13">
      <c r="A12" s="31" t="s">
        <v>60</v>
      </c>
      <c r="B12" s="10" t="s">
        <v>291</v>
      </c>
      <c r="C12" s="10" t="s">
        <v>242</v>
      </c>
      <c r="D12" s="10" t="s">
        <v>243</v>
      </c>
      <c r="E12" s="11" t="s">
        <v>487</v>
      </c>
      <c r="F12" s="10" t="s">
        <v>36</v>
      </c>
      <c r="G12" s="29" t="s">
        <v>71</v>
      </c>
      <c r="H12" s="29" t="s">
        <v>79</v>
      </c>
      <c r="I12" s="30" t="s">
        <v>105</v>
      </c>
      <c r="J12" s="31"/>
      <c r="K12" s="12" t="str">
        <f>"130,0"</f>
        <v>130,0</v>
      </c>
      <c r="L12" s="12" t="str">
        <f>"87,9320"</f>
        <v>87,9320</v>
      </c>
      <c r="M12" s="10" t="s">
        <v>108</v>
      </c>
    </row>
    <row r="13" spans="1:13">
      <c r="A13" s="38" t="s">
        <v>100</v>
      </c>
      <c r="B13" s="35" t="s">
        <v>401</v>
      </c>
      <c r="C13" s="35" t="s">
        <v>397</v>
      </c>
      <c r="D13" s="35" t="s">
        <v>156</v>
      </c>
      <c r="E13" s="36" t="s">
        <v>487</v>
      </c>
      <c r="F13" s="35" t="s">
        <v>36</v>
      </c>
      <c r="G13" s="39" t="s">
        <v>31</v>
      </c>
      <c r="H13" s="40" t="s">
        <v>91</v>
      </c>
      <c r="I13" s="40" t="s">
        <v>91</v>
      </c>
      <c r="J13" s="38"/>
      <c r="K13" s="37" t="str">
        <f>"100,0"</f>
        <v>100,0</v>
      </c>
      <c r="L13" s="37" t="str">
        <f>"67,4400"</f>
        <v>67,4400</v>
      </c>
      <c r="M13" s="35" t="s">
        <v>108</v>
      </c>
    </row>
    <row r="14" spans="1:13">
      <c r="A14" s="38" t="s">
        <v>186</v>
      </c>
      <c r="B14" s="35" t="s">
        <v>293</v>
      </c>
      <c r="C14" s="35" t="s">
        <v>248</v>
      </c>
      <c r="D14" s="35" t="s">
        <v>249</v>
      </c>
      <c r="E14" s="36" t="s">
        <v>487</v>
      </c>
      <c r="F14" s="35" t="s">
        <v>116</v>
      </c>
      <c r="G14" s="39" t="s">
        <v>319</v>
      </c>
      <c r="H14" s="40" t="s">
        <v>31</v>
      </c>
      <c r="I14" s="40" t="s">
        <v>31</v>
      </c>
      <c r="J14" s="38"/>
      <c r="K14" s="37" t="str">
        <f>"92,5"</f>
        <v>92,5</v>
      </c>
      <c r="L14" s="37" t="str">
        <f>"64,7407"</f>
        <v>64,7407</v>
      </c>
      <c r="M14" s="35" t="s">
        <v>251</v>
      </c>
    </row>
    <row r="15" spans="1:13">
      <c r="A15" s="38" t="s">
        <v>188</v>
      </c>
      <c r="B15" s="35" t="s">
        <v>352</v>
      </c>
      <c r="C15" s="35" t="s">
        <v>347</v>
      </c>
      <c r="D15" s="35" t="s">
        <v>348</v>
      </c>
      <c r="E15" s="36" t="s">
        <v>487</v>
      </c>
      <c r="F15" s="35" t="s">
        <v>116</v>
      </c>
      <c r="G15" s="39" t="s">
        <v>215</v>
      </c>
      <c r="H15" s="40" t="s">
        <v>21</v>
      </c>
      <c r="I15" s="40" t="s">
        <v>21</v>
      </c>
      <c r="J15" s="38"/>
      <c r="K15" s="37" t="str">
        <f>"77,5"</f>
        <v>77,5</v>
      </c>
      <c r="L15" s="37" t="str">
        <f>"52,9480"</f>
        <v>52,9480</v>
      </c>
      <c r="M15" s="35" t="s">
        <v>255</v>
      </c>
    </row>
    <row r="16" spans="1:13">
      <c r="A16" s="34" t="s">
        <v>60</v>
      </c>
      <c r="B16" s="13" t="s">
        <v>353</v>
      </c>
      <c r="C16" s="13" t="s">
        <v>413</v>
      </c>
      <c r="D16" s="13" t="s">
        <v>349</v>
      </c>
      <c r="E16" s="14" t="s">
        <v>491</v>
      </c>
      <c r="F16" s="13" t="s">
        <v>116</v>
      </c>
      <c r="G16" s="33" t="s">
        <v>21</v>
      </c>
      <c r="H16" s="32" t="s">
        <v>145</v>
      </c>
      <c r="I16" s="32" t="s">
        <v>145</v>
      </c>
      <c r="J16" s="34"/>
      <c r="K16" s="15" t="str">
        <f>"80,0"</f>
        <v>80,0</v>
      </c>
      <c r="L16" s="15" t="str">
        <f>"59,4383"</f>
        <v>59,4383</v>
      </c>
      <c r="M16" s="13" t="s">
        <v>255</v>
      </c>
    </row>
    <row r="18" spans="1:13" ht="16">
      <c r="A18" s="64" t="s">
        <v>44</v>
      </c>
      <c r="B18" s="64"/>
      <c r="C18" s="65"/>
      <c r="D18" s="65"/>
      <c r="E18" s="65"/>
      <c r="F18" s="65"/>
      <c r="G18" s="65"/>
      <c r="H18" s="65"/>
      <c r="I18" s="65"/>
      <c r="J18" s="65"/>
    </row>
    <row r="19" spans="1:13">
      <c r="A19" s="31" t="s">
        <v>60</v>
      </c>
      <c r="B19" s="10" t="s">
        <v>422</v>
      </c>
      <c r="C19" s="10" t="s">
        <v>415</v>
      </c>
      <c r="D19" s="10" t="s">
        <v>416</v>
      </c>
      <c r="E19" s="11" t="s">
        <v>487</v>
      </c>
      <c r="F19" s="10" t="s">
        <v>424</v>
      </c>
      <c r="G19" s="29" t="s">
        <v>50</v>
      </c>
      <c r="H19" s="29" t="s">
        <v>233</v>
      </c>
      <c r="I19" s="30" t="s">
        <v>405</v>
      </c>
      <c r="J19" s="31"/>
      <c r="K19" s="12" t="str">
        <f>"155,0"</f>
        <v>155,0</v>
      </c>
      <c r="L19" s="12" t="str">
        <f>"99,9905"</f>
        <v>99,9905</v>
      </c>
      <c r="M19" s="10" t="s">
        <v>190</v>
      </c>
    </row>
    <row r="20" spans="1:13">
      <c r="A20" s="38" t="s">
        <v>100</v>
      </c>
      <c r="B20" s="35" t="s">
        <v>296</v>
      </c>
      <c r="C20" s="35" t="s">
        <v>256</v>
      </c>
      <c r="D20" s="35" t="s">
        <v>257</v>
      </c>
      <c r="E20" s="36" t="s">
        <v>487</v>
      </c>
      <c r="F20" s="35" t="s">
        <v>116</v>
      </c>
      <c r="G20" s="39" t="s">
        <v>79</v>
      </c>
      <c r="H20" s="39" t="s">
        <v>105</v>
      </c>
      <c r="I20" s="40" t="s">
        <v>246</v>
      </c>
      <c r="J20" s="38"/>
      <c r="K20" s="37" t="str">
        <f>"135,0"</f>
        <v>135,0</v>
      </c>
      <c r="L20" s="37" t="str">
        <f>"89,0595"</f>
        <v>89,0595</v>
      </c>
      <c r="M20" s="35"/>
    </row>
    <row r="21" spans="1:13">
      <c r="A21" s="38" t="s">
        <v>186</v>
      </c>
      <c r="B21" s="35" t="s">
        <v>297</v>
      </c>
      <c r="C21" s="35" t="s">
        <v>258</v>
      </c>
      <c r="D21" s="35" t="s">
        <v>259</v>
      </c>
      <c r="E21" s="36" t="s">
        <v>487</v>
      </c>
      <c r="F21" s="35" t="s">
        <v>36</v>
      </c>
      <c r="G21" s="39" t="s">
        <v>33</v>
      </c>
      <c r="H21" s="39" t="s">
        <v>71</v>
      </c>
      <c r="I21" s="40" t="s">
        <v>79</v>
      </c>
      <c r="J21" s="38"/>
      <c r="K21" s="37" t="str">
        <f>"125,0"</f>
        <v>125,0</v>
      </c>
      <c r="L21" s="37" t="str">
        <f>"81,2875"</f>
        <v>81,2875</v>
      </c>
      <c r="M21" s="35" t="s">
        <v>108</v>
      </c>
    </row>
    <row r="22" spans="1:13">
      <c r="A22" s="34" t="s">
        <v>188</v>
      </c>
      <c r="B22" s="13" t="s">
        <v>354</v>
      </c>
      <c r="C22" s="13" t="s">
        <v>350</v>
      </c>
      <c r="D22" s="13" t="s">
        <v>351</v>
      </c>
      <c r="E22" s="14" t="s">
        <v>487</v>
      </c>
      <c r="F22" s="13" t="s">
        <v>116</v>
      </c>
      <c r="G22" s="33" t="s">
        <v>31</v>
      </c>
      <c r="H22" s="33" t="s">
        <v>92</v>
      </c>
      <c r="I22" s="32" t="s">
        <v>112</v>
      </c>
      <c r="J22" s="34"/>
      <c r="K22" s="15" t="str">
        <f>"107,5"</f>
        <v>107,5</v>
      </c>
      <c r="L22" s="15" t="str">
        <f>"68,8645"</f>
        <v>68,8645</v>
      </c>
      <c r="M22" s="13" t="s">
        <v>255</v>
      </c>
    </row>
    <row r="24" spans="1:13" ht="16">
      <c r="A24" s="64" t="s">
        <v>161</v>
      </c>
      <c r="B24" s="64"/>
      <c r="C24" s="65"/>
      <c r="D24" s="65"/>
      <c r="E24" s="65"/>
      <c r="F24" s="65"/>
      <c r="G24" s="65"/>
      <c r="H24" s="65"/>
      <c r="I24" s="65"/>
      <c r="J24" s="65"/>
    </row>
    <row r="25" spans="1:13">
      <c r="A25" s="31" t="s">
        <v>60</v>
      </c>
      <c r="B25" s="10" t="s">
        <v>298</v>
      </c>
      <c r="C25" s="10" t="s">
        <v>417</v>
      </c>
      <c r="D25" s="10" t="s">
        <v>261</v>
      </c>
      <c r="E25" s="11" t="s">
        <v>495</v>
      </c>
      <c r="F25" s="10" t="s">
        <v>36</v>
      </c>
      <c r="G25" s="29" t="s">
        <v>32</v>
      </c>
      <c r="H25" s="29" t="s">
        <v>107</v>
      </c>
      <c r="I25" s="30" t="s">
        <v>70</v>
      </c>
      <c r="J25" s="31"/>
      <c r="K25" s="12" t="str">
        <f>"115,0"</f>
        <v>115,0</v>
      </c>
      <c r="L25" s="12" t="str">
        <f>"70,5410"</f>
        <v>70,5410</v>
      </c>
      <c r="M25" s="10" t="s">
        <v>108</v>
      </c>
    </row>
    <row r="26" spans="1:13">
      <c r="A26" s="34" t="s">
        <v>60</v>
      </c>
      <c r="B26" s="13" t="s">
        <v>423</v>
      </c>
      <c r="C26" s="13" t="s">
        <v>418</v>
      </c>
      <c r="D26" s="13" t="s">
        <v>419</v>
      </c>
      <c r="E26" s="14" t="s">
        <v>487</v>
      </c>
      <c r="F26" s="13" t="s">
        <v>36</v>
      </c>
      <c r="G26" s="33" t="s">
        <v>33</v>
      </c>
      <c r="H26" s="33" t="s">
        <v>71</v>
      </c>
      <c r="I26" s="32" t="s">
        <v>79</v>
      </c>
      <c r="J26" s="34"/>
      <c r="K26" s="15" t="str">
        <f>"125,0"</f>
        <v>125,0</v>
      </c>
      <c r="L26" s="15" t="str">
        <f>"77,2875"</f>
        <v>77,2875</v>
      </c>
      <c r="M26" s="13" t="s">
        <v>108</v>
      </c>
    </row>
    <row r="28" spans="1:13">
      <c r="K28" s="24"/>
      <c r="M28" s="6"/>
    </row>
    <row r="29" spans="1:13">
      <c r="K29" s="24"/>
      <c r="M29" s="6"/>
    </row>
    <row r="30" spans="1:13" ht="18">
      <c r="B30" s="17" t="s">
        <v>51</v>
      </c>
      <c r="C30" s="17"/>
      <c r="K30" s="24"/>
      <c r="M30" s="6"/>
    </row>
    <row r="31" spans="1:13" ht="16">
      <c r="B31" s="18" t="s">
        <v>52</v>
      </c>
      <c r="C31" s="18"/>
      <c r="K31" s="24"/>
      <c r="M31" s="6"/>
    </row>
    <row r="32" spans="1:13" ht="14">
      <c r="B32" s="19"/>
      <c r="C32" s="20" t="s">
        <v>58</v>
      </c>
      <c r="K32" s="24"/>
      <c r="M32" s="6"/>
    </row>
    <row r="33" spans="2:13" ht="14">
      <c r="B33" s="21" t="s">
        <v>53</v>
      </c>
      <c r="C33" s="21" t="s">
        <v>54</v>
      </c>
      <c r="D33" s="21" t="s">
        <v>477</v>
      </c>
      <c r="E33" s="22" t="s">
        <v>175</v>
      </c>
      <c r="F33" s="21" t="s">
        <v>55</v>
      </c>
      <c r="K33" s="24"/>
      <c r="M33" s="6"/>
    </row>
    <row r="34" spans="2:13">
      <c r="B34" s="5" t="s">
        <v>414</v>
      </c>
      <c r="C34" s="5" t="s">
        <v>58</v>
      </c>
      <c r="D34" s="24" t="s">
        <v>59</v>
      </c>
      <c r="E34" s="25">
        <v>155</v>
      </c>
      <c r="F34" s="23">
        <v>99.990499615669293</v>
      </c>
      <c r="K34" s="24"/>
      <c r="M34" s="6"/>
    </row>
    <row r="35" spans="2:13">
      <c r="B35" s="5" t="s">
        <v>255</v>
      </c>
      <c r="C35" s="5" t="s">
        <v>58</v>
      </c>
      <c r="D35" s="24" t="s">
        <v>59</v>
      </c>
      <c r="E35" s="25">
        <v>135</v>
      </c>
      <c r="F35" s="23">
        <v>89.059496819973006</v>
      </c>
      <c r="G35" s="5"/>
      <c r="K35" s="24"/>
      <c r="M35" s="6"/>
    </row>
    <row r="36" spans="2:13">
      <c r="B36" s="5" t="s">
        <v>241</v>
      </c>
      <c r="C36" s="5" t="s">
        <v>58</v>
      </c>
      <c r="D36" s="24" t="s">
        <v>95</v>
      </c>
      <c r="E36" s="25">
        <v>130</v>
      </c>
      <c r="F36" s="23">
        <v>87.932000756263704</v>
      </c>
    </row>
  </sheetData>
  <mergeCells count="16">
    <mergeCell ref="A8:J8"/>
    <mergeCell ref="A11:J11"/>
    <mergeCell ref="A18:J18"/>
    <mergeCell ref="A24:J2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35"/>
  <sheetViews>
    <sheetView workbookViewId="0">
      <selection activeCell="E13" sqref="E13"/>
    </sheetView>
  </sheetViews>
  <sheetFormatPr baseColWidth="10" defaultColWidth="9.1640625" defaultRowHeight="13"/>
  <cols>
    <col min="1" max="1" width="7.1640625" style="5" bestFit="1" customWidth="1"/>
    <col min="2" max="2" width="20" style="5" customWidth="1"/>
    <col min="3" max="3" width="27.5" style="5" bestFit="1" customWidth="1"/>
    <col min="4" max="4" width="20.83203125" style="5" bestFit="1" customWidth="1"/>
    <col min="5" max="5" width="10.1640625" style="16" bestFit="1" customWidth="1"/>
    <col min="6" max="6" width="24.6640625" style="5" bestFit="1" customWidth="1"/>
    <col min="7" max="9" width="5.5" style="24" customWidth="1"/>
    <col min="10" max="10" width="4.5" style="24" customWidth="1"/>
    <col min="11" max="11" width="10.5" style="6" bestFit="1" customWidth="1"/>
    <col min="12" max="12" width="8.5" style="6" bestFit="1" customWidth="1"/>
    <col min="13" max="13" width="22.6640625" style="5" bestFit="1" customWidth="1"/>
    <col min="14" max="16384" width="9.1640625" style="3"/>
  </cols>
  <sheetData>
    <row r="1" spans="1:13" s="2" customFormat="1" ht="29" customHeight="1">
      <c r="A1" s="51" t="s">
        <v>440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483</v>
      </c>
      <c r="B3" s="66" t="s">
        <v>0</v>
      </c>
      <c r="C3" s="61" t="s">
        <v>484</v>
      </c>
      <c r="D3" s="61" t="s">
        <v>6</v>
      </c>
      <c r="E3" s="45" t="s">
        <v>485</v>
      </c>
      <c r="F3" s="63" t="s">
        <v>5</v>
      </c>
      <c r="G3" s="63" t="s">
        <v>8</v>
      </c>
      <c r="H3" s="63"/>
      <c r="I3" s="63"/>
      <c r="J3" s="63"/>
      <c r="K3" s="45" t="s">
        <v>177</v>
      </c>
      <c r="L3" s="45" t="s">
        <v>3</v>
      </c>
      <c r="M3" s="47" t="s">
        <v>2</v>
      </c>
    </row>
    <row r="4" spans="1:13" s="1" customFormat="1" ht="21" customHeight="1" thickBot="1">
      <c r="A4" s="60"/>
      <c r="B4" s="67"/>
      <c r="C4" s="62"/>
      <c r="D4" s="62"/>
      <c r="E4" s="46"/>
      <c r="F4" s="62"/>
      <c r="G4" s="4">
        <v>1</v>
      </c>
      <c r="H4" s="4">
        <v>2</v>
      </c>
      <c r="I4" s="4">
        <v>3</v>
      </c>
      <c r="J4" s="4" t="s">
        <v>4</v>
      </c>
      <c r="K4" s="46"/>
      <c r="L4" s="46"/>
      <c r="M4" s="48"/>
    </row>
    <row r="5" spans="1:13" ht="16">
      <c r="A5" s="49" t="s">
        <v>73</v>
      </c>
      <c r="B5" s="49"/>
      <c r="C5" s="50"/>
      <c r="D5" s="50"/>
      <c r="E5" s="50"/>
      <c r="F5" s="50"/>
      <c r="G5" s="50"/>
      <c r="H5" s="50"/>
      <c r="I5" s="50"/>
      <c r="J5" s="50"/>
    </row>
    <row r="6" spans="1:13">
      <c r="A6" s="28" t="s">
        <v>60</v>
      </c>
      <c r="B6" s="7" t="s">
        <v>408</v>
      </c>
      <c r="C6" s="7" t="s">
        <v>403</v>
      </c>
      <c r="D6" s="7" t="s">
        <v>404</v>
      </c>
      <c r="E6" s="8" t="s">
        <v>495</v>
      </c>
      <c r="F6" s="7" t="s">
        <v>149</v>
      </c>
      <c r="G6" s="26" t="s">
        <v>31</v>
      </c>
      <c r="H6" s="27" t="s">
        <v>32</v>
      </c>
      <c r="I6" s="27" t="s">
        <v>32</v>
      </c>
      <c r="J6" s="28"/>
      <c r="K6" s="9" t="str">
        <f>"100,0"</f>
        <v>100,0</v>
      </c>
      <c r="L6" s="9" t="str">
        <f>"76,3000"</f>
        <v>76,3000</v>
      </c>
      <c r="M6" s="7" t="s">
        <v>345</v>
      </c>
    </row>
    <row r="8" spans="1:13" ht="16">
      <c r="A8" s="64" t="s">
        <v>41</v>
      </c>
      <c r="B8" s="64"/>
      <c r="C8" s="65"/>
      <c r="D8" s="65"/>
      <c r="E8" s="65"/>
      <c r="F8" s="65"/>
      <c r="G8" s="65"/>
      <c r="H8" s="65"/>
      <c r="I8" s="65"/>
      <c r="J8" s="65"/>
    </row>
    <row r="9" spans="1:13">
      <c r="A9" s="28" t="s">
        <v>60</v>
      </c>
      <c r="B9" s="7" t="s">
        <v>185</v>
      </c>
      <c r="C9" s="7" t="s">
        <v>153</v>
      </c>
      <c r="D9" s="7" t="s">
        <v>154</v>
      </c>
      <c r="E9" s="8" t="s">
        <v>487</v>
      </c>
      <c r="F9" s="7" t="s">
        <v>36</v>
      </c>
      <c r="G9" s="26" t="s">
        <v>50</v>
      </c>
      <c r="H9" s="26" t="s">
        <v>38</v>
      </c>
      <c r="I9" s="27" t="s">
        <v>405</v>
      </c>
      <c r="J9" s="28"/>
      <c r="K9" s="9" t="str">
        <f>"160,0"</f>
        <v>160,0</v>
      </c>
      <c r="L9" s="9" t="str">
        <f>"107,2640"</f>
        <v>107,2640</v>
      </c>
      <c r="M9" s="7" t="s">
        <v>108</v>
      </c>
    </row>
    <row r="11" spans="1:13" ht="16">
      <c r="A11" s="64" t="s">
        <v>161</v>
      </c>
      <c r="B11" s="64"/>
      <c r="C11" s="65"/>
      <c r="D11" s="65"/>
      <c r="E11" s="65"/>
      <c r="F11" s="65"/>
      <c r="G11" s="65"/>
      <c r="H11" s="65"/>
      <c r="I11" s="65"/>
      <c r="J11" s="65"/>
    </row>
    <row r="12" spans="1:13">
      <c r="A12" s="28" t="s">
        <v>60</v>
      </c>
      <c r="B12" s="7" t="s">
        <v>409</v>
      </c>
      <c r="C12" s="7" t="s">
        <v>406</v>
      </c>
      <c r="D12" s="7" t="s">
        <v>407</v>
      </c>
      <c r="E12" s="8" t="s">
        <v>490</v>
      </c>
      <c r="F12" s="7" t="s">
        <v>36</v>
      </c>
      <c r="G12" s="26" t="s">
        <v>92</v>
      </c>
      <c r="H12" s="27" t="s">
        <v>112</v>
      </c>
      <c r="I12" s="26" t="s">
        <v>112</v>
      </c>
      <c r="J12" s="28"/>
      <c r="K12" s="9" t="str">
        <f>"112,5"</f>
        <v>112,5</v>
      </c>
      <c r="L12" s="9" t="str">
        <f>"81,6715"</f>
        <v>81,6715</v>
      </c>
      <c r="M12" s="7" t="s">
        <v>108</v>
      </c>
    </row>
    <row r="14" spans="1:13">
      <c r="A14"/>
      <c r="B14"/>
      <c r="C14"/>
      <c r="D14"/>
      <c r="E14"/>
      <c r="F14"/>
      <c r="G14"/>
      <c r="H14"/>
      <c r="I14"/>
      <c r="J14"/>
      <c r="K14"/>
      <c r="L14"/>
      <c r="M14" s="6"/>
    </row>
    <row r="15" spans="1:13">
      <c r="A15"/>
      <c r="B15"/>
      <c r="C15"/>
      <c r="D15"/>
      <c r="E15"/>
      <c r="F15"/>
      <c r="G15"/>
      <c r="H15"/>
      <c r="I15"/>
      <c r="J15"/>
      <c r="K15"/>
      <c r="L15"/>
      <c r="M15" s="6"/>
    </row>
    <row r="16" spans="1:13">
      <c r="A16"/>
      <c r="B16"/>
      <c r="C16"/>
      <c r="D16"/>
      <c r="E16"/>
      <c r="F16"/>
      <c r="G16"/>
      <c r="H16"/>
      <c r="I16"/>
      <c r="J16"/>
      <c r="K16"/>
      <c r="L16"/>
      <c r="M16" s="6"/>
    </row>
    <row r="17" spans="1:13">
      <c r="A17"/>
      <c r="B17"/>
      <c r="C17"/>
      <c r="D17"/>
      <c r="E17"/>
      <c r="F17"/>
      <c r="G17"/>
      <c r="H17"/>
      <c r="I17"/>
      <c r="J17"/>
      <c r="K17"/>
      <c r="L17"/>
      <c r="M17" s="6"/>
    </row>
    <row r="18" spans="1:13">
      <c r="A18"/>
      <c r="B18"/>
      <c r="C18"/>
      <c r="D18"/>
      <c r="E18"/>
      <c r="F18"/>
      <c r="G18"/>
      <c r="H18"/>
      <c r="I18"/>
      <c r="J18"/>
      <c r="K18"/>
      <c r="L18"/>
      <c r="M18" s="6"/>
    </row>
    <row r="19" spans="1:13">
      <c r="A19"/>
      <c r="B19"/>
      <c r="C19"/>
      <c r="D19"/>
      <c r="E19"/>
      <c r="F19"/>
      <c r="G19"/>
      <c r="H19"/>
      <c r="I19"/>
      <c r="J19"/>
      <c r="K19"/>
      <c r="L19"/>
      <c r="M19" s="6"/>
    </row>
    <row r="20" spans="1:13">
      <c r="A20"/>
      <c r="B20"/>
      <c r="C20"/>
      <c r="D20"/>
      <c r="E20"/>
      <c r="F20"/>
      <c r="G20"/>
      <c r="H20"/>
      <c r="I20"/>
      <c r="J20"/>
      <c r="K20"/>
      <c r="L20"/>
      <c r="M20" s="6"/>
    </row>
    <row r="21" spans="1:13">
      <c r="A21"/>
      <c r="B21"/>
      <c r="C21"/>
      <c r="D21"/>
      <c r="E21"/>
      <c r="F21"/>
      <c r="G21"/>
      <c r="H21"/>
      <c r="I21"/>
      <c r="J21"/>
      <c r="K21"/>
      <c r="L21"/>
      <c r="M21" s="6"/>
    </row>
    <row r="22" spans="1:13">
      <c r="A22"/>
      <c r="B22"/>
      <c r="C22"/>
      <c r="D22"/>
      <c r="E22"/>
      <c r="F22"/>
      <c r="G22"/>
      <c r="H22"/>
      <c r="I22"/>
      <c r="J22"/>
      <c r="K22"/>
      <c r="L22"/>
      <c r="M22" s="6"/>
    </row>
    <row r="23" spans="1:13">
      <c r="A23"/>
      <c r="B23"/>
      <c r="C23"/>
      <c r="D23"/>
      <c r="E23"/>
      <c r="F23"/>
      <c r="G23"/>
      <c r="H23"/>
      <c r="I23"/>
      <c r="J23"/>
      <c r="K23"/>
      <c r="L23"/>
      <c r="M23" s="6"/>
    </row>
    <row r="24" spans="1:13">
      <c r="A24"/>
      <c r="B24"/>
      <c r="C24"/>
      <c r="D24"/>
      <c r="E24"/>
      <c r="F24"/>
      <c r="G24"/>
      <c r="H24"/>
      <c r="I24"/>
      <c r="J24"/>
      <c r="K24"/>
      <c r="L24"/>
      <c r="M24" s="6"/>
    </row>
    <row r="25" spans="1:13">
      <c r="A25"/>
      <c r="B25"/>
      <c r="C25"/>
      <c r="D25"/>
      <c r="E25"/>
      <c r="F25"/>
      <c r="G25"/>
      <c r="H25"/>
      <c r="I25"/>
      <c r="J25"/>
      <c r="K25"/>
      <c r="L25"/>
      <c r="M25" s="6"/>
    </row>
    <row r="26" spans="1:13">
      <c r="A26"/>
      <c r="B26"/>
      <c r="C26"/>
      <c r="D26"/>
      <c r="E26"/>
      <c r="F26"/>
      <c r="G26"/>
      <c r="H26"/>
      <c r="I26"/>
      <c r="J26"/>
      <c r="K26"/>
      <c r="L26"/>
      <c r="M26" s="6"/>
    </row>
    <row r="27" spans="1:13">
      <c r="A27"/>
      <c r="B27"/>
      <c r="C27"/>
      <c r="D27"/>
      <c r="E27"/>
      <c r="F27"/>
      <c r="G27"/>
      <c r="H27"/>
      <c r="I27"/>
      <c r="J27"/>
      <c r="K27"/>
      <c r="L27"/>
      <c r="M27" s="6"/>
    </row>
    <row r="28" spans="1:13">
      <c r="A28"/>
      <c r="B28"/>
      <c r="C28"/>
      <c r="D28"/>
      <c r="E28"/>
      <c r="F28"/>
      <c r="G28"/>
      <c r="H28"/>
      <c r="I28"/>
      <c r="J28"/>
      <c r="K28"/>
      <c r="L28"/>
      <c r="M28" s="6"/>
    </row>
    <row r="29" spans="1:13">
      <c r="A29"/>
      <c r="B29"/>
      <c r="C29"/>
      <c r="D29"/>
      <c r="E29"/>
      <c r="F29"/>
      <c r="G29"/>
      <c r="H29"/>
      <c r="I29"/>
      <c r="J29"/>
      <c r="K29"/>
      <c r="L29"/>
      <c r="M29" s="6"/>
    </row>
    <row r="30" spans="1:13">
      <c r="A30"/>
      <c r="B30"/>
      <c r="C30"/>
      <c r="D30"/>
      <c r="E30"/>
      <c r="F30"/>
      <c r="G30"/>
      <c r="H30"/>
      <c r="I30"/>
      <c r="J30"/>
      <c r="K30"/>
      <c r="L30"/>
      <c r="M30" s="6"/>
    </row>
    <row r="31" spans="1:13">
      <c r="A31"/>
      <c r="B31"/>
      <c r="C31"/>
      <c r="D31"/>
      <c r="E31"/>
      <c r="F31"/>
      <c r="G31"/>
      <c r="H31"/>
      <c r="I31"/>
      <c r="J31"/>
      <c r="K31"/>
      <c r="L31"/>
      <c r="M31" s="6"/>
    </row>
    <row r="32" spans="1:13">
      <c r="A32"/>
      <c r="B32"/>
      <c r="C32"/>
      <c r="D32"/>
      <c r="E32"/>
      <c r="F32"/>
      <c r="G32"/>
      <c r="H32"/>
      <c r="I32"/>
      <c r="J32"/>
      <c r="K32"/>
      <c r="L32"/>
      <c r="M32" s="6"/>
    </row>
    <row r="33" spans="1:13">
      <c r="A33"/>
      <c r="B33"/>
      <c r="C33"/>
      <c r="D33"/>
      <c r="E33"/>
      <c r="F33"/>
      <c r="G33"/>
      <c r="H33"/>
      <c r="I33"/>
      <c r="J33"/>
      <c r="K33"/>
      <c r="L33"/>
      <c r="M33" s="6"/>
    </row>
    <row r="34" spans="1:13">
      <c r="A34"/>
      <c r="B34"/>
      <c r="C34"/>
      <c r="D34"/>
      <c r="E34"/>
      <c r="F34"/>
      <c r="G34"/>
      <c r="H34"/>
      <c r="I34"/>
      <c r="J34"/>
      <c r="K34"/>
      <c r="L34"/>
      <c r="M34" s="6"/>
    </row>
    <row r="35" spans="1:13">
      <c r="E35" s="5"/>
      <c r="F35" s="16"/>
      <c r="G35" s="5"/>
      <c r="K35" s="24"/>
      <c r="M35" s="6"/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4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7.1640625" style="5" bestFit="1" customWidth="1"/>
    <col min="3" max="3" width="25.1640625" style="5" bestFit="1" customWidth="1"/>
    <col min="4" max="4" width="20.83203125" style="5" bestFit="1" customWidth="1"/>
    <col min="5" max="5" width="10.1640625" style="16" bestFit="1" customWidth="1"/>
    <col min="6" max="6" width="20.33203125" style="5" bestFit="1" customWidth="1"/>
    <col min="7" max="9" width="5.5" style="24" customWidth="1"/>
    <col min="10" max="10" width="4.5" style="24" customWidth="1"/>
    <col min="11" max="11" width="10.5" style="6" bestFit="1" customWidth="1"/>
    <col min="12" max="12" width="7.5" style="6" bestFit="1" customWidth="1"/>
    <col min="13" max="13" width="15.33203125" style="5" customWidth="1"/>
    <col min="14" max="16384" width="9.1640625" style="3"/>
  </cols>
  <sheetData>
    <row r="1" spans="1:13" s="2" customFormat="1" ht="29" customHeight="1">
      <c r="A1" s="51" t="s">
        <v>441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483</v>
      </c>
      <c r="B3" s="66" t="s">
        <v>0</v>
      </c>
      <c r="C3" s="61" t="s">
        <v>484</v>
      </c>
      <c r="D3" s="61" t="s">
        <v>6</v>
      </c>
      <c r="E3" s="45" t="s">
        <v>485</v>
      </c>
      <c r="F3" s="63" t="s">
        <v>5</v>
      </c>
      <c r="G3" s="63" t="s">
        <v>8</v>
      </c>
      <c r="H3" s="63"/>
      <c r="I3" s="63"/>
      <c r="J3" s="63"/>
      <c r="K3" s="45" t="s">
        <v>177</v>
      </c>
      <c r="L3" s="45" t="s">
        <v>3</v>
      </c>
      <c r="M3" s="47" t="s">
        <v>2</v>
      </c>
    </row>
    <row r="4" spans="1:13" s="1" customFormat="1" ht="21" customHeight="1" thickBot="1">
      <c r="A4" s="60"/>
      <c r="B4" s="67"/>
      <c r="C4" s="62"/>
      <c r="D4" s="62"/>
      <c r="E4" s="46"/>
      <c r="F4" s="62"/>
      <c r="G4" s="4">
        <v>1</v>
      </c>
      <c r="H4" s="4">
        <v>2</v>
      </c>
      <c r="I4" s="4">
        <v>3</v>
      </c>
      <c r="J4" s="4" t="s">
        <v>4</v>
      </c>
      <c r="K4" s="46"/>
      <c r="L4" s="46"/>
      <c r="M4" s="48"/>
    </row>
    <row r="5" spans="1:13" ht="16">
      <c r="A5" s="49" t="s">
        <v>102</v>
      </c>
      <c r="B5" s="49"/>
      <c r="C5" s="50"/>
      <c r="D5" s="50"/>
      <c r="E5" s="50"/>
      <c r="F5" s="50"/>
      <c r="G5" s="50"/>
      <c r="H5" s="50"/>
      <c r="I5" s="50"/>
      <c r="J5" s="50"/>
    </row>
    <row r="6" spans="1:13">
      <c r="A6" s="28" t="s">
        <v>60</v>
      </c>
      <c r="B6" s="7" t="s">
        <v>380</v>
      </c>
      <c r="C6" s="7" t="s">
        <v>377</v>
      </c>
      <c r="D6" s="7" t="s">
        <v>378</v>
      </c>
      <c r="E6" s="8" t="s">
        <v>487</v>
      </c>
      <c r="F6" s="7" t="s">
        <v>116</v>
      </c>
      <c r="G6" s="26" t="s">
        <v>13</v>
      </c>
      <c r="H6" s="26" t="s">
        <v>14</v>
      </c>
      <c r="I6" s="26" t="s">
        <v>142</v>
      </c>
      <c r="J6" s="28"/>
      <c r="K6" s="9" t="str">
        <f>"57,5"</f>
        <v>57,5</v>
      </c>
      <c r="L6" s="9" t="str">
        <f>"45,5371"</f>
        <v>45,5371</v>
      </c>
      <c r="M6" s="7" t="s">
        <v>379</v>
      </c>
    </row>
    <row r="8" spans="1:13">
      <c r="F8" s="3"/>
      <c r="G8" s="3"/>
      <c r="H8" s="3"/>
      <c r="I8" s="3"/>
      <c r="J8" s="3"/>
      <c r="K8" s="3"/>
      <c r="L8" s="3"/>
      <c r="M8" s="3"/>
    </row>
    <row r="9" spans="1:13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3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3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2:1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2:1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>
      <c r="B22" s="24"/>
      <c r="C22" s="24"/>
      <c r="D22" s="24"/>
      <c r="E22" s="24"/>
      <c r="F22" s="6"/>
      <c r="G22" s="5"/>
      <c r="H22" s="3"/>
      <c r="I22" s="3"/>
      <c r="J22" s="3"/>
      <c r="K22" s="3"/>
      <c r="L22" s="3"/>
      <c r="M22" s="3"/>
    </row>
    <row r="23" spans="2:13">
      <c r="B23" s="24"/>
      <c r="C23" s="24"/>
      <c r="D23" s="24"/>
      <c r="E23" s="24"/>
      <c r="F23" s="6"/>
      <c r="G23" s="5"/>
      <c r="H23" s="3"/>
      <c r="I23" s="3"/>
      <c r="J23" s="3"/>
      <c r="K23" s="3"/>
      <c r="L23" s="3"/>
      <c r="M23" s="3"/>
    </row>
    <row r="24" spans="2:13">
      <c r="B24" s="24"/>
      <c r="C24" s="24"/>
      <c r="D24" s="24"/>
      <c r="E24" s="24"/>
      <c r="F24" s="6"/>
      <c r="G24" s="5"/>
      <c r="H24" s="3"/>
      <c r="I24" s="3"/>
      <c r="J24" s="3"/>
      <c r="K24" s="3"/>
      <c r="L24" s="3"/>
      <c r="M24" s="3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5"/>
  <sheetViews>
    <sheetView workbookViewId="0">
      <selection activeCell="E26" sqref="E26"/>
    </sheetView>
  </sheetViews>
  <sheetFormatPr baseColWidth="10" defaultColWidth="9.1640625" defaultRowHeight="13"/>
  <cols>
    <col min="1" max="1" width="7.1640625" style="5" bestFit="1" customWidth="1"/>
    <col min="2" max="2" width="23.83203125" style="5" customWidth="1"/>
    <col min="3" max="3" width="28.83203125" style="5" bestFit="1" customWidth="1"/>
    <col min="4" max="4" width="20.83203125" style="5" bestFit="1" customWidth="1"/>
    <col min="5" max="5" width="10.1640625" style="16" bestFit="1" customWidth="1"/>
    <col min="6" max="6" width="28.5" style="5" customWidth="1"/>
    <col min="7" max="9" width="5.5" style="24" customWidth="1"/>
    <col min="10" max="10" width="4.5" style="24" customWidth="1"/>
    <col min="11" max="11" width="10.5" style="6" bestFit="1" customWidth="1"/>
    <col min="12" max="12" width="8.5" style="6" bestFit="1" customWidth="1"/>
    <col min="13" max="13" width="18.33203125" style="5" bestFit="1" customWidth="1"/>
    <col min="14" max="16384" width="9.1640625" style="3"/>
  </cols>
  <sheetData>
    <row r="1" spans="1:13" s="2" customFormat="1" ht="29" customHeight="1">
      <c r="A1" s="51" t="s">
        <v>442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483</v>
      </c>
      <c r="B3" s="66" t="s">
        <v>0</v>
      </c>
      <c r="C3" s="61" t="s">
        <v>484</v>
      </c>
      <c r="D3" s="61" t="s">
        <v>6</v>
      </c>
      <c r="E3" s="45" t="s">
        <v>485</v>
      </c>
      <c r="F3" s="63" t="s">
        <v>5</v>
      </c>
      <c r="G3" s="63" t="s">
        <v>9</v>
      </c>
      <c r="H3" s="63"/>
      <c r="I3" s="63"/>
      <c r="J3" s="63"/>
      <c r="K3" s="45" t="s">
        <v>177</v>
      </c>
      <c r="L3" s="45" t="s">
        <v>3</v>
      </c>
      <c r="M3" s="47" t="s">
        <v>2</v>
      </c>
    </row>
    <row r="4" spans="1:13" s="1" customFormat="1" ht="21" customHeight="1" thickBot="1">
      <c r="A4" s="60"/>
      <c r="B4" s="67"/>
      <c r="C4" s="62"/>
      <c r="D4" s="62"/>
      <c r="E4" s="46"/>
      <c r="F4" s="62"/>
      <c r="G4" s="4">
        <v>1</v>
      </c>
      <c r="H4" s="4">
        <v>2</v>
      </c>
      <c r="I4" s="4">
        <v>3</v>
      </c>
      <c r="J4" s="4" t="s">
        <v>4</v>
      </c>
      <c r="K4" s="46"/>
      <c r="L4" s="46"/>
      <c r="M4" s="48"/>
    </row>
    <row r="5" spans="1:13" ht="16">
      <c r="A5" s="49" t="s">
        <v>10</v>
      </c>
      <c r="B5" s="49"/>
      <c r="C5" s="50"/>
      <c r="D5" s="50"/>
      <c r="E5" s="50"/>
      <c r="F5" s="50"/>
      <c r="G5" s="50"/>
      <c r="H5" s="50"/>
      <c r="I5" s="50"/>
      <c r="J5" s="50"/>
    </row>
    <row r="6" spans="1:13">
      <c r="A6" s="31" t="s">
        <v>60</v>
      </c>
      <c r="B6" s="10" t="s">
        <v>333</v>
      </c>
      <c r="C6" s="10" t="s">
        <v>466</v>
      </c>
      <c r="D6" s="10" t="s">
        <v>318</v>
      </c>
      <c r="E6" s="11" t="s">
        <v>486</v>
      </c>
      <c r="F6" s="10" t="s">
        <v>36</v>
      </c>
      <c r="G6" s="29" t="s">
        <v>319</v>
      </c>
      <c r="H6" s="29" t="s">
        <v>68</v>
      </c>
      <c r="I6" s="29" t="s">
        <v>91</v>
      </c>
      <c r="J6" s="31"/>
      <c r="K6" s="12" t="str">
        <f>"102,5"</f>
        <v>102,5</v>
      </c>
      <c r="L6" s="12" t="str">
        <f>"129,1192"</f>
        <v>129,1192</v>
      </c>
      <c r="M6" s="10" t="s">
        <v>108</v>
      </c>
    </row>
    <row r="7" spans="1:13">
      <c r="A7" s="34" t="s">
        <v>60</v>
      </c>
      <c r="B7" s="13" t="s">
        <v>334</v>
      </c>
      <c r="C7" s="13" t="s">
        <v>320</v>
      </c>
      <c r="D7" s="13" t="s">
        <v>321</v>
      </c>
      <c r="E7" s="14" t="s">
        <v>487</v>
      </c>
      <c r="F7" s="13" t="s">
        <v>424</v>
      </c>
      <c r="G7" s="32" t="s">
        <v>30</v>
      </c>
      <c r="H7" s="33" t="s">
        <v>319</v>
      </c>
      <c r="I7" s="33" t="s">
        <v>91</v>
      </c>
      <c r="J7" s="34"/>
      <c r="K7" s="15" t="str">
        <f>"102,5"</f>
        <v>102,5</v>
      </c>
      <c r="L7" s="15" t="str">
        <f>"128,9245"</f>
        <v>128,9245</v>
      </c>
      <c r="M7" s="13" t="s">
        <v>168</v>
      </c>
    </row>
    <row r="9" spans="1:13" ht="16">
      <c r="A9" s="64" t="s">
        <v>23</v>
      </c>
      <c r="B9" s="64"/>
      <c r="C9" s="65"/>
      <c r="D9" s="65"/>
      <c r="E9" s="65"/>
      <c r="F9" s="65"/>
      <c r="G9" s="65"/>
      <c r="H9" s="65"/>
      <c r="I9" s="65"/>
      <c r="J9" s="65"/>
    </row>
    <row r="10" spans="1:13">
      <c r="A10" s="28" t="s">
        <v>60</v>
      </c>
      <c r="B10" s="7" t="s">
        <v>96</v>
      </c>
      <c r="C10" s="7" t="s">
        <v>322</v>
      </c>
      <c r="D10" s="7" t="s">
        <v>67</v>
      </c>
      <c r="E10" s="8" t="s">
        <v>487</v>
      </c>
      <c r="F10" s="7" t="s">
        <v>424</v>
      </c>
      <c r="G10" s="26" t="s">
        <v>32</v>
      </c>
      <c r="H10" s="26" t="s">
        <v>70</v>
      </c>
      <c r="I10" s="26" t="s">
        <v>71</v>
      </c>
      <c r="J10" s="28"/>
      <c r="K10" s="9" t="str">
        <f>"125,0"</f>
        <v>125,0</v>
      </c>
      <c r="L10" s="9" t="str">
        <f>"150,0250"</f>
        <v>150,0250</v>
      </c>
      <c r="M10" s="7" t="s">
        <v>72</v>
      </c>
    </row>
    <row r="12" spans="1:13" ht="16">
      <c r="A12" s="64" t="s">
        <v>73</v>
      </c>
      <c r="B12" s="64"/>
      <c r="C12" s="65"/>
      <c r="D12" s="65"/>
      <c r="E12" s="65"/>
      <c r="F12" s="65"/>
      <c r="G12" s="65"/>
      <c r="H12" s="65"/>
      <c r="I12" s="65"/>
      <c r="J12" s="65"/>
    </row>
    <row r="13" spans="1:13">
      <c r="A13" s="31" t="s">
        <v>60</v>
      </c>
      <c r="B13" s="10" t="s">
        <v>335</v>
      </c>
      <c r="C13" s="10" t="s">
        <v>323</v>
      </c>
      <c r="D13" s="10" t="s">
        <v>324</v>
      </c>
      <c r="E13" s="11" t="s">
        <v>487</v>
      </c>
      <c r="F13" s="10" t="s">
        <v>36</v>
      </c>
      <c r="G13" s="29" t="s">
        <v>107</v>
      </c>
      <c r="H13" s="29" t="s">
        <v>33</v>
      </c>
      <c r="I13" s="29" t="s">
        <v>71</v>
      </c>
      <c r="J13" s="31"/>
      <c r="K13" s="12" t="str">
        <f>"125,0"</f>
        <v>125,0</v>
      </c>
      <c r="L13" s="12" t="str">
        <f>"122,6875"</f>
        <v>122,6875</v>
      </c>
      <c r="M13" s="10" t="s">
        <v>325</v>
      </c>
    </row>
    <row r="14" spans="1:13">
      <c r="A14" s="34" t="s">
        <v>60</v>
      </c>
      <c r="B14" s="13" t="s">
        <v>335</v>
      </c>
      <c r="C14" s="13" t="s">
        <v>467</v>
      </c>
      <c r="D14" s="13" t="s">
        <v>324</v>
      </c>
      <c r="E14" s="14" t="s">
        <v>490</v>
      </c>
      <c r="F14" s="13" t="s">
        <v>36</v>
      </c>
      <c r="G14" s="33" t="s">
        <v>107</v>
      </c>
      <c r="H14" s="33" t="s">
        <v>33</v>
      </c>
      <c r="I14" s="33" t="s">
        <v>71</v>
      </c>
      <c r="J14" s="34"/>
      <c r="K14" s="15" t="str">
        <f>"125,0"</f>
        <v>125,0</v>
      </c>
      <c r="L14" s="15" t="str">
        <f>"134,4655"</f>
        <v>134,4655</v>
      </c>
      <c r="M14" s="13" t="s">
        <v>325</v>
      </c>
    </row>
    <row r="16" spans="1:13" ht="16">
      <c r="A16" s="64" t="s">
        <v>27</v>
      </c>
      <c r="B16" s="64"/>
      <c r="C16" s="65"/>
      <c r="D16" s="65"/>
      <c r="E16" s="65"/>
      <c r="F16" s="65"/>
      <c r="G16" s="65"/>
      <c r="H16" s="65"/>
      <c r="I16" s="65"/>
      <c r="J16" s="65"/>
    </row>
    <row r="17" spans="1:13">
      <c r="A17" s="31" t="s">
        <v>60</v>
      </c>
      <c r="B17" s="10" t="s">
        <v>336</v>
      </c>
      <c r="C17" s="10" t="s">
        <v>326</v>
      </c>
      <c r="D17" s="10" t="s">
        <v>327</v>
      </c>
      <c r="E17" s="11" t="s">
        <v>488</v>
      </c>
      <c r="F17" s="10" t="s">
        <v>36</v>
      </c>
      <c r="G17" s="30" t="s">
        <v>328</v>
      </c>
      <c r="H17" s="29" t="s">
        <v>138</v>
      </c>
      <c r="I17" s="29" t="s">
        <v>105</v>
      </c>
      <c r="J17" s="31"/>
      <c r="K17" s="12" t="str">
        <f>"135,0"</f>
        <v>135,0</v>
      </c>
      <c r="L17" s="12" t="str">
        <f>"115,4925"</f>
        <v>115,4925</v>
      </c>
      <c r="M17" s="10" t="s">
        <v>325</v>
      </c>
    </row>
    <row r="18" spans="1:13">
      <c r="A18" s="34" t="s">
        <v>60</v>
      </c>
      <c r="B18" s="13" t="s">
        <v>284</v>
      </c>
      <c r="C18" s="13" t="s">
        <v>226</v>
      </c>
      <c r="D18" s="13" t="s">
        <v>218</v>
      </c>
      <c r="E18" s="14" t="s">
        <v>487</v>
      </c>
      <c r="F18" s="13" t="s">
        <v>424</v>
      </c>
      <c r="G18" s="33" t="s">
        <v>250</v>
      </c>
      <c r="H18" s="33" t="s">
        <v>107</v>
      </c>
      <c r="I18" s="32" t="s">
        <v>246</v>
      </c>
      <c r="J18" s="34"/>
      <c r="K18" s="15" t="str">
        <f>"115,0"</f>
        <v>115,0</v>
      </c>
      <c r="L18" s="15" t="str">
        <f>"99,7625"</f>
        <v>99,7625</v>
      </c>
      <c r="M18" s="13" t="s">
        <v>227</v>
      </c>
    </row>
    <row r="20" spans="1:13" ht="16">
      <c r="A20" s="64" t="s">
        <v>73</v>
      </c>
      <c r="B20" s="64"/>
      <c r="C20" s="65"/>
      <c r="D20" s="65"/>
      <c r="E20" s="65"/>
      <c r="F20" s="65"/>
      <c r="G20" s="65"/>
      <c r="H20" s="65"/>
      <c r="I20" s="65"/>
      <c r="J20" s="65"/>
    </row>
    <row r="21" spans="1:13">
      <c r="A21" s="31" t="s">
        <v>60</v>
      </c>
      <c r="B21" s="10" t="s">
        <v>337</v>
      </c>
      <c r="C21" s="10" t="s">
        <v>329</v>
      </c>
      <c r="D21" s="10" t="s">
        <v>330</v>
      </c>
      <c r="E21" s="11" t="s">
        <v>487</v>
      </c>
      <c r="F21" s="10" t="s">
        <v>116</v>
      </c>
      <c r="G21" s="29" t="s">
        <v>39</v>
      </c>
      <c r="H21" s="29" t="s">
        <v>83</v>
      </c>
      <c r="I21" s="29" t="s">
        <v>82</v>
      </c>
      <c r="J21" s="31"/>
      <c r="K21" s="12" t="str">
        <f>"175,0"</f>
        <v>175,0</v>
      </c>
      <c r="L21" s="12" t="str">
        <f>"125,1600"</f>
        <v>125,1600</v>
      </c>
      <c r="M21" s="10"/>
    </row>
    <row r="22" spans="1:13">
      <c r="A22" s="34" t="s">
        <v>100</v>
      </c>
      <c r="B22" s="13" t="s">
        <v>288</v>
      </c>
      <c r="C22" s="13" t="s">
        <v>237</v>
      </c>
      <c r="D22" s="13" t="s">
        <v>238</v>
      </c>
      <c r="E22" s="14" t="s">
        <v>487</v>
      </c>
      <c r="F22" s="13" t="s">
        <v>116</v>
      </c>
      <c r="G22" s="33" t="s">
        <v>50</v>
      </c>
      <c r="H22" s="33" t="s">
        <v>38</v>
      </c>
      <c r="I22" s="34"/>
      <c r="J22" s="34"/>
      <c r="K22" s="15" t="str">
        <f>"160,0"</f>
        <v>160,0</v>
      </c>
      <c r="L22" s="15" t="str">
        <f>"115,7600"</f>
        <v>115,7600</v>
      </c>
      <c r="M22" s="13" t="s">
        <v>198</v>
      </c>
    </row>
    <row r="24" spans="1:13" ht="16">
      <c r="A24" s="64" t="s">
        <v>161</v>
      </c>
      <c r="B24" s="64"/>
      <c r="C24" s="65"/>
      <c r="D24" s="65"/>
      <c r="E24" s="65"/>
      <c r="F24" s="65"/>
      <c r="G24" s="65"/>
      <c r="H24" s="65"/>
      <c r="I24" s="65"/>
      <c r="J24" s="65"/>
    </row>
    <row r="25" spans="1:13">
      <c r="A25" s="28" t="s">
        <v>60</v>
      </c>
      <c r="B25" s="7" t="s">
        <v>338</v>
      </c>
      <c r="C25" s="7" t="s">
        <v>331</v>
      </c>
      <c r="D25" s="7" t="s">
        <v>332</v>
      </c>
      <c r="E25" s="8" t="s">
        <v>488</v>
      </c>
      <c r="F25" s="7" t="s">
        <v>36</v>
      </c>
      <c r="G25" s="26" t="s">
        <v>107</v>
      </c>
      <c r="H25" s="27" t="s">
        <v>33</v>
      </c>
      <c r="I25" s="26" t="s">
        <v>71</v>
      </c>
      <c r="J25" s="28"/>
      <c r="K25" s="9" t="str">
        <f>"125,0"</f>
        <v>125,0</v>
      </c>
      <c r="L25" s="9" t="str">
        <f>"79,0125"</f>
        <v>79,0125</v>
      </c>
      <c r="M25" s="7" t="s">
        <v>325</v>
      </c>
    </row>
  </sheetData>
  <mergeCells count="17">
    <mergeCell ref="A24:J24"/>
    <mergeCell ref="A5:J5"/>
    <mergeCell ref="A9:J9"/>
    <mergeCell ref="A12:J12"/>
    <mergeCell ref="A16:J16"/>
    <mergeCell ref="A20:J20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13"/>
  <sheetViews>
    <sheetView workbookViewId="0">
      <selection activeCell="E14" sqref="E14"/>
    </sheetView>
  </sheetViews>
  <sheetFormatPr baseColWidth="10" defaultColWidth="9.1640625" defaultRowHeight="13"/>
  <cols>
    <col min="1" max="1" width="7.1640625" style="5" bestFit="1" customWidth="1"/>
    <col min="2" max="2" width="17.83203125" style="5" bestFit="1" customWidth="1"/>
    <col min="3" max="3" width="28.6640625" style="5" bestFit="1" customWidth="1"/>
    <col min="4" max="4" width="20.83203125" style="5" bestFit="1" customWidth="1"/>
    <col min="5" max="5" width="10.1640625" style="16" bestFit="1" customWidth="1"/>
    <col min="6" max="6" width="24.6640625" style="5" bestFit="1" customWidth="1"/>
    <col min="7" max="9" width="5.5" style="24" customWidth="1"/>
    <col min="10" max="10" width="4.5" style="24" customWidth="1"/>
    <col min="11" max="11" width="10.5" style="6" bestFit="1" customWidth="1"/>
    <col min="12" max="12" width="8.5" style="6" bestFit="1" customWidth="1"/>
    <col min="13" max="13" width="19.33203125" style="5" customWidth="1"/>
    <col min="14" max="16384" width="9.1640625" style="3"/>
  </cols>
  <sheetData>
    <row r="1" spans="1:13" s="2" customFormat="1" ht="29" customHeight="1">
      <c r="A1" s="51" t="s">
        <v>443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483</v>
      </c>
      <c r="B3" s="66" t="s">
        <v>0</v>
      </c>
      <c r="C3" s="61" t="s">
        <v>484</v>
      </c>
      <c r="D3" s="61" t="s">
        <v>6</v>
      </c>
      <c r="E3" s="45" t="s">
        <v>485</v>
      </c>
      <c r="F3" s="63" t="s">
        <v>5</v>
      </c>
      <c r="G3" s="63" t="s">
        <v>9</v>
      </c>
      <c r="H3" s="63"/>
      <c r="I3" s="63"/>
      <c r="J3" s="63"/>
      <c r="K3" s="45" t="s">
        <v>177</v>
      </c>
      <c r="L3" s="45" t="s">
        <v>3</v>
      </c>
      <c r="M3" s="47" t="s">
        <v>2</v>
      </c>
    </row>
    <row r="4" spans="1:13" s="1" customFormat="1" ht="21" customHeight="1" thickBot="1">
      <c r="A4" s="60"/>
      <c r="B4" s="67"/>
      <c r="C4" s="62"/>
      <c r="D4" s="62"/>
      <c r="E4" s="46"/>
      <c r="F4" s="62"/>
      <c r="G4" s="4">
        <v>1</v>
      </c>
      <c r="H4" s="4">
        <v>2</v>
      </c>
      <c r="I4" s="4">
        <v>3</v>
      </c>
      <c r="J4" s="4" t="s">
        <v>4</v>
      </c>
      <c r="K4" s="46"/>
      <c r="L4" s="46"/>
      <c r="M4" s="48"/>
    </row>
    <row r="5" spans="1:13" ht="16">
      <c r="A5" s="49" t="s">
        <v>41</v>
      </c>
      <c r="B5" s="49"/>
      <c r="C5" s="50"/>
      <c r="D5" s="50"/>
      <c r="E5" s="50"/>
      <c r="F5" s="50"/>
      <c r="G5" s="50"/>
      <c r="H5" s="50"/>
      <c r="I5" s="50"/>
      <c r="J5" s="50"/>
    </row>
    <row r="6" spans="1:13">
      <c r="A6" s="28" t="s">
        <v>60</v>
      </c>
      <c r="B6" s="7" t="s">
        <v>314</v>
      </c>
      <c r="C6" s="7" t="s">
        <v>468</v>
      </c>
      <c r="D6" s="7" t="s">
        <v>245</v>
      </c>
      <c r="E6" s="8" t="s">
        <v>486</v>
      </c>
      <c r="F6" s="7" t="s">
        <v>36</v>
      </c>
      <c r="G6" s="26" t="s">
        <v>50</v>
      </c>
      <c r="H6" s="26" t="s">
        <v>39</v>
      </c>
      <c r="I6" s="27" t="s">
        <v>150</v>
      </c>
      <c r="J6" s="28"/>
      <c r="K6" s="9" t="str">
        <f>"165,0"</f>
        <v>165,0</v>
      </c>
      <c r="L6" s="9" t="str">
        <f>"110,7810"</f>
        <v>110,7810</v>
      </c>
      <c r="M6" s="7" t="s">
        <v>108</v>
      </c>
    </row>
    <row r="8" spans="1:13" ht="16">
      <c r="A8" s="64" t="s">
        <v>113</v>
      </c>
      <c r="B8" s="64"/>
      <c r="C8" s="65"/>
      <c r="D8" s="65"/>
      <c r="E8" s="65"/>
      <c r="F8" s="65"/>
      <c r="G8" s="65"/>
      <c r="H8" s="65"/>
      <c r="I8" s="65"/>
      <c r="J8" s="65"/>
    </row>
    <row r="9" spans="1:13">
      <c r="A9" s="31" t="s">
        <v>60</v>
      </c>
      <c r="B9" s="10" t="s">
        <v>315</v>
      </c>
      <c r="C9" s="10" t="s">
        <v>302</v>
      </c>
      <c r="D9" s="10" t="s">
        <v>303</v>
      </c>
      <c r="E9" s="11" t="s">
        <v>487</v>
      </c>
      <c r="F9" s="10" t="s">
        <v>424</v>
      </c>
      <c r="G9" s="30" t="s">
        <v>121</v>
      </c>
      <c r="H9" s="29" t="s">
        <v>304</v>
      </c>
      <c r="I9" s="30" t="s">
        <v>305</v>
      </c>
      <c r="J9" s="31"/>
      <c r="K9" s="12" t="str">
        <f>"232,5"</f>
        <v>232,5</v>
      </c>
      <c r="L9" s="12" t="str">
        <f>"137,0122"</f>
        <v>137,0122</v>
      </c>
      <c r="M9" s="10" t="s">
        <v>168</v>
      </c>
    </row>
    <row r="10" spans="1:13">
      <c r="A10" s="34" t="s">
        <v>60</v>
      </c>
      <c r="B10" s="13" t="s">
        <v>316</v>
      </c>
      <c r="C10" s="13" t="s">
        <v>469</v>
      </c>
      <c r="D10" s="13" t="s">
        <v>306</v>
      </c>
      <c r="E10" s="14" t="s">
        <v>492</v>
      </c>
      <c r="F10" s="13" t="s">
        <v>424</v>
      </c>
      <c r="G10" s="33" t="s">
        <v>307</v>
      </c>
      <c r="H10" s="33" t="s">
        <v>308</v>
      </c>
      <c r="I10" s="32" t="s">
        <v>309</v>
      </c>
      <c r="J10" s="34"/>
      <c r="K10" s="15" t="str">
        <f>"300,0"</f>
        <v>300,0</v>
      </c>
      <c r="L10" s="15" t="str">
        <f>"208,8384"</f>
        <v>208,8384</v>
      </c>
      <c r="M10" s="13"/>
    </row>
    <row r="12" spans="1:13" ht="16">
      <c r="A12" s="64" t="s">
        <v>266</v>
      </c>
      <c r="B12" s="64"/>
      <c r="C12" s="65"/>
      <c r="D12" s="65"/>
      <c r="E12" s="65"/>
      <c r="F12" s="65"/>
      <c r="G12" s="65"/>
      <c r="H12" s="65"/>
      <c r="I12" s="65"/>
      <c r="J12" s="65"/>
    </row>
    <row r="13" spans="1:13">
      <c r="A13" s="28" t="s">
        <v>60</v>
      </c>
      <c r="B13" s="7" t="s">
        <v>317</v>
      </c>
      <c r="C13" s="7" t="s">
        <v>310</v>
      </c>
      <c r="D13" s="7" t="s">
        <v>311</v>
      </c>
      <c r="E13" s="8" t="s">
        <v>487</v>
      </c>
      <c r="F13" s="7" t="s">
        <v>116</v>
      </c>
      <c r="G13" s="26" t="s">
        <v>312</v>
      </c>
      <c r="H13" s="27" t="s">
        <v>313</v>
      </c>
      <c r="I13" s="27" t="s">
        <v>313</v>
      </c>
      <c r="J13" s="28"/>
      <c r="K13" s="9" t="str">
        <f>"330,0"</f>
        <v>330,0</v>
      </c>
      <c r="L13" s="9" t="str">
        <f>"189,7170"</f>
        <v>189,7170</v>
      </c>
      <c r="M13" s="7" t="s">
        <v>481</v>
      </c>
    </row>
  </sheetData>
  <mergeCells count="14">
    <mergeCell ref="A8:J8"/>
    <mergeCell ref="A12:J12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13"/>
  <sheetViews>
    <sheetView workbookViewId="0">
      <selection activeCell="E14" sqref="E14"/>
    </sheetView>
  </sheetViews>
  <sheetFormatPr baseColWidth="10" defaultColWidth="9.1640625" defaultRowHeight="13"/>
  <cols>
    <col min="1" max="1" width="7.1640625" style="5" bestFit="1" customWidth="1"/>
    <col min="2" max="2" width="19.1640625" style="5" bestFit="1" customWidth="1"/>
    <col min="3" max="3" width="29" style="5" bestFit="1" customWidth="1"/>
    <col min="4" max="4" width="20.83203125" style="5" bestFit="1" customWidth="1"/>
    <col min="5" max="5" width="10.1640625" style="16" bestFit="1" customWidth="1"/>
    <col min="6" max="6" width="24.6640625" style="5" bestFit="1" customWidth="1"/>
    <col min="7" max="9" width="5.5" style="24" customWidth="1"/>
    <col min="10" max="10" width="4.5" style="24" customWidth="1"/>
    <col min="11" max="11" width="10.5" style="6" bestFit="1" customWidth="1"/>
    <col min="12" max="12" width="7.5" style="6" bestFit="1" customWidth="1"/>
    <col min="13" max="13" width="18.6640625" style="5" customWidth="1"/>
    <col min="14" max="16384" width="9.1640625" style="3"/>
  </cols>
  <sheetData>
    <row r="1" spans="1:13" s="2" customFormat="1" ht="29" customHeight="1">
      <c r="A1" s="51" t="s">
        <v>444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483</v>
      </c>
      <c r="B3" s="66" t="s">
        <v>0</v>
      </c>
      <c r="C3" s="61" t="s">
        <v>484</v>
      </c>
      <c r="D3" s="61" t="s">
        <v>6</v>
      </c>
      <c r="E3" s="45" t="s">
        <v>485</v>
      </c>
      <c r="F3" s="63" t="s">
        <v>5</v>
      </c>
      <c r="G3" s="63" t="s">
        <v>482</v>
      </c>
      <c r="H3" s="63"/>
      <c r="I3" s="63"/>
      <c r="J3" s="63"/>
      <c r="K3" s="45" t="s">
        <v>177</v>
      </c>
      <c r="L3" s="45" t="s">
        <v>3</v>
      </c>
      <c r="M3" s="47" t="s">
        <v>2</v>
      </c>
    </row>
    <row r="4" spans="1:13" s="1" customFormat="1" ht="21" customHeight="1" thickBot="1">
      <c r="A4" s="60"/>
      <c r="B4" s="67"/>
      <c r="C4" s="62"/>
      <c r="D4" s="62"/>
      <c r="E4" s="46"/>
      <c r="F4" s="62"/>
      <c r="G4" s="4">
        <v>1</v>
      </c>
      <c r="H4" s="4">
        <v>2</v>
      </c>
      <c r="I4" s="4">
        <v>3</v>
      </c>
      <c r="J4" s="4" t="s">
        <v>4</v>
      </c>
      <c r="K4" s="46"/>
      <c r="L4" s="46"/>
      <c r="M4" s="48"/>
    </row>
    <row r="5" spans="1:13" ht="16">
      <c r="A5" s="49" t="s">
        <v>10</v>
      </c>
      <c r="B5" s="49"/>
      <c r="C5" s="50"/>
      <c r="D5" s="50"/>
      <c r="E5" s="50"/>
      <c r="F5" s="50"/>
      <c r="G5" s="50"/>
      <c r="H5" s="50"/>
      <c r="I5" s="50"/>
      <c r="J5" s="50"/>
    </row>
    <row r="6" spans="1:13">
      <c r="A6" s="31" t="s">
        <v>60</v>
      </c>
      <c r="B6" s="10" t="s">
        <v>375</v>
      </c>
      <c r="C6" s="10" t="s">
        <v>470</v>
      </c>
      <c r="D6" s="10" t="s">
        <v>373</v>
      </c>
      <c r="E6" s="11" t="s">
        <v>488</v>
      </c>
      <c r="F6" s="10" t="s">
        <v>116</v>
      </c>
      <c r="G6" s="29" t="s">
        <v>374</v>
      </c>
      <c r="H6" s="30" t="s">
        <v>223</v>
      </c>
      <c r="I6" s="29" t="s">
        <v>223</v>
      </c>
      <c r="J6" s="31"/>
      <c r="K6" s="12" t="str">
        <f>"22,5"</f>
        <v>22,5</v>
      </c>
      <c r="L6" s="12" t="str">
        <f>"26,0662"</f>
        <v>26,0662</v>
      </c>
      <c r="M6" s="10"/>
    </row>
    <row r="7" spans="1:13">
      <c r="A7" s="34" t="s">
        <v>60</v>
      </c>
      <c r="B7" s="13" t="s">
        <v>275</v>
      </c>
      <c r="C7" s="13" t="s">
        <v>202</v>
      </c>
      <c r="D7" s="13" t="s">
        <v>203</v>
      </c>
      <c r="E7" s="14" t="s">
        <v>487</v>
      </c>
      <c r="F7" s="13" t="s">
        <v>36</v>
      </c>
      <c r="G7" s="33" t="s">
        <v>16</v>
      </c>
      <c r="H7" s="33" t="s">
        <v>207</v>
      </c>
      <c r="I7" s="33" t="s">
        <v>17</v>
      </c>
      <c r="J7" s="34"/>
      <c r="K7" s="15" t="str">
        <f>"35,0"</f>
        <v>35,0</v>
      </c>
      <c r="L7" s="15" t="str">
        <f>"39,0040"</f>
        <v>39,0040</v>
      </c>
      <c r="M7" s="13"/>
    </row>
    <row r="9" spans="1:13" ht="16">
      <c r="A9" s="64" t="s">
        <v>41</v>
      </c>
      <c r="B9" s="64"/>
      <c r="C9" s="65"/>
      <c r="D9" s="65"/>
      <c r="E9" s="65"/>
      <c r="F9" s="65"/>
      <c r="G9" s="65"/>
      <c r="H9" s="65"/>
      <c r="I9" s="65"/>
      <c r="J9" s="65"/>
    </row>
    <row r="10" spans="1:13">
      <c r="A10" s="28" t="s">
        <v>60</v>
      </c>
      <c r="B10" s="7" t="s">
        <v>290</v>
      </c>
      <c r="C10" s="7" t="s">
        <v>455</v>
      </c>
      <c r="D10" s="7" t="s">
        <v>240</v>
      </c>
      <c r="E10" s="8" t="s">
        <v>486</v>
      </c>
      <c r="F10" s="7" t="s">
        <v>116</v>
      </c>
      <c r="G10" s="26" t="s">
        <v>13</v>
      </c>
      <c r="H10" s="26" t="s">
        <v>14</v>
      </c>
      <c r="I10" s="27" t="s">
        <v>142</v>
      </c>
      <c r="J10" s="28"/>
      <c r="K10" s="9" t="str">
        <f>"55,0"</f>
        <v>55,0</v>
      </c>
      <c r="L10" s="9" t="str">
        <f>"37,0508"</f>
        <v>37,0508</v>
      </c>
      <c r="M10" s="7"/>
    </row>
    <row r="12" spans="1:13" ht="16">
      <c r="A12" s="64" t="s">
        <v>44</v>
      </c>
      <c r="B12" s="64"/>
      <c r="C12" s="65"/>
      <c r="D12" s="65"/>
      <c r="E12" s="65"/>
      <c r="F12" s="65"/>
      <c r="G12" s="65"/>
      <c r="H12" s="65"/>
      <c r="I12" s="65"/>
      <c r="J12" s="65"/>
    </row>
    <row r="13" spans="1:13">
      <c r="A13" s="28" t="s">
        <v>60</v>
      </c>
      <c r="B13" s="7" t="s">
        <v>296</v>
      </c>
      <c r="C13" s="7" t="s">
        <v>256</v>
      </c>
      <c r="D13" s="7" t="s">
        <v>257</v>
      </c>
      <c r="E13" s="8" t="s">
        <v>487</v>
      </c>
      <c r="F13" s="7" t="s">
        <v>116</v>
      </c>
      <c r="G13" s="26" t="s">
        <v>15</v>
      </c>
      <c r="H13" s="27" t="s">
        <v>133</v>
      </c>
      <c r="I13" s="26" t="s">
        <v>133</v>
      </c>
      <c r="J13" s="28"/>
      <c r="K13" s="9" t="str">
        <f>"67,5"</f>
        <v>67,5</v>
      </c>
      <c r="L13" s="9" t="str">
        <f>"42,7950"</f>
        <v>42,7950</v>
      </c>
      <c r="M13" s="7"/>
    </row>
  </sheetData>
  <mergeCells count="14">
    <mergeCell ref="A9:J9"/>
    <mergeCell ref="A12:J12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5" bestFit="1" customWidth="1"/>
    <col min="2" max="2" width="17.83203125" style="5" bestFit="1" customWidth="1"/>
    <col min="3" max="3" width="25.1640625" style="5" bestFit="1" customWidth="1"/>
    <col min="4" max="4" width="20.83203125" style="5" bestFit="1" customWidth="1"/>
    <col min="5" max="5" width="10.1640625" style="16" bestFit="1" customWidth="1"/>
    <col min="6" max="6" width="24.6640625" style="5" bestFit="1" customWidth="1"/>
    <col min="7" max="9" width="5.5" style="24" customWidth="1"/>
    <col min="10" max="10" width="4.5" style="24" customWidth="1"/>
    <col min="11" max="11" width="10.5" style="6" bestFit="1" customWidth="1"/>
    <col min="12" max="12" width="7.5" style="6" bestFit="1" customWidth="1"/>
    <col min="13" max="13" width="18.83203125" style="5" customWidth="1"/>
    <col min="14" max="16384" width="9.1640625" style="3"/>
  </cols>
  <sheetData>
    <row r="1" spans="1:13" s="2" customFormat="1" ht="29" customHeight="1">
      <c r="A1" s="51" t="s">
        <v>445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483</v>
      </c>
      <c r="B3" s="66" t="s">
        <v>0</v>
      </c>
      <c r="C3" s="61" t="s">
        <v>484</v>
      </c>
      <c r="D3" s="61" t="s">
        <v>6</v>
      </c>
      <c r="E3" s="45" t="s">
        <v>485</v>
      </c>
      <c r="F3" s="63" t="s">
        <v>5</v>
      </c>
      <c r="G3" s="63" t="s">
        <v>482</v>
      </c>
      <c r="H3" s="63"/>
      <c r="I3" s="63"/>
      <c r="J3" s="63"/>
      <c r="K3" s="45" t="s">
        <v>177</v>
      </c>
      <c r="L3" s="45" t="s">
        <v>3</v>
      </c>
      <c r="M3" s="47" t="s">
        <v>2</v>
      </c>
    </row>
    <row r="4" spans="1:13" s="1" customFormat="1" ht="21" customHeight="1" thickBot="1">
      <c r="A4" s="60"/>
      <c r="B4" s="67"/>
      <c r="C4" s="62"/>
      <c r="D4" s="62"/>
      <c r="E4" s="46"/>
      <c r="F4" s="62"/>
      <c r="G4" s="4">
        <v>1</v>
      </c>
      <c r="H4" s="4">
        <v>2</v>
      </c>
      <c r="I4" s="4">
        <v>3</v>
      </c>
      <c r="J4" s="4" t="s">
        <v>4</v>
      </c>
      <c r="K4" s="46"/>
      <c r="L4" s="46"/>
      <c r="M4" s="48"/>
    </row>
    <row r="5" spans="1:13" ht="16">
      <c r="A5" s="49" t="s">
        <v>41</v>
      </c>
      <c r="B5" s="49"/>
      <c r="C5" s="50"/>
      <c r="D5" s="50"/>
      <c r="E5" s="50"/>
      <c r="F5" s="50"/>
      <c r="G5" s="50"/>
      <c r="H5" s="50"/>
      <c r="I5" s="50"/>
      <c r="J5" s="50"/>
    </row>
    <row r="6" spans="1:13">
      <c r="A6" s="28" t="s">
        <v>60</v>
      </c>
      <c r="B6" s="7" t="s">
        <v>189</v>
      </c>
      <c r="C6" s="7" t="s">
        <v>158</v>
      </c>
      <c r="D6" s="7" t="s">
        <v>159</v>
      </c>
      <c r="E6" s="8" t="s">
        <v>487</v>
      </c>
      <c r="F6" s="7" t="s">
        <v>36</v>
      </c>
      <c r="G6" s="26" t="s">
        <v>19</v>
      </c>
      <c r="H6" s="26" t="s">
        <v>21</v>
      </c>
      <c r="I6" s="27" t="s">
        <v>369</v>
      </c>
      <c r="J6" s="28"/>
      <c r="K6" s="9" t="str">
        <f>"80,0"</f>
        <v>80,0</v>
      </c>
      <c r="L6" s="9" t="str">
        <f>"52,3600"</f>
        <v>52,3600</v>
      </c>
      <c r="M6" s="7" t="s">
        <v>108</v>
      </c>
    </row>
    <row r="8" spans="1:13" ht="16">
      <c r="A8" s="64" t="s">
        <v>113</v>
      </c>
      <c r="B8" s="64"/>
      <c r="C8" s="65"/>
      <c r="D8" s="65"/>
      <c r="E8" s="65"/>
      <c r="F8" s="65"/>
      <c r="G8" s="65"/>
      <c r="H8" s="65"/>
      <c r="I8" s="65"/>
      <c r="J8" s="65"/>
    </row>
    <row r="9" spans="1:13">
      <c r="A9" s="28" t="s">
        <v>60</v>
      </c>
      <c r="B9" s="7" t="s">
        <v>372</v>
      </c>
      <c r="C9" s="7" t="s">
        <v>370</v>
      </c>
      <c r="D9" s="7" t="s">
        <v>371</v>
      </c>
      <c r="E9" s="8" t="s">
        <v>487</v>
      </c>
      <c r="F9" s="7" t="s">
        <v>36</v>
      </c>
      <c r="G9" s="26" t="s">
        <v>26</v>
      </c>
      <c r="H9" s="26" t="s">
        <v>19</v>
      </c>
      <c r="I9" s="27" t="s">
        <v>215</v>
      </c>
      <c r="J9" s="28"/>
      <c r="K9" s="9" t="str">
        <f>"70,0"</f>
        <v>70,0</v>
      </c>
      <c r="L9" s="9" t="str">
        <f>"39,8685"</f>
        <v>39,8685</v>
      </c>
      <c r="M9" s="7" t="s">
        <v>108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pageSetUpPr fitToPage="1"/>
  </sheetPr>
  <dimension ref="A1:U19"/>
  <sheetViews>
    <sheetView workbookViewId="0">
      <selection activeCell="E20" sqref="E20"/>
    </sheetView>
  </sheetViews>
  <sheetFormatPr baseColWidth="10" defaultColWidth="9.1640625" defaultRowHeight="13"/>
  <cols>
    <col min="1" max="1" width="7.1640625" style="5" bestFit="1" customWidth="1"/>
    <col min="2" max="2" width="22.33203125" style="5" customWidth="1"/>
    <col min="3" max="3" width="28.6640625" style="5" bestFit="1" customWidth="1"/>
    <col min="4" max="4" width="20.83203125" style="5" bestFit="1" customWidth="1"/>
    <col min="5" max="5" width="10.1640625" style="16" bestFit="1" customWidth="1"/>
    <col min="6" max="6" width="37.1640625" style="5" bestFit="1" customWidth="1"/>
    <col min="7" max="9" width="5.5" style="24" customWidth="1"/>
    <col min="10" max="10" width="4.5" style="24" customWidth="1"/>
    <col min="11" max="13" width="5.5" style="24" customWidth="1"/>
    <col min="14" max="14" width="4.5" style="24" customWidth="1"/>
    <col min="15" max="17" width="5.5" style="24" customWidth="1"/>
    <col min="18" max="18" width="4.5" style="24" customWidth="1"/>
    <col min="19" max="19" width="7.6640625" style="6" bestFit="1" customWidth="1"/>
    <col min="20" max="20" width="8.5" style="6" bestFit="1" customWidth="1"/>
    <col min="21" max="21" width="19.5" style="5" customWidth="1"/>
    <col min="22" max="16384" width="9.1640625" style="3"/>
  </cols>
  <sheetData>
    <row r="1" spans="1:21" s="2" customFormat="1" ht="29" customHeight="1">
      <c r="A1" s="51" t="s">
        <v>428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4"/>
    </row>
    <row r="2" spans="1:21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8"/>
    </row>
    <row r="3" spans="1:21" s="1" customFormat="1" ht="12.75" customHeight="1">
      <c r="A3" s="59" t="s">
        <v>483</v>
      </c>
      <c r="B3" s="66" t="s">
        <v>0</v>
      </c>
      <c r="C3" s="61" t="s">
        <v>484</v>
      </c>
      <c r="D3" s="61" t="s">
        <v>6</v>
      </c>
      <c r="E3" s="45" t="s">
        <v>485</v>
      </c>
      <c r="F3" s="63" t="s">
        <v>5</v>
      </c>
      <c r="G3" s="63" t="s">
        <v>7</v>
      </c>
      <c r="H3" s="63"/>
      <c r="I3" s="63"/>
      <c r="J3" s="63"/>
      <c r="K3" s="63" t="s">
        <v>8</v>
      </c>
      <c r="L3" s="63"/>
      <c r="M3" s="63"/>
      <c r="N3" s="63"/>
      <c r="O3" s="63" t="s">
        <v>9</v>
      </c>
      <c r="P3" s="63"/>
      <c r="Q3" s="63"/>
      <c r="R3" s="63"/>
      <c r="S3" s="45" t="s">
        <v>1</v>
      </c>
      <c r="T3" s="45" t="s">
        <v>3</v>
      </c>
      <c r="U3" s="47" t="s">
        <v>2</v>
      </c>
    </row>
    <row r="4" spans="1:21" s="1" customFormat="1" ht="21" customHeight="1" thickBot="1">
      <c r="A4" s="60"/>
      <c r="B4" s="67"/>
      <c r="C4" s="62"/>
      <c r="D4" s="62"/>
      <c r="E4" s="46"/>
      <c r="F4" s="62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6"/>
      <c r="T4" s="46"/>
      <c r="U4" s="48"/>
    </row>
    <row r="5" spans="1:21" ht="16">
      <c r="A5" s="49" t="s">
        <v>10</v>
      </c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21">
      <c r="A6" s="28" t="s">
        <v>60</v>
      </c>
      <c r="B6" s="7" t="s">
        <v>61</v>
      </c>
      <c r="C6" s="7" t="s">
        <v>11</v>
      </c>
      <c r="D6" s="7" t="s">
        <v>12</v>
      </c>
      <c r="E6" s="8" t="s">
        <v>488</v>
      </c>
      <c r="F6" s="7" t="s">
        <v>426</v>
      </c>
      <c r="G6" s="26" t="s">
        <v>13</v>
      </c>
      <c r="H6" s="26" t="s">
        <v>14</v>
      </c>
      <c r="I6" s="27" t="s">
        <v>15</v>
      </c>
      <c r="J6" s="28"/>
      <c r="K6" s="26" t="s">
        <v>16</v>
      </c>
      <c r="L6" s="26" t="s">
        <v>17</v>
      </c>
      <c r="M6" s="27" t="s">
        <v>18</v>
      </c>
      <c r="N6" s="28"/>
      <c r="O6" s="26" t="s">
        <v>19</v>
      </c>
      <c r="P6" s="26" t="s">
        <v>20</v>
      </c>
      <c r="Q6" s="26" t="s">
        <v>21</v>
      </c>
      <c r="R6" s="28"/>
      <c r="S6" s="9" t="str">
        <f>"170,0"</f>
        <v>170,0</v>
      </c>
      <c r="T6" s="9" t="str">
        <f>"227,0180"</f>
        <v>227,0180</v>
      </c>
      <c r="U6" s="7" t="s">
        <v>22</v>
      </c>
    </row>
    <row r="8" spans="1:21" ht="16">
      <c r="A8" s="64" t="s">
        <v>23</v>
      </c>
      <c r="B8" s="64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</row>
    <row r="9" spans="1:21">
      <c r="A9" s="28" t="s">
        <v>60</v>
      </c>
      <c r="B9" s="7" t="s">
        <v>62</v>
      </c>
      <c r="C9" s="7" t="s">
        <v>24</v>
      </c>
      <c r="D9" s="7" t="s">
        <v>25</v>
      </c>
      <c r="E9" s="8" t="s">
        <v>488</v>
      </c>
      <c r="F9" s="7" t="s">
        <v>426</v>
      </c>
      <c r="G9" s="26" t="s">
        <v>13</v>
      </c>
      <c r="H9" s="26" t="s">
        <v>15</v>
      </c>
      <c r="I9" s="26" t="s">
        <v>26</v>
      </c>
      <c r="J9" s="28"/>
      <c r="K9" s="26" t="s">
        <v>13</v>
      </c>
      <c r="L9" s="27" t="s">
        <v>14</v>
      </c>
      <c r="M9" s="27" t="s">
        <v>14</v>
      </c>
      <c r="N9" s="28"/>
      <c r="O9" s="26" t="s">
        <v>15</v>
      </c>
      <c r="P9" s="26" t="s">
        <v>19</v>
      </c>
      <c r="Q9" s="26" t="s">
        <v>21</v>
      </c>
      <c r="R9" s="28"/>
      <c r="S9" s="9" t="str">
        <f>"195,0"</f>
        <v>195,0</v>
      </c>
      <c r="T9" s="9" t="str">
        <f>"188,7015"</f>
        <v>188,7015</v>
      </c>
      <c r="U9" s="7" t="s">
        <v>22</v>
      </c>
    </row>
    <row r="11" spans="1:21" ht="16">
      <c r="A11" s="64" t="s">
        <v>27</v>
      </c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</row>
    <row r="12" spans="1:21">
      <c r="A12" s="31" t="s">
        <v>60</v>
      </c>
      <c r="B12" s="10" t="s">
        <v>63</v>
      </c>
      <c r="C12" s="10" t="s">
        <v>28</v>
      </c>
      <c r="D12" s="10" t="s">
        <v>29</v>
      </c>
      <c r="E12" s="11" t="s">
        <v>488</v>
      </c>
      <c r="F12" s="10" t="s">
        <v>426</v>
      </c>
      <c r="G12" s="29" t="s">
        <v>21</v>
      </c>
      <c r="H12" s="30" t="s">
        <v>30</v>
      </c>
      <c r="I12" s="29" t="s">
        <v>30</v>
      </c>
      <c r="J12" s="31"/>
      <c r="K12" s="29" t="s">
        <v>15</v>
      </c>
      <c r="L12" s="29" t="s">
        <v>26</v>
      </c>
      <c r="M12" s="30" t="s">
        <v>19</v>
      </c>
      <c r="N12" s="31"/>
      <c r="O12" s="29" t="s">
        <v>31</v>
      </c>
      <c r="P12" s="29" t="s">
        <v>32</v>
      </c>
      <c r="Q12" s="29" t="s">
        <v>33</v>
      </c>
      <c r="R12" s="31"/>
      <c r="S12" s="12" t="str">
        <f>"270,0"</f>
        <v>270,0</v>
      </c>
      <c r="T12" s="12" t="str">
        <f>"238,0320"</f>
        <v>238,0320</v>
      </c>
      <c r="U12" s="10" t="s">
        <v>34</v>
      </c>
    </row>
    <row r="13" spans="1:21">
      <c r="A13" s="34" t="s">
        <v>60</v>
      </c>
      <c r="B13" s="13" t="s">
        <v>64</v>
      </c>
      <c r="C13" s="13" t="s">
        <v>449</v>
      </c>
      <c r="D13" s="13" t="s">
        <v>35</v>
      </c>
      <c r="E13" s="14" t="s">
        <v>489</v>
      </c>
      <c r="F13" s="13" t="s">
        <v>36</v>
      </c>
      <c r="G13" s="32" t="s">
        <v>32</v>
      </c>
      <c r="H13" s="32" t="s">
        <v>32</v>
      </c>
      <c r="I13" s="33" t="s">
        <v>32</v>
      </c>
      <c r="J13" s="34"/>
      <c r="K13" s="33" t="s">
        <v>30</v>
      </c>
      <c r="L13" s="32" t="s">
        <v>37</v>
      </c>
      <c r="M13" s="32" t="s">
        <v>37</v>
      </c>
      <c r="N13" s="34"/>
      <c r="O13" s="33" t="s">
        <v>38</v>
      </c>
      <c r="P13" s="33" t="s">
        <v>39</v>
      </c>
      <c r="Q13" s="32" t="s">
        <v>40</v>
      </c>
      <c r="R13" s="34"/>
      <c r="S13" s="15" t="str">
        <f>"360,0"</f>
        <v>360,0</v>
      </c>
      <c r="T13" s="15" t="str">
        <f>"527,6052"</f>
        <v>527,6052</v>
      </c>
      <c r="U13" s="13" t="s">
        <v>325</v>
      </c>
    </row>
    <row r="15" spans="1:21" ht="16">
      <c r="A15" s="64" t="s">
        <v>41</v>
      </c>
      <c r="B15" s="64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</row>
    <row r="16" spans="1:21">
      <c r="A16" s="28" t="s">
        <v>60</v>
      </c>
      <c r="B16" s="7" t="s">
        <v>65</v>
      </c>
      <c r="C16" s="7" t="s">
        <v>42</v>
      </c>
      <c r="D16" s="7" t="s">
        <v>43</v>
      </c>
      <c r="E16" s="8" t="s">
        <v>488</v>
      </c>
      <c r="F16" s="7" t="s">
        <v>426</v>
      </c>
      <c r="G16" s="27" t="s">
        <v>21</v>
      </c>
      <c r="H16" s="26" t="s">
        <v>21</v>
      </c>
      <c r="I16" s="26" t="s">
        <v>37</v>
      </c>
      <c r="J16" s="28"/>
      <c r="K16" s="26" t="s">
        <v>15</v>
      </c>
      <c r="L16" s="26" t="s">
        <v>26</v>
      </c>
      <c r="M16" s="27" t="s">
        <v>19</v>
      </c>
      <c r="N16" s="28"/>
      <c r="O16" s="26" t="s">
        <v>21</v>
      </c>
      <c r="P16" s="26" t="s">
        <v>37</v>
      </c>
      <c r="Q16" s="26" t="s">
        <v>31</v>
      </c>
      <c r="R16" s="28"/>
      <c r="S16" s="9" t="str">
        <f>"255,0"</f>
        <v>255,0</v>
      </c>
      <c r="T16" s="9" t="str">
        <f>"171,8445"</f>
        <v>171,8445</v>
      </c>
      <c r="U16" s="7" t="s">
        <v>22</v>
      </c>
    </row>
    <row r="18" spans="1:21" ht="16">
      <c r="A18" s="64" t="s">
        <v>44</v>
      </c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</row>
    <row r="19" spans="1:21">
      <c r="A19" s="28" t="s">
        <v>60</v>
      </c>
      <c r="B19" s="7" t="s">
        <v>66</v>
      </c>
      <c r="C19" s="7" t="s">
        <v>45</v>
      </c>
      <c r="D19" s="7" t="s">
        <v>46</v>
      </c>
      <c r="E19" s="8" t="s">
        <v>487</v>
      </c>
      <c r="F19" s="7" t="s">
        <v>426</v>
      </c>
      <c r="G19" s="26" t="s">
        <v>47</v>
      </c>
      <c r="H19" s="26" t="s">
        <v>48</v>
      </c>
      <c r="I19" s="27" t="s">
        <v>49</v>
      </c>
      <c r="J19" s="28"/>
      <c r="K19" s="26" t="s">
        <v>50</v>
      </c>
      <c r="L19" s="27" t="s">
        <v>38</v>
      </c>
      <c r="M19" s="27" t="s">
        <v>38</v>
      </c>
      <c r="N19" s="28"/>
      <c r="O19" s="26" t="s">
        <v>48</v>
      </c>
      <c r="P19" s="27" t="s">
        <v>49</v>
      </c>
      <c r="Q19" s="28"/>
      <c r="R19" s="28"/>
      <c r="S19" s="9" t="str">
        <f>"590,0"</f>
        <v>590,0</v>
      </c>
      <c r="T19" s="9" t="str">
        <f>"378,3670"</f>
        <v>378,3670</v>
      </c>
      <c r="U19" s="7"/>
    </row>
  </sheetData>
  <mergeCells count="18">
    <mergeCell ref="A5:R5"/>
    <mergeCell ref="A8:R8"/>
    <mergeCell ref="A11:R11"/>
    <mergeCell ref="A15:R15"/>
    <mergeCell ref="A18:R18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B3:B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28"/>
  <sheetViews>
    <sheetView workbookViewId="0">
      <selection activeCell="E29" sqref="E29"/>
    </sheetView>
  </sheetViews>
  <sheetFormatPr baseColWidth="10" defaultColWidth="9.1640625" defaultRowHeight="13"/>
  <cols>
    <col min="1" max="1" width="7.1640625" style="5" bestFit="1" customWidth="1"/>
    <col min="2" max="2" width="18.33203125" style="5" bestFit="1" customWidth="1"/>
    <col min="3" max="3" width="28.6640625" style="5" bestFit="1" customWidth="1"/>
    <col min="4" max="4" width="20.83203125" style="5" bestFit="1" customWidth="1"/>
    <col min="5" max="5" width="10.1640625" style="16" bestFit="1" customWidth="1"/>
    <col min="6" max="6" width="24.6640625" style="5" bestFit="1" customWidth="1"/>
    <col min="7" max="9" width="5.5" style="24" customWidth="1"/>
    <col min="10" max="10" width="4.5" style="24" customWidth="1"/>
    <col min="11" max="11" width="10.5" style="25" bestFit="1" customWidth="1"/>
    <col min="12" max="12" width="9.6640625" style="6" customWidth="1"/>
    <col min="13" max="13" width="19.83203125" style="5" bestFit="1" customWidth="1"/>
    <col min="14" max="16384" width="9.1640625" style="3"/>
  </cols>
  <sheetData>
    <row r="1" spans="1:13" s="2" customFormat="1" ht="29" customHeight="1">
      <c r="A1" s="51" t="s">
        <v>446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483</v>
      </c>
      <c r="B3" s="66" t="s">
        <v>0</v>
      </c>
      <c r="C3" s="61" t="s">
        <v>484</v>
      </c>
      <c r="D3" s="61" t="s">
        <v>6</v>
      </c>
      <c r="E3" s="45" t="s">
        <v>485</v>
      </c>
      <c r="F3" s="63" t="s">
        <v>5</v>
      </c>
      <c r="G3" s="63" t="s">
        <v>482</v>
      </c>
      <c r="H3" s="63"/>
      <c r="I3" s="63"/>
      <c r="J3" s="63"/>
      <c r="K3" s="68" t="s">
        <v>177</v>
      </c>
      <c r="L3" s="45" t="s">
        <v>3</v>
      </c>
      <c r="M3" s="47" t="s">
        <v>2</v>
      </c>
    </row>
    <row r="4" spans="1:13" s="1" customFormat="1" ht="21" customHeight="1" thickBot="1">
      <c r="A4" s="60"/>
      <c r="B4" s="67"/>
      <c r="C4" s="62"/>
      <c r="D4" s="62"/>
      <c r="E4" s="46"/>
      <c r="F4" s="62"/>
      <c r="G4" s="4">
        <v>1</v>
      </c>
      <c r="H4" s="4">
        <v>2</v>
      </c>
      <c r="I4" s="4">
        <v>3</v>
      </c>
      <c r="J4" s="4" t="s">
        <v>4</v>
      </c>
      <c r="K4" s="69"/>
      <c r="L4" s="46"/>
      <c r="M4" s="48"/>
    </row>
    <row r="5" spans="1:13" ht="16">
      <c r="A5" s="49" t="s">
        <v>195</v>
      </c>
      <c r="B5" s="49"/>
      <c r="C5" s="50"/>
      <c r="D5" s="50"/>
      <c r="E5" s="50"/>
      <c r="F5" s="50"/>
      <c r="G5" s="50"/>
      <c r="H5" s="50"/>
      <c r="I5" s="50"/>
      <c r="J5" s="50"/>
    </row>
    <row r="6" spans="1:13">
      <c r="A6" s="28" t="s">
        <v>60</v>
      </c>
      <c r="B6" s="7" t="s">
        <v>274</v>
      </c>
      <c r="C6" s="7" t="s">
        <v>471</v>
      </c>
      <c r="D6" s="7" t="s">
        <v>199</v>
      </c>
      <c r="E6" s="8" t="s">
        <v>491</v>
      </c>
      <c r="F6" s="7" t="s">
        <v>116</v>
      </c>
      <c r="G6" s="27" t="s">
        <v>223</v>
      </c>
      <c r="H6" s="26" t="s">
        <v>223</v>
      </c>
      <c r="I6" s="27" t="s">
        <v>224</v>
      </c>
      <c r="J6" s="28"/>
      <c r="K6" s="44" t="str">
        <f>"22,5"</f>
        <v>22,5</v>
      </c>
      <c r="L6" s="9" t="str">
        <f>"27,5911"</f>
        <v>27,5911</v>
      </c>
      <c r="M6" s="7" t="s">
        <v>129</v>
      </c>
    </row>
    <row r="8" spans="1:13" ht="16">
      <c r="A8" s="64" t="s">
        <v>10</v>
      </c>
      <c r="B8" s="64"/>
      <c r="C8" s="65"/>
      <c r="D8" s="65"/>
      <c r="E8" s="65"/>
      <c r="F8" s="65"/>
      <c r="G8" s="65"/>
      <c r="H8" s="65"/>
      <c r="I8" s="65"/>
      <c r="J8" s="65"/>
    </row>
    <row r="9" spans="1:13">
      <c r="A9" s="28" t="s">
        <v>60</v>
      </c>
      <c r="B9" s="7" t="s">
        <v>276</v>
      </c>
      <c r="C9" s="7" t="s">
        <v>204</v>
      </c>
      <c r="D9" s="7" t="s">
        <v>389</v>
      </c>
      <c r="E9" s="8" t="s">
        <v>487</v>
      </c>
      <c r="F9" s="7" t="s">
        <v>116</v>
      </c>
      <c r="G9" s="27" t="s">
        <v>207</v>
      </c>
      <c r="H9" s="26" t="s">
        <v>207</v>
      </c>
      <c r="I9" s="27" t="s">
        <v>17</v>
      </c>
      <c r="J9" s="28"/>
      <c r="K9" s="44" t="str">
        <f>"32,5"</f>
        <v>32,5</v>
      </c>
      <c r="L9" s="9" t="str">
        <f>"36,7510"</f>
        <v>36,7510</v>
      </c>
      <c r="M9" s="7" t="s">
        <v>129</v>
      </c>
    </row>
    <row r="11" spans="1:13" ht="16">
      <c r="A11" s="64" t="s">
        <v>27</v>
      </c>
      <c r="B11" s="64"/>
      <c r="C11" s="65"/>
      <c r="D11" s="65"/>
      <c r="E11" s="65"/>
      <c r="F11" s="65"/>
      <c r="G11" s="65"/>
      <c r="H11" s="65"/>
      <c r="I11" s="65"/>
      <c r="J11" s="65"/>
    </row>
    <row r="12" spans="1:13">
      <c r="A12" s="28" t="s">
        <v>60</v>
      </c>
      <c r="B12" s="7" t="s">
        <v>282</v>
      </c>
      <c r="C12" s="7" t="s">
        <v>472</v>
      </c>
      <c r="D12" s="7" t="s">
        <v>220</v>
      </c>
      <c r="E12" s="8" t="s">
        <v>491</v>
      </c>
      <c r="F12" s="7" t="s">
        <v>116</v>
      </c>
      <c r="G12" s="26" t="s">
        <v>200</v>
      </c>
      <c r="H12" s="27" t="s">
        <v>18</v>
      </c>
      <c r="I12" s="27" t="s">
        <v>18</v>
      </c>
      <c r="J12" s="28"/>
      <c r="K12" s="44" t="str">
        <f>"37,5"</f>
        <v>37,5</v>
      </c>
      <c r="L12" s="9" t="str">
        <f>"39,0719"</f>
        <v>39,0719</v>
      </c>
      <c r="M12" s="7" t="s">
        <v>129</v>
      </c>
    </row>
    <row r="14" spans="1:13" ht="16">
      <c r="A14" s="64" t="s">
        <v>73</v>
      </c>
      <c r="B14" s="64"/>
      <c r="C14" s="65"/>
      <c r="D14" s="65"/>
      <c r="E14" s="65"/>
      <c r="F14" s="65"/>
      <c r="G14" s="65"/>
      <c r="H14" s="65"/>
      <c r="I14" s="65"/>
      <c r="J14" s="65"/>
    </row>
    <row r="15" spans="1:13">
      <c r="A15" s="31" t="s">
        <v>60</v>
      </c>
      <c r="B15" s="10" t="s">
        <v>400</v>
      </c>
      <c r="C15" s="10" t="s">
        <v>391</v>
      </c>
      <c r="D15" s="10" t="s">
        <v>392</v>
      </c>
      <c r="E15" s="11" t="s">
        <v>487</v>
      </c>
      <c r="F15" s="10" t="s">
        <v>116</v>
      </c>
      <c r="G15" s="29" t="s">
        <v>142</v>
      </c>
      <c r="H15" s="30" t="s">
        <v>133</v>
      </c>
      <c r="I15" s="30" t="s">
        <v>133</v>
      </c>
      <c r="J15" s="31"/>
      <c r="K15" s="41" t="str">
        <f>"57,5"</f>
        <v>57,5</v>
      </c>
      <c r="L15" s="12" t="str">
        <f>"39,6290"</f>
        <v>39,6290</v>
      </c>
      <c r="M15" s="10"/>
    </row>
    <row r="16" spans="1:13">
      <c r="A16" s="34" t="s">
        <v>100</v>
      </c>
      <c r="B16" s="13" t="s">
        <v>337</v>
      </c>
      <c r="C16" s="13" t="s">
        <v>329</v>
      </c>
      <c r="D16" s="13" t="s">
        <v>393</v>
      </c>
      <c r="E16" s="14" t="s">
        <v>487</v>
      </c>
      <c r="F16" s="13" t="s">
        <v>116</v>
      </c>
      <c r="G16" s="33" t="s">
        <v>18</v>
      </c>
      <c r="H16" s="33" t="s">
        <v>77</v>
      </c>
      <c r="I16" s="33" t="s">
        <v>13</v>
      </c>
      <c r="J16" s="34"/>
      <c r="K16" s="42" t="str">
        <f>"50,0"</f>
        <v>50,0</v>
      </c>
      <c r="L16" s="15" t="str">
        <f>"34,5800"</f>
        <v>34,5800</v>
      </c>
      <c r="M16" s="13"/>
    </row>
    <row r="18" spans="1:13" ht="16">
      <c r="A18" s="64" t="s">
        <v>41</v>
      </c>
      <c r="B18" s="64"/>
      <c r="C18" s="65"/>
      <c r="D18" s="65"/>
      <c r="E18" s="65"/>
      <c r="F18" s="65"/>
      <c r="G18" s="65"/>
      <c r="H18" s="65"/>
      <c r="I18" s="65"/>
      <c r="J18" s="65"/>
    </row>
    <row r="19" spans="1:13">
      <c r="A19" s="31" t="s">
        <v>60</v>
      </c>
      <c r="B19" s="10" t="s">
        <v>291</v>
      </c>
      <c r="C19" s="10" t="s">
        <v>242</v>
      </c>
      <c r="D19" s="10" t="s">
        <v>394</v>
      </c>
      <c r="E19" s="11" t="s">
        <v>487</v>
      </c>
      <c r="F19" s="10" t="s">
        <v>36</v>
      </c>
      <c r="G19" s="29" t="s">
        <v>14</v>
      </c>
      <c r="H19" s="29" t="s">
        <v>395</v>
      </c>
      <c r="I19" s="31"/>
      <c r="J19" s="31"/>
      <c r="K19" s="41" t="str">
        <f>"62,5"</f>
        <v>62,5</v>
      </c>
      <c r="L19" s="12" t="str">
        <f>"40,7234"</f>
        <v>40,7234</v>
      </c>
      <c r="M19" s="10" t="s">
        <v>108</v>
      </c>
    </row>
    <row r="20" spans="1:13">
      <c r="A20" s="38" t="s">
        <v>100</v>
      </c>
      <c r="B20" s="35" t="s">
        <v>293</v>
      </c>
      <c r="C20" s="35" t="s">
        <v>248</v>
      </c>
      <c r="D20" s="35" t="s">
        <v>396</v>
      </c>
      <c r="E20" s="36" t="s">
        <v>487</v>
      </c>
      <c r="F20" s="35" t="s">
        <v>116</v>
      </c>
      <c r="G20" s="39" t="s">
        <v>13</v>
      </c>
      <c r="H20" s="39" t="s">
        <v>14</v>
      </c>
      <c r="I20" s="40" t="s">
        <v>395</v>
      </c>
      <c r="J20" s="38"/>
      <c r="K20" s="43" t="str">
        <f>"55,0"</f>
        <v>55,0</v>
      </c>
      <c r="L20" s="37" t="str">
        <f>"37,1690"</f>
        <v>37,1690</v>
      </c>
      <c r="M20" s="35" t="s">
        <v>251</v>
      </c>
    </row>
    <row r="21" spans="1:13">
      <c r="A21" s="34" t="s">
        <v>186</v>
      </c>
      <c r="B21" s="13" t="s">
        <v>401</v>
      </c>
      <c r="C21" s="13" t="s">
        <v>397</v>
      </c>
      <c r="D21" s="13" t="s">
        <v>398</v>
      </c>
      <c r="E21" s="14" t="s">
        <v>487</v>
      </c>
      <c r="F21" s="13" t="s">
        <v>36</v>
      </c>
      <c r="G21" s="33" t="s">
        <v>13</v>
      </c>
      <c r="H21" s="32" t="s">
        <v>14</v>
      </c>
      <c r="I21" s="32" t="s">
        <v>14</v>
      </c>
      <c r="J21" s="34"/>
      <c r="K21" s="42" t="str">
        <f>"50,0"</f>
        <v>50,0</v>
      </c>
      <c r="L21" s="15" t="str">
        <f>"32,4750"</f>
        <v>32,4750</v>
      </c>
      <c r="M21" s="13" t="s">
        <v>108</v>
      </c>
    </row>
    <row r="23" spans="1:13" ht="16">
      <c r="A23" s="64" t="s">
        <v>44</v>
      </c>
      <c r="B23" s="64"/>
      <c r="C23" s="65"/>
      <c r="D23" s="65"/>
      <c r="E23" s="65"/>
      <c r="F23" s="65"/>
      <c r="G23" s="65"/>
      <c r="H23" s="65"/>
      <c r="I23" s="65"/>
      <c r="J23" s="65"/>
    </row>
    <row r="24" spans="1:13">
      <c r="A24" s="31" t="s">
        <v>294</v>
      </c>
      <c r="B24" s="10" t="s">
        <v>402</v>
      </c>
      <c r="C24" s="10" t="s">
        <v>399</v>
      </c>
      <c r="D24" s="10" t="s">
        <v>376</v>
      </c>
      <c r="E24" s="11" t="s">
        <v>487</v>
      </c>
      <c r="F24" s="10" t="s">
        <v>36</v>
      </c>
      <c r="G24" s="30" t="s">
        <v>215</v>
      </c>
      <c r="H24" s="30" t="s">
        <v>215</v>
      </c>
      <c r="I24" s="30" t="s">
        <v>215</v>
      </c>
      <c r="J24" s="31"/>
      <c r="K24" s="41">
        <v>0</v>
      </c>
      <c r="L24" s="12" t="str">
        <f>"0,0000"</f>
        <v>0,0000</v>
      </c>
      <c r="M24" s="10"/>
    </row>
    <row r="25" spans="1:13">
      <c r="A25" s="34" t="s">
        <v>294</v>
      </c>
      <c r="B25" s="13" t="s">
        <v>354</v>
      </c>
      <c r="C25" s="13" t="s">
        <v>350</v>
      </c>
      <c r="D25" s="13" t="s">
        <v>351</v>
      </c>
      <c r="E25" s="14" t="s">
        <v>487</v>
      </c>
      <c r="F25" s="13" t="s">
        <v>116</v>
      </c>
      <c r="G25" s="32" t="s">
        <v>133</v>
      </c>
      <c r="H25" s="32" t="s">
        <v>133</v>
      </c>
      <c r="I25" s="32" t="s">
        <v>133</v>
      </c>
      <c r="J25" s="34"/>
      <c r="K25" s="42">
        <v>0</v>
      </c>
      <c r="L25" s="15" t="str">
        <f>"0,0000"</f>
        <v>0,0000</v>
      </c>
      <c r="M25" s="13" t="s">
        <v>255</v>
      </c>
    </row>
    <row r="27" spans="1:13" ht="16">
      <c r="A27" s="64" t="s">
        <v>161</v>
      </c>
      <c r="B27" s="64"/>
      <c r="C27" s="65"/>
      <c r="D27" s="65"/>
      <c r="E27" s="65"/>
      <c r="F27" s="65"/>
      <c r="G27" s="65"/>
      <c r="H27" s="65"/>
      <c r="I27" s="65"/>
      <c r="J27" s="65"/>
    </row>
    <row r="28" spans="1:13">
      <c r="A28" s="28" t="s">
        <v>60</v>
      </c>
      <c r="B28" s="7" t="s">
        <v>300</v>
      </c>
      <c r="C28" s="7" t="s">
        <v>473</v>
      </c>
      <c r="D28" s="7" t="s">
        <v>265</v>
      </c>
      <c r="E28" s="8" t="s">
        <v>490</v>
      </c>
      <c r="F28" s="7" t="s">
        <v>116</v>
      </c>
      <c r="G28" s="26" t="s">
        <v>15</v>
      </c>
      <c r="H28" s="27" t="s">
        <v>26</v>
      </c>
      <c r="I28" s="27" t="s">
        <v>26</v>
      </c>
      <c r="J28" s="28"/>
      <c r="K28" s="44" t="str">
        <f>"60,0"</f>
        <v>60,0</v>
      </c>
      <c r="L28" s="9" t="str">
        <f>"40,8076"</f>
        <v>40,8076</v>
      </c>
      <c r="M28" s="7" t="s">
        <v>129</v>
      </c>
    </row>
  </sheetData>
  <mergeCells count="18">
    <mergeCell ref="A27:J27"/>
    <mergeCell ref="K3:K4"/>
    <mergeCell ref="L3:L4"/>
    <mergeCell ref="M3:M4"/>
    <mergeCell ref="A5:J5"/>
    <mergeCell ref="B3:B4"/>
    <mergeCell ref="A8:J8"/>
    <mergeCell ref="A11:J11"/>
    <mergeCell ref="A14:J14"/>
    <mergeCell ref="A18:J18"/>
    <mergeCell ref="A23:J23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14"/>
  <sheetViews>
    <sheetView tabSelected="1" workbookViewId="0">
      <selection activeCell="E15" sqref="E15"/>
    </sheetView>
  </sheetViews>
  <sheetFormatPr baseColWidth="10" defaultColWidth="9.1640625" defaultRowHeight="13"/>
  <cols>
    <col min="1" max="1" width="7.1640625" style="5" bestFit="1" customWidth="1"/>
    <col min="2" max="2" width="20.5" style="5" customWidth="1"/>
    <col min="3" max="3" width="28.6640625" style="5" bestFit="1" customWidth="1"/>
    <col min="4" max="4" width="20.83203125" style="5" bestFit="1" customWidth="1"/>
    <col min="5" max="5" width="10.1640625" style="16" bestFit="1" customWidth="1"/>
    <col min="6" max="6" width="28.1640625" style="5" bestFit="1" customWidth="1"/>
    <col min="7" max="9" width="5.5" style="24" customWidth="1"/>
    <col min="10" max="10" width="4.5" style="24" customWidth="1"/>
    <col min="11" max="11" width="10.5" style="6" bestFit="1" customWidth="1"/>
    <col min="12" max="12" width="7.5" style="6" bestFit="1" customWidth="1"/>
    <col min="13" max="13" width="22.6640625" style="5" bestFit="1" customWidth="1"/>
    <col min="14" max="16384" width="9.1640625" style="3"/>
  </cols>
  <sheetData>
    <row r="1" spans="1:13" s="2" customFormat="1" ht="29" customHeight="1">
      <c r="A1" s="51" t="s">
        <v>447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483</v>
      </c>
      <c r="B3" s="66" t="s">
        <v>0</v>
      </c>
      <c r="C3" s="61" t="s">
        <v>484</v>
      </c>
      <c r="D3" s="61" t="s">
        <v>6</v>
      </c>
      <c r="E3" s="45" t="s">
        <v>485</v>
      </c>
      <c r="F3" s="63" t="s">
        <v>5</v>
      </c>
      <c r="G3" s="63" t="s">
        <v>482</v>
      </c>
      <c r="H3" s="63"/>
      <c r="I3" s="63"/>
      <c r="J3" s="63"/>
      <c r="K3" s="45" t="s">
        <v>177</v>
      </c>
      <c r="L3" s="45" t="s">
        <v>3</v>
      </c>
      <c r="M3" s="47" t="s">
        <v>2</v>
      </c>
    </row>
    <row r="4" spans="1:13" s="1" customFormat="1" ht="21" customHeight="1" thickBot="1">
      <c r="A4" s="60"/>
      <c r="B4" s="67"/>
      <c r="C4" s="62"/>
      <c r="D4" s="62"/>
      <c r="E4" s="46"/>
      <c r="F4" s="62"/>
      <c r="G4" s="4">
        <v>1</v>
      </c>
      <c r="H4" s="4">
        <v>2</v>
      </c>
      <c r="I4" s="4">
        <v>3</v>
      </c>
      <c r="J4" s="4" t="s">
        <v>4</v>
      </c>
      <c r="K4" s="46"/>
      <c r="L4" s="46"/>
      <c r="M4" s="48"/>
    </row>
    <row r="5" spans="1:13" ht="16">
      <c r="A5" s="49" t="s">
        <v>102</v>
      </c>
      <c r="B5" s="49"/>
      <c r="C5" s="50"/>
      <c r="D5" s="50"/>
      <c r="E5" s="50"/>
      <c r="F5" s="50"/>
      <c r="G5" s="50"/>
      <c r="H5" s="50"/>
      <c r="I5" s="50"/>
      <c r="J5" s="50"/>
    </row>
    <row r="6" spans="1:13">
      <c r="A6" s="31" t="s">
        <v>60</v>
      </c>
      <c r="B6" s="10" t="s">
        <v>387</v>
      </c>
      <c r="C6" s="10" t="s">
        <v>474</v>
      </c>
      <c r="D6" s="10" t="s">
        <v>381</v>
      </c>
      <c r="E6" s="11" t="s">
        <v>488</v>
      </c>
      <c r="F6" s="10" t="s">
        <v>149</v>
      </c>
      <c r="G6" s="29" t="s">
        <v>77</v>
      </c>
      <c r="H6" s="29" t="s">
        <v>111</v>
      </c>
      <c r="I6" s="30" t="s">
        <v>13</v>
      </c>
      <c r="J6" s="31"/>
      <c r="K6" s="12" t="str">
        <f>"47,5"</f>
        <v>47,5</v>
      </c>
      <c r="L6" s="12" t="str">
        <f>"38,2005"</f>
        <v>38,2005</v>
      </c>
      <c r="M6" s="10" t="s">
        <v>345</v>
      </c>
    </row>
    <row r="7" spans="1:13">
      <c r="A7" s="34" t="s">
        <v>60</v>
      </c>
      <c r="B7" s="13" t="s">
        <v>180</v>
      </c>
      <c r="C7" s="13" t="s">
        <v>136</v>
      </c>
      <c r="D7" s="13" t="s">
        <v>382</v>
      </c>
      <c r="E7" s="14" t="s">
        <v>487</v>
      </c>
      <c r="F7" s="13" t="s">
        <v>425</v>
      </c>
      <c r="G7" s="32" t="s">
        <v>13</v>
      </c>
      <c r="H7" s="33" t="s">
        <v>14</v>
      </c>
      <c r="I7" s="34"/>
      <c r="J7" s="34"/>
      <c r="K7" s="15" t="str">
        <f>"55,0"</f>
        <v>55,0</v>
      </c>
      <c r="L7" s="15" t="str">
        <f>"41,5580"</f>
        <v>41,5580</v>
      </c>
      <c r="M7" s="13" t="s">
        <v>108</v>
      </c>
    </row>
    <row r="9" spans="1:13" ht="16">
      <c r="A9" s="64" t="s">
        <v>41</v>
      </c>
      <c r="B9" s="64"/>
      <c r="C9" s="65"/>
      <c r="D9" s="65"/>
      <c r="E9" s="65"/>
      <c r="F9" s="65"/>
      <c r="G9" s="65"/>
      <c r="H9" s="65"/>
      <c r="I9" s="65"/>
      <c r="J9" s="65"/>
    </row>
    <row r="10" spans="1:13">
      <c r="A10" s="31" t="s">
        <v>60</v>
      </c>
      <c r="B10" s="10" t="s">
        <v>388</v>
      </c>
      <c r="C10" s="10" t="s">
        <v>475</v>
      </c>
      <c r="D10" s="10" t="s">
        <v>383</v>
      </c>
      <c r="E10" s="11" t="s">
        <v>488</v>
      </c>
      <c r="F10" s="10" t="s">
        <v>384</v>
      </c>
      <c r="G10" s="29" t="s">
        <v>18</v>
      </c>
      <c r="H10" s="29" t="s">
        <v>69</v>
      </c>
      <c r="I10" s="29" t="s">
        <v>77</v>
      </c>
      <c r="J10" s="31"/>
      <c r="K10" s="12" t="str">
        <f>"45,0"</f>
        <v>45,0</v>
      </c>
      <c r="L10" s="12" t="str">
        <f>"30,1208"</f>
        <v>30,1208</v>
      </c>
      <c r="M10" s="10" t="s">
        <v>345</v>
      </c>
    </row>
    <row r="11" spans="1:13">
      <c r="A11" s="34" t="s">
        <v>60</v>
      </c>
      <c r="B11" s="13" t="s">
        <v>185</v>
      </c>
      <c r="C11" s="13" t="s">
        <v>153</v>
      </c>
      <c r="D11" s="13" t="s">
        <v>385</v>
      </c>
      <c r="E11" s="14" t="s">
        <v>487</v>
      </c>
      <c r="F11" s="13" t="s">
        <v>36</v>
      </c>
      <c r="G11" s="33" t="s">
        <v>15</v>
      </c>
      <c r="H11" s="33" t="s">
        <v>19</v>
      </c>
      <c r="I11" s="32" t="s">
        <v>21</v>
      </c>
      <c r="J11" s="34"/>
      <c r="K11" s="15" t="str">
        <f>"70,0"</f>
        <v>70,0</v>
      </c>
      <c r="L11" s="15" t="str">
        <f>"45,1745"</f>
        <v>45,1745</v>
      </c>
      <c r="M11" s="13" t="s">
        <v>108</v>
      </c>
    </row>
    <row r="13" spans="1:13" ht="16">
      <c r="A13" s="64" t="s">
        <v>161</v>
      </c>
      <c r="B13" s="64"/>
      <c r="C13" s="65"/>
      <c r="D13" s="65"/>
      <c r="E13" s="65"/>
      <c r="F13" s="65"/>
      <c r="G13" s="65"/>
      <c r="H13" s="65"/>
      <c r="I13" s="65"/>
      <c r="J13" s="65"/>
    </row>
    <row r="14" spans="1:13">
      <c r="A14" s="28" t="s">
        <v>60</v>
      </c>
      <c r="B14" s="7" t="s">
        <v>191</v>
      </c>
      <c r="C14" s="7" t="s">
        <v>476</v>
      </c>
      <c r="D14" s="7" t="s">
        <v>386</v>
      </c>
      <c r="E14" s="8" t="s">
        <v>490</v>
      </c>
      <c r="F14" s="7" t="s">
        <v>36</v>
      </c>
      <c r="G14" s="26" t="s">
        <v>14</v>
      </c>
      <c r="H14" s="26" t="s">
        <v>15</v>
      </c>
      <c r="I14" s="26" t="s">
        <v>26</v>
      </c>
      <c r="J14" s="28"/>
      <c r="K14" s="9" t="str">
        <f>"65,0"</f>
        <v>65,0</v>
      </c>
      <c r="L14" s="9" t="str">
        <f>"51,0222"</f>
        <v>51,0222</v>
      </c>
      <c r="M14" s="7"/>
    </row>
  </sheetData>
  <mergeCells count="14">
    <mergeCell ref="A9:J9"/>
    <mergeCell ref="A13:J13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"/>
  <sheetViews>
    <sheetView workbookViewId="0">
      <selection activeCell="E11" sqref="E11"/>
    </sheetView>
  </sheetViews>
  <sheetFormatPr baseColWidth="10" defaultColWidth="9.1640625" defaultRowHeight="13"/>
  <cols>
    <col min="1" max="1" width="7.1640625" style="5" bestFit="1" customWidth="1"/>
    <col min="2" max="2" width="20.1640625" style="5" bestFit="1" customWidth="1"/>
    <col min="3" max="3" width="28.83203125" style="5" bestFit="1" customWidth="1"/>
    <col min="4" max="4" width="20.83203125" style="5" bestFit="1" customWidth="1"/>
    <col min="5" max="5" width="10.1640625" style="16" bestFit="1" customWidth="1"/>
    <col min="6" max="6" width="24.6640625" style="5" bestFit="1" customWidth="1"/>
    <col min="7" max="9" width="5.5" style="24" customWidth="1"/>
    <col min="10" max="10" width="4.5" style="24" customWidth="1"/>
    <col min="11" max="13" width="5.5" style="24" customWidth="1"/>
    <col min="14" max="14" width="4.5" style="24" customWidth="1"/>
    <col min="15" max="17" width="5.5" style="24" customWidth="1"/>
    <col min="18" max="18" width="4.5" style="24" customWidth="1"/>
    <col min="19" max="19" width="7.6640625" style="6" bestFit="1" customWidth="1"/>
    <col min="20" max="20" width="8.5" style="6" bestFit="1" customWidth="1"/>
    <col min="21" max="21" width="17.5" style="5" customWidth="1"/>
    <col min="22" max="16384" width="9.1640625" style="3"/>
  </cols>
  <sheetData>
    <row r="1" spans="1:21" s="2" customFormat="1" ht="29" customHeight="1">
      <c r="A1" s="51" t="s">
        <v>429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4"/>
    </row>
    <row r="2" spans="1:21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8"/>
    </row>
    <row r="3" spans="1:21" s="1" customFormat="1" ht="12.75" customHeight="1">
      <c r="A3" s="59" t="s">
        <v>483</v>
      </c>
      <c r="B3" s="66" t="s">
        <v>0</v>
      </c>
      <c r="C3" s="61" t="s">
        <v>484</v>
      </c>
      <c r="D3" s="61" t="s">
        <v>6</v>
      </c>
      <c r="E3" s="45" t="s">
        <v>485</v>
      </c>
      <c r="F3" s="63" t="s">
        <v>5</v>
      </c>
      <c r="G3" s="63" t="s">
        <v>7</v>
      </c>
      <c r="H3" s="63"/>
      <c r="I3" s="63"/>
      <c r="J3" s="63"/>
      <c r="K3" s="63" t="s">
        <v>8</v>
      </c>
      <c r="L3" s="63"/>
      <c r="M3" s="63"/>
      <c r="N3" s="63"/>
      <c r="O3" s="63" t="s">
        <v>9</v>
      </c>
      <c r="P3" s="63"/>
      <c r="Q3" s="63"/>
      <c r="R3" s="63"/>
      <c r="S3" s="45" t="s">
        <v>1</v>
      </c>
      <c r="T3" s="45" t="s">
        <v>3</v>
      </c>
      <c r="U3" s="47" t="s">
        <v>2</v>
      </c>
    </row>
    <row r="4" spans="1:21" s="1" customFormat="1" ht="21" customHeight="1" thickBot="1">
      <c r="A4" s="60"/>
      <c r="B4" s="67"/>
      <c r="C4" s="62"/>
      <c r="D4" s="62"/>
      <c r="E4" s="46"/>
      <c r="F4" s="62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6"/>
      <c r="T4" s="46"/>
      <c r="U4" s="48"/>
    </row>
    <row r="5" spans="1:21" ht="16">
      <c r="A5" s="49" t="s">
        <v>102</v>
      </c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21">
      <c r="A6" s="31" t="s">
        <v>60</v>
      </c>
      <c r="B6" s="10" t="s">
        <v>124</v>
      </c>
      <c r="C6" s="10" t="s">
        <v>450</v>
      </c>
      <c r="D6" s="10" t="s">
        <v>104</v>
      </c>
      <c r="E6" s="11" t="s">
        <v>486</v>
      </c>
      <c r="F6" s="10" t="s">
        <v>36</v>
      </c>
      <c r="G6" s="29" t="s">
        <v>105</v>
      </c>
      <c r="H6" s="30" t="s">
        <v>106</v>
      </c>
      <c r="I6" s="30" t="s">
        <v>106</v>
      </c>
      <c r="J6" s="31"/>
      <c r="K6" s="29" t="s">
        <v>78</v>
      </c>
      <c r="L6" s="30" t="s">
        <v>14</v>
      </c>
      <c r="M6" s="30" t="s">
        <v>14</v>
      </c>
      <c r="N6" s="31"/>
      <c r="O6" s="29" t="s">
        <v>107</v>
      </c>
      <c r="P6" s="29" t="s">
        <v>33</v>
      </c>
      <c r="Q6" s="31"/>
      <c r="R6" s="31"/>
      <c r="S6" s="12" t="str">
        <f>"307,5"</f>
        <v>307,5</v>
      </c>
      <c r="T6" s="12" t="str">
        <f>"314,8493"</f>
        <v>314,8493</v>
      </c>
      <c r="U6" s="10" t="s">
        <v>108</v>
      </c>
    </row>
    <row r="7" spans="1:21">
      <c r="A7" s="34" t="s">
        <v>60</v>
      </c>
      <c r="B7" s="13" t="s">
        <v>125</v>
      </c>
      <c r="C7" s="13" t="s">
        <v>109</v>
      </c>
      <c r="D7" s="13" t="s">
        <v>110</v>
      </c>
      <c r="E7" s="14" t="s">
        <v>487</v>
      </c>
      <c r="F7" s="13" t="s">
        <v>36</v>
      </c>
      <c r="G7" s="33" t="s">
        <v>92</v>
      </c>
      <c r="H7" s="32" t="s">
        <v>107</v>
      </c>
      <c r="I7" s="33" t="s">
        <v>107</v>
      </c>
      <c r="J7" s="34"/>
      <c r="K7" s="33" t="s">
        <v>69</v>
      </c>
      <c r="L7" s="33" t="s">
        <v>77</v>
      </c>
      <c r="M7" s="33" t="s">
        <v>111</v>
      </c>
      <c r="N7" s="34"/>
      <c r="O7" s="33" t="s">
        <v>91</v>
      </c>
      <c r="P7" s="33" t="s">
        <v>92</v>
      </c>
      <c r="Q7" s="33" t="s">
        <v>112</v>
      </c>
      <c r="R7" s="34"/>
      <c r="S7" s="15" t="str">
        <f>"275,0"</f>
        <v>275,0</v>
      </c>
      <c r="T7" s="15" t="str">
        <f>"282,1775"</f>
        <v>282,1775</v>
      </c>
      <c r="U7" s="13" t="s">
        <v>108</v>
      </c>
    </row>
    <row r="9" spans="1:21" ht="16">
      <c r="A9" s="64" t="s">
        <v>113</v>
      </c>
      <c r="B9" s="64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spans="1:21">
      <c r="A10" s="28" t="s">
        <v>60</v>
      </c>
      <c r="B10" s="7" t="s">
        <v>126</v>
      </c>
      <c r="C10" s="7" t="s">
        <v>114</v>
      </c>
      <c r="D10" s="7" t="s">
        <v>115</v>
      </c>
      <c r="E10" s="8" t="s">
        <v>487</v>
      </c>
      <c r="F10" s="7" t="s">
        <v>116</v>
      </c>
      <c r="G10" s="27" t="s">
        <v>117</v>
      </c>
      <c r="H10" s="26" t="s">
        <v>88</v>
      </c>
      <c r="I10" s="26" t="s">
        <v>47</v>
      </c>
      <c r="J10" s="28"/>
      <c r="K10" s="26" t="s">
        <v>118</v>
      </c>
      <c r="L10" s="26" t="s">
        <v>119</v>
      </c>
      <c r="M10" s="26" t="s">
        <v>120</v>
      </c>
      <c r="N10" s="28"/>
      <c r="O10" s="26" t="s">
        <v>47</v>
      </c>
      <c r="P10" s="26" t="s">
        <v>121</v>
      </c>
      <c r="Q10" s="26" t="s">
        <v>122</v>
      </c>
      <c r="R10" s="28"/>
      <c r="S10" s="9" t="str">
        <f>"602,5"</f>
        <v>602,5</v>
      </c>
      <c r="T10" s="9" t="str">
        <f>"355,3545"</f>
        <v>355,3545</v>
      </c>
      <c r="U10" s="7" t="s">
        <v>123</v>
      </c>
    </row>
  </sheetData>
  <mergeCells count="15">
    <mergeCell ref="A9:R9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0"/>
  <sheetViews>
    <sheetView workbookViewId="0">
      <selection activeCell="E11" sqref="E11"/>
    </sheetView>
  </sheetViews>
  <sheetFormatPr baseColWidth="10" defaultColWidth="9.1640625" defaultRowHeight="13"/>
  <cols>
    <col min="1" max="1" width="7.1640625" style="5" bestFit="1" customWidth="1"/>
    <col min="2" max="2" width="19.6640625" style="5" customWidth="1"/>
    <col min="3" max="3" width="28.6640625" style="5" bestFit="1" customWidth="1"/>
    <col min="4" max="4" width="20.83203125" style="5" bestFit="1" customWidth="1"/>
    <col min="5" max="5" width="10.1640625" style="16" bestFit="1" customWidth="1"/>
    <col min="6" max="6" width="24" style="5" customWidth="1"/>
    <col min="7" max="9" width="5.5" style="24" customWidth="1"/>
    <col min="10" max="10" width="4.5" style="24" customWidth="1"/>
    <col min="11" max="13" width="5.5" style="24" customWidth="1"/>
    <col min="14" max="14" width="4.5" style="24" customWidth="1"/>
    <col min="15" max="15" width="7.6640625" style="6" bestFit="1" customWidth="1"/>
    <col min="16" max="16" width="8.5" style="6" bestFit="1" customWidth="1"/>
    <col min="17" max="17" width="19.83203125" style="5" bestFit="1" customWidth="1"/>
    <col min="18" max="16384" width="9.1640625" style="3"/>
  </cols>
  <sheetData>
    <row r="1" spans="1:17" s="2" customFormat="1" ht="29" customHeight="1">
      <c r="A1" s="51" t="s">
        <v>430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4"/>
    </row>
    <row r="2" spans="1:17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8"/>
    </row>
    <row r="3" spans="1:17" s="1" customFormat="1" ht="12.75" customHeight="1">
      <c r="A3" s="59" t="s">
        <v>483</v>
      </c>
      <c r="B3" s="66" t="s">
        <v>0</v>
      </c>
      <c r="C3" s="61" t="s">
        <v>484</v>
      </c>
      <c r="D3" s="61" t="s">
        <v>6</v>
      </c>
      <c r="E3" s="45" t="s">
        <v>485</v>
      </c>
      <c r="F3" s="63" t="s">
        <v>5</v>
      </c>
      <c r="G3" s="63" t="s">
        <v>8</v>
      </c>
      <c r="H3" s="63"/>
      <c r="I3" s="63"/>
      <c r="J3" s="63"/>
      <c r="K3" s="63" t="s">
        <v>9</v>
      </c>
      <c r="L3" s="63"/>
      <c r="M3" s="63"/>
      <c r="N3" s="63"/>
      <c r="O3" s="45" t="s">
        <v>1</v>
      </c>
      <c r="P3" s="45" t="s">
        <v>3</v>
      </c>
      <c r="Q3" s="47" t="s">
        <v>2</v>
      </c>
    </row>
    <row r="4" spans="1:17" s="1" customFormat="1" ht="21" customHeight="1" thickBot="1">
      <c r="A4" s="60"/>
      <c r="B4" s="67"/>
      <c r="C4" s="62"/>
      <c r="D4" s="62"/>
      <c r="E4" s="46"/>
      <c r="F4" s="62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6"/>
      <c r="P4" s="46"/>
      <c r="Q4" s="48"/>
    </row>
    <row r="5" spans="1:17" ht="16">
      <c r="A5" s="49" t="s">
        <v>41</v>
      </c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7">
      <c r="A6" s="31" t="s">
        <v>60</v>
      </c>
      <c r="B6" s="10" t="s">
        <v>352</v>
      </c>
      <c r="C6" s="10" t="s">
        <v>347</v>
      </c>
      <c r="D6" s="10" t="s">
        <v>348</v>
      </c>
      <c r="E6" s="11" t="s">
        <v>487</v>
      </c>
      <c r="F6" s="10" t="s">
        <v>116</v>
      </c>
      <c r="G6" s="29" t="s">
        <v>21</v>
      </c>
      <c r="H6" s="30" t="s">
        <v>145</v>
      </c>
      <c r="I6" s="29" t="s">
        <v>145</v>
      </c>
      <c r="J6" s="31"/>
      <c r="K6" s="29" t="s">
        <v>79</v>
      </c>
      <c r="L6" s="29" t="s">
        <v>105</v>
      </c>
      <c r="M6" s="29" t="s">
        <v>118</v>
      </c>
      <c r="N6" s="31"/>
      <c r="O6" s="12" t="str">
        <f>"222,5"</f>
        <v>222,5</v>
      </c>
      <c r="P6" s="12" t="str">
        <f>"152,0120"</f>
        <v>152,0120</v>
      </c>
      <c r="Q6" s="10" t="s">
        <v>255</v>
      </c>
    </row>
    <row r="7" spans="1:17">
      <c r="A7" s="34" t="s">
        <v>60</v>
      </c>
      <c r="B7" s="13" t="s">
        <v>353</v>
      </c>
      <c r="C7" s="13" t="s">
        <v>451</v>
      </c>
      <c r="D7" s="13" t="s">
        <v>349</v>
      </c>
      <c r="E7" s="14" t="s">
        <v>490</v>
      </c>
      <c r="F7" s="13" t="s">
        <v>116</v>
      </c>
      <c r="G7" s="33" t="s">
        <v>145</v>
      </c>
      <c r="H7" s="32" t="s">
        <v>30</v>
      </c>
      <c r="I7" s="32" t="s">
        <v>30</v>
      </c>
      <c r="J7" s="34"/>
      <c r="K7" s="33" t="s">
        <v>79</v>
      </c>
      <c r="L7" s="32" t="s">
        <v>118</v>
      </c>
      <c r="M7" s="32" t="s">
        <v>118</v>
      </c>
      <c r="N7" s="34"/>
      <c r="O7" s="15" t="str">
        <f>"212,5"</f>
        <v>212,5</v>
      </c>
      <c r="P7" s="15" t="str">
        <f>"157,8829"</f>
        <v>157,8829</v>
      </c>
      <c r="Q7" s="13" t="s">
        <v>255</v>
      </c>
    </row>
    <row r="9" spans="1:17" ht="16">
      <c r="A9" s="64" t="s">
        <v>44</v>
      </c>
      <c r="B9" s="64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</row>
    <row r="10" spans="1:17">
      <c r="A10" s="28" t="s">
        <v>294</v>
      </c>
      <c r="B10" s="7" t="s">
        <v>354</v>
      </c>
      <c r="C10" s="7" t="s">
        <v>350</v>
      </c>
      <c r="D10" s="7" t="s">
        <v>351</v>
      </c>
      <c r="E10" s="8" t="s">
        <v>487</v>
      </c>
      <c r="F10" s="7" t="s">
        <v>116</v>
      </c>
      <c r="G10" s="27" t="s">
        <v>107</v>
      </c>
      <c r="H10" s="27" t="s">
        <v>107</v>
      </c>
      <c r="I10" s="27" t="s">
        <v>107</v>
      </c>
      <c r="J10" s="28"/>
      <c r="K10" s="27"/>
      <c r="L10" s="28"/>
      <c r="M10" s="28"/>
      <c r="N10" s="28"/>
      <c r="O10" s="9" t="str">
        <f>"0.00"</f>
        <v>0.00</v>
      </c>
      <c r="P10" s="9" t="str">
        <f>"0,0000"</f>
        <v>0,0000</v>
      </c>
      <c r="Q10" s="7" t="s">
        <v>255</v>
      </c>
    </row>
  </sheetData>
  <mergeCells count="14">
    <mergeCell ref="A9:N9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20.1640625" style="5" customWidth="1"/>
    <col min="3" max="3" width="26.5" style="5" bestFit="1" customWidth="1"/>
    <col min="4" max="4" width="20.83203125" style="5" bestFit="1" customWidth="1"/>
    <col min="5" max="5" width="10.1640625" style="16" bestFit="1" customWidth="1"/>
    <col min="6" max="6" width="23.6640625" style="5" customWidth="1"/>
    <col min="7" max="9" width="5.5" style="24" customWidth="1"/>
    <col min="10" max="10" width="4.5" style="24" customWidth="1"/>
    <col min="11" max="13" width="5.5" style="24" customWidth="1"/>
    <col min="14" max="14" width="4.5" style="24" customWidth="1"/>
    <col min="15" max="15" width="7.6640625" style="6" bestFit="1" customWidth="1"/>
    <col min="16" max="16" width="8.5" style="6" bestFit="1" customWidth="1"/>
    <col min="17" max="17" width="22.6640625" style="5" bestFit="1" customWidth="1"/>
    <col min="18" max="16384" width="9.1640625" style="3"/>
  </cols>
  <sheetData>
    <row r="1" spans="1:17" s="2" customFormat="1" ht="29" customHeight="1">
      <c r="A1" s="51" t="s">
        <v>431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4"/>
    </row>
    <row r="2" spans="1:17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8"/>
    </row>
    <row r="3" spans="1:17" s="1" customFormat="1" ht="12.75" customHeight="1">
      <c r="A3" s="59" t="s">
        <v>483</v>
      </c>
      <c r="B3" s="66" t="s">
        <v>0</v>
      </c>
      <c r="C3" s="61" t="s">
        <v>484</v>
      </c>
      <c r="D3" s="61" t="s">
        <v>6</v>
      </c>
      <c r="E3" s="45" t="s">
        <v>485</v>
      </c>
      <c r="F3" s="63" t="s">
        <v>5</v>
      </c>
      <c r="G3" s="63" t="s">
        <v>8</v>
      </c>
      <c r="H3" s="63"/>
      <c r="I3" s="63"/>
      <c r="J3" s="63"/>
      <c r="K3" s="63" t="s">
        <v>9</v>
      </c>
      <c r="L3" s="63"/>
      <c r="M3" s="63"/>
      <c r="N3" s="63"/>
      <c r="O3" s="45" t="s">
        <v>1</v>
      </c>
      <c r="P3" s="45" t="s">
        <v>3</v>
      </c>
      <c r="Q3" s="47" t="s">
        <v>2</v>
      </c>
    </row>
    <row r="4" spans="1:17" s="1" customFormat="1" ht="21" customHeight="1" thickBot="1">
      <c r="A4" s="60"/>
      <c r="B4" s="67"/>
      <c r="C4" s="62"/>
      <c r="D4" s="62"/>
      <c r="E4" s="46"/>
      <c r="F4" s="62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6"/>
      <c r="P4" s="46"/>
      <c r="Q4" s="48"/>
    </row>
    <row r="5" spans="1:17" ht="16">
      <c r="A5" s="49" t="s">
        <v>266</v>
      </c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7">
      <c r="A6" s="28" t="s">
        <v>60</v>
      </c>
      <c r="B6" s="7" t="s">
        <v>346</v>
      </c>
      <c r="C6" s="7" t="s">
        <v>343</v>
      </c>
      <c r="D6" s="7" t="s">
        <v>344</v>
      </c>
      <c r="E6" s="8" t="s">
        <v>488</v>
      </c>
      <c r="F6" s="7" t="s">
        <v>149</v>
      </c>
      <c r="G6" s="26" t="s">
        <v>19</v>
      </c>
      <c r="H6" s="26" t="s">
        <v>21</v>
      </c>
      <c r="I6" s="26" t="s">
        <v>145</v>
      </c>
      <c r="J6" s="28"/>
      <c r="K6" s="26" t="s">
        <v>118</v>
      </c>
      <c r="L6" s="26" t="s">
        <v>50</v>
      </c>
      <c r="M6" s="26" t="s">
        <v>38</v>
      </c>
      <c r="N6" s="28"/>
      <c r="O6" s="9" t="str">
        <f>"242,5"</f>
        <v>242,5</v>
      </c>
      <c r="P6" s="9" t="str">
        <f>"140,3105"</f>
        <v>140,3105</v>
      </c>
      <c r="Q6" s="7" t="s">
        <v>345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22" style="5" customWidth="1"/>
    <col min="3" max="3" width="25.1640625" style="5" bestFit="1" customWidth="1"/>
    <col min="4" max="4" width="20.83203125" style="5" bestFit="1" customWidth="1"/>
    <col min="5" max="5" width="10.1640625" style="16" bestFit="1" customWidth="1"/>
    <col min="6" max="6" width="20.33203125" style="5" bestFit="1" customWidth="1"/>
    <col min="7" max="9" width="5.5" style="24" customWidth="1"/>
    <col min="10" max="10" width="4.5" style="24" customWidth="1"/>
    <col min="11" max="11" width="10.5" style="6" bestFit="1" customWidth="1"/>
    <col min="12" max="12" width="8.5" style="6" bestFit="1" customWidth="1"/>
    <col min="13" max="13" width="17.83203125" style="5" bestFit="1" customWidth="1"/>
    <col min="14" max="16384" width="9.1640625" style="3"/>
  </cols>
  <sheetData>
    <row r="1" spans="1:13" s="2" customFormat="1" ht="29" customHeight="1">
      <c r="A1" s="51" t="s">
        <v>432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483</v>
      </c>
      <c r="B3" s="66" t="s">
        <v>0</v>
      </c>
      <c r="C3" s="61" t="s">
        <v>484</v>
      </c>
      <c r="D3" s="61" t="s">
        <v>6</v>
      </c>
      <c r="E3" s="45" t="s">
        <v>485</v>
      </c>
      <c r="F3" s="63" t="s">
        <v>5</v>
      </c>
      <c r="G3" s="63" t="s">
        <v>7</v>
      </c>
      <c r="H3" s="63"/>
      <c r="I3" s="63"/>
      <c r="J3" s="63"/>
      <c r="K3" s="45" t="s">
        <v>177</v>
      </c>
      <c r="L3" s="45" t="s">
        <v>3</v>
      </c>
      <c r="M3" s="47" t="s">
        <v>2</v>
      </c>
    </row>
    <row r="4" spans="1:13" s="1" customFormat="1" ht="21" customHeight="1" thickBot="1">
      <c r="A4" s="60"/>
      <c r="B4" s="67"/>
      <c r="C4" s="62"/>
      <c r="D4" s="62"/>
      <c r="E4" s="46"/>
      <c r="F4" s="62"/>
      <c r="G4" s="4">
        <v>1</v>
      </c>
      <c r="H4" s="4">
        <v>2</v>
      </c>
      <c r="I4" s="4">
        <v>3</v>
      </c>
      <c r="J4" s="4" t="s">
        <v>4</v>
      </c>
      <c r="K4" s="46"/>
      <c r="L4" s="46"/>
      <c r="M4" s="48"/>
    </row>
    <row r="5" spans="1:13" ht="16">
      <c r="A5" s="49" t="s">
        <v>73</v>
      </c>
      <c r="B5" s="49"/>
      <c r="C5" s="50"/>
      <c r="D5" s="50"/>
      <c r="E5" s="50"/>
      <c r="F5" s="50"/>
      <c r="G5" s="50"/>
      <c r="H5" s="50"/>
      <c r="I5" s="50"/>
      <c r="J5" s="50"/>
    </row>
    <row r="6" spans="1:13">
      <c r="A6" s="28" t="s">
        <v>60</v>
      </c>
      <c r="B6" s="7" t="s">
        <v>288</v>
      </c>
      <c r="C6" s="7" t="s">
        <v>237</v>
      </c>
      <c r="D6" s="7" t="s">
        <v>238</v>
      </c>
      <c r="E6" s="8" t="s">
        <v>487</v>
      </c>
      <c r="F6" s="7" t="s">
        <v>116</v>
      </c>
      <c r="G6" s="27" t="s">
        <v>118</v>
      </c>
      <c r="H6" s="27" t="s">
        <v>87</v>
      </c>
      <c r="I6" s="26" t="s">
        <v>87</v>
      </c>
      <c r="J6" s="28"/>
      <c r="K6" s="9" t="str">
        <f>"145,0"</f>
        <v>145,0</v>
      </c>
      <c r="L6" s="9" t="str">
        <f>"104,9075"</f>
        <v>104,9075</v>
      </c>
      <c r="M6" s="7" t="s">
        <v>198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20.5" style="5" customWidth="1"/>
    <col min="3" max="3" width="27.83203125" style="5" customWidth="1"/>
    <col min="4" max="4" width="20.83203125" style="5" bestFit="1" customWidth="1"/>
    <col min="5" max="5" width="10.1640625" style="16" bestFit="1" customWidth="1"/>
    <col min="6" max="6" width="28.83203125" style="5" bestFit="1" customWidth="1"/>
    <col min="7" max="9" width="5.5" style="24" customWidth="1"/>
    <col min="10" max="10" width="4.5" style="24" customWidth="1"/>
    <col min="11" max="11" width="10.5" style="6" bestFit="1" customWidth="1"/>
    <col min="12" max="12" width="7.5" style="6" bestFit="1" customWidth="1"/>
    <col min="13" max="13" width="16" style="5" bestFit="1" customWidth="1"/>
    <col min="14" max="16384" width="9.1640625" style="3"/>
  </cols>
  <sheetData>
    <row r="1" spans="1:13" s="2" customFormat="1" ht="29" customHeight="1">
      <c r="A1" s="51" t="s">
        <v>433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483</v>
      </c>
      <c r="B3" s="66" t="s">
        <v>0</v>
      </c>
      <c r="C3" s="61" t="s">
        <v>484</v>
      </c>
      <c r="D3" s="61" t="s">
        <v>6</v>
      </c>
      <c r="E3" s="45" t="s">
        <v>485</v>
      </c>
      <c r="F3" s="63" t="s">
        <v>5</v>
      </c>
      <c r="G3" s="63" t="s">
        <v>7</v>
      </c>
      <c r="H3" s="63"/>
      <c r="I3" s="63"/>
      <c r="J3" s="63"/>
      <c r="K3" s="45" t="s">
        <v>177</v>
      </c>
      <c r="L3" s="45" t="s">
        <v>3</v>
      </c>
      <c r="M3" s="47" t="s">
        <v>2</v>
      </c>
    </row>
    <row r="4" spans="1:13" s="1" customFormat="1" ht="21" customHeight="1" thickBot="1">
      <c r="A4" s="60"/>
      <c r="B4" s="67"/>
      <c r="C4" s="62"/>
      <c r="D4" s="62"/>
      <c r="E4" s="46"/>
      <c r="F4" s="62"/>
      <c r="G4" s="4">
        <v>1</v>
      </c>
      <c r="H4" s="4">
        <v>2</v>
      </c>
      <c r="I4" s="4">
        <v>3</v>
      </c>
      <c r="J4" s="4" t="s">
        <v>4</v>
      </c>
      <c r="K4" s="46"/>
      <c r="L4" s="46"/>
      <c r="M4" s="48"/>
    </row>
    <row r="5" spans="1:13" ht="16">
      <c r="A5" s="49" t="s">
        <v>102</v>
      </c>
      <c r="B5" s="49"/>
      <c r="C5" s="50"/>
      <c r="D5" s="50"/>
      <c r="E5" s="50"/>
      <c r="F5" s="50"/>
      <c r="G5" s="50"/>
      <c r="H5" s="50"/>
      <c r="I5" s="50"/>
      <c r="J5" s="50"/>
    </row>
    <row r="6" spans="1:13">
      <c r="A6" s="28" t="s">
        <v>60</v>
      </c>
      <c r="B6" s="7" t="s">
        <v>342</v>
      </c>
      <c r="C6" s="7" t="s">
        <v>339</v>
      </c>
      <c r="D6" s="7" t="s">
        <v>340</v>
      </c>
      <c r="E6" s="8" t="s">
        <v>488</v>
      </c>
      <c r="F6" s="7" t="s">
        <v>426</v>
      </c>
      <c r="G6" s="27" t="s">
        <v>14</v>
      </c>
      <c r="H6" s="27" t="s">
        <v>14</v>
      </c>
      <c r="I6" s="26" t="s">
        <v>14</v>
      </c>
      <c r="J6" s="28"/>
      <c r="K6" s="9" t="str">
        <f>"55,0"</f>
        <v>55,0</v>
      </c>
      <c r="L6" s="9" t="str">
        <f>"57,1175"</f>
        <v>57,1175</v>
      </c>
      <c r="M6" s="7" t="s">
        <v>341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1"/>
  <sheetViews>
    <sheetView topLeftCell="A26" workbookViewId="0">
      <selection activeCell="E55" sqref="E55"/>
    </sheetView>
  </sheetViews>
  <sheetFormatPr baseColWidth="10" defaultColWidth="9.1640625" defaultRowHeight="13"/>
  <cols>
    <col min="1" max="1" width="7.1640625" style="5" bestFit="1" customWidth="1"/>
    <col min="2" max="2" width="19.1640625" style="5" bestFit="1" customWidth="1"/>
    <col min="3" max="3" width="28.6640625" style="5" bestFit="1" customWidth="1"/>
    <col min="4" max="4" width="20.83203125" style="5" bestFit="1" customWidth="1"/>
    <col min="5" max="5" width="10.1640625" style="16" bestFit="1" customWidth="1"/>
    <col min="6" max="6" width="29.6640625" style="5" customWidth="1"/>
    <col min="7" max="9" width="5.5" style="24" customWidth="1"/>
    <col min="10" max="10" width="4.5" style="24" customWidth="1"/>
    <col min="11" max="11" width="10.5" style="25" bestFit="1" customWidth="1"/>
    <col min="12" max="12" width="8.5" style="6" bestFit="1" customWidth="1"/>
    <col min="13" max="13" width="21.1640625" style="5" customWidth="1"/>
    <col min="14" max="16384" width="9.1640625" style="3"/>
  </cols>
  <sheetData>
    <row r="1" spans="1:13" s="2" customFormat="1" ht="29" customHeight="1">
      <c r="A1" s="51" t="s">
        <v>434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483</v>
      </c>
      <c r="B3" s="66" t="s">
        <v>0</v>
      </c>
      <c r="C3" s="61" t="s">
        <v>484</v>
      </c>
      <c r="D3" s="61" t="s">
        <v>6</v>
      </c>
      <c r="E3" s="45" t="s">
        <v>485</v>
      </c>
      <c r="F3" s="63" t="s">
        <v>5</v>
      </c>
      <c r="G3" s="63" t="s">
        <v>8</v>
      </c>
      <c r="H3" s="63"/>
      <c r="I3" s="63"/>
      <c r="J3" s="63"/>
      <c r="K3" s="68" t="s">
        <v>177</v>
      </c>
      <c r="L3" s="45" t="s">
        <v>3</v>
      </c>
      <c r="M3" s="47" t="s">
        <v>2</v>
      </c>
    </row>
    <row r="4" spans="1:13" s="1" customFormat="1" ht="21" customHeight="1" thickBot="1">
      <c r="A4" s="60"/>
      <c r="B4" s="67"/>
      <c r="C4" s="62"/>
      <c r="D4" s="62"/>
      <c r="E4" s="46"/>
      <c r="F4" s="62"/>
      <c r="G4" s="4">
        <v>1</v>
      </c>
      <c r="H4" s="4">
        <v>2</v>
      </c>
      <c r="I4" s="4">
        <v>3</v>
      </c>
      <c r="J4" s="4" t="s">
        <v>4</v>
      </c>
      <c r="K4" s="69"/>
      <c r="L4" s="46"/>
      <c r="M4" s="48"/>
    </row>
    <row r="5" spans="1:13" ht="16">
      <c r="A5" s="49" t="s">
        <v>195</v>
      </c>
      <c r="B5" s="49"/>
      <c r="C5" s="50"/>
      <c r="D5" s="50"/>
      <c r="E5" s="50"/>
      <c r="F5" s="50"/>
      <c r="G5" s="50"/>
      <c r="H5" s="50"/>
      <c r="I5" s="50"/>
      <c r="J5" s="50"/>
    </row>
    <row r="6" spans="1:13">
      <c r="A6" s="31" t="s">
        <v>60</v>
      </c>
      <c r="B6" s="10" t="s">
        <v>273</v>
      </c>
      <c r="C6" s="10" t="s">
        <v>196</v>
      </c>
      <c r="D6" s="10" t="s">
        <v>197</v>
      </c>
      <c r="E6" s="11" t="s">
        <v>487</v>
      </c>
      <c r="F6" s="10" t="s">
        <v>116</v>
      </c>
      <c r="G6" s="29" t="s">
        <v>13</v>
      </c>
      <c r="H6" s="29" t="s">
        <v>78</v>
      </c>
      <c r="I6" s="29" t="s">
        <v>14</v>
      </c>
      <c r="J6" s="31"/>
      <c r="K6" s="41" t="str">
        <f>"55,0"</f>
        <v>55,0</v>
      </c>
      <c r="L6" s="12" t="str">
        <f>"82,1480"</f>
        <v>82,1480</v>
      </c>
      <c r="M6" s="10" t="s">
        <v>198</v>
      </c>
    </row>
    <row r="7" spans="1:13">
      <c r="A7" s="34" t="s">
        <v>60</v>
      </c>
      <c r="B7" s="13" t="s">
        <v>274</v>
      </c>
      <c r="C7" s="13" t="s">
        <v>452</v>
      </c>
      <c r="D7" s="13" t="s">
        <v>199</v>
      </c>
      <c r="E7" s="14" t="s">
        <v>491</v>
      </c>
      <c r="F7" s="13" t="s">
        <v>116</v>
      </c>
      <c r="G7" s="33" t="s">
        <v>17</v>
      </c>
      <c r="H7" s="33" t="s">
        <v>200</v>
      </c>
      <c r="I7" s="32" t="s">
        <v>18</v>
      </c>
      <c r="J7" s="34"/>
      <c r="K7" s="42" t="str">
        <f>"37,5"</f>
        <v>37,5</v>
      </c>
      <c r="L7" s="15" t="str">
        <f>"57,5783"</f>
        <v>57,5783</v>
      </c>
      <c r="M7" s="13" t="s">
        <v>129</v>
      </c>
    </row>
    <row r="9" spans="1:13" ht="16">
      <c r="A9" s="64" t="s">
        <v>10</v>
      </c>
      <c r="B9" s="64"/>
      <c r="C9" s="65"/>
      <c r="D9" s="65"/>
      <c r="E9" s="65"/>
      <c r="F9" s="65"/>
      <c r="G9" s="65"/>
      <c r="H9" s="65"/>
      <c r="I9" s="65"/>
      <c r="J9" s="65"/>
    </row>
    <row r="10" spans="1:13">
      <c r="A10" s="31" t="s">
        <v>60</v>
      </c>
      <c r="B10" s="10" t="s">
        <v>275</v>
      </c>
      <c r="C10" s="10" t="s">
        <v>202</v>
      </c>
      <c r="D10" s="10" t="s">
        <v>203</v>
      </c>
      <c r="E10" s="11" t="s">
        <v>487</v>
      </c>
      <c r="F10" s="10" t="s">
        <v>36</v>
      </c>
      <c r="G10" s="29" t="s">
        <v>15</v>
      </c>
      <c r="H10" s="29" t="s">
        <v>26</v>
      </c>
      <c r="I10" s="29" t="s">
        <v>133</v>
      </c>
      <c r="J10" s="31"/>
      <c r="K10" s="41" t="str">
        <f>"67,5"</f>
        <v>67,5</v>
      </c>
      <c r="L10" s="12" t="str">
        <f>"84,6517"</f>
        <v>84,6517</v>
      </c>
      <c r="M10" s="10"/>
    </row>
    <row r="11" spans="1:13">
      <c r="A11" s="38" t="s">
        <v>100</v>
      </c>
      <c r="B11" s="35" t="s">
        <v>276</v>
      </c>
      <c r="C11" s="35" t="s">
        <v>204</v>
      </c>
      <c r="D11" s="35" t="s">
        <v>205</v>
      </c>
      <c r="E11" s="36" t="s">
        <v>487</v>
      </c>
      <c r="F11" s="35" t="s">
        <v>116</v>
      </c>
      <c r="G11" s="39" t="s">
        <v>14</v>
      </c>
      <c r="H11" s="40" t="s">
        <v>142</v>
      </c>
      <c r="I11" s="40" t="s">
        <v>142</v>
      </c>
      <c r="J11" s="38"/>
      <c r="K11" s="43" t="str">
        <f>"55,0"</f>
        <v>55,0</v>
      </c>
      <c r="L11" s="37" t="str">
        <f>"69,9105"</f>
        <v>69,9105</v>
      </c>
      <c r="M11" s="35" t="s">
        <v>129</v>
      </c>
    </row>
    <row r="12" spans="1:13">
      <c r="A12" s="34" t="s">
        <v>186</v>
      </c>
      <c r="B12" s="13" t="s">
        <v>277</v>
      </c>
      <c r="C12" s="13" t="s">
        <v>206</v>
      </c>
      <c r="D12" s="13" t="s">
        <v>205</v>
      </c>
      <c r="E12" s="14" t="s">
        <v>487</v>
      </c>
      <c r="F12" s="13" t="s">
        <v>36</v>
      </c>
      <c r="G12" s="33" t="s">
        <v>207</v>
      </c>
      <c r="H12" s="33" t="s">
        <v>17</v>
      </c>
      <c r="I12" s="32" t="s">
        <v>200</v>
      </c>
      <c r="J12" s="34"/>
      <c r="K12" s="42" t="str">
        <f>"35,0"</f>
        <v>35,0</v>
      </c>
      <c r="L12" s="15" t="str">
        <f>"44,4885"</f>
        <v>44,4885</v>
      </c>
      <c r="M12" s="13" t="s">
        <v>103</v>
      </c>
    </row>
    <row r="14" spans="1:13" ht="16">
      <c r="A14" s="64" t="s">
        <v>23</v>
      </c>
      <c r="B14" s="64"/>
      <c r="C14" s="65"/>
      <c r="D14" s="65"/>
      <c r="E14" s="65"/>
      <c r="F14" s="65"/>
      <c r="G14" s="65"/>
      <c r="H14" s="65"/>
      <c r="I14" s="65"/>
      <c r="J14" s="65"/>
    </row>
    <row r="15" spans="1:13">
      <c r="A15" s="31" t="s">
        <v>60</v>
      </c>
      <c r="B15" s="10" t="s">
        <v>278</v>
      </c>
      <c r="C15" s="10" t="s">
        <v>208</v>
      </c>
      <c r="D15" s="10" t="s">
        <v>209</v>
      </c>
      <c r="E15" s="11" t="s">
        <v>487</v>
      </c>
      <c r="F15" s="10" t="s">
        <v>116</v>
      </c>
      <c r="G15" s="29" t="s">
        <v>26</v>
      </c>
      <c r="H15" s="30" t="s">
        <v>19</v>
      </c>
      <c r="I15" s="30" t="s">
        <v>19</v>
      </c>
      <c r="J15" s="31"/>
      <c r="K15" s="41" t="str">
        <f>"65,0"</f>
        <v>65,0</v>
      </c>
      <c r="L15" s="12" t="str">
        <f>"76,6935"</f>
        <v>76,6935</v>
      </c>
      <c r="M15" s="10" t="s">
        <v>129</v>
      </c>
    </row>
    <row r="16" spans="1:13">
      <c r="A16" s="34" t="s">
        <v>100</v>
      </c>
      <c r="B16" s="13" t="s">
        <v>279</v>
      </c>
      <c r="C16" s="13" t="s">
        <v>210</v>
      </c>
      <c r="D16" s="13" t="s">
        <v>211</v>
      </c>
      <c r="E16" s="14" t="s">
        <v>487</v>
      </c>
      <c r="F16" s="13" t="s">
        <v>116</v>
      </c>
      <c r="G16" s="33" t="s">
        <v>17</v>
      </c>
      <c r="H16" s="33" t="s">
        <v>18</v>
      </c>
      <c r="I16" s="32" t="s">
        <v>69</v>
      </c>
      <c r="J16" s="34"/>
      <c r="K16" s="42" t="str">
        <f>"40,0"</f>
        <v>40,0</v>
      </c>
      <c r="L16" s="15" t="str">
        <f>"47,8000"</f>
        <v>47,8000</v>
      </c>
      <c r="M16" s="13" t="s">
        <v>123</v>
      </c>
    </row>
    <row r="18" spans="1:13" ht="16">
      <c r="A18" s="64" t="s">
        <v>27</v>
      </c>
      <c r="B18" s="64"/>
      <c r="C18" s="65"/>
      <c r="D18" s="65"/>
      <c r="E18" s="65"/>
      <c r="F18" s="65"/>
      <c r="G18" s="65"/>
      <c r="H18" s="65"/>
      <c r="I18" s="65"/>
      <c r="J18" s="65"/>
    </row>
    <row r="19" spans="1:13">
      <c r="A19" s="31" t="s">
        <v>60</v>
      </c>
      <c r="B19" s="10" t="s">
        <v>280</v>
      </c>
      <c r="C19" s="10" t="s">
        <v>213</v>
      </c>
      <c r="D19" s="10" t="s">
        <v>214</v>
      </c>
      <c r="E19" s="11" t="s">
        <v>487</v>
      </c>
      <c r="F19" s="10" t="s">
        <v>116</v>
      </c>
      <c r="G19" s="29" t="s">
        <v>215</v>
      </c>
      <c r="H19" s="29" t="s">
        <v>145</v>
      </c>
      <c r="I19" s="31"/>
      <c r="J19" s="31"/>
      <c r="K19" s="41" t="str">
        <f>"82,5"</f>
        <v>82,5</v>
      </c>
      <c r="L19" s="12" t="str">
        <f>"93,8107"</f>
        <v>93,8107</v>
      </c>
      <c r="M19" s="10" t="s">
        <v>129</v>
      </c>
    </row>
    <row r="20" spans="1:13">
      <c r="A20" s="38" t="s">
        <v>100</v>
      </c>
      <c r="B20" s="35" t="s">
        <v>281</v>
      </c>
      <c r="C20" s="35" t="s">
        <v>217</v>
      </c>
      <c r="D20" s="35" t="s">
        <v>218</v>
      </c>
      <c r="E20" s="36" t="s">
        <v>487</v>
      </c>
      <c r="F20" s="35" t="s">
        <v>36</v>
      </c>
      <c r="G20" s="39" t="s">
        <v>219</v>
      </c>
      <c r="H20" s="39" t="s">
        <v>20</v>
      </c>
      <c r="I20" s="39" t="s">
        <v>215</v>
      </c>
      <c r="J20" s="38"/>
      <c r="K20" s="43" t="str">
        <f>"77,5"</f>
        <v>77,5</v>
      </c>
      <c r="L20" s="37" t="str">
        <f>"87,6525"</f>
        <v>87,6525</v>
      </c>
      <c r="M20" s="35"/>
    </row>
    <row r="21" spans="1:13">
      <c r="A21" s="34" t="s">
        <v>60</v>
      </c>
      <c r="B21" s="13" t="s">
        <v>282</v>
      </c>
      <c r="C21" s="13" t="s">
        <v>453</v>
      </c>
      <c r="D21" s="13" t="s">
        <v>220</v>
      </c>
      <c r="E21" s="14" t="s">
        <v>490</v>
      </c>
      <c r="F21" s="13" t="s">
        <v>116</v>
      </c>
      <c r="G21" s="33" t="s">
        <v>13</v>
      </c>
      <c r="H21" s="33" t="s">
        <v>78</v>
      </c>
      <c r="I21" s="33" t="s">
        <v>14</v>
      </c>
      <c r="J21" s="34"/>
      <c r="K21" s="42" t="str">
        <f>"55,0"</f>
        <v>55,0</v>
      </c>
      <c r="L21" s="15" t="str">
        <f>"64,9987"</f>
        <v>64,9987</v>
      </c>
      <c r="M21" s="13" t="s">
        <v>129</v>
      </c>
    </row>
    <row r="23" spans="1:13" ht="16">
      <c r="A23" s="64" t="s">
        <v>10</v>
      </c>
      <c r="B23" s="64"/>
      <c r="C23" s="65"/>
      <c r="D23" s="65"/>
      <c r="E23" s="65"/>
      <c r="F23" s="65"/>
      <c r="G23" s="65"/>
      <c r="H23" s="65"/>
      <c r="I23" s="65"/>
      <c r="J23" s="65"/>
    </row>
    <row r="24" spans="1:13">
      <c r="A24" s="28" t="s">
        <v>60</v>
      </c>
      <c r="B24" s="7" t="s">
        <v>283</v>
      </c>
      <c r="C24" s="7" t="s">
        <v>221</v>
      </c>
      <c r="D24" s="7" t="s">
        <v>222</v>
      </c>
      <c r="E24" s="8" t="s">
        <v>488</v>
      </c>
      <c r="F24" s="7" t="s">
        <v>36</v>
      </c>
      <c r="G24" s="26" t="s">
        <v>223</v>
      </c>
      <c r="H24" s="26" t="s">
        <v>224</v>
      </c>
      <c r="I24" s="26" t="s">
        <v>225</v>
      </c>
      <c r="J24" s="28"/>
      <c r="K24" s="44" t="str">
        <f>"27,5"</f>
        <v>27,5</v>
      </c>
      <c r="L24" s="9" t="str">
        <f>"36,7235"</f>
        <v>36,7235</v>
      </c>
      <c r="M24" s="7" t="s">
        <v>108</v>
      </c>
    </row>
    <row r="26" spans="1:13" ht="16">
      <c r="A26" s="64" t="s">
        <v>27</v>
      </c>
      <c r="B26" s="64"/>
      <c r="C26" s="65"/>
      <c r="D26" s="65"/>
      <c r="E26" s="65"/>
      <c r="F26" s="65"/>
      <c r="G26" s="65"/>
      <c r="H26" s="65"/>
      <c r="I26" s="65"/>
      <c r="J26" s="65"/>
    </row>
    <row r="27" spans="1:13">
      <c r="A27" s="28" t="s">
        <v>60</v>
      </c>
      <c r="B27" s="7" t="s">
        <v>284</v>
      </c>
      <c r="C27" s="7" t="s">
        <v>226</v>
      </c>
      <c r="D27" s="7" t="s">
        <v>218</v>
      </c>
      <c r="E27" s="8" t="s">
        <v>487</v>
      </c>
      <c r="F27" s="7" t="s">
        <v>424</v>
      </c>
      <c r="G27" s="26" t="s">
        <v>21</v>
      </c>
      <c r="H27" s="26" t="s">
        <v>37</v>
      </c>
      <c r="I27" s="27" t="s">
        <v>68</v>
      </c>
      <c r="J27" s="28"/>
      <c r="K27" s="44" t="str">
        <f>"90,0"</f>
        <v>90,0</v>
      </c>
      <c r="L27" s="9" t="str">
        <f>"78,0750"</f>
        <v>78,0750</v>
      </c>
      <c r="M27" s="7" t="s">
        <v>227</v>
      </c>
    </row>
    <row r="29" spans="1:13" ht="16">
      <c r="A29" s="64" t="s">
        <v>73</v>
      </c>
      <c r="B29" s="64"/>
      <c r="C29" s="65"/>
      <c r="D29" s="65"/>
      <c r="E29" s="65"/>
      <c r="F29" s="65"/>
      <c r="G29" s="65"/>
      <c r="H29" s="65"/>
      <c r="I29" s="65"/>
      <c r="J29" s="65"/>
    </row>
    <row r="30" spans="1:13">
      <c r="A30" s="31" t="s">
        <v>60</v>
      </c>
      <c r="B30" s="10" t="s">
        <v>285</v>
      </c>
      <c r="C30" s="10" t="s">
        <v>228</v>
      </c>
      <c r="D30" s="10" t="s">
        <v>229</v>
      </c>
      <c r="E30" s="11" t="s">
        <v>488</v>
      </c>
      <c r="F30" s="10" t="s">
        <v>36</v>
      </c>
      <c r="G30" s="29" t="s">
        <v>21</v>
      </c>
      <c r="H30" s="30" t="s">
        <v>30</v>
      </c>
      <c r="I30" s="30" t="s">
        <v>30</v>
      </c>
      <c r="J30" s="31"/>
      <c r="K30" s="41" t="str">
        <f>"80,0"</f>
        <v>80,0</v>
      </c>
      <c r="L30" s="12" t="str">
        <f>"57,4320"</f>
        <v>57,4320</v>
      </c>
      <c r="M30" s="10" t="s">
        <v>135</v>
      </c>
    </row>
    <row r="31" spans="1:13">
      <c r="A31" s="38" t="s">
        <v>60</v>
      </c>
      <c r="B31" s="35" t="s">
        <v>286</v>
      </c>
      <c r="C31" s="35" t="s">
        <v>231</v>
      </c>
      <c r="D31" s="35" t="s">
        <v>232</v>
      </c>
      <c r="E31" s="36" t="s">
        <v>487</v>
      </c>
      <c r="F31" s="35" t="s">
        <v>36</v>
      </c>
      <c r="G31" s="39" t="s">
        <v>50</v>
      </c>
      <c r="H31" s="39" t="s">
        <v>233</v>
      </c>
      <c r="I31" s="40" t="s">
        <v>38</v>
      </c>
      <c r="J31" s="38"/>
      <c r="K31" s="43" t="str">
        <f>"155,0"</f>
        <v>155,0</v>
      </c>
      <c r="L31" s="37" t="str">
        <f>"110,4530"</f>
        <v>110,4530</v>
      </c>
      <c r="M31" s="35" t="s">
        <v>108</v>
      </c>
    </row>
    <row r="32" spans="1:13">
      <c r="A32" s="38" t="s">
        <v>100</v>
      </c>
      <c r="B32" s="35" t="s">
        <v>287</v>
      </c>
      <c r="C32" s="35" t="s">
        <v>234</v>
      </c>
      <c r="D32" s="35" t="s">
        <v>235</v>
      </c>
      <c r="E32" s="36" t="s">
        <v>487</v>
      </c>
      <c r="F32" s="35" t="s">
        <v>36</v>
      </c>
      <c r="G32" s="40" t="s">
        <v>32</v>
      </c>
      <c r="H32" s="39" t="s">
        <v>32</v>
      </c>
      <c r="I32" s="39" t="s">
        <v>70</v>
      </c>
      <c r="J32" s="38"/>
      <c r="K32" s="43" t="str">
        <f>"117,5"</f>
        <v>117,5</v>
      </c>
      <c r="L32" s="37" t="str">
        <f>"84,6000"</f>
        <v>84,6000</v>
      </c>
      <c r="M32" s="35" t="s">
        <v>236</v>
      </c>
    </row>
    <row r="33" spans="1:13">
      <c r="A33" s="38" t="s">
        <v>186</v>
      </c>
      <c r="B33" s="35" t="s">
        <v>288</v>
      </c>
      <c r="C33" s="35" t="s">
        <v>237</v>
      </c>
      <c r="D33" s="35" t="s">
        <v>238</v>
      </c>
      <c r="E33" s="36" t="s">
        <v>487</v>
      </c>
      <c r="F33" s="35" t="s">
        <v>116</v>
      </c>
      <c r="G33" s="39" t="s">
        <v>145</v>
      </c>
      <c r="H33" s="39" t="s">
        <v>37</v>
      </c>
      <c r="I33" s="40" t="s">
        <v>76</v>
      </c>
      <c r="J33" s="38"/>
      <c r="K33" s="43" t="str">
        <f>"90,0"</f>
        <v>90,0</v>
      </c>
      <c r="L33" s="37" t="str">
        <f>"65,1150"</f>
        <v>65,1150</v>
      </c>
      <c r="M33" s="35" t="s">
        <v>198</v>
      </c>
    </row>
    <row r="34" spans="1:13">
      <c r="A34" s="34" t="s">
        <v>60</v>
      </c>
      <c r="B34" s="13" t="s">
        <v>289</v>
      </c>
      <c r="C34" s="13" t="s">
        <v>454</v>
      </c>
      <c r="D34" s="13" t="s">
        <v>239</v>
      </c>
      <c r="E34" s="14" t="s">
        <v>490</v>
      </c>
      <c r="F34" s="13" t="s">
        <v>425</v>
      </c>
      <c r="G34" s="33" t="s">
        <v>112</v>
      </c>
      <c r="H34" s="32" t="s">
        <v>107</v>
      </c>
      <c r="I34" s="32" t="s">
        <v>107</v>
      </c>
      <c r="J34" s="34"/>
      <c r="K34" s="42" t="str">
        <f>"112,5"</f>
        <v>112,5</v>
      </c>
      <c r="L34" s="15" t="str">
        <f>"85,9435"</f>
        <v>85,9435</v>
      </c>
      <c r="M34" s="13"/>
    </row>
    <row r="36" spans="1:13" ht="16">
      <c r="A36" s="64" t="s">
        <v>41</v>
      </c>
      <c r="B36" s="64"/>
      <c r="C36" s="65"/>
      <c r="D36" s="65"/>
      <c r="E36" s="65"/>
      <c r="F36" s="65"/>
      <c r="G36" s="65"/>
      <c r="H36" s="65"/>
      <c r="I36" s="65"/>
      <c r="J36" s="65"/>
    </row>
    <row r="37" spans="1:13">
      <c r="A37" s="31" t="s">
        <v>60</v>
      </c>
      <c r="B37" s="10" t="s">
        <v>290</v>
      </c>
      <c r="C37" s="10" t="s">
        <v>455</v>
      </c>
      <c r="D37" s="10" t="s">
        <v>240</v>
      </c>
      <c r="E37" s="11" t="s">
        <v>486</v>
      </c>
      <c r="F37" s="10" t="s">
        <v>116</v>
      </c>
      <c r="G37" s="30" t="s">
        <v>215</v>
      </c>
      <c r="H37" s="29" t="s">
        <v>215</v>
      </c>
      <c r="I37" s="29" t="s">
        <v>21</v>
      </c>
      <c r="J37" s="31"/>
      <c r="K37" s="41" t="str">
        <f>"80,0"</f>
        <v>80,0</v>
      </c>
      <c r="L37" s="12" t="str">
        <f>"55,8480"</f>
        <v>55,8480</v>
      </c>
      <c r="M37" s="10"/>
    </row>
    <row r="38" spans="1:13">
      <c r="A38" s="38" t="s">
        <v>60</v>
      </c>
      <c r="B38" s="35" t="s">
        <v>291</v>
      </c>
      <c r="C38" s="35" t="s">
        <v>242</v>
      </c>
      <c r="D38" s="35" t="s">
        <v>243</v>
      </c>
      <c r="E38" s="36" t="s">
        <v>487</v>
      </c>
      <c r="F38" s="35" t="s">
        <v>36</v>
      </c>
      <c r="G38" s="39" t="s">
        <v>79</v>
      </c>
      <c r="H38" s="39" t="s">
        <v>105</v>
      </c>
      <c r="I38" s="40" t="s">
        <v>118</v>
      </c>
      <c r="J38" s="38"/>
      <c r="K38" s="43" t="str">
        <f>"135,0"</f>
        <v>135,0</v>
      </c>
      <c r="L38" s="37" t="str">
        <f>"91,3140"</f>
        <v>91,3140</v>
      </c>
      <c r="M38" s="35" t="s">
        <v>108</v>
      </c>
    </row>
    <row r="39" spans="1:13">
      <c r="A39" s="38" t="s">
        <v>100</v>
      </c>
      <c r="B39" s="35" t="s">
        <v>292</v>
      </c>
      <c r="C39" s="35" t="s">
        <v>244</v>
      </c>
      <c r="D39" s="35" t="s">
        <v>245</v>
      </c>
      <c r="E39" s="36" t="s">
        <v>487</v>
      </c>
      <c r="F39" s="35" t="s">
        <v>116</v>
      </c>
      <c r="G39" s="39" t="s">
        <v>79</v>
      </c>
      <c r="H39" s="40" t="s">
        <v>246</v>
      </c>
      <c r="I39" s="40" t="s">
        <v>246</v>
      </c>
      <c r="J39" s="38"/>
      <c r="K39" s="43" t="str">
        <f>"130,0"</f>
        <v>130,0</v>
      </c>
      <c r="L39" s="37" t="str">
        <f>"87,2820"</f>
        <v>87,2820</v>
      </c>
      <c r="M39" s="35" t="s">
        <v>247</v>
      </c>
    </row>
    <row r="40" spans="1:13">
      <c r="A40" s="38" t="s">
        <v>186</v>
      </c>
      <c r="B40" s="35" t="s">
        <v>293</v>
      </c>
      <c r="C40" s="35" t="s">
        <v>248</v>
      </c>
      <c r="D40" s="35" t="s">
        <v>249</v>
      </c>
      <c r="E40" s="36" t="s">
        <v>487</v>
      </c>
      <c r="F40" s="35" t="s">
        <v>116</v>
      </c>
      <c r="G40" s="39" t="s">
        <v>31</v>
      </c>
      <c r="H40" s="39" t="s">
        <v>91</v>
      </c>
      <c r="I40" s="40" t="s">
        <v>250</v>
      </c>
      <c r="J40" s="38"/>
      <c r="K40" s="43" t="str">
        <f>"102,5"</f>
        <v>102,5</v>
      </c>
      <c r="L40" s="37" t="str">
        <f>"71,7397"</f>
        <v>71,7397</v>
      </c>
      <c r="M40" s="35" t="s">
        <v>251</v>
      </c>
    </row>
    <row r="41" spans="1:13">
      <c r="A41" s="34" t="s">
        <v>294</v>
      </c>
      <c r="B41" s="13" t="s">
        <v>295</v>
      </c>
      <c r="C41" s="13" t="s">
        <v>252</v>
      </c>
      <c r="D41" s="13" t="s">
        <v>253</v>
      </c>
      <c r="E41" s="14" t="s">
        <v>487</v>
      </c>
      <c r="F41" s="13" t="s">
        <v>425</v>
      </c>
      <c r="G41" s="32" t="s">
        <v>254</v>
      </c>
      <c r="H41" s="32" t="s">
        <v>254</v>
      </c>
      <c r="I41" s="32" t="s">
        <v>254</v>
      </c>
      <c r="J41" s="34"/>
      <c r="K41" s="42">
        <v>0</v>
      </c>
      <c r="L41" s="15" t="str">
        <f>"0,0000"</f>
        <v>0,0000</v>
      </c>
      <c r="M41" s="13"/>
    </row>
    <row r="43" spans="1:13" ht="16">
      <c r="A43" s="64" t="s">
        <v>44</v>
      </c>
      <c r="B43" s="64"/>
      <c r="C43" s="65"/>
      <c r="D43" s="65"/>
      <c r="E43" s="65"/>
      <c r="F43" s="65"/>
      <c r="G43" s="65"/>
      <c r="H43" s="65"/>
      <c r="I43" s="65"/>
      <c r="J43" s="65"/>
    </row>
    <row r="44" spans="1:13">
      <c r="A44" s="31" t="s">
        <v>294</v>
      </c>
      <c r="B44" s="10" t="s">
        <v>296</v>
      </c>
      <c r="C44" s="10" t="s">
        <v>256</v>
      </c>
      <c r="D44" s="10" t="s">
        <v>257</v>
      </c>
      <c r="E44" s="11" t="s">
        <v>487</v>
      </c>
      <c r="F44" s="10" t="s">
        <v>116</v>
      </c>
      <c r="G44" s="30" t="s">
        <v>120</v>
      </c>
      <c r="H44" s="30" t="s">
        <v>120</v>
      </c>
      <c r="I44" s="30" t="s">
        <v>120</v>
      </c>
      <c r="J44" s="31"/>
      <c r="K44" s="41">
        <v>0</v>
      </c>
      <c r="L44" s="12" t="str">
        <f>"0,0000"</f>
        <v>0,0000</v>
      </c>
      <c r="M44" s="10"/>
    </row>
    <row r="45" spans="1:13">
      <c r="A45" s="34" t="s">
        <v>294</v>
      </c>
      <c r="B45" s="13" t="s">
        <v>297</v>
      </c>
      <c r="C45" s="13" t="s">
        <v>258</v>
      </c>
      <c r="D45" s="13" t="s">
        <v>259</v>
      </c>
      <c r="E45" s="14" t="s">
        <v>487</v>
      </c>
      <c r="F45" s="13" t="s">
        <v>36</v>
      </c>
      <c r="G45" s="32" t="s">
        <v>105</v>
      </c>
      <c r="H45" s="32" t="s">
        <v>105</v>
      </c>
      <c r="I45" s="32" t="s">
        <v>105</v>
      </c>
      <c r="J45" s="34"/>
      <c r="K45" s="42">
        <v>0</v>
      </c>
      <c r="L45" s="15" t="str">
        <f>"0,0000"</f>
        <v>0,0000</v>
      </c>
      <c r="M45" s="13" t="s">
        <v>108</v>
      </c>
    </row>
    <row r="47" spans="1:13" ht="16">
      <c r="A47" s="64" t="s">
        <v>161</v>
      </c>
      <c r="B47" s="64"/>
      <c r="C47" s="65"/>
      <c r="D47" s="65"/>
      <c r="E47" s="65"/>
      <c r="F47" s="65"/>
      <c r="G47" s="65"/>
      <c r="H47" s="65"/>
      <c r="I47" s="65"/>
      <c r="J47" s="65"/>
    </row>
    <row r="48" spans="1:13">
      <c r="A48" s="31" t="s">
        <v>60</v>
      </c>
      <c r="B48" s="10" t="s">
        <v>298</v>
      </c>
      <c r="C48" s="10" t="s">
        <v>260</v>
      </c>
      <c r="D48" s="10" t="s">
        <v>261</v>
      </c>
      <c r="E48" s="11" t="s">
        <v>488</v>
      </c>
      <c r="F48" s="10" t="s">
        <v>36</v>
      </c>
      <c r="G48" s="30" t="s">
        <v>70</v>
      </c>
      <c r="H48" s="30" t="s">
        <v>70</v>
      </c>
      <c r="I48" s="29" t="s">
        <v>70</v>
      </c>
      <c r="J48" s="31"/>
      <c r="K48" s="41" t="str">
        <f>"117,5"</f>
        <v>117,5</v>
      </c>
      <c r="L48" s="12" t="str">
        <f>"72,0745"</f>
        <v>72,0745</v>
      </c>
      <c r="M48" s="10" t="s">
        <v>108</v>
      </c>
    </row>
    <row r="49" spans="1:13">
      <c r="A49" s="38" t="s">
        <v>60</v>
      </c>
      <c r="B49" s="35" t="s">
        <v>299</v>
      </c>
      <c r="C49" s="35" t="s">
        <v>263</v>
      </c>
      <c r="D49" s="35" t="s">
        <v>264</v>
      </c>
      <c r="E49" s="36" t="s">
        <v>487</v>
      </c>
      <c r="F49" s="35" t="s">
        <v>425</v>
      </c>
      <c r="G49" s="39" t="s">
        <v>83</v>
      </c>
      <c r="H49" s="40" t="s">
        <v>84</v>
      </c>
      <c r="I49" s="40" t="s">
        <v>84</v>
      </c>
      <c r="J49" s="38"/>
      <c r="K49" s="43" t="str">
        <f>"170,0"</f>
        <v>170,0</v>
      </c>
      <c r="L49" s="37" t="str">
        <f>"103,6660"</f>
        <v>103,6660</v>
      </c>
      <c r="M49" s="35"/>
    </row>
    <row r="50" spans="1:13">
      <c r="A50" s="34" t="s">
        <v>60</v>
      </c>
      <c r="B50" s="13" t="s">
        <v>300</v>
      </c>
      <c r="C50" s="13" t="s">
        <v>456</v>
      </c>
      <c r="D50" s="13" t="s">
        <v>265</v>
      </c>
      <c r="E50" s="14" t="s">
        <v>492</v>
      </c>
      <c r="F50" s="13" t="s">
        <v>116</v>
      </c>
      <c r="G50" s="33" t="s">
        <v>105</v>
      </c>
      <c r="H50" s="33" t="s">
        <v>118</v>
      </c>
      <c r="I50" s="33" t="s">
        <v>87</v>
      </c>
      <c r="J50" s="34"/>
      <c r="K50" s="42" t="str">
        <f>"145,0"</f>
        <v>145,0</v>
      </c>
      <c r="L50" s="15" t="str">
        <f>"105,1795"</f>
        <v>105,1795</v>
      </c>
      <c r="M50" s="13" t="s">
        <v>129</v>
      </c>
    </row>
    <row r="52" spans="1:13" ht="16">
      <c r="A52" s="64" t="s">
        <v>266</v>
      </c>
      <c r="B52" s="64"/>
      <c r="C52" s="65"/>
      <c r="D52" s="65"/>
      <c r="E52" s="65"/>
      <c r="F52" s="65"/>
      <c r="G52" s="65"/>
      <c r="H52" s="65"/>
      <c r="I52" s="65"/>
      <c r="J52" s="65"/>
    </row>
    <row r="53" spans="1:13">
      <c r="A53" s="31" t="s">
        <v>60</v>
      </c>
      <c r="B53" s="10" t="s">
        <v>301</v>
      </c>
      <c r="C53" s="10" t="s">
        <v>268</v>
      </c>
      <c r="D53" s="10" t="s">
        <v>269</v>
      </c>
      <c r="E53" s="11" t="s">
        <v>487</v>
      </c>
      <c r="F53" s="10" t="s">
        <v>36</v>
      </c>
      <c r="G53" s="29" t="s">
        <v>270</v>
      </c>
      <c r="H53" s="29" t="s">
        <v>47</v>
      </c>
      <c r="I53" s="29" t="s">
        <v>271</v>
      </c>
      <c r="J53" s="31"/>
      <c r="K53" s="41" t="str">
        <f>"212,5"</f>
        <v>212,5</v>
      </c>
      <c r="L53" s="12" t="str">
        <f>"123,1438"</f>
        <v>123,1438</v>
      </c>
      <c r="M53" s="10" t="s">
        <v>478</v>
      </c>
    </row>
    <row r="54" spans="1:13">
      <c r="A54" s="34" t="s">
        <v>60</v>
      </c>
      <c r="B54" s="13" t="s">
        <v>301</v>
      </c>
      <c r="C54" s="13" t="s">
        <v>457</v>
      </c>
      <c r="D54" s="13" t="s">
        <v>269</v>
      </c>
      <c r="E54" s="14" t="s">
        <v>491</v>
      </c>
      <c r="F54" s="13" t="s">
        <v>36</v>
      </c>
      <c r="G54" s="33" t="s">
        <v>270</v>
      </c>
      <c r="H54" s="33" t="s">
        <v>47</v>
      </c>
      <c r="I54" s="33" t="s">
        <v>271</v>
      </c>
      <c r="J54" s="34"/>
      <c r="K54" s="42" t="str">
        <f>"212,5"</f>
        <v>212,5</v>
      </c>
      <c r="L54" s="15" t="str">
        <f>"123,1438"</f>
        <v>123,1438</v>
      </c>
      <c r="M54" s="13" t="s">
        <v>478</v>
      </c>
    </row>
    <row r="56" spans="1:13">
      <c r="M56" s="6"/>
    </row>
    <row r="57" spans="1:13">
      <c r="M57" s="6"/>
    </row>
    <row r="58" spans="1:13" ht="18">
      <c r="B58" s="17" t="s">
        <v>51</v>
      </c>
      <c r="C58" s="17"/>
      <c r="M58" s="6"/>
    </row>
    <row r="59" spans="1:13" ht="16">
      <c r="B59" s="18" t="s">
        <v>93</v>
      </c>
      <c r="C59" s="18"/>
      <c r="M59" s="6"/>
    </row>
    <row r="60" spans="1:13" ht="14">
      <c r="B60" s="19"/>
      <c r="C60" s="20" t="s">
        <v>58</v>
      </c>
      <c r="M60" s="6"/>
    </row>
    <row r="61" spans="1:13" ht="14">
      <c r="B61" s="21" t="s">
        <v>53</v>
      </c>
      <c r="C61" s="21" t="s">
        <v>54</v>
      </c>
      <c r="D61" s="21" t="s">
        <v>477</v>
      </c>
      <c r="E61" s="22" t="s">
        <v>175</v>
      </c>
      <c r="F61" s="21" t="s">
        <v>55</v>
      </c>
      <c r="M61" s="6"/>
    </row>
    <row r="62" spans="1:13">
      <c r="B62" s="5" t="s">
        <v>212</v>
      </c>
      <c r="C62" s="5" t="s">
        <v>58</v>
      </c>
      <c r="D62" s="24" t="s">
        <v>56</v>
      </c>
      <c r="E62" s="25">
        <v>82.5</v>
      </c>
      <c r="F62" s="23">
        <v>93.810748457908602</v>
      </c>
      <c r="M62" s="6"/>
    </row>
    <row r="63" spans="1:13">
      <c r="B63" s="5" t="s">
        <v>216</v>
      </c>
      <c r="C63" s="5" t="s">
        <v>58</v>
      </c>
      <c r="D63" s="24" t="s">
        <v>56</v>
      </c>
      <c r="E63" s="25">
        <v>77.5</v>
      </c>
      <c r="F63" s="23">
        <v>87.652503252029405</v>
      </c>
      <c r="M63" s="6"/>
    </row>
    <row r="64" spans="1:13">
      <c r="B64" s="5" t="s">
        <v>201</v>
      </c>
      <c r="C64" s="5" t="s">
        <v>58</v>
      </c>
      <c r="D64" s="24" t="s">
        <v>57</v>
      </c>
      <c r="E64" s="25">
        <v>67.5</v>
      </c>
      <c r="F64" s="23">
        <v>84.651747643947601</v>
      </c>
      <c r="M64" s="6"/>
    </row>
    <row r="65" spans="2:13">
      <c r="M65" s="6"/>
    </row>
    <row r="66" spans="2:13" ht="16">
      <c r="B66" s="18" t="s">
        <v>52</v>
      </c>
      <c r="C66" s="18"/>
      <c r="M66" s="6"/>
    </row>
    <row r="67" spans="2:13" ht="14">
      <c r="B67" s="19"/>
      <c r="C67" s="20" t="s">
        <v>58</v>
      </c>
      <c r="M67" s="6"/>
    </row>
    <row r="68" spans="2:13" ht="14">
      <c r="B68" s="21" t="s">
        <v>53</v>
      </c>
      <c r="C68" s="21" t="s">
        <v>54</v>
      </c>
      <c r="D68" s="21" t="s">
        <v>477</v>
      </c>
      <c r="E68" s="22" t="s">
        <v>175</v>
      </c>
      <c r="F68" s="21" t="s">
        <v>55</v>
      </c>
      <c r="M68" s="6"/>
    </row>
    <row r="69" spans="2:13">
      <c r="B69" s="5" t="s">
        <v>267</v>
      </c>
      <c r="C69" s="5" t="s">
        <v>58</v>
      </c>
      <c r="D69" s="24" t="s">
        <v>272</v>
      </c>
      <c r="E69" s="25">
        <v>212.5</v>
      </c>
      <c r="F69" s="23">
        <v>123.143754154444</v>
      </c>
      <c r="M69" s="6"/>
    </row>
    <row r="70" spans="2:13">
      <c r="B70" s="5" t="s">
        <v>230</v>
      </c>
      <c r="C70" s="5" t="s">
        <v>58</v>
      </c>
      <c r="D70" s="24" t="s">
        <v>94</v>
      </c>
      <c r="E70" s="25">
        <v>155</v>
      </c>
      <c r="F70" s="23">
        <v>110.452998876572</v>
      </c>
    </row>
    <row r="71" spans="2:13">
      <c r="B71" s="5" t="s">
        <v>262</v>
      </c>
      <c r="C71" s="5" t="s">
        <v>58</v>
      </c>
      <c r="D71" s="24" t="s">
        <v>176</v>
      </c>
      <c r="E71" s="25">
        <v>170</v>
      </c>
      <c r="F71" s="23">
        <v>103.665996789932</v>
      </c>
    </row>
  </sheetData>
  <mergeCells count="22">
    <mergeCell ref="A36:J36"/>
    <mergeCell ref="A43:J43"/>
    <mergeCell ref="A47:J47"/>
    <mergeCell ref="A52:J52"/>
    <mergeCell ref="B3:B4"/>
    <mergeCell ref="A9:J9"/>
    <mergeCell ref="A14:J14"/>
    <mergeCell ref="A18:J18"/>
    <mergeCell ref="A23:J23"/>
    <mergeCell ref="A26:J26"/>
    <mergeCell ref="A29:J29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6"/>
  <sheetViews>
    <sheetView topLeftCell="A23" workbookViewId="0">
      <selection activeCell="E37" sqref="E37"/>
    </sheetView>
  </sheetViews>
  <sheetFormatPr baseColWidth="10" defaultColWidth="9.1640625" defaultRowHeight="13"/>
  <cols>
    <col min="1" max="1" width="7.1640625" style="5" bestFit="1" customWidth="1"/>
    <col min="2" max="2" width="19.1640625" style="5" bestFit="1" customWidth="1"/>
    <col min="3" max="3" width="28.6640625" style="5" bestFit="1" customWidth="1"/>
    <col min="4" max="4" width="20.83203125" style="5" bestFit="1" customWidth="1"/>
    <col min="5" max="5" width="10.1640625" style="16" bestFit="1" customWidth="1"/>
    <col min="6" max="6" width="28.83203125" style="5" bestFit="1" customWidth="1"/>
    <col min="7" max="9" width="5.5" style="24" customWidth="1"/>
    <col min="10" max="10" width="4.5" style="24" customWidth="1"/>
    <col min="11" max="11" width="10.5" style="6" bestFit="1" customWidth="1"/>
    <col min="12" max="12" width="8.5" style="6" bestFit="1" customWidth="1"/>
    <col min="13" max="13" width="22" style="5" customWidth="1"/>
    <col min="14" max="16384" width="9.1640625" style="3"/>
  </cols>
  <sheetData>
    <row r="1" spans="1:13" s="2" customFormat="1" ht="29" customHeight="1">
      <c r="A1" s="51" t="s">
        <v>435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483</v>
      </c>
      <c r="B3" s="66" t="s">
        <v>0</v>
      </c>
      <c r="C3" s="61" t="s">
        <v>484</v>
      </c>
      <c r="D3" s="61" t="s">
        <v>6</v>
      </c>
      <c r="E3" s="45" t="s">
        <v>485</v>
      </c>
      <c r="F3" s="63" t="s">
        <v>5</v>
      </c>
      <c r="G3" s="63" t="s">
        <v>8</v>
      </c>
      <c r="H3" s="63"/>
      <c r="I3" s="63"/>
      <c r="J3" s="63"/>
      <c r="K3" s="45" t="s">
        <v>177</v>
      </c>
      <c r="L3" s="45" t="s">
        <v>3</v>
      </c>
      <c r="M3" s="47" t="s">
        <v>2</v>
      </c>
    </row>
    <row r="4" spans="1:13" s="1" customFormat="1" ht="21" customHeight="1" thickBot="1">
      <c r="A4" s="60"/>
      <c r="B4" s="67"/>
      <c r="C4" s="62"/>
      <c r="D4" s="62"/>
      <c r="E4" s="46"/>
      <c r="F4" s="62"/>
      <c r="G4" s="4">
        <v>1</v>
      </c>
      <c r="H4" s="4">
        <v>2</v>
      </c>
      <c r="I4" s="4">
        <v>3</v>
      </c>
      <c r="J4" s="4" t="s">
        <v>4</v>
      </c>
      <c r="K4" s="46"/>
      <c r="L4" s="46"/>
      <c r="M4" s="48"/>
    </row>
    <row r="5" spans="1:13" ht="16">
      <c r="A5" s="49" t="s">
        <v>27</v>
      </c>
      <c r="B5" s="49"/>
      <c r="C5" s="50"/>
      <c r="D5" s="50"/>
      <c r="E5" s="50"/>
      <c r="F5" s="50"/>
      <c r="G5" s="50"/>
      <c r="H5" s="50"/>
      <c r="I5" s="50"/>
      <c r="J5" s="50"/>
    </row>
    <row r="6" spans="1:13">
      <c r="A6" s="28" t="s">
        <v>60</v>
      </c>
      <c r="B6" s="7" t="s">
        <v>178</v>
      </c>
      <c r="C6" s="7" t="s">
        <v>127</v>
      </c>
      <c r="D6" s="7" t="s">
        <v>128</v>
      </c>
      <c r="E6" s="8" t="s">
        <v>487</v>
      </c>
      <c r="F6" s="7" t="s">
        <v>116</v>
      </c>
      <c r="G6" s="27" t="s">
        <v>77</v>
      </c>
      <c r="H6" s="26" t="s">
        <v>77</v>
      </c>
      <c r="I6" s="26" t="s">
        <v>111</v>
      </c>
      <c r="J6" s="28"/>
      <c r="K6" s="9" t="str">
        <f>"47,5"</f>
        <v>47,5</v>
      </c>
      <c r="L6" s="9" t="str">
        <f>"55,4230"</f>
        <v>55,4230</v>
      </c>
      <c r="M6" s="7" t="s">
        <v>129</v>
      </c>
    </row>
    <row r="8" spans="1:13" ht="16">
      <c r="A8" s="64" t="s">
        <v>23</v>
      </c>
      <c r="B8" s="64"/>
      <c r="C8" s="65"/>
      <c r="D8" s="65"/>
      <c r="E8" s="65"/>
      <c r="F8" s="65"/>
      <c r="G8" s="65"/>
      <c r="H8" s="65"/>
      <c r="I8" s="65"/>
      <c r="J8" s="65"/>
    </row>
    <row r="9" spans="1:13">
      <c r="A9" s="28" t="s">
        <v>60</v>
      </c>
      <c r="B9" s="7" t="s">
        <v>179</v>
      </c>
      <c r="C9" s="7" t="s">
        <v>130</v>
      </c>
      <c r="D9" s="7" t="s">
        <v>131</v>
      </c>
      <c r="E9" s="8" t="s">
        <v>488</v>
      </c>
      <c r="F9" s="7" t="s">
        <v>132</v>
      </c>
      <c r="G9" s="27" t="s">
        <v>15</v>
      </c>
      <c r="H9" s="26" t="s">
        <v>15</v>
      </c>
      <c r="I9" s="26" t="s">
        <v>133</v>
      </c>
      <c r="J9" s="28"/>
      <c r="K9" s="9" t="str">
        <f>"67,5"</f>
        <v>67,5</v>
      </c>
      <c r="L9" s="9" t="str">
        <f>"62,1000"</f>
        <v>62,1000</v>
      </c>
      <c r="M9" s="7" t="s">
        <v>134</v>
      </c>
    </row>
    <row r="11" spans="1:13" ht="16">
      <c r="A11" s="64" t="s">
        <v>102</v>
      </c>
      <c r="B11" s="64"/>
      <c r="C11" s="65"/>
      <c r="D11" s="65"/>
      <c r="E11" s="65"/>
      <c r="F11" s="65"/>
      <c r="G11" s="65"/>
      <c r="H11" s="65"/>
      <c r="I11" s="65"/>
      <c r="J11" s="65"/>
    </row>
    <row r="12" spans="1:13">
      <c r="A12" s="31" t="s">
        <v>60</v>
      </c>
      <c r="B12" s="10" t="s">
        <v>180</v>
      </c>
      <c r="C12" s="10" t="s">
        <v>136</v>
      </c>
      <c r="D12" s="10" t="s">
        <v>137</v>
      </c>
      <c r="E12" s="11" t="s">
        <v>487</v>
      </c>
      <c r="F12" s="10" t="s">
        <v>425</v>
      </c>
      <c r="G12" s="29" t="s">
        <v>33</v>
      </c>
      <c r="H12" s="29" t="s">
        <v>138</v>
      </c>
      <c r="I12" s="30" t="s">
        <v>79</v>
      </c>
      <c r="J12" s="31"/>
      <c r="K12" s="12" t="str">
        <f>"127,5"</f>
        <v>127,5</v>
      </c>
      <c r="L12" s="12" t="str">
        <f>"99,1312"</f>
        <v>99,1312</v>
      </c>
      <c r="M12" s="10" t="s">
        <v>108</v>
      </c>
    </row>
    <row r="13" spans="1:13">
      <c r="A13" s="38" t="s">
        <v>100</v>
      </c>
      <c r="B13" s="35" t="s">
        <v>181</v>
      </c>
      <c r="C13" s="35" t="s">
        <v>139</v>
      </c>
      <c r="D13" s="35" t="s">
        <v>140</v>
      </c>
      <c r="E13" s="36" t="s">
        <v>487</v>
      </c>
      <c r="F13" s="35" t="s">
        <v>116</v>
      </c>
      <c r="G13" s="39" t="s">
        <v>76</v>
      </c>
      <c r="H13" s="39" t="s">
        <v>31</v>
      </c>
      <c r="I13" s="40" t="s">
        <v>92</v>
      </c>
      <c r="J13" s="38"/>
      <c r="K13" s="37" t="str">
        <f>"100,0"</f>
        <v>100,0</v>
      </c>
      <c r="L13" s="37" t="str">
        <f>"78,3200"</f>
        <v>78,3200</v>
      </c>
      <c r="M13" s="35" t="s">
        <v>129</v>
      </c>
    </row>
    <row r="14" spans="1:13">
      <c r="A14" s="34" t="s">
        <v>60</v>
      </c>
      <c r="B14" s="13" t="s">
        <v>182</v>
      </c>
      <c r="C14" s="13" t="s">
        <v>458</v>
      </c>
      <c r="D14" s="13" t="s">
        <v>141</v>
      </c>
      <c r="E14" s="14" t="s">
        <v>489</v>
      </c>
      <c r="F14" s="13" t="s">
        <v>116</v>
      </c>
      <c r="G14" s="33" t="s">
        <v>14</v>
      </c>
      <c r="H14" s="32" t="s">
        <v>142</v>
      </c>
      <c r="I14" s="33" t="s">
        <v>142</v>
      </c>
      <c r="J14" s="34"/>
      <c r="K14" s="15" t="str">
        <f>"57,5"</f>
        <v>57,5</v>
      </c>
      <c r="L14" s="15" t="str">
        <f>"81,5333"</f>
        <v>81,5333</v>
      </c>
      <c r="M14" s="13" t="s">
        <v>129</v>
      </c>
    </row>
    <row r="16" spans="1:13" ht="16">
      <c r="A16" s="64" t="s">
        <v>73</v>
      </c>
      <c r="B16" s="64"/>
      <c r="C16" s="65"/>
      <c r="D16" s="65"/>
      <c r="E16" s="65"/>
      <c r="F16" s="65"/>
      <c r="G16" s="65"/>
      <c r="H16" s="65"/>
      <c r="I16" s="65"/>
      <c r="J16" s="65"/>
    </row>
    <row r="17" spans="1:13">
      <c r="A17" s="28" t="s">
        <v>60</v>
      </c>
      <c r="B17" s="7" t="s">
        <v>183</v>
      </c>
      <c r="C17" s="7" t="s">
        <v>143</v>
      </c>
      <c r="D17" s="7" t="s">
        <v>144</v>
      </c>
      <c r="E17" s="8" t="s">
        <v>488</v>
      </c>
      <c r="F17" s="7" t="s">
        <v>426</v>
      </c>
      <c r="G17" s="26" t="s">
        <v>19</v>
      </c>
      <c r="H17" s="26" t="s">
        <v>20</v>
      </c>
      <c r="I17" s="26" t="s">
        <v>145</v>
      </c>
      <c r="J17" s="28"/>
      <c r="K17" s="9" t="str">
        <f>"82,5"</f>
        <v>82,5</v>
      </c>
      <c r="L17" s="9" t="str">
        <f>"61,6193"</f>
        <v>61,6193</v>
      </c>
      <c r="M17" s="7" t="s">
        <v>22</v>
      </c>
    </row>
    <row r="19" spans="1:13" ht="16">
      <c r="A19" s="64" t="s">
        <v>41</v>
      </c>
      <c r="B19" s="64"/>
      <c r="C19" s="65"/>
      <c r="D19" s="65"/>
      <c r="E19" s="65"/>
      <c r="F19" s="65"/>
      <c r="G19" s="65"/>
      <c r="H19" s="65"/>
      <c r="I19" s="65"/>
      <c r="J19" s="65"/>
    </row>
    <row r="20" spans="1:13">
      <c r="A20" s="31" t="s">
        <v>60</v>
      </c>
      <c r="B20" s="10" t="s">
        <v>184</v>
      </c>
      <c r="C20" s="10" t="s">
        <v>147</v>
      </c>
      <c r="D20" s="10" t="s">
        <v>148</v>
      </c>
      <c r="E20" s="11" t="s">
        <v>487</v>
      </c>
      <c r="F20" s="10" t="s">
        <v>149</v>
      </c>
      <c r="G20" s="29" t="s">
        <v>39</v>
      </c>
      <c r="H20" s="29" t="s">
        <v>150</v>
      </c>
      <c r="I20" s="29" t="s">
        <v>84</v>
      </c>
      <c r="J20" s="31"/>
      <c r="K20" s="12" t="str">
        <f>"180,0"</f>
        <v>180,0</v>
      </c>
      <c r="L20" s="12" t="str">
        <f>"122,8860"</f>
        <v>122,8860</v>
      </c>
      <c r="M20" s="10" t="s">
        <v>151</v>
      </c>
    </row>
    <row r="21" spans="1:13">
      <c r="A21" s="38" t="s">
        <v>100</v>
      </c>
      <c r="B21" s="35" t="s">
        <v>185</v>
      </c>
      <c r="C21" s="35" t="s">
        <v>153</v>
      </c>
      <c r="D21" s="35" t="s">
        <v>154</v>
      </c>
      <c r="E21" s="36" t="s">
        <v>487</v>
      </c>
      <c r="F21" s="35" t="s">
        <v>36</v>
      </c>
      <c r="G21" s="39" t="s">
        <v>38</v>
      </c>
      <c r="H21" s="39" t="s">
        <v>83</v>
      </c>
      <c r="I21" s="39" t="s">
        <v>82</v>
      </c>
      <c r="J21" s="38"/>
      <c r="K21" s="37" t="str">
        <f>"175,0"</f>
        <v>175,0</v>
      </c>
      <c r="L21" s="37" t="str">
        <f>"117,3200"</f>
        <v>117,3200</v>
      </c>
      <c r="M21" s="35" t="s">
        <v>108</v>
      </c>
    </row>
    <row r="22" spans="1:13">
      <c r="A22" s="38" t="s">
        <v>186</v>
      </c>
      <c r="B22" s="35" t="s">
        <v>187</v>
      </c>
      <c r="C22" s="35" t="s">
        <v>155</v>
      </c>
      <c r="D22" s="35" t="s">
        <v>156</v>
      </c>
      <c r="E22" s="36" t="s">
        <v>487</v>
      </c>
      <c r="F22" s="35" t="s">
        <v>36</v>
      </c>
      <c r="G22" s="39" t="s">
        <v>38</v>
      </c>
      <c r="H22" s="39" t="s">
        <v>83</v>
      </c>
      <c r="I22" s="40" t="s">
        <v>82</v>
      </c>
      <c r="J22" s="38"/>
      <c r="K22" s="37" t="str">
        <f>"170,0"</f>
        <v>170,0</v>
      </c>
      <c r="L22" s="37" t="str">
        <f>"114,6480"</f>
        <v>114,6480</v>
      </c>
      <c r="M22" s="35" t="s">
        <v>157</v>
      </c>
    </row>
    <row r="23" spans="1:13">
      <c r="A23" s="38" t="s">
        <v>188</v>
      </c>
      <c r="B23" s="35" t="s">
        <v>189</v>
      </c>
      <c r="C23" s="35" t="s">
        <v>158</v>
      </c>
      <c r="D23" s="35" t="s">
        <v>159</v>
      </c>
      <c r="E23" s="36" t="s">
        <v>487</v>
      </c>
      <c r="F23" s="35" t="s">
        <v>36</v>
      </c>
      <c r="G23" s="40" t="s">
        <v>138</v>
      </c>
      <c r="H23" s="39" t="s">
        <v>138</v>
      </c>
      <c r="I23" s="40" t="s">
        <v>160</v>
      </c>
      <c r="J23" s="38"/>
      <c r="K23" s="37" t="str">
        <f>"127,5"</f>
        <v>127,5</v>
      </c>
      <c r="L23" s="37" t="str">
        <f>"86,6362"</f>
        <v>86,6362</v>
      </c>
      <c r="M23" s="35" t="s">
        <v>108</v>
      </c>
    </row>
    <row r="24" spans="1:13">
      <c r="A24" s="34" t="s">
        <v>60</v>
      </c>
      <c r="B24" s="13" t="s">
        <v>184</v>
      </c>
      <c r="C24" s="13" t="s">
        <v>459</v>
      </c>
      <c r="D24" s="13" t="s">
        <v>148</v>
      </c>
      <c r="E24" s="14" t="s">
        <v>491</v>
      </c>
      <c r="F24" s="13" t="s">
        <v>149</v>
      </c>
      <c r="G24" s="33" t="s">
        <v>39</v>
      </c>
      <c r="H24" s="33" t="s">
        <v>150</v>
      </c>
      <c r="I24" s="33" t="s">
        <v>84</v>
      </c>
      <c r="J24" s="34"/>
      <c r="K24" s="15" t="str">
        <f>"180,0"</f>
        <v>180,0</v>
      </c>
      <c r="L24" s="15" t="str">
        <f>"126,3268"</f>
        <v>126,3268</v>
      </c>
      <c r="M24" s="13" t="s">
        <v>151</v>
      </c>
    </row>
    <row r="26" spans="1:13" ht="16">
      <c r="A26" s="64" t="s">
        <v>161</v>
      </c>
      <c r="B26" s="64"/>
      <c r="C26" s="65"/>
      <c r="D26" s="65"/>
      <c r="E26" s="65"/>
      <c r="F26" s="65"/>
      <c r="G26" s="65"/>
      <c r="H26" s="65"/>
      <c r="I26" s="65"/>
      <c r="J26" s="65"/>
    </row>
    <row r="27" spans="1:13">
      <c r="A27" s="31" t="s">
        <v>60</v>
      </c>
      <c r="B27" s="10" t="s">
        <v>190</v>
      </c>
      <c r="C27" s="10" t="s">
        <v>163</v>
      </c>
      <c r="D27" s="10" t="s">
        <v>164</v>
      </c>
      <c r="E27" s="11" t="s">
        <v>487</v>
      </c>
      <c r="F27" s="10" t="s">
        <v>424</v>
      </c>
      <c r="G27" s="29" t="s">
        <v>88</v>
      </c>
      <c r="H27" s="30" t="s">
        <v>165</v>
      </c>
      <c r="I27" s="31"/>
      <c r="J27" s="31"/>
      <c r="K27" s="12" t="str">
        <f>"200,0"</f>
        <v>200,0</v>
      </c>
      <c r="L27" s="12" t="str">
        <f>"123,6000"</f>
        <v>123,6000</v>
      </c>
      <c r="M27" s="10"/>
    </row>
    <row r="28" spans="1:13">
      <c r="A28" s="38" t="s">
        <v>60</v>
      </c>
      <c r="B28" s="35" t="s">
        <v>190</v>
      </c>
      <c r="C28" s="35" t="s">
        <v>460</v>
      </c>
      <c r="D28" s="35" t="s">
        <v>164</v>
      </c>
      <c r="E28" s="36" t="s">
        <v>490</v>
      </c>
      <c r="F28" s="35" t="s">
        <v>424</v>
      </c>
      <c r="G28" s="39" t="s">
        <v>88</v>
      </c>
      <c r="H28" s="40" t="s">
        <v>165</v>
      </c>
      <c r="I28" s="38"/>
      <c r="J28" s="38"/>
      <c r="K28" s="37" t="str">
        <f>"200,0"</f>
        <v>200,0</v>
      </c>
      <c r="L28" s="37" t="str">
        <f>"133,2408"</f>
        <v>133,2408</v>
      </c>
      <c r="M28" s="35"/>
    </row>
    <row r="29" spans="1:13">
      <c r="A29" s="38" t="s">
        <v>60</v>
      </c>
      <c r="B29" s="35" t="s">
        <v>191</v>
      </c>
      <c r="C29" s="35" t="s">
        <v>461</v>
      </c>
      <c r="D29" s="35" t="s">
        <v>166</v>
      </c>
      <c r="E29" s="36" t="s">
        <v>493</v>
      </c>
      <c r="F29" s="35" t="s">
        <v>36</v>
      </c>
      <c r="G29" s="39" t="s">
        <v>79</v>
      </c>
      <c r="H29" s="40" t="s">
        <v>118</v>
      </c>
      <c r="I29" s="40" t="s">
        <v>50</v>
      </c>
      <c r="J29" s="38"/>
      <c r="K29" s="37" t="str">
        <f>"130,0"</f>
        <v>130,0</v>
      </c>
      <c r="L29" s="37" t="str">
        <f>"109,4769"</f>
        <v>109,4769</v>
      </c>
      <c r="M29" s="35"/>
    </row>
    <row r="30" spans="1:13">
      <c r="A30" s="34" t="s">
        <v>60</v>
      </c>
      <c r="B30" s="13" t="s">
        <v>192</v>
      </c>
      <c r="C30" s="13" t="s">
        <v>462</v>
      </c>
      <c r="D30" s="13" t="s">
        <v>167</v>
      </c>
      <c r="E30" s="14" t="s">
        <v>494</v>
      </c>
      <c r="F30" s="13" t="s">
        <v>424</v>
      </c>
      <c r="G30" s="32" t="s">
        <v>71</v>
      </c>
      <c r="H30" s="33" t="s">
        <v>71</v>
      </c>
      <c r="I30" s="32" t="s">
        <v>118</v>
      </c>
      <c r="J30" s="34"/>
      <c r="K30" s="15" t="str">
        <f>"125,0"</f>
        <v>125,0</v>
      </c>
      <c r="L30" s="15" t="str">
        <f>"108,3938"</f>
        <v>108,3938</v>
      </c>
      <c r="M30" s="13" t="s">
        <v>168</v>
      </c>
    </row>
    <row r="32" spans="1:13" ht="16">
      <c r="A32" s="64" t="s">
        <v>113</v>
      </c>
      <c r="B32" s="64"/>
      <c r="C32" s="65"/>
      <c r="D32" s="65"/>
      <c r="E32" s="65"/>
      <c r="F32" s="65"/>
      <c r="G32" s="65"/>
      <c r="H32" s="65"/>
      <c r="I32" s="65"/>
      <c r="J32" s="65"/>
    </row>
    <row r="33" spans="1:13">
      <c r="A33" s="31" t="s">
        <v>60</v>
      </c>
      <c r="B33" s="10" t="s">
        <v>193</v>
      </c>
      <c r="C33" s="10" t="s">
        <v>169</v>
      </c>
      <c r="D33" s="10" t="s">
        <v>170</v>
      </c>
      <c r="E33" s="11" t="s">
        <v>487</v>
      </c>
      <c r="F33" s="10" t="s">
        <v>424</v>
      </c>
      <c r="G33" s="29" t="s">
        <v>171</v>
      </c>
      <c r="H33" s="29" t="s">
        <v>172</v>
      </c>
      <c r="I33" s="30" t="s">
        <v>88</v>
      </c>
      <c r="J33" s="31"/>
      <c r="K33" s="12" t="str">
        <f>"192,5"</f>
        <v>192,5</v>
      </c>
      <c r="L33" s="12" t="str">
        <f>"115,6155"</f>
        <v>115,6155</v>
      </c>
      <c r="M33" s="10"/>
    </row>
    <row r="34" spans="1:13">
      <c r="A34" s="38" t="s">
        <v>100</v>
      </c>
      <c r="B34" s="35" t="s">
        <v>194</v>
      </c>
      <c r="C34" s="35" t="s">
        <v>173</v>
      </c>
      <c r="D34" s="35" t="s">
        <v>174</v>
      </c>
      <c r="E34" s="36" t="s">
        <v>487</v>
      </c>
      <c r="F34" s="35" t="s">
        <v>424</v>
      </c>
      <c r="G34" s="39" t="s">
        <v>171</v>
      </c>
      <c r="H34" s="40" t="s">
        <v>172</v>
      </c>
      <c r="I34" s="40" t="s">
        <v>172</v>
      </c>
      <c r="J34" s="38"/>
      <c r="K34" s="37" t="str">
        <f>"182,5"</f>
        <v>182,5</v>
      </c>
      <c r="L34" s="37" t="str">
        <f>"108,4232"</f>
        <v>108,4232</v>
      </c>
      <c r="M34" s="35"/>
    </row>
    <row r="35" spans="1:13">
      <c r="A35" s="38" t="s">
        <v>60</v>
      </c>
      <c r="B35" s="35" t="s">
        <v>194</v>
      </c>
      <c r="C35" s="35" t="s">
        <v>463</v>
      </c>
      <c r="D35" s="35" t="s">
        <v>174</v>
      </c>
      <c r="E35" s="36" t="s">
        <v>491</v>
      </c>
      <c r="F35" s="35" t="s">
        <v>424</v>
      </c>
      <c r="G35" s="39" t="s">
        <v>171</v>
      </c>
      <c r="H35" s="40" t="s">
        <v>172</v>
      </c>
      <c r="I35" s="40" t="s">
        <v>172</v>
      </c>
      <c r="J35" s="38"/>
      <c r="K35" s="37" t="str">
        <f>"182,5"</f>
        <v>182,5</v>
      </c>
      <c r="L35" s="37" t="str">
        <f>"108,9654"</f>
        <v>108,9654</v>
      </c>
      <c r="M35" s="35"/>
    </row>
    <row r="36" spans="1:13">
      <c r="A36" s="34" t="s">
        <v>60</v>
      </c>
      <c r="B36" s="13" t="s">
        <v>193</v>
      </c>
      <c r="C36" s="13" t="s">
        <v>464</v>
      </c>
      <c r="D36" s="13" t="s">
        <v>170</v>
      </c>
      <c r="E36" s="14" t="s">
        <v>490</v>
      </c>
      <c r="F36" s="13" t="s">
        <v>424</v>
      </c>
      <c r="G36" s="33" t="s">
        <v>171</v>
      </c>
      <c r="H36" s="33" t="s">
        <v>172</v>
      </c>
      <c r="I36" s="32" t="s">
        <v>88</v>
      </c>
      <c r="J36" s="34"/>
      <c r="K36" s="15" t="str">
        <f>"192,5"</f>
        <v>192,5</v>
      </c>
      <c r="L36" s="15" t="str">
        <f>"124,6335"</f>
        <v>124,6335</v>
      </c>
      <c r="M36" s="13"/>
    </row>
    <row r="38" spans="1:13">
      <c r="K38" s="24"/>
      <c r="M38" s="6"/>
    </row>
    <row r="39" spans="1:13">
      <c r="K39" s="24"/>
      <c r="M39" s="6"/>
    </row>
    <row r="40" spans="1:13" ht="18">
      <c r="B40" s="17" t="s">
        <v>51</v>
      </c>
      <c r="C40" s="17"/>
      <c r="K40" s="24"/>
      <c r="M40" s="6"/>
    </row>
    <row r="41" spans="1:13" ht="16">
      <c r="B41" s="18" t="s">
        <v>52</v>
      </c>
      <c r="C41" s="18"/>
      <c r="K41" s="24"/>
      <c r="M41" s="6"/>
    </row>
    <row r="42" spans="1:13" ht="14">
      <c r="B42" s="19"/>
      <c r="C42" s="20" t="s">
        <v>58</v>
      </c>
      <c r="K42" s="24"/>
      <c r="M42" s="6"/>
    </row>
    <row r="43" spans="1:13" ht="14">
      <c r="B43" s="21" t="s">
        <v>53</v>
      </c>
      <c r="C43" s="21" t="s">
        <v>54</v>
      </c>
      <c r="D43" s="21" t="s">
        <v>477</v>
      </c>
      <c r="E43" s="22" t="s">
        <v>175</v>
      </c>
      <c r="F43" s="21" t="s">
        <v>55</v>
      </c>
      <c r="K43" s="24"/>
      <c r="M43" s="6"/>
    </row>
    <row r="44" spans="1:13">
      <c r="B44" s="5" t="s">
        <v>162</v>
      </c>
      <c r="C44" s="5" t="s">
        <v>58</v>
      </c>
      <c r="D44" s="24" t="s">
        <v>176</v>
      </c>
      <c r="E44" s="25">
        <v>200</v>
      </c>
      <c r="F44" s="23">
        <v>123.599994182587</v>
      </c>
      <c r="K44" s="24"/>
      <c r="M44" s="6"/>
    </row>
    <row r="45" spans="1:13">
      <c r="B45" s="5" t="s">
        <v>146</v>
      </c>
      <c r="C45" s="5" t="s">
        <v>58</v>
      </c>
      <c r="D45" s="24" t="s">
        <v>95</v>
      </c>
      <c r="E45" s="25">
        <v>180</v>
      </c>
      <c r="F45" s="23">
        <v>122.885996103287</v>
      </c>
      <c r="G45" s="5"/>
      <c r="K45" s="24"/>
      <c r="M45" s="6"/>
    </row>
    <row r="46" spans="1:13">
      <c r="B46" s="5" t="s">
        <v>152</v>
      </c>
      <c r="C46" s="5" t="s">
        <v>58</v>
      </c>
      <c r="D46" s="24" t="s">
        <v>95</v>
      </c>
      <c r="E46" s="25">
        <v>175</v>
      </c>
      <c r="F46" s="23">
        <v>117.320004105568</v>
      </c>
    </row>
  </sheetData>
  <mergeCells count="18">
    <mergeCell ref="A32:J32"/>
    <mergeCell ref="K3:K4"/>
    <mergeCell ref="L3:L4"/>
    <mergeCell ref="M3:M4"/>
    <mergeCell ref="A5:J5"/>
    <mergeCell ref="B3:B4"/>
    <mergeCell ref="A8:J8"/>
    <mergeCell ref="A11:J11"/>
    <mergeCell ref="A16:J16"/>
    <mergeCell ref="A19:J19"/>
    <mergeCell ref="A26:J26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IPL ПЛ без экипировки ДК</vt:lpstr>
      <vt:lpstr>IPL ПЛ без экипировки</vt:lpstr>
      <vt:lpstr>IPL ПЛ в бинтах ДК</vt:lpstr>
      <vt:lpstr>IPL Двоеборье без экип ДК</vt:lpstr>
      <vt:lpstr>IPL Двоеборье без экип</vt:lpstr>
      <vt:lpstr>IPL Присед без экипировки ДК</vt:lpstr>
      <vt:lpstr>IPL Присед в бинтах</vt:lpstr>
      <vt:lpstr>IPL Жим без экипировки ДК</vt:lpstr>
      <vt:lpstr>IPL Жим без экипировки</vt:lpstr>
      <vt:lpstr>СПР Жим софт однопетельная ДК</vt:lpstr>
      <vt:lpstr>СПР Жим софт однопетельная</vt:lpstr>
      <vt:lpstr>СПР Жим софт многопетельная</vt:lpstr>
      <vt:lpstr>WRPF Военный жим ДК</vt:lpstr>
      <vt:lpstr>WRPF Военный жим</vt:lpstr>
      <vt:lpstr>СПР Жим СФО</vt:lpstr>
      <vt:lpstr>IPL Тяга без экипировки ДК</vt:lpstr>
      <vt:lpstr>IPL Тяга без экипировки</vt:lpstr>
      <vt:lpstr>СПР Подъем на бицепс ДК</vt:lpstr>
      <vt:lpstr>СПР Подъем на бицепс</vt:lpstr>
      <vt:lpstr>WRPF Подъем на бицепс ДК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2023-05-24T16:25:41Z</dcterms:modified>
</cp:coreProperties>
</file>