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рт/"/>
    </mc:Choice>
  </mc:AlternateContent>
  <xr:revisionPtr revIDLastSave="0" documentId="13_ncr:1_{9FAA7F42-2ABE-1D4A-BCD2-5AEFC45C5925}" xr6:coauthVersionLast="45" xr6:coauthVersionMax="45" xr10:uidLastSave="{00000000-0000-0000-0000-000000000000}"/>
  <bookViews>
    <workbookView xWindow="480" yWindow="460" windowWidth="28320" windowHeight="16100" firstSheet="21" activeTab="26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17" r:id="rId5"/>
    <sheet name="IPL Двоеборье без экип" sheetId="16" r:id="rId6"/>
    <sheet name="IPL Жим без экипировки ДК" sheetId="10" r:id="rId7"/>
    <sheet name="IPL Жим без экипировки" sheetId="9" r:id="rId8"/>
    <sheet name="IPL Жим однослой" sheetId="11" r:id="rId9"/>
    <sheet name="СПР Жим софт однопетельная ДК" sheetId="40" r:id="rId10"/>
    <sheet name="СПР Жим софт однопетельная" sheetId="39" r:id="rId11"/>
    <sheet name="WRPF Военный жим ДК" sheetId="48" r:id="rId12"/>
    <sheet name="WRPF Военный жим" sheetId="47" r:id="rId13"/>
    <sheet name="СПР Жим СФО" sheetId="32" r:id="rId14"/>
    <sheet name="IPL Тяга без экипировки ДК" sheetId="14" r:id="rId15"/>
    <sheet name="IPL Тяга без экипировки" sheetId="13" r:id="rId16"/>
    <sheet name="WRPF Подъем на бицепс ДК" sheetId="28" r:id="rId17"/>
    <sheet name="WRPF Подъем на бицепс" sheetId="27" r:id="rId18"/>
    <sheet name="СПР Пауэрспорт ДК" sheetId="38" r:id="rId19"/>
    <sheet name="СПР Пауэрспорт" sheetId="37" r:id="rId20"/>
    <sheet name="СПР Жим стоя ДК" sheetId="34" r:id="rId21"/>
    <sheet name="СПР Жим стоя" sheetId="33" r:id="rId22"/>
    <sheet name="СПР Подъем на бицепс ДК" sheetId="36" r:id="rId23"/>
    <sheet name="СПР Подъем на бицепс" sheetId="35" r:id="rId24"/>
    <sheet name="ФЖД Софт двоеборье однопет.ДК" sheetId="29" r:id="rId25"/>
    <sheet name="ФЖД Армейский жим двоеборье ДК" sheetId="31" r:id="rId26"/>
    <sheet name="ФЖД Армейский жим макс." sheetId="30" r:id="rId27"/>
  </sheets>
  <definedNames>
    <definedName name="_FilterDatabase" localSheetId="1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48" l="1"/>
  <c r="K7" i="48"/>
  <c r="L6" i="48"/>
  <c r="K6" i="48"/>
  <c r="L10" i="47"/>
  <c r="K10" i="47"/>
  <c r="L9" i="47"/>
  <c r="K9" i="47"/>
  <c r="L6" i="47"/>
  <c r="K6" i="47"/>
  <c r="L15" i="40"/>
  <c r="K15" i="40"/>
  <c r="L12" i="40"/>
  <c r="L9" i="40"/>
  <c r="K9" i="40"/>
  <c r="L6" i="40"/>
  <c r="K6" i="40"/>
  <c r="L6" i="39"/>
  <c r="K6" i="39"/>
  <c r="P9" i="38"/>
  <c r="O9" i="38"/>
  <c r="P6" i="38"/>
  <c r="O6" i="38"/>
  <c r="P6" i="37"/>
  <c r="O6" i="37"/>
  <c r="L17" i="36"/>
  <c r="K17" i="36"/>
  <c r="L16" i="36"/>
  <c r="K16" i="36"/>
  <c r="L13" i="36"/>
  <c r="K13" i="36"/>
  <c r="L10" i="36"/>
  <c r="K10" i="36"/>
  <c r="L9" i="36"/>
  <c r="K9" i="36"/>
  <c r="L6" i="36"/>
  <c r="K6" i="36"/>
  <c r="L7" i="35"/>
  <c r="L6" i="35"/>
  <c r="K6" i="35"/>
  <c r="L6" i="34"/>
  <c r="K6" i="34"/>
  <c r="L6" i="33"/>
  <c r="K6" i="33"/>
  <c r="L15" i="32"/>
  <c r="K15" i="32"/>
  <c r="L12" i="32"/>
  <c r="K12" i="32"/>
  <c r="L9" i="32"/>
  <c r="K9" i="32"/>
  <c r="L6" i="32"/>
  <c r="K6" i="32"/>
  <c r="N6" i="31"/>
  <c r="M6" i="31"/>
  <c r="L6" i="30"/>
  <c r="K6" i="30"/>
  <c r="N6" i="29"/>
  <c r="M6" i="29"/>
  <c r="L30" i="28"/>
  <c r="K30" i="28"/>
  <c r="L27" i="28"/>
  <c r="K27" i="28"/>
  <c r="L24" i="28"/>
  <c r="K24" i="28"/>
  <c r="L23" i="28"/>
  <c r="K23" i="28"/>
  <c r="L22" i="28"/>
  <c r="K22" i="28"/>
  <c r="L19" i="28"/>
  <c r="K19" i="28"/>
  <c r="L18" i="28"/>
  <c r="K18" i="28"/>
  <c r="L17" i="28"/>
  <c r="K17" i="28"/>
  <c r="L14" i="28"/>
  <c r="K14" i="28"/>
  <c r="L13" i="28"/>
  <c r="K13" i="28"/>
  <c r="L10" i="28"/>
  <c r="K10" i="28"/>
  <c r="L9" i="28"/>
  <c r="K9" i="28"/>
  <c r="L6" i="28"/>
  <c r="K6" i="28"/>
  <c r="L15" i="27"/>
  <c r="K15" i="27"/>
  <c r="L12" i="27"/>
  <c r="K12" i="27"/>
  <c r="L9" i="27"/>
  <c r="K9" i="27"/>
  <c r="L6" i="27"/>
  <c r="K6" i="27"/>
  <c r="P7" i="17"/>
  <c r="O7" i="17"/>
  <c r="P6" i="17"/>
  <c r="O6" i="17"/>
  <c r="P6" i="16"/>
  <c r="O6" i="16"/>
  <c r="L26" i="14"/>
  <c r="K26" i="14"/>
  <c r="L23" i="14"/>
  <c r="K23" i="14"/>
  <c r="L20" i="14"/>
  <c r="K20" i="14"/>
  <c r="L19" i="14"/>
  <c r="K19" i="14"/>
  <c r="L16" i="14"/>
  <c r="K16" i="14"/>
  <c r="L13" i="14"/>
  <c r="K13" i="14"/>
  <c r="L12" i="14"/>
  <c r="K12" i="14"/>
  <c r="L9" i="14"/>
  <c r="K9" i="14"/>
  <c r="L6" i="14"/>
  <c r="K6" i="14"/>
  <c r="L20" i="13"/>
  <c r="K20" i="13"/>
  <c r="L17" i="13"/>
  <c r="K17" i="13"/>
  <c r="L16" i="13"/>
  <c r="K16" i="13"/>
  <c r="L13" i="13"/>
  <c r="K13" i="13"/>
  <c r="L10" i="13"/>
  <c r="K10" i="13"/>
  <c r="L9" i="13"/>
  <c r="K9" i="13"/>
  <c r="L6" i="13"/>
  <c r="K6" i="13"/>
  <c r="L6" i="11"/>
  <c r="L41" i="10"/>
  <c r="K41" i="10"/>
  <c r="L40" i="10"/>
  <c r="K40" i="10"/>
  <c r="L37" i="10"/>
  <c r="K37" i="10"/>
  <c r="L36" i="10"/>
  <c r="K36" i="10"/>
  <c r="L35" i="10"/>
  <c r="K35" i="10"/>
  <c r="L34" i="10"/>
  <c r="K34" i="10"/>
  <c r="L33" i="10"/>
  <c r="K33" i="10"/>
  <c r="L30" i="10"/>
  <c r="K30" i="10"/>
  <c r="L27" i="10"/>
  <c r="K27" i="10"/>
  <c r="L26" i="10"/>
  <c r="K26" i="10"/>
  <c r="L23" i="10"/>
  <c r="K23" i="10"/>
  <c r="L22" i="10"/>
  <c r="K22" i="10"/>
  <c r="L19" i="10"/>
  <c r="K19" i="10"/>
  <c r="L16" i="10"/>
  <c r="K16" i="10"/>
  <c r="L13" i="10"/>
  <c r="K13" i="10"/>
  <c r="L10" i="10"/>
  <c r="K10" i="10"/>
  <c r="L9" i="10"/>
  <c r="K9" i="10"/>
  <c r="L6" i="10"/>
  <c r="K6" i="10"/>
  <c r="L44" i="9"/>
  <c r="K44" i="9"/>
  <c r="L43" i="9"/>
  <c r="L42" i="9"/>
  <c r="K42" i="9"/>
  <c r="L41" i="9"/>
  <c r="K41" i="9"/>
  <c r="L38" i="9"/>
  <c r="K38" i="9"/>
  <c r="L37" i="9"/>
  <c r="K37" i="9"/>
  <c r="L34" i="9"/>
  <c r="K34" i="9"/>
  <c r="L33" i="9"/>
  <c r="K33" i="9"/>
  <c r="L32" i="9"/>
  <c r="K32" i="9"/>
  <c r="L31" i="9"/>
  <c r="K31" i="9"/>
  <c r="L28" i="9"/>
  <c r="K28" i="9"/>
  <c r="L27" i="9"/>
  <c r="K27" i="9"/>
  <c r="L26" i="9"/>
  <c r="K26" i="9"/>
  <c r="L25" i="9"/>
  <c r="K25" i="9"/>
  <c r="L22" i="9"/>
  <c r="K22" i="9"/>
  <c r="L21" i="9"/>
  <c r="K21" i="9"/>
  <c r="L20" i="9"/>
  <c r="K20" i="9"/>
  <c r="L17" i="9"/>
  <c r="K17" i="9"/>
  <c r="L16" i="9"/>
  <c r="K16" i="9"/>
  <c r="L13" i="9"/>
  <c r="K13" i="9"/>
  <c r="L10" i="9"/>
  <c r="K10" i="9"/>
  <c r="L9" i="9"/>
  <c r="K9" i="9"/>
  <c r="L6" i="9"/>
  <c r="K6" i="9"/>
  <c r="T6" i="8"/>
  <c r="S6" i="8"/>
  <c r="T12" i="7"/>
  <c r="S12" i="7"/>
  <c r="T9" i="7"/>
  <c r="S9" i="7"/>
  <c r="T6" i="7"/>
  <c r="S6" i="7"/>
  <c r="T36" i="6"/>
  <c r="S36" i="6"/>
  <c r="T33" i="6"/>
  <c r="S33" i="6"/>
  <c r="T30" i="6"/>
  <c r="S30" i="6"/>
  <c r="T27" i="6"/>
  <c r="S27" i="6"/>
  <c r="T26" i="6"/>
  <c r="S26" i="6"/>
  <c r="T23" i="6"/>
  <c r="S23" i="6"/>
  <c r="T20" i="6"/>
  <c r="S20" i="6"/>
  <c r="T17" i="6"/>
  <c r="S17" i="6"/>
  <c r="T16" i="6"/>
  <c r="S16" i="6"/>
  <c r="T13" i="6"/>
  <c r="S13" i="6"/>
  <c r="T10" i="6"/>
  <c r="T7" i="6"/>
  <c r="S7" i="6"/>
  <c r="T6" i="6"/>
  <c r="S6" i="6"/>
  <c r="T15" i="5"/>
  <c r="S15" i="5"/>
  <c r="T12" i="5"/>
  <c r="S12" i="5"/>
  <c r="T9" i="5"/>
  <c r="T6" i="5"/>
  <c r="S6" i="5"/>
</calcChain>
</file>

<file path=xl/sharedStrings.xml><?xml version="1.0" encoding="utf-8"?>
<sst xmlns="http://schemas.openxmlformats.org/spreadsheetml/2006/main" count="1859" uniqueCount="564">
  <si>
    <t>ФИО</t>
  </si>
  <si>
    <t>Сумма</t>
  </si>
  <si>
    <t>Тренер</t>
  </si>
  <si>
    <t>Очки</t>
  </si>
  <si>
    <t>Рек</t>
  </si>
  <si>
    <t>Вес</t>
  </si>
  <si>
    <t>Повторы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</si>
  <si>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</si>
  <si>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</si>
  <si>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</si>
  <si>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</si>
  <si>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</si>
  <si>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67.5</t>
  </si>
  <si>
    <t>Открытая (08.04.1999)/23</t>
  </si>
  <si>
    <t>64,40</t>
  </si>
  <si>
    <t>135,0</t>
  </si>
  <si>
    <t>145,0</t>
  </si>
  <si>
    <t>155,0</t>
  </si>
  <si>
    <t>162,5</t>
  </si>
  <si>
    <t>112,5</t>
  </si>
  <si>
    <t>117,5</t>
  </si>
  <si>
    <t>120,0</t>
  </si>
  <si>
    <t>160,0</t>
  </si>
  <si>
    <t>172,5</t>
  </si>
  <si>
    <t>182,5</t>
  </si>
  <si>
    <t>200,0</t>
  </si>
  <si>
    <t>ВЕСОВАЯ КАТЕГОРИЯ   90</t>
  </si>
  <si>
    <t>90,00</t>
  </si>
  <si>
    <t>195,0</t>
  </si>
  <si>
    <t>220,0</t>
  </si>
  <si>
    <t xml:space="preserve">Мураткин Александр </t>
  </si>
  <si>
    <t>ВЕСОВАЯ КАТЕГОРИЯ   110</t>
  </si>
  <si>
    <t>105,80</t>
  </si>
  <si>
    <t>215,0</t>
  </si>
  <si>
    <t>225,0</t>
  </si>
  <si>
    <t>230,0</t>
  </si>
  <si>
    <t>255,0</t>
  </si>
  <si>
    <t>265,0</t>
  </si>
  <si>
    <t>ВЕСОВАЯ КАТЕГОРИЯ   140</t>
  </si>
  <si>
    <t>138,00</t>
  </si>
  <si>
    <t>340,0</t>
  </si>
  <si>
    <t>350,0</t>
  </si>
  <si>
    <t>360,0</t>
  </si>
  <si>
    <t>210,0</t>
  </si>
  <si>
    <t>260,0</t>
  </si>
  <si>
    <t>290,0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</si>
  <si>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</si>
  <si>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</si>
  <si>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</si>
  <si>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</si>
  <si>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</si>
  <si>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 xml:space="preserve">Открытая </t>
  </si>
  <si>
    <t xml:space="preserve">Мастера </t>
  </si>
  <si>
    <t>110</t>
  </si>
  <si>
    <t>1</t>
  </si>
  <si>
    <t>Коновалов Евгений</t>
  </si>
  <si>
    <t>-</t>
  </si>
  <si>
    <t>Халиуллин Айдар</t>
  </si>
  <si>
    <t>Миннеханов Нияз</t>
  </si>
  <si>
    <t>Мельников Максим</t>
  </si>
  <si>
    <t>ВЕСОВАЯ КАТЕГОРИЯ   56</t>
  </si>
  <si>
    <t>Открытая (16.11.1989)/33</t>
  </si>
  <si>
    <t>54,90</t>
  </si>
  <si>
    <t>95,0</t>
  </si>
  <si>
    <t>100,0</t>
  </si>
  <si>
    <t>105,0</t>
  </si>
  <si>
    <t>47,5</t>
  </si>
  <si>
    <t>52,5</t>
  </si>
  <si>
    <t>115,0</t>
  </si>
  <si>
    <t>122,5</t>
  </si>
  <si>
    <t>130,0</t>
  </si>
  <si>
    <t xml:space="preserve">Габбасов Руслан </t>
  </si>
  <si>
    <t xml:space="preserve">Горожанина Ольга </t>
  </si>
  <si>
    <t>Открытая (05.11.1983)/39</t>
  </si>
  <si>
    <t>55,60</t>
  </si>
  <si>
    <t>70,0</t>
  </si>
  <si>
    <t>75,0</t>
  </si>
  <si>
    <t>80,0</t>
  </si>
  <si>
    <t>50,0</t>
  </si>
  <si>
    <t>55,0</t>
  </si>
  <si>
    <t>90,0</t>
  </si>
  <si>
    <t>ВЕСОВАЯ КАТЕГОРИЯ   60</t>
  </si>
  <si>
    <t>Открытая (07.12.1985)/37</t>
  </si>
  <si>
    <t>57,70</t>
  </si>
  <si>
    <t>102,5</t>
  </si>
  <si>
    <t>97,5</t>
  </si>
  <si>
    <t xml:space="preserve">Бебенов Григорий </t>
  </si>
  <si>
    <t>Открытая (06.05.1993)/29</t>
  </si>
  <si>
    <t>66,20</t>
  </si>
  <si>
    <t>87,5</t>
  </si>
  <si>
    <t>92,5</t>
  </si>
  <si>
    <t>57,5</t>
  </si>
  <si>
    <t>107,5</t>
  </si>
  <si>
    <t xml:space="preserve">Тимофеев Дмитрий </t>
  </si>
  <si>
    <t>ВЕСОВАЯ КАТЕГОРИЯ   75</t>
  </si>
  <si>
    <t>Открытая (14.04.1980)/42</t>
  </si>
  <si>
    <t>68,80</t>
  </si>
  <si>
    <t>110,0</t>
  </si>
  <si>
    <t>82,5</t>
  </si>
  <si>
    <t xml:space="preserve">Замятин Игорь </t>
  </si>
  <si>
    <t>Юноши 15-19 (19.10.2007)/15</t>
  </si>
  <si>
    <t>54,40</t>
  </si>
  <si>
    <t>37,5</t>
  </si>
  <si>
    <t>42,5</t>
  </si>
  <si>
    <t>45,0</t>
  </si>
  <si>
    <t xml:space="preserve">Никишин Самир </t>
  </si>
  <si>
    <t>66,70</t>
  </si>
  <si>
    <t>140,0</t>
  </si>
  <si>
    <t>Юноши 15-19 (11.09.2007)/15</t>
  </si>
  <si>
    <t>73,90</t>
  </si>
  <si>
    <t>65,0</t>
  </si>
  <si>
    <t>125,0</t>
  </si>
  <si>
    <t>Открытая (11.01.1989)/34</t>
  </si>
  <si>
    <t>75,00</t>
  </si>
  <si>
    <t>165,0</t>
  </si>
  <si>
    <t>175,0</t>
  </si>
  <si>
    <t>180,0</t>
  </si>
  <si>
    <t>217,5</t>
  </si>
  <si>
    <t xml:space="preserve">Крыцков Николай </t>
  </si>
  <si>
    <t>ВЕСОВАЯ КАТЕГОРИЯ   82.5</t>
  </si>
  <si>
    <t>Открытая (04.08.1998)/24</t>
  </si>
  <si>
    <t>80,00</t>
  </si>
  <si>
    <t>170,0</t>
  </si>
  <si>
    <t>185,0</t>
  </si>
  <si>
    <t>205,0</t>
  </si>
  <si>
    <t xml:space="preserve">Егорова Ольга </t>
  </si>
  <si>
    <t>ВЕСОВАЯ КАТЕГОРИЯ   100</t>
  </si>
  <si>
    <t>96,30</t>
  </si>
  <si>
    <t>167,5</t>
  </si>
  <si>
    <t>202,5</t>
  </si>
  <si>
    <t>107,80</t>
  </si>
  <si>
    <t>75</t>
  </si>
  <si>
    <t>100</t>
  </si>
  <si>
    <t>82.5</t>
  </si>
  <si>
    <t>Кирилова Анастасия</t>
  </si>
  <si>
    <t>2</t>
  </si>
  <si>
    <t>Горожанина Ольга</t>
  </si>
  <si>
    <t>Найденова Евгения</t>
  </si>
  <si>
    <t>Матвеева Юлия</t>
  </si>
  <si>
    <t>Замятина Наталья</t>
  </si>
  <si>
    <t>Чуйко Максим</t>
  </si>
  <si>
    <t>Чуйко Данил</t>
  </si>
  <si>
    <t>Волков Игорь</t>
  </si>
  <si>
    <t>Кузнецов Павел</t>
  </si>
  <si>
    <t>Чернявский Вадим</t>
  </si>
  <si>
    <t>Кузеванов Дмитрий</t>
  </si>
  <si>
    <t>Зайцев Владимир</t>
  </si>
  <si>
    <t>89,00</t>
  </si>
  <si>
    <t>285,0</t>
  </si>
  <si>
    <t>300,0</t>
  </si>
  <si>
    <t>310,0</t>
  </si>
  <si>
    <t xml:space="preserve">Захаров Никита </t>
  </si>
  <si>
    <t>Открытая (31.08.1998)/24</t>
  </si>
  <si>
    <t>106,90</t>
  </si>
  <si>
    <t>275,0</t>
  </si>
  <si>
    <t>150,0</t>
  </si>
  <si>
    <t>157,5</t>
  </si>
  <si>
    <t>270,0</t>
  </si>
  <si>
    <t>280,0</t>
  </si>
  <si>
    <t xml:space="preserve">Луговой Александр </t>
  </si>
  <si>
    <t>ВЕСОВАЯ КАТЕГОРИЯ   125</t>
  </si>
  <si>
    <t>Открытая (23.08.1994)/28</t>
  </si>
  <si>
    <t>116,20</t>
  </si>
  <si>
    <t>190,0</t>
  </si>
  <si>
    <t>147,5</t>
  </si>
  <si>
    <t>152,5</t>
  </si>
  <si>
    <t>240,0</t>
  </si>
  <si>
    <t>125</t>
  </si>
  <si>
    <t>90</t>
  </si>
  <si>
    <t>Шарапов Андрей</t>
  </si>
  <si>
    <t>Захаров Никита</t>
  </si>
  <si>
    <t>Егоров Антон</t>
  </si>
  <si>
    <t>Открытая (31.12.1989)/33</t>
  </si>
  <si>
    <t>58,90</t>
  </si>
  <si>
    <t>40,0</t>
  </si>
  <si>
    <t>Кузнецова Евгения</t>
  </si>
  <si>
    <t>ВЕСОВАЯ КАТЕГОРИЯ   52</t>
  </si>
  <si>
    <t>Девушки 15-19 (11.07.2009)/13</t>
  </si>
  <si>
    <t>49,90</t>
  </si>
  <si>
    <t>30,0</t>
  </si>
  <si>
    <t>32,5</t>
  </si>
  <si>
    <t>35,0</t>
  </si>
  <si>
    <t xml:space="preserve">Хитрин Дмитрий </t>
  </si>
  <si>
    <t>Девушки 15-19 (25.07.2011)/11</t>
  </si>
  <si>
    <t>65,00</t>
  </si>
  <si>
    <t>Открытая (16.06.1972)/50</t>
  </si>
  <si>
    <t>67,50</t>
  </si>
  <si>
    <t>72,5</t>
  </si>
  <si>
    <t>77,5</t>
  </si>
  <si>
    <t>177,5</t>
  </si>
  <si>
    <t xml:space="preserve">Трухтанов Павел </t>
  </si>
  <si>
    <t xml:space="preserve">Кравцов Глеб </t>
  </si>
  <si>
    <t>Открытая (06.02.1998)/25</t>
  </si>
  <si>
    <t>142,5</t>
  </si>
  <si>
    <t xml:space="preserve">Кузнецов Юрий </t>
  </si>
  <si>
    <t xml:space="preserve">Губанов Александр </t>
  </si>
  <si>
    <t>71,20</t>
  </si>
  <si>
    <t>60,0</t>
  </si>
  <si>
    <t>Открытая (08.09.1986)/36</t>
  </si>
  <si>
    <t>80,90</t>
  </si>
  <si>
    <t xml:space="preserve">Аверьянов Влад </t>
  </si>
  <si>
    <t>Открытая (05.11.1988)/34</t>
  </si>
  <si>
    <t>80,50</t>
  </si>
  <si>
    <t xml:space="preserve">n/a/Москва </t>
  </si>
  <si>
    <t xml:space="preserve">Лариков Роман </t>
  </si>
  <si>
    <t>Открытая (17.12.1986)/36</t>
  </si>
  <si>
    <t>78,70</t>
  </si>
  <si>
    <t>Юноши 15-19 (22.07.2009)/13</t>
  </si>
  <si>
    <t>88,30</t>
  </si>
  <si>
    <t>85,0</t>
  </si>
  <si>
    <t xml:space="preserve">Севрюков Евгений </t>
  </si>
  <si>
    <t>Открытая (08.07.1991)/31</t>
  </si>
  <si>
    <t>87,50</t>
  </si>
  <si>
    <t>Открытая (22.07.1994)/28</t>
  </si>
  <si>
    <t>89,80</t>
  </si>
  <si>
    <t xml:space="preserve">Филатов Евгений </t>
  </si>
  <si>
    <t>Открытая (24.01.1947)/76</t>
  </si>
  <si>
    <t>88,70</t>
  </si>
  <si>
    <t>Юноши 15-19 (15.08.2007)/15</t>
  </si>
  <si>
    <t>98,90</t>
  </si>
  <si>
    <t xml:space="preserve">Луцук Виталий </t>
  </si>
  <si>
    <t xml:space="preserve">Махмутшин Дамир </t>
  </si>
  <si>
    <t>Открытая (02.01.1987)/36</t>
  </si>
  <si>
    <t>96,00</t>
  </si>
  <si>
    <t>Открытая (13.08.1988)/34</t>
  </si>
  <si>
    <t>95,80</t>
  </si>
  <si>
    <t>Открытая (11.05.1996)/26</t>
  </si>
  <si>
    <t>94,80</t>
  </si>
  <si>
    <t>Открытая (05.02.1990)/33</t>
  </si>
  <si>
    <t>108,00</t>
  </si>
  <si>
    <t>187,5</t>
  </si>
  <si>
    <t>105,70</t>
  </si>
  <si>
    <t>207,5</t>
  </si>
  <si>
    <t xml:space="preserve">Кулагин Андрей </t>
  </si>
  <si>
    <t>Открытая (19.09.1978)/44</t>
  </si>
  <si>
    <t>114,90</t>
  </si>
  <si>
    <t>Открытая (07.06.1985)/37</t>
  </si>
  <si>
    <t>112,80</t>
  </si>
  <si>
    <t xml:space="preserve">Котилевский Константин </t>
  </si>
  <si>
    <t>Открытая (19.05.1996)/26</t>
  </si>
  <si>
    <t>118,40</t>
  </si>
  <si>
    <t xml:space="preserve">Результат </t>
  </si>
  <si>
    <t>Результат</t>
  </si>
  <si>
    <t>Бетурлакина Анна</t>
  </si>
  <si>
    <t>Хитрина Дарья</t>
  </si>
  <si>
    <t>Кнутова Татьяна</t>
  </si>
  <si>
    <t>Кравцов Глеб</t>
  </si>
  <si>
    <t>Шаихов Халил</t>
  </si>
  <si>
    <t>Губанов Александр</t>
  </si>
  <si>
    <t>Иваев Руслан</t>
  </si>
  <si>
    <t>Косухин Роман</t>
  </si>
  <si>
    <t>3</t>
  </si>
  <si>
    <t>Афонасенко Александр</t>
  </si>
  <si>
    <t>Николаев Алексей</t>
  </si>
  <si>
    <t>Севрюков Евгений</t>
  </si>
  <si>
    <t>Орехов Александр</t>
  </si>
  <si>
    <t>Петров Владимир</t>
  </si>
  <si>
    <t>Яковлев Антон</t>
  </si>
  <si>
    <t>Махмутшин Дамир</t>
  </si>
  <si>
    <t>Левша Михаил</t>
  </si>
  <si>
    <t>Аистов Артем</t>
  </si>
  <si>
    <t>Потапов Денис</t>
  </si>
  <si>
    <t>Лариков Роман</t>
  </si>
  <si>
    <t>Кулагин Андрей</t>
  </si>
  <si>
    <t>Смирнов Антон</t>
  </si>
  <si>
    <t>Хомяков Виталий</t>
  </si>
  <si>
    <t>Открытая (23.10.1983)/39</t>
  </si>
  <si>
    <t>49,40</t>
  </si>
  <si>
    <t>Открытая (17.04.1982)/40</t>
  </si>
  <si>
    <t>54,80</t>
  </si>
  <si>
    <t>62,5</t>
  </si>
  <si>
    <t>67,5</t>
  </si>
  <si>
    <t>Открытая (22.05.1997)/25</t>
  </si>
  <si>
    <t>55,40</t>
  </si>
  <si>
    <t xml:space="preserve">Графов Денис </t>
  </si>
  <si>
    <t>Открытая (04.06.1984)/38</t>
  </si>
  <si>
    <t>59,00</t>
  </si>
  <si>
    <t>Открытая (12.11.1992)/30</t>
  </si>
  <si>
    <t>59,20</t>
  </si>
  <si>
    <t>66,60</t>
  </si>
  <si>
    <t xml:space="preserve">Шушаркин Евгений </t>
  </si>
  <si>
    <t>Открытая (03.08.1990)/32</t>
  </si>
  <si>
    <t>74,50</t>
  </si>
  <si>
    <t xml:space="preserve">Аверьянов Владислав </t>
  </si>
  <si>
    <t>Открытая (07.06.1988)/34</t>
  </si>
  <si>
    <t>Открытая (26.06.2002)/20</t>
  </si>
  <si>
    <t>79,90</t>
  </si>
  <si>
    <t>Открытая (21.07.1993)/29</t>
  </si>
  <si>
    <t>79,20</t>
  </si>
  <si>
    <t>Открытая (27.10.1980)/42</t>
  </si>
  <si>
    <t>87,90</t>
  </si>
  <si>
    <t xml:space="preserve">Гатауллин Тимур </t>
  </si>
  <si>
    <t xml:space="preserve">Мирзахметов Вадим </t>
  </si>
  <si>
    <t>Открытая (15.10.1980)/42</t>
  </si>
  <si>
    <t>99,00</t>
  </si>
  <si>
    <t>Открытая (24.03.1991)/32</t>
  </si>
  <si>
    <t>96,70</t>
  </si>
  <si>
    <t>Открытая (28.08.1984)/38</t>
  </si>
  <si>
    <t>98,60</t>
  </si>
  <si>
    <t>132,5</t>
  </si>
  <si>
    <t>94,40</t>
  </si>
  <si>
    <t xml:space="preserve">Ефремов Алексей </t>
  </si>
  <si>
    <t>Открытая (25.12.1983)/39</t>
  </si>
  <si>
    <t>108,20</t>
  </si>
  <si>
    <t>Открытая (24.09.1988)/34</t>
  </si>
  <si>
    <t>105,50</t>
  </si>
  <si>
    <t>Котрочева Ольга</t>
  </si>
  <si>
    <t>Бедарева Валентина</t>
  </si>
  <si>
    <t>Самойленко Яна</t>
  </si>
  <si>
    <t>Кремлевская Юлия</t>
  </si>
  <si>
    <t>Ртищев Константин</t>
  </si>
  <si>
    <t>Ершов Семен</t>
  </si>
  <si>
    <t>Шушаркин Евгений</t>
  </si>
  <si>
    <t>Борух Сергей</t>
  </si>
  <si>
    <t>Власов Матвей</t>
  </si>
  <si>
    <t>Осипов Алексей</t>
  </si>
  <si>
    <t>Калашников Александр</t>
  </si>
  <si>
    <t>Мирзахметов Вадим</t>
  </si>
  <si>
    <t>Мичков Алексей</t>
  </si>
  <si>
    <t>Безруков Дмитрий</t>
  </si>
  <si>
    <t>Трофимов Алексей</t>
  </si>
  <si>
    <t>Ефремов Алексей</t>
  </si>
  <si>
    <t>Гамоскин Андрей</t>
  </si>
  <si>
    <t>106,80</t>
  </si>
  <si>
    <t>235,0</t>
  </si>
  <si>
    <t>250,0</t>
  </si>
  <si>
    <t>Абдюшев Эдуард</t>
  </si>
  <si>
    <t>Открытая (21.08.1981)/41</t>
  </si>
  <si>
    <t>89,30</t>
  </si>
  <si>
    <t>85,30</t>
  </si>
  <si>
    <t>93,20</t>
  </si>
  <si>
    <t>Открытая (26.11.1981)/41</t>
  </si>
  <si>
    <t>107,40</t>
  </si>
  <si>
    <t>107,00</t>
  </si>
  <si>
    <t xml:space="preserve">Гераймас Александр </t>
  </si>
  <si>
    <t>302,5</t>
  </si>
  <si>
    <t>Емельянов Александр</t>
  </si>
  <si>
    <t>Андросов Сергей</t>
  </si>
  <si>
    <t>Карпов Евгений</t>
  </si>
  <si>
    <t>Колычин Дмитрий</t>
  </si>
  <si>
    <t>Новлянский Виктор</t>
  </si>
  <si>
    <t>Открытая (26.09.1986)/36</t>
  </si>
  <si>
    <t>63,20</t>
  </si>
  <si>
    <t>Открытая (07.02.1968)/55</t>
  </si>
  <si>
    <t>69,30</t>
  </si>
  <si>
    <t>Юноши 15-19 (06.06.2006)/16</t>
  </si>
  <si>
    <t>55,10</t>
  </si>
  <si>
    <t>153,0</t>
  </si>
  <si>
    <t>Юноши 15-19 (22.12.2006)/16</t>
  </si>
  <si>
    <t>63,50</t>
  </si>
  <si>
    <t>Открытая (15.07.1989)/33</t>
  </si>
  <si>
    <t>65,90</t>
  </si>
  <si>
    <t>Открытая (04.05.1994)/28</t>
  </si>
  <si>
    <t>81,00</t>
  </si>
  <si>
    <t>98,00</t>
  </si>
  <si>
    <t>Дармина Марина</t>
  </si>
  <si>
    <t>Севрюкова Светлана</t>
  </si>
  <si>
    <t>Ивлиев Егор</t>
  </si>
  <si>
    <t>Горшков Даниил</t>
  </si>
  <si>
    <t>Савинов Олег</t>
  </si>
  <si>
    <t>Кузнецов Сергей</t>
  </si>
  <si>
    <t>Жачкин Александр</t>
  </si>
  <si>
    <t>Открытая (23.09.1994)/28</t>
  </si>
  <si>
    <t>74,20</t>
  </si>
  <si>
    <t xml:space="preserve">Боровков Владимир </t>
  </si>
  <si>
    <t>Открытая (13.11.1992)/30</t>
  </si>
  <si>
    <t>72,40</t>
  </si>
  <si>
    <t>Лебедев Сергей</t>
  </si>
  <si>
    <t>Боровков Владимир</t>
  </si>
  <si>
    <t>25,0</t>
  </si>
  <si>
    <t xml:space="preserve">Gloss </t>
  </si>
  <si>
    <t>27,5</t>
  </si>
  <si>
    <t>Открытая (03.06.1992)/30</t>
  </si>
  <si>
    <t>59,90</t>
  </si>
  <si>
    <t>Открытая (12.05.2003)/19</t>
  </si>
  <si>
    <t>65,50</t>
  </si>
  <si>
    <t>Открытая (08.06.2005)/17</t>
  </si>
  <si>
    <t>66,45</t>
  </si>
  <si>
    <t>73,50</t>
  </si>
  <si>
    <t xml:space="preserve">Греднев Максим </t>
  </si>
  <si>
    <t>70,40</t>
  </si>
  <si>
    <t xml:space="preserve">Панферов Геннадий </t>
  </si>
  <si>
    <t>Открытая (03.03.1996)/27</t>
  </si>
  <si>
    <t>76,50</t>
  </si>
  <si>
    <t xml:space="preserve">Власов Сергей </t>
  </si>
  <si>
    <t>Открытая (28.05.1994)/28</t>
  </si>
  <si>
    <t>Открытая (07.09.1963)/59</t>
  </si>
  <si>
    <t>81,60</t>
  </si>
  <si>
    <t>85,80</t>
  </si>
  <si>
    <t>Власичев Виктор</t>
  </si>
  <si>
    <t>Сабирзянов Тимур</t>
  </si>
  <si>
    <t>Воронин Тимофей</t>
  </si>
  <si>
    <t>Олухов Степан</t>
  </si>
  <si>
    <t>Васильев Ярослав</t>
  </si>
  <si>
    <t>Панферов Геннадий</t>
  </si>
  <si>
    <t>Власов Сергей</t>
  </si>
  <si>
    <t>Семенов Андрей</t>
  </si>
  <si>
    <t>Солодов Евгений</t>
  </si>
  <si>
    <t>Открытая (26.01.1986)/37</t>
  </si>
  <si>
    <t>110,00</t>
  </si>
  <si>
    <t>282,5</t>
  </si>
  <si>
    <t>Усачев Илья</t>
  </si>
  <si>
    <t>Жим стоя</t>
  </si>
  <si>
    <t>Открытая (08.04.1988)/34</t>
  </si>
  <si>
    <t>100,00</t>
  </si>
  <si>
    <t xml:space="preserve">Тресков Виктор </t>
  </si>
  <si>
    <t>Бутыркин Артем</t>
  </si>
  <si>
    <t>ВЕСОВАЯ КАТЕГОРИЯ   70</t>
  </si>
  <si>
    <t>Открытая (14.05.1985)/37</t>
  </si>
  <si>
    <t>70,00</t>
  </si>
  <si>
    <t>Черняев Дмитрий</t>
  </si>
  <si>
    <t>Мастера 40-49 (31.03.1980)/43</t>
  </si>
  <si>
    <t>64,00</t>
  </si>
  <si>
    <t>Мастера 40-49 (17.09.1974)/48</t>
  </si>
  <si>
    <t>72,50</t>
  </si>
  <si>
    <t>Мастера 50-59 (30.03.1970)/53</t>
  </si>
  <si>
    <t>90,60</t>
  </si>
  <si>
    <t>Мастера 40-49 (15.11.1977)/45</t>
  </si>
  <si>
    <t>113,50</t>
  </si>
  <si>
    <t>Воровкин Максим</t>
  </si>
  <si>
    <t>Гугняков Александр</t>
  </si>
  <si>
    <t>Исаев Андрей</t>
  </si>
  <si>
    <t>Титов Андрей</t>
  </si>
  <si>
    <t>Открытая (17.06.1982)/40</t>
  </si>
  <si>
    <t>95,00</t>
  </si>
  <si>
    <t>Яковлев Максим</t>
  </si>
  <si>
    <t>Открытая (29.03.1988)/35</t>
  </si>
  <si>
    <t>89,40</t>
  </si>
  <si>
    <t>Открытая (22.07.1987)/35</t>
  </si>
  <si>
    <t>88,00</t>
  </si>
  <si>
    <t xml:space="preserve">Арусланов Шамиль </t>
  </si>
  <si>
    <t>Сидоров Дмитрий</t>
  </si>
  <si>
    <t>Варакин Александр</t>
  </si>
  <si>
    <t>Открытая (30.01.2007)/16</t>
  </si>
  <si>
    <t>63,80</t>
  </si>
  <si>
    <t>70,90</t>
  </si>
  <si>
    <t>Открытая (28.07.1999)/23</t>
  </si>
  <si>
    <t>Открытая (19.10.1992)/30</t>
  </si>
  <si>
    <t>86,30</t>
  </si>
  <si>
    <t>Ефремов Иван</t>
  </si>
  <si>
    <t>Грузинов Дмитрий</t>
  </si>
  <si>
    <t>Базаров Вячеслав</t>
  </si>
  <si>
    <t>88,90</t>
  </si>
  <si>
    <t>Абисалов Георгий</t>
  </si>
  <si>
    <t>Борисов Дмитрий</t>
  </si>
  <si>
    <t>Открытая (29.06.1991)/31</t>
  </si>
  <si>
    <t>88,40</t>
  </si>
  <si>
    <t xml:space="preserve">Конопацкий Владимир </t>
  </si>
  <si>
    <t>Омельяненко Максим</t>
  </si>
  <si>
    <t>77,70</t>
  </si>
  <si>
    <t>Открытая (21.09.1993)/29</t>
  </si>
  <si>
    <t>Открытая (23.09.1986)/36</t>
  </si>
  <si>
    <t>95,70</t>
  </si>
  <si>
    <t>Швецов Сергей</t>
  </si>
  <si>
    <t>Пархоменко Максим</t>
  </si>
  <si>
    <t>Пузин Максим</t>
  </si>
  <si>
    <t>137,5</t>
  </si>
  <si>
    <t>Открытая (09.02.1991)/32</t>
  </si>
  <si>
    <t>108,30</t>
  </si>
  <si>
    <t>Мастера 40-49 (25.07.1981)/41</t>
  </si>
  <si>
    <t>Семин Сергей</t>
  </si>
  <si>
    <t>Богданов Алексей</t>
  </si>
  <si>
    <t>Мастера 40-49 (03.02.1974)/49</t>
  </si>
  <si>
    <t>Сылка Виталий</t>
  </si>
  <si>
    <t>Всероссийский турнир
WRPF Военный жим лежа с ДК
Самара/Самарская область, 01 апреля 2023 года</t>
  </si>
  <si>
    <t>Всероссийский турнир
WRPF Военный жим лежа
Самара/Самарская область, 01 апреля 2023 года</t>
  </si>
  <si>
    <t>Всероссийский турнир
СПР Жим лежа в однопетельной софт экипировке ДК
Самара/Самарская область, 01 апреля 2023 года</t>
  </si>
  <si>
    <t>Всероссийский турнир
СПР Жим лежа в однопетельной софт экипировке
Самара/Самарская область, 01 апреля 2023 года</t>
  </si>
  <si>
    <t>Всероссийский турнир
СПР Пауэрспорт ДК
Самара/Самарская область, 01 апреля 2023 года</t>
  </si>
  <si>
    <t>Всероссийский турнир
СПР Пауэрспорт
Самара/Самарская область, 01 апреля 2023 года</t>
  </si>
  <si>
    <t>Всероссийский турнир
СПР Строгий подъем штанги на бицепс ДК
Самара/Самарская область, 01 апреля 2023 года</t>
  </si>
  <si>
    <t>Всероссийский турнир
СПР Строгий подъем штанги на бицепс
Самара/Самарская область, 01 апреля 2023 года</t>
  </si>
  <si>
    <t>Всероссийский турнир
СПР Жим штанги стоя ДК
Самара/Самарская область, 01 апреля 2023 года</t>
  </si>
  <si>
    <t>Всероссийский турнир
СПР Жим штанги стоя
Самара/Самарская область, 01 апреля 2023 года</t>
  </si>
  <si>
    <t>Открытый Чемпионат Евразии
СПР Жим лежа среди спортсменов с физическими особенностями
Самара/Самарская область, 01 апреля 2023 года</t>
  </si>
  <si>
    <t>Открытый Чемпионат Евразии
ФЖД Армейский жим двоеборье ДК
Самара/Самарская область, 01 апреля 2023 года</t>
  </si>
  <si>
    <t>Открытый Чемпионат Евразии
ФЖД Армейский жим на максимум
Самара/Самарская область, 01 апреля 2023 года</t>
  </si>
  <si>
    <t>Открытый Чемпионат Евразии
ФЖД Софт экипировка однопетельная двоеборье ДК
Самара/Самарская область, 01 апреля 2023 года</t>
  </si>
  <si>
    <t>Всероссийский турнир
WRPF Строгий подъем штанги на бицепс ДК
Самара/Самарская область, 01 апреля 2023 года</t>
  </si>
  <si>
    <t>Всероссийский турнир
WRPF Строгий подъем штанги на бицепс
Самара/Самарская область, 01 апреля 2023 года</t>
  </si>
  <si>
    <t>Открытый Чемпионат Евразии
IPL Силовое двоеборье без экипировки ДК
Самара/Самарская область, 01 апреля 2023 года</t>
  </si>
  <si>
    <t>Открытый Чемпионат Евразии
IPL Силовое двоеборье без экипировки
Самара/Самарская область, 01 апреля 2023 года</t>
  </si>
  <si>
    <t>Открытый Чемпионат Евразии
IPL Становая тяга без экипировки ДК
Самара/Самарская область, 01 апреля 2023 года</t>
  </si>
  <si>
    <t>Открытый Чемпионат Евразии
IPL Становая тяга без экипировки
Самара/Самарская область, 01 апреля 2023 года</t>
  </si>
  <si>
    <t>Открытый Чемпионат Евразии
IPL Жим лежа в однослойной экипировке
Самара/Самарская область, 01 апреля 2023 года</t>
  </si>
  <si>
    <t>Открытый Чемпионат Евразии
IPL Жим лежа без экипировки ДК
Самара/Самарская область, 01 апреля 2023 года</t>
  </si>
  <si>
    <t>Открытый Чемпионат Евразии
IPL Жим лежа без экипировки
Самара/Самарская область, 01 апреля 2023 года</t>
  </si>
  <si>
    <t>Открытый Чемпионат Евразии
IPL Пауэрлифтинг в бинтах ДК
Самара/Самарская область, 01 апреля 2023 года</t>
  </si>
  <si>
    <t>Открытый Чемпионат Евразии
IPL Пауэрлифтинг в бинтах
Самара/Самарская область, 01 апреля 2023 года</t>
  </si>
  <si>
    <t>Открытый Чемпионат Евразии
IPL Пауэрлифтинг без экипировки ДК
Самара/Самарская область, 01 апреля 2023 года</t>
  </si>
  <si>
    <t>Открытый Чемпионат Евразии
IPL Пауэрлифтинг без экипировки
Самара/Самарская область, 01 апреля 2023 года</t>
  </si>
  <si>
    <t>Юноши 13-19 (02.09.2005)/17</t>
  </si>
  <si>
    <t>Юниоры 20-23 (15.12.2000)/22</t>
  </si>
  <si>
    <t>Мастера 40-49 (04.05.1977)/45</t>
  </si>
  <si>
    <t>Юниоры 20-23 (28.07.1999)/23</t>
  </si>
  <si>
    <t>Мастера 40-49 (12.11.1973)/49</t>
  </si>
  <si>
    <t>Мастера 50-59 (07.09.1963)/59</t>
  </si>
  <si>
    <t>Юноши 13-19 (06.08.2006)/16</t>
  </si>
  <si>
    <t>Юниоры 20-23 (24.08.2002)/20</t>
  </si>
  <si>
    <t>Юниоры 20-23 (07.09.2002)/20</t>
  </si>
  <si>
    <t>Мастера 40-49 (14.09.1975)/47</t>
  </si>
  <si>
    <t>Мастера 45-49 (01.05.1973)/49</t>
  </si>
  <si>
    <t xml:space="preserve">Мастера 45-49 </t>
  </si>
  <si>
    <t>Мастера 45-49 (07.03.1975)/48</t>
  </si>
  <si>
    <t>Мастера 65-69 (18.07.1956)/66</t>
  </si>
  <si>
    <t>Мастера 55-59 (01.11.1965)/57</t>
  </si>
  <si>
    <t>Мастера 65-69 (02.03.1955)/68</t>
  </si>
  <si>
    <t>Юниоры 20-23 (27.01.2003)/20</t>
  </si>
  <si>
    <t>Мастера 40-44 (15.10.1980)/42</t>
  </si>
  <si>
    <t>Мастера 45-49 (12.11.1973)/49</t>
  </si>
  <si>
    <t xml:space="preserve">Мастера 40-44 </t>
  </si>
  <si>
    <t>Юниоры 20-23 (27.12.2001)/21</t>
  </si>
  <si>
    <t>Мастера 70-74 (06.02.1951)/72</t>
  </si>
  <si>
    <t>Мастера 45-49 (14.09.1975)/47</t>
  </si>
  <si>
    <t>Мастера 40-44 (19.09.1978)/44</t>
  </si>
  <si>
    <t xml:space="preserve">Мастера 70-74 </t>
  </si>
  <si>
    <t>Мастера 40-44 (25.11.1978)/44</t>
  </si>
  <si>
    <t>Мастера 40-44 (14.04.1980)/42</t>
  </si>
  <si>
    <t>Юниоры 20-23 (01.11.2001)/21</t>
  </si>
  <si>
    <t>Мастера 70-74 (02.11.1949)/73</t>
  </si>
  <si>
    <t>Мастера 40-44 (23.09.1978)/44</t>
  </si>
  <si>
    <t>Мастера 40-44 (12.10.1979)/43</t>
  </si>
  <si>
    <t>Юниоры 20-23 (21.02.2000)/23</t>
  </si>
  <si>
    <t>Весовая категория</t>
  </si>
  <si>
    <t>Многоповторный жим</t>
  </si>
  <si>
    <t xml:space="preserve">Самара/Самарская область </t>
  </si>
  <si>
    <t xml:space="preserve">Сызрань/Самарская область </t>
  </si>
  <si>
    <t xml:space="preserve">Ульяновск/Ульяновская область </t>
  </si>
  <si>
    <t>№</t>
  </si>
  <si>
    <t>Жим</t>
  </si>
  <si>
    <t>Тяга</t>
  </si>
  <si>
    <t xml:space="preserve">Самара </t>
  </si>
  <si>
    <t xml:space="preserve">Ульяновск </t>
  </si>
  <si>
    <t xml:space="preserve">Набережные Челны </t>
  </si>
  <si>
    <t xml:space="preserve">Тольятти </t>
  </si>
  <si>
    <t xml:space="preserve">Казань </t>
  </si>
  <si>
    <t xml:space="preserve">Пенза </t>
  </si>
  <si>
    <t xml:space="preserve">Нижний Новгород </t>
  </si>
  <si>
    <t xml:space="preserve">Туймазы </t>
  </si>
  <si>
    <t xml:space="preserve">Сорочинск </t>
  </si>
  <si>
    <t xml:space="preserve">Чапаевск </t>
  </si>
  <si>
    <t xml:space="preserve">Сызрань </t>
  </si>
  <si>
    <t xml:space="preserve">Бузулук </t>
  </si>
  <si>
    <t xml:space="preserve">Уфа </t>
  </si>
  <si>
    <t xml:space="preserve">Кинель-Черкассы </t>
  </si>
  <si>
    <t xml:space="preserve">Кинель </t>
  </si>
  <si>
    <t xml:space="preserve">Балахна </t>
  </si>
  <si>
    <t xml:space="preserve">Екатеринбург </t>
  </si>
  <si>
    <t xml:space="preserve"> Новокуйбышевск </t>
  </si>
  <si>
    <t xml:space="preserve">Новокуйбышевск </t>
  </si>
  <si>
    <t xml:space="preserve"> Дзержинск </t>
  </si>
  <si>
    <t xml:space="preserve">Алатырь </t>
  </si>
  <si>
    <t xml:space="preserve">Отрадный </t>
  </si>
  <si>
    <t xml:space="preserve">Москва </t>
  </si>
  <si>
    <t xml:space="preserve">
Дата рождения/Возраст</t>
  </si>
  <si>
    <t>Возрастная группа</t>
  </si>
  <si>
    <t>O</t>
  </si>
  <si>
    <t>M1</t>
  </si>
  <si>
    <t>T</t>
  </si>
  <si>
    <t>J</t>
  </si>
  <si>
    <t>M7</t>
  </si>
  <si>
    <t>M2</t>
  </si>
  <si>
    <t>M6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</si>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</sst>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Лист1"/>
  <dimension ref="A1:U36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20" bestFit="1" customWidth="1"/>
    <col min="20" max="20" width="8.5" style="6" bestFit="1" customWidth="1"/>
    <col min="21" max="21" width="24" style="5" customWidth="1"/>
    <col min="22" max="16384" width="9.1640625" style="3"/>
  </cols>
  <sheetData>
    <row r="1" spans="1:21" s="2" customFormat="1" ht="29" customHeight="1">
      <c r="A1" s="55" t="s">
        <v>489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67" t="s">
        <v>11</v>
      </c>
      <c r="P3" s="67"/>
      <c r="Q3" s="67"/>
      <c r="R3" s="67"/>
      <c r="S3" s="47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50"/>
      <c r="U4" s="52"/>
    </row>
    <row r="5" spans="1:21" ht="16">
      <c r="A5" s="53" t="s">
        <v>60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31" t="s">
        <v>54</v>
      </c>
      <c r="B6" s="24" t="s">
        <v>134</v>
      </c>
      <c r="C6" s="24" t="s">
        <v>61</v>
      </c>
      <c r="D6" s="24" t="s">
        <v>62</v>
      </c>
      <c r="E6" s="25" t="s">
        <v>556</v>
      </c>
      <c r="F6" s="24" t="s">
        <v>531</v>
      </c>
      <c r="G6" s="30" t="s">
        <v>63</v>
      </c>
      <c r="H6" s="30" t="s">
        <v>64</v>
      </c>
      <c r="I6" s="30" t="s">
        <v>65</v>
      </c>
      <c r="J6" s="31"/>
      <c r="K6" s="30" t="s">
        <v>66</v>
      </c>
      <c r="L6" s="32" t="s">
        <v>67</v>
      </c>
      <c r="M6" s="30" t="s">
        <v>67</v>
      </c>
      <c r="N6" s="31"/>
      <c r="O6" s="30" t="s">
        <v>68</v>
      </c>
      <c r="P6" s="30" t="s">
        <v>69</v>
      </c>
      <c r="Q6" s="30" t="s">
        <v>70</v>
      </c>
      <c r="R6" s="31"/>
      <c r="S6" s="43" t="str">
        <f>"287,5"</f>
        <v>287,5</v>
      </c>
      <c r="T6" s="26" t="str">
        <f>"343,5625"</f>
        <v>343,5625</v>
      </c>
      <c r="U6" s="24" t="s">
        <v>71</v>
      </c>
    </row>
    <row r="7" spans="1:21">
      <c r="A7" s="34" t="s">
        <v>135</v>
      </c>
      <c r="B7" s="27" t="s">
        <v>136</v>
      </c>
      <c r="C7" s="27" t="s">
        <v>73</v>
      </c>
      <c r="D7" s="27" t="s">
        <v>74</v>
      </c>
      <c r="E7" s="28" t="s">
        <v>556</v>
      </c>
      <c r="F7" s="27" t="s">
        <v>532</v>
      </c>
      <c r="G7" s="33" t="s">
        <v>75</v>
      </c>
      <c r="H7" s="33" t="s">
        <v>76</v>
      </c>
      <c r="I7" s="33" t="s">
        <v>77</v>
      </c>
      <c r="J7" s="34"/>
      <c r="K7" s="33" t="s">
        <v>78</v>
      </c>
      <c r="L7" s="33" t="s">
        <v>67</v>
      </c>
      <c r="M7" s="33" t="s">
        <v>79</v>
      </c>
      <c r="N7" s="34"/>
      <c r="O7" s="33" t="s">
        <v>80</v>
      </c>
      <c r="P7" s="35" t="s">
        <v>64</v>
      </c>
      <c r="Q7" s="34"/>
      <c r="R7" s="34"/>
      <c r="S7" s="44" t="str">
        <f>"225,0"</f>
        <v>225,0</v>
      </c>
      <c r="T7" s="29" t="str">
        <f>"266,2200"</f>
        <v>266,2200</v>
      </c>
      <c r="U7" s="27"/>
    </row>
    <row r="9" spans="1:21" ht="16">
      <c r="A9" s="68" t="s">
        <v>81</v>
      </c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21">
      <c r="A10" s="22" t="s">
        <v>56</v>
      </c>
      <c r="B10" s="7" t="s">
        <v>137</v>
      </c>
      <c r="C10" s="7" t="s">
        <v>82</v>
      </c>
      <c r="D10" s="7" t="s">
        <v>83</v>
      </c>
      <c r="E10" s="8" t="s">
        <v>556</v>
      </c>
      <c r="F10" s="7" t="s">
        <v>531</v>
      </c>
      <c r="G10" s="21" t="s">
        <v>80</v>
      </c>
      <c r="H10" s="21" t="s">
        <v>63</v>
      </c>
      <c r="I10" s="23" t="s">
        <v>84</v>
      </c>
      <c r="J10" s="22"/>
      <c r="K10" s="21" t="s">
        <v>66</v>
      </c>
      <c r="L10" s="21" t="s">
        <v>78</v>
      </c>
      <c r="M10" s="21" t="s">
        <v>67</v>
      </c>
      <c r="N10" s="22"/>
      <c r="O10" s="23" t="s">
        <v>85</v>
      </c>
      <c r="P10" s="22"/>
      <c r="Q10" s="22"/>
      <c r="R10" s="22"/>
      <c r="S10" s="42">
        <v>0</v>
      </c>
      <c r="T10" s="9" t="str">
        <f>"0,0000"</f>
        <v>0,0000</v>
      </c>
      <c r="U10" s="7" t="s">
        <v>86</v>
      </c>
    </row>
    <row r="12" spans="1:21" ht="16">
      <c r="A12" s="68" t="s">
        <v>12</v>
      </c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1">
      <c r="A13" s="22" t="s">
        <v>54</v>
      </c>
      <c r="B13" s="7" t="s">
        <v>138</v>
      </c>
      <c r="C13" s="7" t="s">
        <v>87</v>
      </c>
      <c r="D13" s="7" t="s">
        <v>88</v>
      </c>
      <c r="E13" s="8" t="s">
        <v>556</v>
      </c>
      <c r="F13" s="7" t="s">
        <v>532</v>
      </c>
      <c r="G13" s="21" t="s">
        <v>89</v>
      </c>
      <c r="H13" s="21" t="s">
        <v>80</v>
      </c>
      <c r="I13" s="21" t="s">
        <v>90</v>
      </c>
      <c r="J13" s="22"/>
      <c r="K13" s="23" t="s">
        <v>91</v>
      </c>
      <c r="L13" s="23" t="s">
        <v>91</v>
      </c>
      <c r="M13" s="21" t="s">
        <v>91</v>
      </c>
      <c r="N13" s="22"/>
      <c r="O13" s="21" t="s">
        <v>92</v>
      </c>
      <c r="P13" s="21" t="s">
        <v>19</v>
      </c>
      <c r="Q13" s="21" t="s">
        <v>20</v>
      </c>
      <c r="R13" s="22"/>
      <c r="S13" s="42" t="str">
        <f>"267,5"</f>
        <v>267,5</v>
      </c>
      <c r="T13" s="9" t="str">
        <f>"276,8892"</f>
        <v>276,8892</v>
      </c>
      <c r="U13" s="7" t="s">
        <v>93</v>
      </c>
    </row>
    <row r="15" spans="1:21" ht="16">
      <c r="A15" s="68" t="s">
        <v>94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1">
      <c r="A16" s="31" t="s">
        <v>54</v>
      </c>
      <c r="B16" s="24" t="s">
        <v>139</v>
      </c>
      <c r="C16" s="24" t="s">
        <v>95</v>
      </c>
      <c r="D16" s="24" t="s">
        <v>96</v>
      </c>
      <c r="E16" s="25" t="s">
        <v>556</v>
      </c>
      <c r="F16" s="24" t="s">
        <v>531</v>
      </c>
      <c r="G16" s="30" t="s">
        <v>64</v>
      </c>
      <c r="H16" s="30" t="s">
        <v>97</v>
      </c>
      <c r="I16" s="32" t="s">
        <v>21</v>
      </c>
      <c r="J16" s="31"/>
      <c r="K16" s="30" t="s">
        <v>76</v>
      </c>
      <c r="L16" s="30" t="s">
        <v>77</v>
      </c>
      <c r="M16" s="30" t="s">
        <v>98</v>
      </c>
      <c r="N16" s="31"/>
      <c r="O16" s="30" t="s">
        <v>21</v>
      </c>
      <c r="P16" s="32" t="s">
        <v>70</v>
      </c>
      <c r="Q16" s="32" t="s">
        <v>70</v>
      </c>
      <c r="R16" s="31"/>
      <c r="S16" s="43" t="str">
        <f>"312,5"</f>
        <v>312,5</v>
      </c>
      <c r="T16" s="26" t="str">
        <f>"314,6562"</f>
        <v>314,6562</v>
      </c>
      <c r="U16" s="24" t="s">
        <v>99</v>
      </c>
    </row>
    <row r="17" spans="1:21">
      <c r="A17" s="34" t="s">
        <v>54</v>
      </c>
      <c r="B17" s="27" t="s">
        <v>139</v>
      </c>
      <c r="C17" s="27" t="s">
        <v>517</v>
      </c>
      <c r="D17" s="27" t="s">
        <v>96</v>
      </c>
      <c r="E17" s="28" t="s">
        <v>557</v>
      </c>
      <c r="F17" s="27" t="s">
        <v>531</v>
      </c>
      <c r="G17" s="33" t="s">
        <v>64</v>
      </c>
      <c r="H17" s="33" t="s">
        <v>97</v>
      </c>
      <c r="I17" s="35" t="s">
        <v>21</v>
      </c>
      <c r="J17" s="34"/>
      <c r="K17" s="33" t="s">
        <v>76</v>
      </c>
      <c r="L17" s="33" t="s">
        <v>77</v>
      </c>
      <c r="M17" s="33" t="s">
        <v>98</v>
      </c>
      <c r="N17" s="34"/>
      <c r="O17" s="33" t="s">
        <v>21</v>
      </c>
      <c r="P17" s="35" t="s">
        <v>70</v>
      </c>
      <c r="Q17" s="35" t="s">
        <v>70</v>
      </c>
      <c r="R17" s="34"/>
      <c r="S17" s="44" t="str">
        <f>"312,5"</f>
        <v>312,5</v>
      </c>
      <c r="T17" s="29" t="str">
        <f>"319,0614"</f>
        <v>319,0614</v>
      </c>
      <c r="U17" s="27" t="s">
        <v>99</v>
      </c>
    </row>
    <row r="19" spans="1:21" ht="16">
      <c r="A19" s="68" t="s">
        <v>60</v>
      </c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21">
      <c r="A20" s="22" t="s">
        <v>54</v>
      </c>
      <c r="B20" s="7" t="s">
        <v>140</v>
      </c>
      <c r="C20" s="7" t="s">
        <v>100</v>
      </c>
      <c r="D20" s="7" t="s">
        <v>101</v>
      </c>
      <c r="E20" s="8" t="s">
        <v>558</v>
      </c>
      <c r="F20" s="7" t="s">
        <v>533</v>
      </c>
      <c r="G20" s="21" t="s">
        <v>77</v>
      </c>
      <c r="H20" s="23" t="s">
        <v>80</v>
      </c>
      <c r="I20" s="23" t="s">
        <v>80</v>
      </c>
      <c r="J20" s="22"/>
      <c r="K20" s="21" t="s">
        <v>102</v>
      </c>
      <c r="L20" s="21" t="s">
        <v>103</v>
      </c>
      <c r="M20" s="21" t="s">
        <v>104</v>
      </c>
      <c r="N20" s="22"/>
      <c r="O20" s="21" t="s">
        <v>80</v>
      </c>
      <c r="P20" s="21" t="s">
        <v>64</v>
      </c>
      <c r="Q20" s="21" t="s">
        <v>65</v>
      </c>
      <c r="R20" s="22"/>
      <c r="S20" s="42" t="str">
        <f>"230,0"</f>
        <v>230,0</v>
      </c>
      <c r="T20" s="9" t="str">
        <f>"215,4870"</f>
        <v>215,4870</v>
      </c>
      <c r="U20" s="7" t="s">
        <v>105</v>
      </c>
    </row>
    <row r="22" spans="1:21" ht="16">
      <c r="A22" s="68" t="s">
        <v>12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1">
      <c r="A23" s="22" t="s">
        <v>54</v>
      </c>
      <c r="B23" s="7" t="s">
        <v>141</v>
      </c>
      <c r="C23" s="7" t="s">
        <v>100</v>
      </c>
      <c r="D23" s="7" t="s">
        <v>106</v>
      </c>
      <c r="E23" s="8" t="s">
        <v>558</v>
      </c>
      <c r="F23" s="7" t="s">
        <v>533</v>
      </c>
      <c r="G23" s="21" t="s">
        <v>80</v>
      </c>
      <c r="H23" s="21" t="s">
        <v>64</v>
      </c>
      <c r="I23" s="21" t="s">
        <v>65</v>
      </c>
      <c r="J23" s="22"/>
      <c r="K23" s="21" t="s">
        <v>104</v>
      </c>
      <c r="L23" s="21" t="s">
        <v>67</v>
      </c>
      <c r="M23" s="23" t="s">
        <v>91</v>
      </c>
      <c r="N23" s="22"/>
      <c r="O23" s="21" t="s">
        <v>21</v>
      </c>
      <c r="P23" s="21" t="s">
        <v>70</v>
      </c>
      <c r="Q23" s="21" t="s">
        <v>107</v>
      </c>
      <c r="R23" s="22"/>
      <c r="S23" s="42" t="str">
        <f>"297,5"</f>
        <v>297,5</v>
      </c>
      <c r="T23" s="9" t="str">
        <f>"231,6038"</f>
        <v>231,6038</v>
      </c>
      <c r="U23" s="7" t="s">
        <v>105</v>
      </c>
    </row>
    <row r="25" spans="1:21" ht="16">
      <c r="A25" s="68" t="s">
        <v>94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21">
      <c r="A26" s="31" t="s">
        <v>54</v>
      </c>
      <c r="B26" s="24" t="s">
        <v>142</v>
      </c>
      <c r="C26" s="24" t="s">
        <v>108</v>
      </c>
      <c r="D26" s="24" t="s">
        <v>109</v>
      </c>
      <c r="E26" s="25" t="s">
        <v>558</v>
      </c>
      <c r="F26" s="24" t="s">
        <v>533</v>
      </c>
      <c r="G26" s="30" t="s">
        <v>80</v>
      </c>
      <c r="H26" s="32" t="s">
        <v>64</v>
      </c>
      <c r="I26" s="30" t="s">
        <v>64</v>
      </c>
      <c r="J26" s="31"/>
      <c r="K26" s="30" t="s">
        <v>78</v>
      </c>
      <c r="L26" s="30" t="s">
        <v>91</v>
      </c>
      <c r="M26" s="32" t="s">
        <v>110</v>
      </c>
      <c r="N26" s="31"/>
      <c r="O26" s="30" t="s">
        <v>97</v>
      </c>
      <c r="P26" s="30" t="s">
        <v>21</v>
      </c>
      <c r="Q26" s="32" t="s">
        <v>111</v>
      </c>
      <c r="R26" s="31"/>
      <c r="S26" s="43" t="str">
        <f>"277,5"</f>
        <v>277,5</v>
      </c>
      <c r="T26" s="26" t="str">
        <f>"199,8000"</f>
        <v>199,8000</v>
      </c>
      <c r="U26" s="24" t="s">
        <v>105</v>
      </c>
    </row>
    <row r="27" spans="1:21">
      <c r="A27" s="34" t="s">
        <v>54</v>
      </c>
      <c r="B27" s="27" t="s">
        <v>143</v>
      </c>
      <c r="C27" s="27" t="s">
        <v>112</v>
      </c>
      <c r="D27" s="27" t="s">
        <v>113</v>
      </c>
      <c r="E27" s="28" t="s">
        <v>556</v>
      </c>
      <c r="F27" s="27" t="s">
        <v>531</v>
      </c>
      <c r="G27" s="33" t="s">
        <v>114</v>
      </c>
      <c r="H27" s="33" t="s">
        <v>115</v>
      </c>
      <c r="I27" s="35" t="s">
        <v>116</v>
      </c>
      <c r="J27" s="34"/>
      <c r="K27" s="33" t="s">
        <v>68</v>
      </c>
      <c r="L27" s="33" t="s">
        <v>69</v>
      </c>
      <c r="M27" s="35" t="s">
        <v>111</v>
      </c>
      <c r="N27" s="34"/>
      <c r="O27" s="33" t="s">
        <v>25</v>
      </c>
      <c r="P27" s="33" t="s">
        <v>43</v>
      </c>
      <c r="Q27" s="35" t="s">
        <v>117</v>
      </c>
      <c r="R27" s="34"/>
      <c r="S27" s="44" t="str">
        <f>"507,5"</f>
        <v>507,5</v>
      </c>
      <c r="T27" s="29" t="str">
        <f>"361,6445"</f>
        <v>361,6445</v>
      </c>
      <c r="U27" s="27" t="s">
        <v>118</v>
      </c>
    </row>
    <row r="29" spans="1:21" ht="16">
      <c r="A29" s="68" t="s">
        <v>119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21">
      <c r="A30" s="22" t="s">
        <v>54</v>
      </c>
      <c r="B30" s="7" t="s">
        <v>144</v>
      </c>
      <c r="C30" s="7" t="s">
        <v>120</v>
      </c>
      <c r="D30" s="7" t="s">
        <v>121</v>
      </c>
      <c r="E30" s="8" t="s">
        <v>556</v>
      </c>
      <c r="F30" s="7" t="s">
        <v>531</v>
      </c>
      <c r="G30" s="21" t="s">
        <v>122</v>
      </c>
      <c r="H30" s="21" t="s">
        <v>123</v>
      </c>
      <c r="I30" s="23" t="s">
        <v>25</v>
      </c>
      <c r="J30" s="22"/>
      <c r="K30" s="21" t="s">
        <v>68</v>
      </c>
      <c r="L30" s="21" t="s">
        <v>111</v>
      </c>
      <c r="M30" s="23" t="s">
        <v>70</v>
      </c>
      <c r="N30" s="22"/>
      <c r="O30" s="21" t="s">
        <v>116</v>
      </c>
      <c r="P30" s="21" t="s">
        <v>25</v>
      </c>
      <c r="Q30" s="23" t="s">
        <v>124</v>
      </c>
      <c r="R30" s="22"/>
      <c r="S30" s="42" t="str">
        <f>"510,0"</f>
        <v>510,0</v>
      </c>
      <c r="T30" s="9" t="str">
        <f>"348,1770"</f>
        <v>348,1770</v>
      </c>
      <c r="U30" s="7" t="s">
        <v>125</v>
      </c>
    </row>
    <row r="32" spans="1:21" ht="16">
      <c r="A32" s="68" t="s">
        <v>126</v>
      </c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21">
      <c r="A33" s="22" t="s">
        <v>54</v>
      </c>
      <c r="B33" s="7" t="s">
        <v>145</v>
      </c>
      <c r="C33" s="7" t="s">
        <v>518</v>
      </c>
      <c r="D33" s="7" t="s">
        <v>127</v>
      </c>
      <c r="E33" s="8" t="s">
        <v>559</v>
      </c>
      <c r="F33" s="7" t="s">
        <v>534</v>
      </c>
      <c r="G33" s="21" t="s">
        <v>22</v>
      </c>
      <c r="H33" s="21" t="s">
        <v>128</v>
      </c>
      <c r="I33" s="21" t="s">
        <v>23</v>
      </c>
      <c r="J33" s="22"/>
      <c r="K33" s="21" t="s">
        <v>97</v>
      </c>
      <c r="L33" s="21" t="s">
        <v>68</v>
      </c>
      <c r="M33" s="21" t="s">
        <v>21</v>
      </c>
      <c r="N33" s="22"/>
      <c r="O33" s="21" t="s">
        <v>28</v>
      </c>
      <c r="P33" s="21" t="s">
        <v>129</v>
      </c>
      <c r="Q33" s="21" t="s">
        <v>43</v>
      </c>
      <c r="R33" s="22"/>
      <c r="S33" s="42" t="str">
        <f>"502,5"</f>
        <v>502,5</v>
      </c>
      <c r="T33" s="9" t="str">
        <f>"310,6958"</f>
        <v>310,6958</v>
      </c>
      <c r="U33" s="7" t="s">
        <v>93</v>
      </c>
    </row>
    <row r="35" spans="1:21" ht="16">
      <c r="A35" s="68" t="s">
        <v>31</v>
      </c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21">
      <c r="A36" s="22" t="s">
        <v>54</v>
      </c>
      <c r="B36" s="7" t="s">
        <v>146</v>
      </c>
      <c r="C36" s="7" t="s">
        <v>519</v>
      </c>
      <c r="D36" s="7" t="s">
        <v>130</v>
      </c>
      <c r="E36" s="8" t="s">
        <v>560</v>
      </c>
      <c r="F36" s="7" t="s">
        <v>531</v>
      </c>
      <c r="G36" s="21" t="s">
        <v>65</v>
      </c>
      <c r="H36" s="21" t="s">
        <v>68</v>
      </c>
      <c r="I36" s="21" t="s">
        <v>111</v>
      </c>
      <c r="J36" s="22"/>
      <c r="K36" s="21" t="s">
        <v>63</v>
      </c>
      <c r="L36" s="21" t="s">
        <v>65</v>
      </c>
      <c r="M36" s="21" t="s">
        <v>19</v>
      </c>
      <c r="N36" s="22"/>
      <c r="O36" s="21" t="s">
        <v>17</v>
      </c>
      <c r="P36" s="21" t="s">
        <v>114</v>
      </c>
      <c r="Q36" s="21" t="s">
        <v>115</v>
      </c>
      <c r="R36" s="22"/>
      <c r="S36" s="42" t="str">
        <f>"412,5"</f>
        <v>412,5</v>
      </c>
      <c r="T36" s="9" t="str">
        <f>"444,6692"</f>
        <v>444,6692</v>
      </c>
      <c r="U36" s="7"/>
    </row>
  </sheetData>
  <mergeCells count="23">
    <mergeCell ref="A29:R29"/>
    <mergeCell ref="A32:R32"/>
    <mergeCell ref="A35:R35"/>
    <mergeCell ref="B3:B4"/>
    <mergeCell ref="A9:R9"/>
    <mergeCell ref="A12:R12"/>
    <mergeCell ref="A15:R15"/>
    <mergeCell ref="A19:R19"/>
    <mergeCell ref="A22:R22"/>
    <mergeCell ref="A25:R25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7.6640625" style="5" bestFit="1" customWidth="1"/>
    <col min="4" max="4" width="21.5" style="5" bestFit="1" customWidth="1"/>
    <col min="5" max="5" width="10.5" style="10" customWidth="1"/>
    <col min="6" max="6" width="17.83203125" style="5" customWidth="1"/>
    <col min="7" max="9" width="5.5" style="19" customWidth="1"/>
    <col min="10" max="10" width="4.83203125" style="19" customWidth="1"/>
    <col min="11" max="11" width="10.5" style="20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5" t="s">
        <v>466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7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8"/>
      <c r="L4" s="50"/>
      <c r="M4" s="52"/>
    </row>
    <row r="5" spans="1:13" ht="16">
      <c r="A5" s="53" t="s">
        <v>119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453</v>
      </c>
      <c r="C6" s="7" t="s">
        <v>491</v>
      </c>
      <c r="D6" s="7" t="s">
        <v>449</v>
      </c>
      <c r="E6" s="8" t="s">
        <v>558</v>
      </c>
      <c r="F6" s="7" t="s">
        <v>546</v>
      </c>
      <c r="G6" s="23" t="s">
        <v>22</v>
      </c>
      <c r="H6" s="21" t="s">
        <v>22</v>
      </c>
      <c r="I6" s="23" t="s">
        <v>115</v>
      </c>
      <c r="J6" s="22"/>
      <c r="K6" s="42" t="str">
        <f>"160,0"</f>
        <v>160,0</v>
      </c>
      <c r="L6" s="9" t="str">
        <f>"107,3920"</f>
        <v>107,3920</v>
      </c>
      <c r="M6" s="7"/>
    </row>
    <row r="8" spans="1:13" ht="16">
      <c r="A8" s="68" t="s">
        <v>26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2" t="s">
        <v>54</v>
      </c>
      <c r="B9" s="7" t="s">
        <v>454</v>
      </c>
      <c r="C9" s="7" t="s">
        <v>450</v>
      </c>
      <c r="D9" s="7" t="s">
        <v>208</v>
      </c>
      <c r="E9" s="8" t="s">
        <v>556</v>
      </c>
      <c r="F9" s="7" t="s">
        <v>547</v>
      </c>
      <c r="G9" s="23" t="s">
        <v>29</v>
      </c>
      <c r="H9" s="23" t="s">
        <v>29</v>
      </c>
      <c r="I9" s="21" t="s">
        <v>29</v>
      </c>
      <c r="J9" s="22"/>
      <c r="K9" s="42" t="str">
        <f>"220,0"</f>
        <v>220,0</v>
      </c>
      <c r="L9" s="9" t="str">
        <f>"136,0590"</f>
        <v>136,0590</v>
      </c>
      <c r="M9" s="7"/>
    </row>
    <row r="11" spans="1:13" ht="16">
      <c r="A11" s="68" t="s">
        <v>126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22" t="s">
        <v>56</v>
      </c>
      <c r="B12" s="7" t="s">
        <v>455</v>
      </c>
      <c r="C12" s="7" t="s">
        <v>451</v>
      </c>
      <c r="D12" s="7" t="s">
        <v>452</v>
      </c>
      <c r="E12" s="8" t="s">
        <v>556</v>
      </c>
      <c r="F12" s="7" t="s">
        <v>531</v>
      </c>
      <c r="G12" s="23" t="s">
        <v>163</v>
      </c>
      <c r="H12" s="23" t="s">
        <v>163</v>
      </c>
      <c r="I12" s="23" t="s">
        <v>129</v>
      </c>
      <c r="J12" s="22"/>
      <c r="K12" s="42">
        <v>0</v>
      </c>
      <c r="L12" s="9" t="str">
        <f>"0,0000"</f>
        <v>0,0000</v>
      </c>
      <c r="M12" s="7" t="s">
        <v>99</v>
      </c>
    </row>
    <row r="14" spans="1:13" ht="16">
      <c r="A14" s="68" t="s">
        <v>31</v>
      </c>
      <c r="B14" s="68"/>
      <c r="C14" s="69"/>
      <c r="D14" s="69"/>
      <c r="E14" s="69"/>
      <c r="F14" s="69"/>
      <c r="G14" s="69"/>
      <c r="H14" s="69"/>
      <c r="I14" s="69"/>
      <c r="J14" s="69"/>
    </row>
    <row r="15" spans="1:13">
      <c r="A15" s="22" t="s">
        <v>54</v>
      </c>
      <c r="B15" s="7" t="s">
        <v>401</v>
      </c>
      <c r="C15" s="7" t="s">
        <v>398</v>
      </c>
      <c r="D15" s="7" t="s">
        <v>399</v>
      </c>
      <c r="E15" s="8" t="s">
        <v>556</v>
      </c>
      <c r="F15" s="7" t="s">
        <v>531</v>
      </c>
      <c r="G15" s="21" t="s">
        <v>325</v>
      </c>
      <c r="H15" s="21" t="s">
        <v>157</v>
      </c>
      <c r="I15" s="21" t="s">
        <v>400</v>
      </c>
      <c r="J15" s="22"/>
      <c r="K15" s="42" t="str">
        <f>"282,5"</f>
        <v>282,5</v>
      </c>
      <c r="L15" s="9" t="str">
        <f>"158,9063"</f>
        <v>158,9063</v>
      </c>
      <c r="M15" s="7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467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448</v>
      </c>
      <c r="C6" s="7" t="s">
        <v>445</v>
      </c>
      <c r="D6" s="7" t="s">
        <v>446</v>
      </c>
      <c r="E6" s="8" t="s">
        <v>556</v>
      </c>
      <c r="F6" s="7" t="s">
        <v>534</v>
      </c>
      <c r="G6" s="21" t="s">
        <v>122</v>
      </c>
      <c r="H6" s="21" t="s">
        <v>123</v>
      </c>
      <c r="I6" s="23" t="s">
        <v>25</v>
      </c>
      <c r="J6" s="22"/>
      <c r="K6" s="9" t="str">
        <f>"185,0"</f>
        <v>185,0</v>
      </c>
      <c r="L6" s="9" t="str">
        <f>"114,3485"</f>
        <v>114,3485</v>
      </c>
      <c r="M6" s="7" t="s">
        <v>447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2"/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11.1640625" style="6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464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31" t="s">
        <v>54</v>
      </c>
      <c r="B6" s="24" t="s">
        <v>395</v>
      </c>
      <c r="C6" s="24" t="s">
        <v>385</v>
      </c>
      <c r="D6" s="24" t="s">
        <v>206</v>
      </c>
      <c r="E6" s="25" t="s">
        <v>556</v>
      </c>
      <c r="F6" s="24" t="s">
        <v>531</v>
      </c>
      <c r="G6" s="30" t="s">
        <v>70</v>
      </c>
      <c r="H6" s="30" t="s">
        <v>107</v>
      </c>
      <c r="I6" s="31"/>
      <c r="J6" s="31"/>
      <c r="K6" s="26" t="str">
        <f>"140,0"</f>
        <v>140,0</v>
      </c>
      <c r="L6" s="26" t="str">
        <f>"96,5860"</f>
        <v>96,5860</v>
      </c>
      <c r="M6" s="24" t="s">
        <v>283</v>
      </c>
    </row>
    <row r="7" spans="1:13">
      <c r="A7" s="34" t="s">
        <v>54</v>
      </c>
      <c r="B7" s="27" t="s">
        <v>463</v>
      </c>
      <c r="C7" s="27" t="s">
        <v>462</v>
      </c>
      <c r="D7" s="27" t="s">
        <v>353</v>
      </c>
      <c r="E7" s="28" t="s">
        <v>557</v>
      </c>
      <c r="F7" s="27" t="s">
        <v>531</v>
      </c>
      <c r="G7" s="33" t="s">
        <v>19</v>
      </c>
      <c r="H7" s="35" t="s">
        <v>21</v>
      </c>
      <c r="I7" s="35" t="s">
        <v>21</v>
      </c>
      <c r="J7" s="34"/>
      <c r="K7" s="29" t="str">
        <f>"112,5"</f>
        <v>112,5</v>
      </c>
      <c r="L7" s="29" t="str">
        <f>"86,2669"</f>
        <v>86,2669</v>
      </c>
      <c r="M7" s="27" t="s">
        <v>430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3"/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1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55" t="s">
        <v>465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246</v>
      </c>
      <c r="C6" s="7" t="s">
        <v>192</v>
      </c>
      <c r="D6" s="7" t="s">
        <v>186</v>
      </c>
      <c r="E6" s="8" t="s">
        <v>556</v>
      </c>
      <c r="F6" s="7" t="s">
        <v>542</v>
      </c>
      <c r="G6" s="21" t="s">
        <v>70</v>
      </c>
      <c r="H6" s="23" t="s">
        <v>456</v>
      </c>
      <c r="I6" s="22"/>
      <c r="J6" s="22"/>
      <c r="K6" s="9" t="str">
        <f>"130,0"</f>
        <v>130,0</v>
      </c>
      <c r="L6" s="9" t="str">
        <f>"100,2300"</f>
        <v>100,2300</v>
      </c>
      <c r="M6" s="7"/>
    </row>
    <row r="8" spans="1:13" ht="16">
      <c r="A8" s="68" t="s">
        <v>31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460</v>
      </c>
      <c r="C9" s="24" t="s">
        <v>457</v>
      </c>
      <c r="D9" s="24" t="s">
        <v>458</v>
      </c>
      <c r="E9" s="25" t="s">
        <v>556</v>
      </c>
      <c r="F9" s="24" t="s">
        <v>531</v>
      </c>
      <c r="G9" s="30" t="s">
        <v>114</v>
      </c>
      <c r="H9" s="30" t="s">
        <v>122</v>
      </c>
      <c r="I9" s="32" t="s">
        <v>115</v>
      </c>
      <c r="J9" s="31"/>
      <c r="K9" s="26" t="str">
        <f>"170,0"</f>
        <v>170,0</v>
      </c>
      <c r="L9" s="26" t="str">
        <f>"100,5380"</f>
        <v>100,5380</v>
      </c>
      <c r="M9" s="24"/>
    </row>
    <row r="10" spans="1:13">
      <c r="A10" s="34" t="s">
        <v>54</v>
      </c>
      <c r="B10" s="27" t="s">
        <v>461</v>
      </c>
      <c r="C10" s="27" t="s">
        <v>459</v>
      </c>
      <c r="D10" s="27" t="s">
        <v>399</v>
      </c>
      <c r="E10" s="28" t="s">
        <v>557</v>
      </c>
      <c r="F10" s="27" t="s">
        <v>531</v>
      </c>
      <c r="G10" s="33" t="s">
        <v>22</v>
      </c>
      <c r="H10" s="33" t="s">
        <v>128</v>
      </c>
      <c r="I10" s="35" t="s">
        <v>115</v>
      </c>
      <c r="J10" s="34"/>
      <c r="K10" s="29" t="str">
        <f>"167,5"</f>
        <v>167,5</v>
      </c>
      <c r="L10" s="29" t="str">
        <f>"99,0666"</f>
        <v>99,0666</v>
      </c>
      <c r="M10" s="27" t="s">
        <v>430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/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1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5" t="s">
        <v>474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419</v>
      </c>
      <c r="C6" s="7" t="s">
        <v>411</v>
      </c>
      <c r="D6" s="7" t="s">
        <v>412</v>
      </c>
      <c r="E6" s="8" t="s">
        <v>557</v>
      </c>
      <c r="F6" s="7" t="s">
        <v>548</v>
      </c>
      <c r="G6" s="21" t="s">
        <v>110</v>
      </c>
      <c r="H6" s="21" t="s">
        <v>75</v>
      </c>
      <c r="I6" s="21" t="s">
        <v>187</v>
      </c>
      <c r="J6" s="22"/>
      <c r="K6" s="9" t="str">
        <f>"72,5"</f>
        <v>72,5</v>
      </c>
      <c r="L6" s="9" t="str">
        <f>"58,6095"</f>
        <v>58,6095</v>
      </c>
      <c r="M6" s="7"/>
    </row>
    <row r="8" spans="1:13" ht="16">
      <c r="A8" s="68" t="s">
        <v>94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2" t="s">
        <v>54</v>
      </c>
      <c r="B9" s="7" t="s">
        <v>420</v>
      </c>
      <c r="C9" s="7" t="s">
        <v>413</v>
      </c>
      <c r="D9" s="7" t="s">
        <v>414</v>
      </c>
      <c r="E9" s="8" t="s">
        <v>557</v>
      </c>
      <c r="F9" s="7" t="s">
        <v>531</v>
      </c>
      <c r="G9" s="21" t="s">
        <v>107</v>
      </c>
      <c r="H9" s="21" t="s">
        <v>155</v>
      </c>
      <c r="I9" s="21" t="s">
        <v>17</v>
      </c>
      <c r="J9" s="22"/>
      <c r="K9" s="9" t="str">
        <f>"155,0"</f>
        <v>155,0</v>
      </c>
      <c r="L9" s="9" t="str">
        <f>"120,1127"</f>
        <v>120,1127</v>
      </c>
      <c r="M9" s="7"/>
    </row>
    <row r="11" spans="1:13" ht="16">
      <c r="A11" s="68" t="s">
        <v>126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22" t="s">
        <v>54</v>
      </c>
      <c r="B12" s="7" t="s">
        <v>421</v>
      </c>
      <c r="C12" s="7" t="s">
        <v>415</v>
      </c>
      <c r="D12" s="7" t="s">
        <v>416</v>
      </c>
      <c r="E12" s="8" t="s">
        <v>561</v>
      </c>
      <c r="F12" s="7" t="s">
        <v>549</v>
      </c>
      <c r="G12" s="21" t="s">
        <v>98</v>
      </c>
      <c r="H12" s="21" t="s">
        <v>80</v>
      </c>
      <c r="I12" s="21" t="s">
        <v>63</v>
      </c>
      <c r="J12" s="22"/>
      <c r="K12" s="9" t="str">
        <f>"95,0"</f>
        <v>95,0</v>
      </c>
      <c r="L12" s="9" t="str">
        <f>"68,5734"</f>
        <v>68,5734</v>
      </c>
      <c r="M12" s="7"/>
    </row>
    <row r="14" spans="1:13" ht="16">
      <c r="A14" s="68" t="s">
        <v>160</v>
      </c>
      <c r="B14" s="68"/>
      <c r="C14" s="69"/>
      <c r="D14" s="69"/>
      <c r="E14" s="69"/>
      <c r="F14" s="69"/>
      <c r="G14" s="69"/>
      <c r="H14" s="69"/>
      <c r="I14" s="69"/>
      <c r="J14" s="69"/>
    </row>
    <row r="15" spans="1:13">
      <c r="A15" s="22" t="s">
        <v>54</v>
      </c>
      <c r="B15" s="7" t="s">
        <v>422</v>
      </c>
      <c r="C15" s="7" t="s">
        <v>417</v>
      </c>
      <c r="D15" s="7" t="s">
        <v>418</v>
      </c>
      <c r="E15" s="8" t="s">
        <v>557</v>
      </c>
      <c r="F15" s="7" t="s">
        <v>549</v>
      </c>
      <c r="G15" s="21" t="s">
        <v>80</v>
      </c>
      <c r="H15" s="21" t="s">
        <v>65</v>
      </c>
      <c r="I15" s="21" t="s">
        <v>19</v>
      </c>
      <c r="J15" s="22"/>
      <c r="K15" s="9" t="str">
        <f>"112,5"</f>
        <v>112,5</v>
      </c>
      <c r="L15" s="9" t="str">
        <f>"66,2217"</f>
        <v>66,2217</v>
      </c>
      <c r="M15" s="7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22"/>
  <dimension ref="A1:M2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832031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9.83203125" style="6" customWidth="1"/>
    <col min="13" max="13" width="23.83203125" style="5" customWidth="1"/>
    <col min="14" max="16384" width="9.1640625" style="3"/>
  </cols>
  <sheetData>
    <row r="1" spans="1:13" s="2" customFormat="1" ht="29" customHeight="1">
      <c r="A1" s="55" t="s">
        <v>482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11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60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308</v>
      </c>
      <c r="C6" s="7" t="s">
        <v>272</v>
      </c>
      <c r="D6" s="7" t="s">
        <v>273</v>
      </c>
      <c r="E6" s="8" t="s">
        <v>556</v>
      </c>
      <c r="F6" s="7" t="s">
        <v>531</v>
      </c>
      <c r="G6" s="23" t="s">
        <v>16</v>
      </c>
      <c r="H6" s="21" t="s">
        <v>16</v>
      </c>
      <c r="I6" s="21" t="s">
        <v>155</v>
      </c>
      <c r="J6" s="22"/>
      <c r="K6" s="9" t="str">
        <f>"150,0"</f>
        <v>150,0</v>
      </c>
      <c r="L6" s="9" t="str">
        <f>"177,9900"</f>
        <v>177,9900</v>
      </c>
      <c r="M6" s="7" t="s">
        <v>274</v>
      </c>
    </row>
    <row r="8" spans="1:13" ht="16">
      <c r="A8" s="68" t="s">
        <v>12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2" t="s">
        <v>54</v>
      </c>
      <c r="B9" s="7" t="s">
        <v>355</v>
      </c>
      <c r="C9" s="7" t="s">
        <v>341</v>
      </c>
      <c r="D9" s="7" t="s">
        <v>342</v>
      </c>
      <c r="E9" s="8" t="s">
        <v>556</v>
      </c>
      <c r="F9" s="7" t="s">
        <v>531</v>
      </c>
      <c r="G9" s="21" t="s">
        <v>80</v>
      </c>
      <c r="H9" s="21" t="s">
        <v>64</v>
      </c>
      <c r="I9" s="21" t="s">
        <v>97</v>
      </c>
      <c r="J9" s="22"/>
      <c r="K9" s="9" t="str">
        <f>"110,0"</f>
        <v>110,0</v>
      </c>
      <c r="L9" s="9" t="str">
        <f>"117,8540"</f>
        <v>117,8540</v>
      </c>
      <c r="M9" s="7" t="s">
        <v>125</v>
      </c>
    </row>
    <row r="11" spans="1:13" ht="16">
      <c r="A11" s="68" t="s">
        <v>94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1" t="s">
        <v>54</v>
      </c>
      <c r="B12" s="24" t="s">
        <v>139</v>
      </c>
      <c r="C12" s="24" t="s">
        <v>95</v>
      </c>
      <c r="D12" s="24" t="s">
        <v>96</v>
      </c>
      <c r="E12" s="25" t="s">
        <v>556</v>
      </c>
      <c r="F12" s="24" t="s">
        <v>531</v>
      </c>
      <c r="G12" s="30" t="s">
        <v>21</v>
      </c>
      <c r="H12" s="32" t="s">
        <v>70</v>
      </c>
      <c r="I12" s="32" t="s">
        <v>70</v>
      </c>
      <c r="J12" s="31"/>
      <c r="K12" s="26" t="str">
        <f>"120,0"</f>
        <v>120,0</v>
      </c>
      <c r="L12" s="26" t="str">
        <f>"120,8280"</f>
        <v>120,8280</v>
      </c>
      <c r="M12" s="24" t="s">
        <v>99</v>
      </c>
    </row>
    <row r="13" spans="1:13">
      <c r="A13" s="34" t="s">
        <v>135</v>
      </c>
      <c r="B13" s="27" t="s">
        <v>356</v>
      </c>
      <c r="C13" s="27" t="s">
        <v>343</v>
      </c>
      <c r="D13" s="27" t="s">
        <v>344</v>
      </c>
      <c r="E13" s="28" t="s">
        <v>556</v>
      </c>
      <c r="F13" s="27" t="s">
        <v>531</v>
      </c>
      <c r="G13" s="33" t="s">
        <v>80</v>
      </c>
      <c r="H13" s="33" t="s">
        <v>64</v>
      </c>
      <c r="I13" s="35" t="s">
        <v>97</v>
      </c>
      <c r="J13" s="34"/>
      <c r="K13" s="29" t="str">
        <f>"100,0"</f>
        <v>100,0</v>
      </c>
      <c r="L13" s="29" t="str">
        <f>"100,1800"</f>
        <v>100,1800</v>
      </c>
      <c r="M13" s="27" t="s">
        <v>125</v>
      </c>
    </row>
    <row r="15" spans="1:13" ht="16">
      <c r="A15" s="68" t="s">
        <v>60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22" t="s">
        <v>54</v>
      </c>
      <c r="B16" s="7" t="s">
        <v>357</v>
      </c>
      <c r="C16" s="7" t="s">
        <v>345</v>
      </c>
      <c r="D16" s="7" t="s">
        <v>346</v>
      </c>
      <c r="E16" s="8" t="s">
        <v>558</v>
      </c>
      <c r="F16" s="7" t="s">
        <v>531</v>
      </c>
      <c r="G16" s="21" t="s">
        <v>347</v>
      </c>
      <c r="H16" s="21" t="s">
        <v>22</v>
      </c>
      <c r="I16" s="23" t="s">
        <v>114</v>
      </c>
      <c r="J16" s="22"/>
      <c r="K16" s="9" t="str">
        <f>"160,0"</f>
        <v>160,0</v>
      </c>
      <c r="L16" s="9" t="str">
        <f>"148,0000"</f>
        <v>148,0000</v>
      </c>
      <c r="M16" s="7"/>
    </row>
    <row r="18" spans="1:13" ht="16">
      <c r="A18" s="68" t="s">
        <v>12</v>
      </c>
      <c r="B18" s="68"/>
      <c r="C18" s="69"/>
      <c r="D18" s="69"/>
      <c r="E18" s="69"/>
      <c r="F18" s="69"/>
      <c r="G18" s="69"/>
      <c r="H18" s="69"/>
      <c r="I18" s="69"/>
      <c r="J18" s="69"/>
    </row>
    <row r="19" spans="1:13">
      <c r="A19" s="31" t="s">
        <v>54</v>
      </c>
      <c r="B19" s="24" t="s">
        <v>358</v>
      </c>
      <c r="C19" s="24" t="s">
        <v>348</v>
      </c>
      <c r="D19" s="24" t="s">
        <v>349</v>
      </c>
      <c r="E19" s="25" t="s">
        <v>558</v>
      </c>
      <c r="F19" s="24" t="s">
        <v>532</v>
      </c>
      <c r="G19" s="30" t="s">
        <v>155</v>
      </c>
      <c r="H19" s="30" t="s">
        <v>17</v>
      </c>
      <c r="I19" s="30" t="s">
        <v>22</v>
      </c>
      <c r="J19" s="31"/>
      <c r="K19" s="26" t="str">
        <f>"160,0"</f>
        <v>160,0</v>
      </c>
      <c r="L19" s="26" t="str">
        <f>"129,7760"</f>
        <v>129,7760</v>
      </c>
      <c r="M19" s="24" t="s">
        <v>72</v>
      </c>
    </row>
    <row r="20" spans="1:13">
      <c r="A20" s="34" t="s">
        <v>54</v>
      </c>
      <c r="B20" s="27" t="s">
        <v>359</v>
      </c>
      <c r="C20" s="27" t="s">
        <v>350</v>
      </c>
      <c r="D20" s="27" t="s">
        <v>351</v>
      </c>
      <c r="E20" s="28" t="s">
        <v>556</v>
      </c>
      <c r="F20" s="27" t="s">
        <v>531</v>
      </c>
      <c r="G20" s="33" t="s">
        <v>107</v>
      </c>
      <c r="H20" s="33" t="s">
        <v>17</v>
      </c>
      <c r="I20" s="33" t="s">
        <v>122</v>
      </c>
      <c r="J20" s="34"/>
      <c r="K20" s="29" t="str">
        <f>"170,0"</f>
        <v>170,0</v>
      </c>
      <c r="L20" s="29" t="str">
        <f>"133,6540"</f>
        <v>133,6540</v>
      </c>
      <c r="M20" s="27" t="s">
        <v>125</v>
      </c>
    </row>
    <row r="22" spans="1:13" ht="16">
      <c r="A22" s="68" t="s">
        <v>119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22" t="s">
        <v>54</v>
      </c>
      <c r="B23" s="7" t="s">
        <v>360</v>
      </c>
      <c r="C23" s="7" t="s">
        <v>352</v>
      </c>
      <c r="D23" s="7" t="s">
        <v>353</v>
      </c>
      <c r="E23" s="8" t="s">
        <v>556</v>
      </c>
      <c r="F23" s="7" t="s">
        <v>531</v>
      </c>
      <c r="G23" s="21" t="s">
        <v>115</v>
      </c>
      <c r="H23" s="21" t="s">
        <v>163</v>
      </c>
      <c r="I23" s="23" t="s">
        <v>28</v>
      </c>
      <c r="J23" s="22"/>
      <c r="K23" s="9" t="str">
        <f>"190,0"</f>
        <v>190,0</v>
      </c>
      <c r="L23" s="9" t="str">
        <f>"128,7060"</f>
        <v>128,7060</v>
      </c>
      <c r="M23" s="7" t="s">
        <v>283</v>
      </c>
    </row>
    <row r="25" spans="1:13" ht="16">
      <c r="A25" s="68" t="s">
        <v>126</v>
      </c>
      <c r="B25" s="68"/>
      <c r="C25" s="69"/>
      <c r="D25" s="69"/>
      <c r="E25" s="69"/>
      <c r="F25" s="69"/>
      <c r="G25" s="69"/>
      <c r="H25" s="69"/>
      <c r="I25" s="69"/>
      <c r="J25" s="69"/>
    </row>
    <row r="26" spans="1:13">
      <c r="A26" s="22" t="s">
        <v>54</v>
      </c>
      <c r="B26" s="7" t="s">
        <v>361</v>
      </c>
      <c r="C26" s="7" t="s">
        <v>501</v>
      </c>
      <c r="D26" s="7" t="s">
        <v>354</v>
      </c>
      <c r="E26" s="8" t="s">
        <v>561</v>
      </c>
      <c r="F26" s="7" t="s">
        <v>531</v>
      </c>
      <c r="G26" s="21" t="s">
        <v>115</v>
      </c>
      <c r="H26" s="21" t="s">
        <v>163</v>
      </c>
      <c r="I26" s="23" t="s">
        <v>25</v>
      </c>
      <c r="J26" s="22"/>
      <c r="K26" s="9" t="str">
        <f>"190,0"</f>
        <v>190,0</v>
      </c>
      <c r="L26" s="9" t="str">
        <f>"131,9731"</f>
        <v>131,9731</v>
      </c>
      <c r="M26" s="7"/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23"/>
  <dimension ref="A1:M20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11.1640625" style="6" customWidth="1"/>
    <col min="13" max="13" width="22.83203125" style="5" bestFit="1" customWidth="1"/>
    <col min="14" max="16384" width="9.1640625" style="3"/>
  </cols>
  <sheetData>
    <row r="1" spans="1:13" s="2" customFormat="1" ht="29" customHeight="1">
      <c r="A1" s="55" t="s">
        <v>483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11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245</v>
      </c>
      <c r="C6" s="7" t="s">
        <v>185</v>
      </c>
      <c r="D6" s="7" t="s">
        <v>186</v>
      </c>
      <c r="E6" s="8" t="s">
        <v>556</v>
      </c>
      <c r="F6" s="7" t="s">
        <v>531</v>
      </c>
      <c r="G6" s="21" t="s">
        <v>122</v>
      </c>
      <c r="H6" s="21" t="s">
        <v>189</v>
      </c>
      <c r="I6" s="23" t="s">
        <v>24</v>
      </c>
      <c r="J6" s="22"/>
      <c r="K6" s="9" t="str">
        <f>"177,5"</f>
        <v>177,5</v>
      </c>
      <c r="L6" s="9" t="str">
        <f>"181,1565"</f>
        <v>181,1565</v>
      </c>
      <c r="M6" s="7" t="s">
        <v>190</v>
      </c>
    </row>
    <row r="8" spans="1:13" ht="16">
      <c r="A8" s="68" t="s">
        <v>26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336</v>
      </c>
      <c r="C9" s="24" t="s">
        <v>327</v>
      </c>
      <c r="D9" s="24" t="s">
        <v>328</v>
      </c>
      <c r="E9" s="25" t="s">
        <v>556</v>
      </c>
      <c r="F9" s="24" t="s">
        <v>531</v>
      </c>
      <c r="G9" s="30" t="s">
        <v>166</v>
      </c>
      <c r="H9" s="32" t="s">
        <v>44</v>
      </c>
      <c r="I9" s="32" t="s">
        <v>44</v>
      </c>
      <c r="J9" s="31"/>
      <c r="K9" s="26" t="str">
        <f>"240,0"</f>
        <v>240,0</v>
      </c>
      <c r="L9" s="26" t="str">
        <f>"153,8400"</f>
        <v>153,8400</v>
      </c>
      <c r="M9" s="24" t="s">
        <v>283</v>
      </c>
    </row>
    <row r="10" spans="1:13">
      <c r="A10" s="34" t="s">
        <v>54</v>
      </c>
      <c r="B10" s="27" t="s">
        <v>337</v>
      </c>
      <c r="C10" s="27" t="s">
        <v>503</v>
      </c>
      <c r="D10" s="27" t="s">
        <v>329</v>
      </c>
      <c r="E10" s="28" t="s">
        <v>561</v>
      </c>
      <c r="F10" s="27" t="s">
        <v>531</v>
      </c>
      <c r="G10" s="33" t="s">
        <v>22</v>
      </c>
      <c r="H10" s="33" t="s">
        <v>122</v>
      </c>
      <c r="I10" s="35" t="s">
        <v>116</v>
      </c>
      <c r="J10" s="34"/>
      <c r="K10" s="29" t="str">
        <f>"170,0"</f>
        <v>170,0</v>
      </c>
      <c r="L10" s="29" t="str">
        <f>"124,4227"</f>
        <v>124,4227</v>
      </c>
      <c r="M10" s="27" t="s">
        <v>220</v>
      </c>
    </row>
    <row r="12" spans="1:13" ht="16">
      <c r="A12" s="68" t="s">
        <v>126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22" t="s">
        <v>54</v>
      </c>
      <c r="B13" s="7" t="s">
        <v>338</v>
      </c>
      <c r="C13" s="7" t="s">
        <v>504</v>
      </c>
      <c r="D13" s="7" t="s">
        <v>330</v>
      </c>
      <c r="E13" s="8" t="s">
        <v>562</v>
      </c>
      <c r="F13" s="7" t="s">
        <v>550</v>
      </c>
      <c r="G13" s="21" t="s">
        <v>17</v>
      </c>
      <c r="H13" s="21" t="s">
        <v>18</v>
      </c>
      <c r="I13" s="23" t="s">
        <v>114</v>
      </c>
      <c r="J13" s="22"/>
      <c r="K13" s="9" t="str">
        <f>"162,5"</f>
        <v>162,5</v>
      </c>
      <c r="L13" s="9" t="str">
        <f>"159,6065"</f>
        <v>159,6065</v>
      </c>
      <c r="M13" s="7"/>
    </row>
    <row r="15" spans="1:13" ht="16">
      <c r="A15" s="68" t="s">
        <v>31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31" t="s">
        <v>54</v>
      </c>
      <c r="B16" s="24" t="s">
        <v>339</v>
      </c>
      <c r="C16" s="24" t="s">
        <v>331</v>
      </c>
      <c r="D16" s="24" t="s">
        <v>332</v>
      </c>
      <c r="E16" s="25" t="s">
        <v>556</v>
      </c>
      <c r="F16" s="24" t="s">
        <v>531</v>
      </c>
      <c r="G16" s="30" t="s">
        <v>325</v>
      </c>
      <c r="H16" s="30" t="s">
        <v>37</v>
      </c>
      <c r="I16" s="30" t="s">
        <v>158</v>
      </c>
      <c r="J16" s="31"/>
      <c r="K16" s="26" t="str">
        <f>"280,0"</f>
        <v>280,0</v>
      </c>
      <c r="L16" s="26" t="str">
        <f>"166,0400"</f>
        <v>166,0400</v>
      </c>
      <c r="M16" s="24" t="s">
        <v>159</v>
      </c>
    </row>
    <row r="17" spans="1:13">
      <c r="A17" s="34" t="s">
        <v>54</v>
      </c>
      <c r="B17" s="27" t="s">
        <v>340</v>
      </c>
      <c r="C17" s="27" t="s">
        <v>505</v>
      </c>
      <c r="D17" s="27" t="s">
        <v>333</v>
      </c>
      <c r="E17" s="28" t="s">
        <v>563</v>
      </c>
      <c r="F17" s="27" t="s">
        <v>531</v>
      </c>
      <c r="G17" s="33" t="s">
        <v>232</v>
      </c>
      <c r="H17" s="33" t="s">
        <v>33</v>
      </c>
      <c r="I17" s="33" t="s">
        <v>29</v>
      </c>
      <c r="J17" s="34"/>
      <c r="K17" s="29" t="str">
        <f>"220,0"</f>
        <v>220,0</v>
      </c>
      <c r="L17" s="29" t="str">
        <f>"169,4064"</f>
        <v>169,4064</v>
      </c>
      <c r="M17" s="27" t="s">
        <v>334</v>
      </c>
    </row>
    <row r="19" spans="1:13" ht="16">
      <c r="A19" s="68" t="s">
        <v>160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22" t="s">
        <v>54</v>
      </c>
      <c r="B20" s="7" t="s">
        <v>264</v>
      </c>
      <c r="C20" s="7" t="s">
        <v>236</v>
      </c>
      <c r="D20" s="7" t="s">
        <v>237</v>
      </c>
      <c r="E20" s="8" t="s">
        <v>556</v>
      </c>
      <c r="F20" s="7" t="s">
        <v>543</v>
      </c>
      <c r="G20" s="21" t="s">
        <v>45</v>
      </c>
      <c r="H20" s="21" t="s">
        <v>335</v>
      </c>
      <c r="I20" s="23" t="s">
        <v>150</v>
      </c>
      <c r="J20" s="22"/>
      <c r="K20" s="9" t="str">
        <f>"302,5"</f>
        <v>302,5</v>
      </c>
      <c r="L20" s="9" t="str">
        <f>"176,6903"</f>
        <v>176,6903</v>
      </c>
      <c r="M20" s="7" t="s">
        <v>238</v>
      </c>
    </row>
  </sheetData>
  <mergeCells count="16">
    <mergeCell ref="A8:J8"/>
    <mergeCell ref="A12:J12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0"/>
  <dimension ref="A1:M41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1.6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11.33203125" style="6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478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60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136</v>
      </c>
      <c r="C6" s="7" t="s">
        <v>73</v>
      </c>
      <c r="D6" s="7" t="s">
        <v>74</v>
      </c>
      <c r="E6" s="8" t="s">
        <v>556</v>
      </c>
      <c r="F6" s="7" t="s">
        <v>532</v>
      </c>
      <c r="G6" s="21" t="s">
        <v>369</v>
      </c>
      <c r="H6" s="21" t="s">
        <v>371</v>
      </c>
      <c r="I6" s="21" t="s">
        <v>179</v>
      </c>
      <c r="J6" s="22"/>
      <c r="K6" s="9" t="str">
        <f>"30,0"</f>
        <v>30,0</v>
      </c>
      <c r="L6" s="9" t="str">
        <f>"31,5000"</f>
        <v>31,5000</v>
      </c>
      <c r="M6" s="7"/>
    </row>
    <row r="8" spans="1:13" ht="16">
      <c r="A8" s="68" t="s">
        <v>81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310</v>
      </c>
      <c r="C9" s="24" t="s">
        <v>277</v>
      </c>
      <c r="D9" s="24" t="s">
        <v>278</v>
      </c>
      <c r="E9" s="25" t="s">
        <v>556</v>
      </c>
      <c r="F9" s="24" t="s">
        <v>538</v>
      </c>
      <c r="G9" s="30" t="s">
        <v>103</v>
      </c>
      <c r="H9" s="30" t="s">
        <v>104</v>
      </c>
      <c r="I9" s="30" t="s">
        <v>66</v>
      </c>
      <c r="J9" s="31"/>
      <c r="K9" s="26" t="str">
        <f>"47,5"</f>
        <v>47,5</v>
      </c>
      <c r="L9" s="26" t="str">
        <f>"40,0876"</f>
        <v>40,0876</v>
      </c>
      <c r="M9" s="24"/>
    </row>
    <row r="10" spans="1:13">
      <c r="A10" s="34" t="s">
        <v>135</v>
      </c>
      <c r="B10" s="27" t="s">
        <v>389</v>
      </c>
      <c r="C10" s="27" t="s">
        <v>372</v>
      </c>
      <c r="D10" s="27" t="s">
        <v>373</v>
      </c>
      <c r="E10" s="28" t="s">
        <v>556</v>
      </c>
      <c r="F10" s="27" t="s">
        <v>531</v>
      </c>
      <c r="G10" s="33" t="s">
        <v>174</v>
      </c>
      <c r="H10" s="35" t="s">
        <v>104</v>
      </c>
      <c r="I10" s="35" t="s">
        <v>66</v>
      </c>
      <c r="J10" s="34"/>
      <c r="K10" s="29" t="str">
        <f>"40,0"</f>
        <v>40,0</v>
      </c>
      <c r="L10" s="29" t="str">
        <f>"33,3680"</f>
        <v>33,3680</v>
      </c>
      <c r="M10" s="27"/>
    </row>
    <row r="12" spans="1:13" ht="16">
      <c r="A12" s="68" t="s">
        <v>12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31" t="s">
        <v>54</v>
      </c>
      <c r="B13" s="24" t="s">
        <v>390</v>
      </c>
      <c r="C13" s="24" t="s">
        <v>374</v>
      </c>
      <c r="D13" s="24" t="s">
        <v>375</v>
      </c>
      <c r="E13" s="25" t="s">
        <v>556</v>
      </c>
      <c r="F13" s="24" t="s">
        <v>532</v>
      </c>
      <c r="G13" s="30" t="s">
        <v>66</v>
      </c>
      <c r="H13" s="32" t="s">
        <v>67</v>
      </c>
      <c r="I13" s="32" t="s">
        <v>67</v>
      </c>
      <c r="J13" s="31"/>
      <c r="K13" s="26" t="str">
        <f>"47,5"</f>
        <v>47,5</v>
      </c>
      <c r="L13" s="26" t="str">
        <f>"36,4824"</f>
        <v>36,4824</v>
      </c>
      <c r="M13" s="24" t="s">
        <v>72</v>
      </c>
    </row>
    <row r="14" spans="1:13">
      <c r="A14" s="34" t="s">
        <v>135</v>
      </c>
      <c r="B14" s="27" t="s">
        <v>391</v>
      </c>
      <c r="C14" s="27" t="s">
        <v>376</v>
      </c>
      <c r="D14" s="27" t="s">
        <v>377</v>
      </c>
      <c r="E14" s="28" t="s">
        <v>556</v>
      </c>
      <c r="F14" s="27" t="s">
        <v>551</v>
      </c>
      <c r="G14" s="33" t="s">
        <v>66</v>
      </c>
      <c r="H14" s="35" t="s">
        <v>67</v>
      </c>
      <c r="I14" s="35" t="s">
        <v>67</v>
      </c>
      <c r="J14" s="34"/>
      <c r="K14" s="29" t="str">
        <f>"47,5"</f>
        <v>47,5</v>
      </c>
      <c r="L14" s="29" t="str">
        <f>"36,0297"</f>
        <v>36,0297</v>
      </c>
      <c r="M14" s="27"/>
    </row>
    <row r="16" spans="1:13" ht="16">
      <c r="A16" s="68" t="s">
        <v>94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3">
      <c r="A17" s="31" t="s">
        <v>54</v>
      </c>
      <c r="B17" s="24" t="s">
        <v>392</v>
      </c>
      <c r="C17" s="24" t="s">
        <v>497</v>
      </c>
      <c r="D17" s="24" t="s">
        <v>378</v>
      </c>
      <c r="E17" s="25" t="s">
        <v>558</v>
      </c>
      <c r="F17" s="24" t="s">
        <v>531</v>
      </c>
      <c r="G17" s="30" t="s">
        <v>78</v>
      </c>
      <c r="H17" s="30" t="s">
        <v>79</v>
      </c>
      <c r="I17" s="30" t="s">
        <v>91</v>
      </c>
      <c r="J17" s="31"/>
      <c r="K17" s="26" t="str">
        <f>"57,5"</f>
        <v>57,5</v>
      </c>
      <c r="L17" s="26" t="str">
        <f>"40,1925"</f>
        <v>40,1925</v>
      </c>
      <c r="M17" s="24" t="s">
        <v>379</v>
      </c>
    </row>
    <row r="18" spans="1:13">
      <c r="A18" s="39" t="s">
        <v>54</v>
      </c>
      <c r="B18" s="36" t="s">
        <v>393</v>
      </c>
      <c r="C18" s="36" t="s">
        <v>498</v>
      </c>
      <c r="D18" s="36" t="s">
        <v>380</v>
      </c>
      <c r="E18" s="37" t="s">
        <v>559</v>
      </c>
      <c r="F18" s="36" t="s">
        <v>531</v>
      </c>
      <c r="G18" s="40" t="s">
        <v>78</v>
      </c>
      <c r="H18" s="40" t="s">
        <v>91</v>
      </c>
      <c r="I18" s="40" t="s">
        <v>197</v>
      </c>
      <c r="J18" s="39"/>
      <c r="K18" s="38" t="str">
        <f>"60,0"</f>
        <v>60,0</v>
      </c>
      <c r="L18" s="38" t="str">
        <f>"43,3740"</f>
        <v>43,3740</v>
      </c>
      <c r="M18" s="36"/>
    </row>
    <row r="19" spans="1:13">
      <c r="A19" s="34" t="s">
        <v>54</v>
      </c>
      <c r="B19" s="27" t="s">
        <v>368</v>
      </c>
      <c r="C19" s="27" t="s">
        <v>365</v>
      </c>
      <c r="D19" s="27" t="s">
        <v>366</v>
      </c>
      <c r="E19" s="28" t="s">
        <v>556</v>
      </c>
      <c r="F19" s="27" t="s">
        <v>537</v>
      </c>
      <c r="G19" s="33" t="s">
        <v>79</v>
      </c>
      <c r="H19" s="33" t="s">
        <v>91</v>
      </c>
      <c r="I19" s="35" t="s">
        <v>197</v>
      </c>
      <c r="J19" s="34"/>
      <c r="K19" s="29" t="str">
        <f>"57,5"</f>
        <v>57,5</v>
      </c>
      <c r="L19" s="29" t="str">
        <f>"40,6582"</f>
        <v>40,6582</v>
      </c>
      <c r="M19" s="27"/>
    </row>
    <row r="21" spans="1:13" ht="16">
      <c r="A21" s="68" t="s">
        <v>119</v>
      </c>
      <c r="B21" s="68"/>
      <c r="C21" s="69"/>
      <c r="D21" s="69"/>
      <c r="E21" s="69"/>
      <c r="F21" s="69"/>
      <c r="G21" s="69"/>
      <c r="H21" s="69"/>
      <c r="I21" s="69"/>
      <c r="J21" s="69"/>
    </row>
    <row r="22" spans="1:13">
      <c r="A22" s="31" t="s">
        <v>54</v>
      </c>
      <c r="B22" s="24" t="s">
        <v>394</v>
      </c>
      <c r="C22" s="24" t="s">
        <v>382</v>
      </c>
      <c r="D22" s="24" t="s">
        <v>383</v>
      </c>
      <c r="E22" s="25" t="s">
        <v>556</v>
      </c>
      <c r="F22" s="24" t="s">
        <v>539</v>
      </c>
      <c r="G22" s="30" t="s">
        <v>270</v>
      </c>
      <c r="H22" s="30" t="s">
        <v>187</v>
      </c>
      <c r="I22" s="32" t="s">
        <v>77</v>
      </c>
      <c r="J22" s="31"/>
      <c r="K22" s="26" t="str">
        <f>"72,5"</f>
        <v>72,5</v>
      </c>
      <c r="L22" s="26" t="str">
        <f>"49,1985"</f>
        <v>49,1985</v>
      </c>
      <c r="M22" s="24"/>
    </row>
    <row r="23" spans="1:13">
      <c r="A23" s="39" t="s">
        <v>135</v>
      </c>
      <c r="B23" s="36" t="s">
        <v>395</v>
      </c>
      <c r="C23" s="36" t="s">
        <v>385</v>
      </c>
      <c r="D23" s="36" t="s">
        <v>206</v>
      </c>
      <c r="E23" s="37" t="s">
        <v>556</v>
      </c>
      <c r="F23" s="36" t="s">
        <v>531</v>
      </c>
      <c r="G23" s="40" t="s">
        <v>79</v>
      </c>
      <c r="H23" s="40" t="s">
        <v>110</v>
      </c>
      <c r="I23" s="41" t="s">
        <v>187</v>
      </c>
      <c r="J23" s="39"/>
      <c r="K23" s="38" t="str">
        <f>"65,0"</f>
        <v>65,0</v>
      </c>
      <c r="L23" s="38" t="str">
        <f>"43,2380"</f>
        <v>43,2380</v>
      </c>
      <c r="M23" s="36" t="s">
        <v>283</v>
      </c>
    </row>
    <row r="24" spans="1:13">
      <c r="A24" s="34" t="s">
        <v>251</v>
      </c>
      <c r="B24" s="27" t="s">
        <v>396</v>
      </c>
      <c r="C24" s="27" t="s">
        <v>386</v>
      </c>
      <c r="D24" s="27" t="s">
        <v>387</v>
      </c>
      <c r="E24" s="28" t="s">
        <v>556</v>
      </c>
      <c r="F24" s="27" t="s">
        <v>531</v>
      </c>
      <c r="G24" s="33" t="s">
        <v>66</v>
      </c>
      <c r="H24" s="35" t="s">
        <v>67</v>
      </c>
      <c r="I24" s="33" t="s">
        <v>67</v>
      </c>
      <c r="J24" s="34"/>
      <c r="K24" s="29" t="str">
        <f>"52,5"</f>
        <v>52,5</v>
      </c>
      <c r="L24" s="29" t="str">
        <f>"34,0856"</f>
        <v>34,0856</v>
      </c>
      <c r="M24" s="27"/>
    </row>
    <row r="26" spans="1:13" ht="16">
      <c r="A26" s="68" t="s">
        <v>26</v>
      </c>
      <c r="B26" s="68"/>
      <c r="C26" s="69"/>
      <c r="D26" s="69"/>
      <c r="E26" s="69"/>
      <c r="F26" s="69"/>
      <c r="G26" s="69"/>
      <c r="H26" s="69"/>
      <c r="I26" s="69"/>
      <c r="J26" s="69"/>
    </row>
    <row r="27" spans="1:13">
      <c r="A27" s="22" t="s">
        <v>54</v>
      </c>
      <c r="B27" s="7" t="s">
        <v>397</v>
      </c>
      <c r="C27" s="7" t="s">
        <v>499</v>
      </c>
      <c r="D27" s="7" t="s">
        <v>388</v>
      </c>
      <c r="E27" s="8" t="s">
        <v>559</v>
      </c>
      <c r="F27" s="7" t="s">
        <v>552</v>
      </c>
      <c r="G27" s="21" t="s">
        <v>78</v>
      </c>
      <c r="H27" s="21" t="s">
        <v>79</v>
      </c>
      <c r="I27" s="23" t="s">
        <v>197</v>
      </c>
      <c r="J27" s="22"/>
      <c r="K27" s="9" t="str">
        <f>"55,0"</f>
        <v>55,0</v>
      </c>
      <c r="L27" s="9" t="str">
        <f>"34,5950"</f>
        <v>34,5950</v>
      </c>
      <c r="M27" s="7"/>
    </row>
    <row r="29" spans="1:13" ht="16">
      <c r="A29" s="68" t="s">
        <v>31</v>
      </c>
      <c r="B29" s="68"/>
      <c r="C29" s="69"/>
      <c r="D29" s="69"/>
      <c r="E29" s="69"/>
      <c r="F29" s="69"/>
      <c r="G29" s="69"/>
      <c r="H29" s="69"/>
      <c r="I29" s="69"/>
      <c r="J29" s="69"/>
    </row>
    <row r="30" spans="1:13">
      <c r="A30" s="22" t="s">
        <v>54</v>
      </c>
      <c r="B30" s="7" t="s">
        <v>322</v>
      </c>
      <c r="C30" s="7" t="s">
        <v>304</v>
      </c>
      <c r="D30" s="7" t="s">
        <v>305</v>
      </c>
      <c r="E30" s="8" t="s">
        <v>556</v>
      </c>
      <c r="F30" s="7" t="s">
        <v>531</v>
      </c>
      <c r="G30" s="21" t="s">
        <v>110</v>
      </c>
      <c r="H30" s="21" t="s">
        <v>75</v>
      </c>
      <c r="I30" s="23" t="s">
        <v>77</v>
      </c>
      <c r="J30" s="22"/>
      <c r="K30" s="9" t="str">
        <f>"70,0"</f>
        <v>70,0</v>
      </c>
      <c r="L30" s="9" t="str">
        <f>"39,8825"</f>
        <v>39,8825</v>
      </c>
      <c r="M30" s="7"/>
    </row>
    <row r="32" spans="1:13" ht="16">
      <c r="F32" s="11"/>
      <c r="G32" s="5"/>
      <c r="K32" s="19"/>
      <c r="M32" s="6"/>
    </row>
    <row r="33" spans="2:13">
      <c r="G33" s="5"/>
      <c r="K33" s="19"/>
      <c r="M33" s="6"/>
    </row>
    <row r="34" spans="2:13" ht="18">
      <c r="B34" s="12" t="s">
        <v>46</v>
      </c>
      <c r="C34" s="12"/>
      <c r="G34" s="3"/>
      <c r="K34" s="19"/>
      <c r="M34" s="6"/>
    </row>
    <row r="35" spans="2:13" ht="16">
      <c r="B35" s="13" t="s">
        <v>47</v>
      </c>
      <c r="C35" s="13"/>
      <c r="G35" s="3"/>
      <c r="K35" s="19"/>
      <c r="M35" s="6"/>
    </row>
    <row r="36" spans="2:13" ht="14">
      <c r="B36" s="14"/>
      <c r="C36" s="15" t="s">
        <v>51</v>
      </c>
      <c r="G36" s="3"/>
      <c r="K36" s="19"/>
      <c r="M36" s="6"/>
    </row>
    <row r="37" spans="2:13" ht="14">
      <c r="B37" s="16" t="s">
        <v>48</v>
      </c>
      <c r="C37" s="16" t="s">
        <v>49</v>
      </c>
      <c r="D37" s="16" t="s">
        <v>523</v>
      </c>
      <c r="E37" s="17" t="s">
        <v>241</v>
      </c>
      <c r="F37" s="16" t="s">
        <v>370</v>
      </c>
      <c r="G37" s="3"/>
      <c r="K37" s="19"/>
      <c r="M37" s="6"/>
    </row>
    <row r="38" spans="2:13">
      <c r="B38" s="5" t="s">
        <v>381</v>
      </c>
      <c r="C38" s="5" t="s">
        <v>51</v>
      </c>
      <c r="D38" s="19" t="s">
        <v>133</v>
      </c>
      <c r="E38" s="20">
        <v>72.5</v>
      </c>
      <c r="F38" s="18">
        <v>49.198500961065299</v>
      </c>
      <c r="G38" s="3"/>
      <c r="K38" s="19"/>
      <c r="M38" s="6"/>
    </row>
    <row r="39" spans="2:13">
      <c r="B39" s="5" t="s">
        <v>384</v>
      </c>
      <c r="C39" s="5" t="s">
        <v>51</v>
      </c>
      <c r="D39" s="19" t="s">
        <v>133</v>
      </c>
      <c r="E39" s="20">
        <v>65</v>
      </c>
      <c r="F39" s="18">
        <v>43.237999677658102</v>
      </c>
      <c r="G39" s="3"/>
      <c r="K39" s="19"/>
      <c r="M39" s="6"/>
    </row>
    <row r="40" spans="2:13">
      <c r="B40" s="5" t="s">
        <v>364</v>
      </c>
      <c r="C40" s="5" t="s">
        <v>51</v>
      </c>
      <c r="D40" s="19" t="s">
        <v>131</v>
      </c>
      <c r="E40" s="20">
        <v>57.5</v>
      </c>
      <c r="F40" s="18">
        <v>40.658248513936996</v>
      </c>
      <c r="G40" s="3"/>
      <c r="K40" s="19"/>
      <c r="M40" s="6"/>
    </row>
    <row r="41" spans="2:13">
      <c r="E41" s="5"/>
      <c r="F41" s="10"/>
      <c r="G41" s="5"/>
      <c r="K41" s="19"/>
      <c r="M41" s="6"/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2:J12"/>
    <mergeCell ref="A16:J16"/>
    <mergeCell ref="A21:J21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1"/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1.16406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2.83203125" style="5" bestFit="1" customWidth="1"/>
    <col min="14" max="16384" width="9.1640625" style="3"/>
  </cols>
  <sheetData>
    <row r="1" spans="1:13" s="2" customFormat="1" ht="29" customHeight="1">
      <c r="A1" s="55" t="s">
        <v>479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250</v>
      </c>
      <c r="C6" s="7" t="s">
        <v>201</v>
      </c>
      <c r="D6" s="7" t="s">
        <v>202</v>
      </c>
      <c r="E6" s="8" t="s">
        <v>556</v>
      </c>
      <c r="F6" s="7" t="s">
        <v>553</v>
      </c>
      <c r="G6" s="21" t="s">
        <v>78</v>
      </c>
      <c r="H6" s="21" t="s">
        <v>79</v>
      </c>
      <c r="I6" s="21" t="s">
        <v>197</v>
      </c>
      <c r="J6" s="22"/>
      <c r="K6" s="9" t="str">
        <f>"60,0"</f>
        <v>60,0</v>
      </c>
      <c r="L6" s="9" t="str">
        <f>"39,3030"</f>
        <v>39,3030</v>
      </c>
      <c r="M6" s="7" t="s">
        <v>204</v>
      </c>
    </row>
    <row r="8" spans="1:13" ht="16">
      <c r="A8" s="68" t="s">
        <v>126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2" t="s">
        <v>54</v>
      </c>
      <c r="B9" s="7" t="s">
        <v>260</v>
      </c>
      <c r="C9" s="7" t="s">
        <v>226</v>
      </c>
      <c r="D9" s="7" t="s">
        <v>227</v>
      </c>
      <c r="E9" s="8" t="s">
        <v>556</v>
      </c>
      <c r="F9" s="7" t="s">
        <v>531</v>
      </c>
      <c r="G9" s="21" t="s">
        <v>79</v>
      </c>
      <c r="H9" s="21" t="s">
        <v>197</v>
      </c>
      <c r="I9" s="23" t="s">
        <v>110</v>
      </c>
      <c r="J9" s="22"/>
      <c r="K9" s="9" t="str">
        <f>"60,0"</f>
        <v>60,0</v>
      </c>
      <c r="L9" s="9" t="str">
        <f>"35,7300"</f>
        <v>35,7300</v>
      </c>
      <c r="M9" s="7"/>
    </row>
    <row r="11" spans="1:13" ht="16">
      <c r="A11" s="68" t="s">
        <v>31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22" t="s">
        <v>54</v>
      </c>
      <c r="B12" s="7" t="s">
        <v>262</v>
      </c>
      <c r="C12" s="7" t="s">
        <v>500</v>
      </c>
      <c r="D12" s="7" t="s">
        <v>231</v>
      </c>
      <c r="E12" s="8" t="s">
        <v>557</v>
      </c>
      <c r="F12" s="7" t="s">
        <v>553</v>
      </c>
      <c r="G12" s="21" t="s">
        <v>271</v>
      </c>
      <c r="H12" s="21" t="s">
        <v>187</v>
      </c>
      <c r="I12" s="21" t="s">
        <v>76</v>
      </c>
      <c r="J12" s="22"/>
      <c r="K12" s="9" t="str">
        <f>"75,0"</f>
        <v>75,0</v>
      </c>
      <c r="L12" s="9" t="str">
        <f>"46,2068"</f>
        <v>46,2068</v>
      </c>
      <c r="M12" s="7"/>
    </row>
    <row r="14" spans="1:13" ht="16">
      <c r="A14" s="68" t="s">
        <v>160</v>
      </c>
      <c r="B14" s="68"/>
      <c r="C14" s="69"/>
      <c r="D14" s="69"/>
      <c r="E14" s="69"/>
      <c r="F14" s="69"/>
      <c r="G14" s="69"/>
      <c r="H14" s="69"/>
      <c r="I14" s="69"/>
      <c r="J14" s="69"/>
    </row>
    <row r="15" spans="1:13">
      <c r="A15" s="22" t="s">
        <v>54</v>
      </c>
      <c r="B15" s="7" t="s">
        <v>264</v>
      </c>
      <c r="C15" s="7" t="s">
        <v>236</v>
      </c>
      <c r="D15" s="7" t="s">
        <v>237</v>
      </c>
      <c r="E15" s="8" t="s">
        <v>556</v>
      </c>
      <c r="F15" s="7" t="s">
        <v>543</v>
      </c>
      <c r="G15" s="21" t="s">
        <v>103</v>
      </c>
      <c r="H15" s="21" t="s">
        <v>67</v>
      </c>
      <c r="I15" s="21" t="s">
        <v>75</v>
      </c>
      <c r="J15" s="22"/>
      <c r="K15" s="9" t="str">
        <f>"70,0"</f>
        <v>70,0</v>
      </c>
      <c r="L15" s="9" t="str">
        <f>"39,1125"</f>
        <v>39,1125</v>
      </c>
      <c r="M15" s="7" t="s">
        <v>238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24"/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8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55" t="s">
        <v>468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67" t="s">
        <v>530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26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2" t="s">
        <v>54</v>
      </c>
      <c r="B6" s="7" t="s">
        <v>443</v>
      </c>
      <c r="C6" s="7" t="s">
        <v>492</v>
      </c>
      <c r="D6" s="7" t="s">
        <v>442</v>
      </c>
      <c r="E6" s="8" t="s">
        <v>559</v>
      </c>
      <c r="F6" s="7" t="s">
        <v>525</v>
      </c>
      <c r="G6" s="21" t="s">
        <v>76</v>
      </c>
      <c r="H6" s="21" t="s">
        <v>209</v>
      </c>
      <c r="I6" s="23" t="s">
        <v>89</v>
      </c>
      <c r="J6" s="22"/>
      <c r="K6" s="23" t="s">
        <v>67</v>
      </c>
      <c r="L6" s="21" t="s">
        <v>67</v>
      </c>
      <c r="M6" s="23" t="s">
        <v>75</v>
      </c>
      <c r="N6" s="22"/>
      <c r="O6" s="9" t="str">
        <f>"137,5"</f>
        <v>137,5</v>
      </c>
      <c r="P6" s="9" t="str">
        <f>"84,7069"</f>
        <v>84,7069</v>
      </c>
      <c r="Q6" s="7"/>
    </row>
    <row r="8" spans="1:17" ht="16">
      <c r="A8" s="68" t="s">
        <v>126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>
      <c r="A9" s="22" t="s">
        <v>54</v>
      </c>
      <c r="B9" s="7" t="s">
        <v>444</v>
      </c>
      <c r="C9" s="7" t="s">
        <v>493</v>
      </c>
      <c r="D9" s="7" t="s">
        <v>227</v>
      </c>
      <c r="E9" s="8" t="s">
        <v>557</v>
      </c>
      <c r="F9" s="7" t="s">
        <v>525</v>
      </c>
      <c r="G9" s="21" t="s">
        <v>110</v>
      </c>
      <c r="H9" s="21" t="s">
        <v>75</v>
      </c>
      <c r="I9" s="23" t="s">
        <v>187</v>
      </c>
      <c r="J9" s="22"/>
      <c r="K9" s="21" t="s">
        <v>79</v>
      </c>
      <c r="L9" s="21" t="s">
        <v>91</v>
      </c>
      <c r="M9" s="23" t="s">
        <v>197</v>
      </c>
      <c r="N9" s="22"/>
      <c r="O9" s="9" t="str">
        <f>"127,5"</f>
        <v>127,5</v>
      </c>
      <c r="P9" s="9" t="str">
        <f>"80,1022"</f>
        <v>80,1022</v>
      </c>
      <c r="Q9" s="7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5">
    <pageSetUpPr fitToPage="1"/>
  </sheetPr>
  <dimension ref="A1:U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6" style="5" customWidth="1"/>
    <col min="7" max="13" width="5.5" style="19" customWidth="1"/>
    <col min="14" max="14" width="4.83203125" style="19" customWidth="1"/>
    <col min="15" max="18" width="5.5" style="19" customWidth="1"/>
    <col min="19" max="19" width="7.83203125" style="20" bestFit="1" customWidth="1"/>
    <col min="20" max="20" width="8.5" style="6" bestFit="1" customWidth="1"/>
    <col min="21" max="21" width="19.83203125" style="5" bestFit="1" customWidth="1"/>
    <col min="22" max="16384" width="9.1640625" style="3"/>
  </cols>
  <sheetData>
    <row r="1" spans="1:21" s="2" customFormat="1" ht="29" customHeight="1">
      <c r="A1" s="55" t="s">
        <v>490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67" t="s">
        <v>11</v>
      </c>
      <c r="P3" s="67"/>
      <c r="Q3" s="67"/>
      <c r="R3" s="67"/>
      <c r="S3" s="47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50"/>
      <c r="U4" s="52"/>
    </row>
    <row r="5" spans="1:21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22" t="s">
        <v>54</v>
      </c>
      <c r="B6" s="7" t="s">
        <v>55</v>
      </c>
      <c r="C6" s="7" t="s">
        <v>13</v>
      </c>
      <c r="D6" s="7" t="s">
        <v>14</v>
      </c>
      <c r="E6" s="8" t="s">
        <v>556</v>
      </c>
      <c r="F6" s="7" t="s">
        <v>531</v>
      </c>
      <c r="G6" s="21" t="s">
        <v>15</v>
      </c>
      <c r="H6" s="21" t="s">
        <v>16</v>
      </c>
      <c r="I6" s="21" t="s">
        <v>17</v>
      </c>
      <c r="J6" s="21" t="s">
        <v>18</v>
      </c>
      <c r="K6" s="21" t="s">
        <v>19</v>
      </c>
      <c r="L6" s="21" t="s">
        <v>20</v>
      </c>
      <c r="M6" s="21" t="s">
        <v>21</v>
      </c>
      <c r="N6" s="22"/>
      <c r="O6" s="21" t="s">
        <v>22</v>
      </c>
      <c r="P6" s="21" t="s">
        <v>23</v>
      </c>
      <c r="Q6" s="21" t="s">
        <v>24</v>
      </c>
      <c r="R6" s="23" t="s">
        <v>25</v>
      </c>
      <c r="S6" s="42" t="str">
        <f>"457,5"</f>
        <v>457,5</v>
      </c>
      <c r="T6" s="9" t="str">
        <f>"366,6405"</f>
        <v>366,6405</v>
      </c>
      <c r="U6" s="7"/>
    </row>
    <row r="8" spans="1:21" ht="16">
      <c r="A8" s="68" t="s">
        <v>26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1">
      <c r="A9" s="22" t="s">
        <v>56</v>
      </c>
      <c r="B9" s="7" t="s">
        <v>57</v>
      </c>
      <c r="C9" s="7" t="s">
        <v>520</v>
      </c>
      <c r="D9" s="7" t="s">
        <v>27</v>
      </c>
      <c r="E9" s="8" t="s">
        <v>557</v>
      </c>
      <c r="F9" s="7" t="s">
        <v>535</v>
      </c>
      <c r="G9" s="23" t="s">
        <v>28</v>
      </c>
      <c r="H9" s="22"/>
      <c r="I9" s="22"/>
      <c r="J9" s="22"/>
      <c r="K9" s="23"/>
      <c r="L9" s="22"/>
      <c r="M9" s="22"/>
      <c r="N9" s="22"/>
      <c r="O9" s="23"/>
      <c r="P9" s="22"/>
      <c r="Q9" s="22"/>
      <c r="R9" s="22"/>
      <c r="S9" s="42">
        <v>0</v>
      </c>
      <c r="T9" s="9" t="str">
        <f>"0,0000"</f>
        <v>0,0000</v>
      </c>
      <c r="U9" s="7" t="s">
        <v>30</v>
      </c>
    </row>
    <row r="11" spans="1:21" ht="16">
      <c r="A11" s="68" t="s">
        <v>31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21">
      <c r="A12" s="22" t="s">
        <v>54</v>
      </c>
      <c r="B12" s="7" t="s">
        <v>58</v>
      </c>
      <c r="C12" s="7" t="s">
        <v>521</v>
      </c>
      <c r="D12" s="7" t="s">
        <v>32</v>
      </c>
      <c r="E12" s="8" t="s">
        <v>557</v>
      </c>
      <c r="F12" s="7" t="s">
        <v>536</v>
      </c>
      <c r="G12" s="21" t="s">
        <v>33</v>
      </c>
      <c r="H12" s="21" t="s">
        <v>34</v>
      </c>
      <c r="I12" s="23" t="s">
        <v>35</v>
      </c>
      <c r="J12" s="22"/>
      <c r="K12" s="21" t="s">
        <v>17</v>
      </c>
      <c r="L12" s="23" t="s">
        <v>18</v>
      </c>
      <c r="M12" s="22"/>
      <c r="N12" s="22"/>
      <c r="O12" s="21" t="s">
        <v>36</v>
      </c>
      <c r="P12" s="23" t="s">
        <v>37</v>
      </c>
      <c r="Q12" s="23" t="s">
        <v>37</v>
      </c>
      <c r="R12" s="22"/>
      <c r="S12" s="42" t="str">
        <f>"635,0"</f>
        <v>635,0</v>
      </c>
      <c r="T12" s="9" t="str">
        <f>"389,0569"</f>
        <v>389,0569</v>
      </c>
      <c r="U12" s="7" t="s">
        <v>30</v>
      </c>
    </row>
    <row r="14" spans="1:21" ht="16">
      <c r="A14" s="68" t="s">
        <v>38</v>
      </c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21">
      <c r="A15" s="22" t="s">
        <v>54</v>
      </c>
      <c r="B15" s="7" t="s">
        <v>59</v>
      </c>
      <c r="C15" s="7" t="s">
        <v>522</v>
      </c>
      <c r="D15" s="7" t="s">
        <v>39</v>
      </c>
      <c r="E15" s="8" t="s">
        <v>559</v>
      </c>
      <c r="F15" s="7" t="s">
        <v>536</v>
      </c>
      <c r="G15" s="21" t="s">
        <v>40</v>
      </c>
      <c r="H15" s="21" t="s">
        <v>41</v>
      </c>
      <c r="I15" s="21" t="s">
        <v>42</v>
      </c>
      <c r="J15" s="22"/>
      <c r="K15" s="21" t="s">
        <v>25</v>
      </c>
      <c r="L15" s="21" t="s">
        <v>43</v>
      </c>
      <c r="M15" s="21" t="s">
        <v>29</v>
      </c>
      <c r="N15" s="22"/>
      <c r="O15" s="21" t="s">
        <v>44</v>
      </c>
      <c r="P15" s="21" t="s">
        <v>45</v>
      </c>
      <c r="Q15" s="22"/>
      <c r="R15" s="22"/>
      <c r="S15" s="42" t="str">
        <f>"870,0"</f>
        <v>870,0</v>
      </c>
      <c r="T15" s="9" t="str">
        <f>"487,2000"</f>
        <v>487,2000</v>
      </c>
      <c r="U15" s="7"/>
    </row>
  </sheetData>
  <mergeCells count="17">
    <mergeCell ref="A5:R5"/>
    <mergeCell ref="A8:R8"/>
    <mergeCell ref="A11:R11"/>
    <mergeCell ref="A14:R14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25"/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5.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55" t="s">
        <v>469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67" t="s">
        <v>530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26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2" t="s">
        <v>54</v>
      </c>
      <c r="B6" s="7" t="s">
        <v>431</v>
      </c>
      <c r="C6" s="7" t="s">
        <v>426</v>
      </c>
      <c r="D6" s="7" t="s">
        <v>427</v>
      </c>
      <c r="E6" s="8" t="s">
        <v>556</v>
      </c>
      <c r="F6" s="7" t="s">
        <v>526</v>
      </c>
      <c r="G6" s="21" t="s">
        <v>98</v>
      </c>
      <c r="H6" s="23" t="s">
        <v>89</v>
      </c>
      <c r="I6" s="21" t="s">
        <v>89</v>
      </c>
      <c r="J6" s="22"/>
      <c r="K6" s="21" t="s">
        <v>77</v>
      </c>
      <c r="L6" s="21" t="s">
        <v>98</v>
      </c>
      <c r="M6" s="21" t="s">
        <v>209</v>
      </c>
      <c r="N6" s="22"/>
      <c r="O6" s="9" t="str">
        <f>"172,5"</f>
        <v>172,5</v>
      </c>
      <c r="P6" s="9" t="str">
        <f>"105,9409"</f>
        <v>105,9409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6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5.66406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5" t="s">
        <v>472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396</v>
      </c>
      <c r="C6" s="7" t="s">
        <v>496</v>
      </c>
      <c r="D6" s="7" t="s">
        <v>387</v>
      </c>
      <c r="E6" s="8" t="s">
        <v>561</v>
      </c>
      <c r="F6" s="7" t="s">
        <v>525</v>
      </c>
      <c r="G6" s="21" t="s">
        <v>76</v>
      </c>
      <c r="H6" s="21" t="s">
        <v>77</v>
      </c>
      <c r="I6" s="21" t="s">
        <v>209</v>
      </c>
      <c r="J6" s="22"/>
      <c r="K6" s="9" t="str">
        <f>"85,0"</f>
        <v>85,0</v>
      </c>
      <c r="L6" s="9" t="str">
        <f>"72,5699"</f>
        <v>72,5699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7"/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3.6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6640625" style="6" customWidth="1"/>
    <col min="13" max="13" width="19.83203125" style="5" customWidth="1"/>
    <col min="14" max="16384" width="9.1640625" style="3"/>
  </cols>
  <sheetData>
    <row r="1" spans="1:13" s="2" customFormat="1" ht="29" customHeight="1">
      <c r="A1" s="55" t="s">
        <v>473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425</v>
      </c>
      <c r="C6" s="7" t="s">
        <v>423</v>
      </c>
      <c r="D6" s="7" t="s">
        <v>424</v>
      </c>
      <c r="E6" s="8" t="s">
        <v>556</v>
      </c>
      <c r="F6" s="7" t="s">
        <v>525</v>
      </c>
      <c r="G6" s="21" t="s">
        <v>76</v>
      </c>
      <c r="H6" s="21" t="s">
        <v>209</v>
      </c>
      <c r="I6" s="21" t="s">
        <v>80</v>
      </c>
      <c r="J6" s="22"/>
      <c r="K6" s="9" t="str">
        <f>"90,0"</f>
        <v>90,0</v>
      </c>
      <c r="L6" s="9" t="str">
        <f>"53,5410"</f>
        <v>53,5410</v>
      </c>
      <c r="M6" s="7"/>
    </row>
    <row r="8" spans="1:13">
      <c r="E8" s="5"/>
      <c r="F8" s="10"/>
      <c r="G8" s="5"/>
      <c r="K8" s="19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8"/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7.832031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7.83203125" style="5" bestFit="1" customWidth="1"/>
    <col min="14" max="16384" width="9.1640625" style="3"/>
  </cols>
  <sheetData>
    <row r="1" spans="1:13" s="2" customFormat="1" ht="29" customHeight="1">
      <c r="A1" s="55" t="s">
        <v>470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439</v>
      </c>
      <c r="C6" s="7" t="s">
        <v>433</v>
      </c>
      <c r="D6" s="7" t="s">
        <v>434</v>
      </c>
      <c r="E6" s="8" t="s">
        <v>556</v>
      </c>
      <c r="F6" s="7" t="s">
        <v>527</v>
      </c>
      <c r="G6" s="23" t="s">
        <v>79</v>
      </c>
      <c r="H6" s="21" t="s">
        <v>79</v>
      </c>
      <c r="I6" s="23" t="s">
        <v>197</v>
      </c>
      <c r="J6" s="22"/>
      <c r="K6" s="9" t="str">
        <f>"55,0"</f>
        <v>55,0</v>
      </c>
      <c r="L6" s="9" t="str">
        <f>"43,2437"</f>
        <v>43,2437</v>
      </c>
      <c r="M6" s="7" t="s">
        <v>72</v>
      </c>
    </row>
    <row r="8" spans="1:13" ht="16">
      <c r="A8" s="68" t="s">
        <v>94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440</v>
      </c>
      <c r="C9" s="24" t="s">
        <v>494</v>
      </c>
      <c r="D9" s="24" t="s">
        <v>435</v>
      </c>
      <c r="E9" s="25" t="s">
        <v>559</v>
      </c>
      <c r="F9" s="24" t="s">
        <v>525</v>
      </c>
      <c r="G9" s="30" t="s">
        <v>104</v>
      </c>
      <c r="H9" s="32" t="s">
        <v>78</v>
      </c>
      <c r="I9" s="32" t="s">
        <v>78</v>
      </c>
      <c r="J9" s="31"/>
      <c r="K9" s="26" t="str">
        <f>"45,0"</f>
        <v>45,0</v>
      </c>
      <c r="L9" s="26" t="str">
        <f>"32,3483"</f>
        <v>32,3483</v>
      </c>
      <c r="M9" s="24"/>
    </row>
    <row r="10" spans="1:13">
      <c r="A10" s="34" t="s">
        <v>54</v>
      </c>
      <c r="B10" s="27" t="s">
        <v>440</v>
      </c>
      <c r="C10" s="27" t="s">
        <v>436</v>
      </c>
      <c r="D10" s="27" t="s">
        <v>435</v>
      </c>
      <c r="E10" s="28" t="s">
        <v>556</v>
      </c>
      <c r="F10" s="27" t="s">
        <v>525</v>
      </c>
      <c r="G10" s="33" t="s">
        <v>104</v>
      </c>
      <c r="H10" s="35" t="s">
        <v>78</v>
      </c>
      <c r="I10" s="35" t="s">
        <v>78</v>
      </c>
      <c r="J10" s="34"/>
      <c r="K10" s="29" t="str">
        <f>"45,0"</f>
        <v>45,0</v>
      </c>
      <c r="L10" s="29" t="str">
        <f>"32,3483"</f>
        <v>32,3483</v>
      </c>
      <c r="M10" s="27"/>
    </row>
    <row r="12" spans="1:13" ht="16">
      <c r="A12" s="68" t="s">
        <v>26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22" t="s">
        <v>54</v>
      </c>
      <c r="B13" s="7" t="s">
        <v>441</v>
      </c>
      <c r="C13" s="7" t="s">
        <v>437</v>
      </c>
      <c r="D13" s="7" t="s">
        <v>438</v>
      </c>
      <c r="E13" s="8" t="s">
        <v>556</v>
      </c>
      <c r="F13" s="7" t="s">
        <v>525</v>
      </c>
      <c r="G13" s="21" t="s">
        <v>197</v>
      </c>
      <c r="H13" s="23" t="s">
        <v>271</v>
      </c>
      <c r="I13" s="21" t="s">
        <v>271</v>
      </c>
      <c r="J13" s="22"/>
      <c r="K13" s="9" t="str">
        <f>"67,5"</f>
        <v>67,5</v>
      </c>
      <c r="L13" s="9" t="str">
        <f>"42,3124"</f>
        <v>42,3124</v>
      </c>
      <c r="M13" s="7"/>
    </row>
    <row r="15" spans="1:13" ht="16">
      <c r="A15" s="68" t="s">
        <v>126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31" t="s">
        <v>54</v>
      </c>
      <c r="B16" s="24" t="s">
        <v>319</v>
      </c>
      <c r="C16" s="24" t="s">
        <v>297</v>
      </c>
      <c r="D16" s="24" t="s">
        <v>298</v>
      </c>
      <c r="E16" s="25" t="s">
        <v>556</v>
      </c>
      <c r="F16" s="24" t="s">
        <v>525</v>
      </c>
      <c r="G16" s="30" t="s">
        <v>78</v>
      </c>
      <c r="H16" s="30" t="s">
        <v>197</v>
      </c>
      <c r="I16" s="30" t="s">
        <v>110</v>
      </c>
      <c r="J16" s="31"/>
      <c r="K16" s="26" t="str">
        <f>"65,0"</f>
        <v>65,0</v>
      </c>
      <c r="L16" s="26" t="str">
        <f>"38,0120"</f>
        <v>38,0120</v>
      </c>
      <c r="M16" s="24"/>
    </row>
    <row r="17" spans="1:13">
      <c r="A17" s="34" t="s">
        <v>54</v>
      </c>
      <c r="B17" s="27" t="s">
        <v>320</v>
      </c>
      <c r="C17" s="27" t="s">
        <v>495</v>
      </c>
      <c r="D17" s="27" t="s">
        <v>300</v>
      </c>
      <c r="E17" s="28" t="s">
        <v>557</v>
      </c>
      <c r="F17" s="27" t="s">
        <v>526</v>
      </c>
      <c r="G17" s="35" t="s">
        <v>104</v>
      </c>
      <c r="H17" s="33" t="s">
        <v>67</v>
      </c>
      <c r="I17" s="33" t="s">
        <v>91</v>
      </c>
      <c r="J17" s="34"/>
      <c r="K17" s="29" t="str">
        <f>"57,5"</f>
        <v>57,5</v>
      </c>
      <c r="L17" s="29" t="str">
        <f>"38,1905"</f>
        <v>38,1905</v>
      </c>
      <c r="M17" s="27"/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9"/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6.5" style="5" customWidth="1"/>
    <col min="7" max="9" width="5.5" style="19" customWidth="1"/>
    <col min="10" max="10" width="4.83203125" style="19" customWidth="1"/>
    <col min="11" max="11" width="10.5" style="20" bestFit="1" customWidth="1"/>
    <col min="12" max="12" width="7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55" t="s">
        <v>471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529</v>
      </c>
      <c r="H3" s="67"/>
      <c r="I3" s="67"/>
      <c r="J3" s="67"/>
      <c r="K3" s="47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8"/>
      <c r="L4" s="50"/>
      <c r="M4" s="52"/>
    </row>
    <row r="5" spans="1:13" ht="16">
      <c r="A5" s="53" t="s">
        <v>26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31" t="s">
        <v>54</v>
      </c>
      <c r="B6" s="24" t="s">
        <v>431</v>
      </c>
      <c r="C6" s="24" t="s">
        <v>426</v>
      </c>
      <c r="D6" s="24" t="s">
        <v>427</v>
      </c>
      <c r="E6" s="25" t="s">
        <v>556</v>
      </c>
      <c r="F6" s="24" t="s">
        <v>526</v>
      </c>
      <c r="G6" s="30" t="s">
        <v>77</v>
      </c>
      <c r="H6" s="30" t="s">
        <v>98</v>
      </c>
      <c r="I6" s="30" t="s">
        <v>209</v>
      </c>
      <c r="J6" s="31"/>
      <c r="K6" s="43" t="str">
        <f>"85,0"</f>
        <v>85,0</v>
      </c>
      <c r="L6" s="26" t="str">
        <f>"52,2027"</f>
        <v>52,2027</v>
      </c>
      <c r="M6" s="24"/>
    </row>
    <row r="7" spans="1:13">
      <c r="A7" s="34" t="s">
        <v>56</v>
      </c>
      <c r="B7" s="27" t="s">
        <v>432</v>
      </c>
      <c r="C7" s="27" t="s">
        <v>428</v>
      </c>
      <c r="D7" s="27" t="s">
        <v>429</v>
      </c>
      <c r="E7" s="28" t="s">
        <v>556</v>
      </c>
      <c r="F7" s="27" t="s">
        <v>525</v>
      </c>
      <c r="G7" s="35" t="s">
        <v>75</v>
      </c>
      <c r="H7" s="35" t="s">
        <v>75</v>
      </c>
      <c r="I7" s="35" t="s">
        <v>75</v>
      </c>
      <c r="J7" s="34"/>
      <c r="K7" s="44">
        <v>0</v>
      </c>
      <c r="L7" s="29" t="str">
        <f>"0,0000"</f>
        <v>0,0000</v>
      </c>
      <c r="M7" s="27" t="s">
        <v>430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37"/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6.33203125" style="5" bestFit="1" customWidth="1"/>
    <col min="4" max="4" width="21.5" style="5" bestFit="1" customWidth="1"/>
    <col min="5" max="5" width="15.1640625" style="10" bestFit="1" customWidth="1"/>
    <col min="6" max="6" width="17.5" style="5" bestFit="1" customWidth="1"/>
    <col min="7" max="9" width="5.5" style="19" customWidth="1"/>
    <col min="10" max="10" width="4.83203125" style="19" customWidth="1"/>
    <col min="11" max="12" width="11.1640625" style="19" customWidth="1"/>
    <col min="13" max="13" width="7.83203125" style="6" bestFit="1" customWidth="1"/>
    <col min="14" max="14" width="10.5" style="6" bestFit="1" customWidth="1"/>
    <col min="15" max="15" width="19" style="5" customWidth="1"/>
    <col min="16" max="16384" width="9.1640625" style="3"/>
  </cols>
  <sheetData>
    <row r="1" spans="1:15" s="2" customFormat="1" ht="29" customHeight="1">
      <c r="A1" s="55" t="s">
        <v>477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5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67" t="s">
        <v>524</v>
      </c>
      <c r="L3" s="67"/>
      <c r="M3" s="49" t="s">
        <v>1</v>
      </c>
      <c r="N3" s="49" t="s">
        <v>3</v>
      </c>
      <c r="O3" s="51" t="s">
        <v>2</v>
      </c>
    </row>
    <row r="4" spans="1:15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 t="s">
        <v>5</v>
      </c>
      <c r="L4" s="4" t="s">
        <v>6</v>
      </c>
      <c r="M4" s="50"/>
      <c r="N4" s="50"/>
      <c r="O4" s="52"/>
    </row>
    <row r="5" spans="1:15" ht="16">
      <c r="A5" s="53" t="s">
        <v>31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5">
      <c r="A6" s="22" t="s">
        <v>54</v>
      </c>
      <c r="B6" s="7" t="s">
        <v>401</v>
      </c>
      <c r="C6" s="7" t="s">
        <v>398</v>
      </c>
      <c r="D6" s="7" t="s">
        <v>399</v>
      </c>
      <c r="E6" s="8" t="s">
        <v>556</v>
      </c>
      <c r="F6" s="7" t="s">
        <v>531</v>
      </c>
      <c r="G6" s="21" t="s">
        <v>325</v>
      </c>
      <c r="H6" s="21" t="s">
        <v>157</v>
      </c>
      <c r="I6" s="21" t="s">
        <v>400</v>
      </c>
      <c r="J6" s="22"/>
      <c r="K6" s="22" t="s">
        <v>97</v>
      </c>
      <c r="L6" s="46">
        <v>46</v>
      </c>
      <c r="M6" s="9" t="str">
        <f>"328,5"</f>
        <v>328,5</v>
      </c>
      <c r="N6" s="9" t="str">
        <f>"12034,8255"</f>
        <v>12034,8255</v>
      </c>
      <c r="O6" s="7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38"/>
  <dimension ref="A1:O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21.5" style="5" bestFit="1" customWidth="1"/>
    <col min="5" max="5" width="15.1640625" style="10" bestFit="1" customWidth="1"/>
    <col min="6" max="6" width="23.33203125" style="5" customWidth="1"/>
    <col min="7" max="9" width="5.5" style="19" customWidth="1"/>
    <col min="10" max="10" width="4.83203125" style="19" customWidth="1"/>
    <col min="11" max="11" width="10.6640625" style="19" customWidth="1"/>
    <col min="12" max="12" width="12.6640625" style="19" customWidth="1"/>
    <col min="13" max="13" width="7.83203125" style="6" bestFit="1" customWidth="1"/>
    <col min="14" max="14" width="9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55" t="s">
        <v>475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5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402</v>
      </c>
      <c r="H3" s="67"/>
      <c r="I3" s="67"/>
      <c r="J3" s="67"/>
      <c r="K3" s="67" t="s">
        <v>524</v>
      </c>
      <c r="L3" s="67"/>
      <c r="M3" s="49" t="s">
        <v>1</v>
      </c>
      <c r="N3" s="49" t="s">
        <v>3</v>
      </c>
      <c r="O3" s="51" t="s">
        <v>2</v>
      </c>
    </row>
    <row r="4" spans="1:15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 t="s">
        <v>5</v>
      </c>
      <c r="L4" s="4" t="s">
        <v>6</v>
      </c>
      <c r="M4" s="50"/>
      <c r="N4" s="50"/>
      <c r="O4" s="52"/>
    </row>
    <row r="5" spans="1:15" ht="16">
      <c r="A5" s="53" t="s">
        <v>407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5">
      <c r="A6" s="22" t="s">
        <v>54</v>
      </c>
      <c r="B6" s="7" t="s">
        <v>410</v>
      </c>
      <c r="C6" s="7" t="s">
        <v>408</v>
      </c>
      <c r="D6" s="7" t="s">
        <v>409</v>
      </c>
      <c r="E6" s="8" t="s">
        <v>556</v>
      </c>
      <c r="F6" s="7" t="s">
        <v>548</v>
      </c>
      <c r="G6" s="21" t="s">
        <v>77</v>
      </c>
      <c r="H6" s="21" t="s">
        <v>209</v>
      </c>
      <c r="I6" s="23" t="s">
        <v>89</v>
      </c>
      <c r="J6" s="22"/>
      <c r="K6" s="22" t="s">
        <v>181</v>
      </c>
      <c r="L6" s="46">
        <v>44</v>
      </c>
      <c r="M6" s="9" t="str">
        <f>"129,0"</f>
        <v>129,0</v>
      </c>
      <c r="N6" s="9" t="str">
        <f>"4396,7299"</f>
        <v>4396,7299</v>
      </c>
      <c r="O6" s="7"/>
    </row>
    <row r="8" spans="1:15">
      <c r="E8" s="5"/>
      <c r="F8" s="10"/>
      <c r="G8" s="5"/>
      <c r="M8" s="19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39"/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8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6640625" style="6" bestFit="1" customWidth="1"/>
    <col min="13" max="13" width="17" style="5" customWidth="1"/>
    <col min="14" max="16384" width="9.1640625" style="3"/>
  </cols>
  <sheetData>
    <row r="1" spans="1:13" s="2" customFormat="1" ht="29" customHeight="1">
      <c r="A1" s="55" t="s">
        <v>476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402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126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406</v>
      </c>
      <c r="C6" s="7" t="s">
        <v>403</v>
      </c>
      <c r="D6" s="7" t="s">
        <v>404</v>
      </c>
      <c r="E6" s="8" t="s">
        <v>556</v>
      </c>
      <c r="F6" s="7" t="s">
        <v>531</v>
      </c>
      <c r="G6" s="21" t="s">
        <v>80</v>
      </c>
      <c r="H6" s="23" t="s">
        <v>65</v>
      </c>
      <c r="I6" s="23" t="s">
        <v>65</v>
      </c>
      <c r="J6" s="22"/>
      <c r="K6" s="9" t="str">
        <f>"90,0"</f>
        <v>90,0</v>
      </c>
      <c r="L6" s="9" t="str">
        <f>"54,7740"</f>
        <v>54,7740</v>
      </c>
      <c r="M6" s="7" t="s">
        <v>405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2"/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9" style="5" customWidth="1"/>
    <col min="22" max="16384" width="9.1640625" style="3"/>
  </cols>
  <sheetData>
    <row r="1" spans="1:21" s="2" customFormat="1" ht="29" customHeight="1">
      <c r="A1" s="55" t="s">
        <v>487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67" t="s">
        <v>11</v>
      </c>
      <c r="P3" s="67"/>
      <c r="Q3" s="67"/>
      <c r="R3" s="67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81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22" t="s">
        <v>54</v>
      </c>
      <c r="B6" s="7" t="s">
        <v>175</v>
      </c>
      <c r="C6" s="7" t="s">
        <v>172</v>
      </c>
      <c r="D6" s="7" t="s">
        <v>173</v>
      </c>
      <c r="E6" s="8" t="s">
        <v>556</v>
      </c>
      <c r="F6" s="7" t="s">
        <v>531</v>
      </c>
      <c r="G6" s="21" t="s">
        <v>63</v>
      </c>
      <c r="H6" s="23" t="s">
        <v>65</v>
      </c>
      <c r="I6" s="23" t="s">
        <v>65</v>
      </c>
      <c r="J6" s="22"/>
      <c r="K6" s="21" t="s">
        <v>174</v>
      </c>
      <c r="L6" s="21" t="s">
        <v>104</v>
      </c>
      <c r="M6" s="21" t="s">
        <v>78</v>
      </c>
      <c r="N6" s="22"/>
      <c r="O6" s="21" t="s">
        <v>63</v>
      </c>
      <c r="P6" s="21" t="s">
        <v>64</v>
      </c>
      <c r="Q6" s="23" t="s">
        <v>84</v>
      </c>
      <c r="R6" s="22"/>
      <c r="S6" s="9" t="str">
        <f>"245,0"</f>
        <v>245,0</v>
      </c>
      <c r="T6" s="9" t="str">
        <f>"277,0950"</f>
        <v>277,0950</v>
      </c>
      <c r="U6" s="7" t="s">
        <v>151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3"/>
  <dimension ref="A1:U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164062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8.6640625" style="5" bestFit="1" customWidth="1"/>
    <col min="22" max="16384" width="9.1640625" style="3"/>
  </cols>
  <sheetData>
    <row r="1" spans="1:21" s="2" customFormat="1" ht="29" customHeight="1">
      <c r="A1" s="55" t="s">
        <v>488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67" t="s">
        <v>11</v>
      </c>
      <c r="P3" s="67"/>
      <c r="Q3" s="67"/>
      <c r="R3" s="67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26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22" t="s">
        <v>54</v>
      </c>
      <c r="B6" s="7" t="s">
        <v>169</v>
      </c>
      <c r="C6" s="7" t="s">
        <v>516</v>
      </c>
      <c r="D6" s="7" t="s">
        <v>147</v>
      </c>
      <c r="E6" s="8" t="s">
        <v>557</v>
      </c>
      <c r="F6" s="7" t="s">
        <v>534</v>
      </c>
      <c r="G6" s="21" t="s">
        <v>148</v>
      </c>
      <c r="H6" s="21" t="s">
        <v>149</v>
      </c>
      <c r="I6" s="21" t="s">
        <v>150</v>
      </c>
      <c r="J6" s="22"/>
      <c r="K6" s="21" t="s">
        <v>22</v>
      </c>
      <c r="L6" s="21" t="s">
        <v>122</v>
      </c>
      <c r="M6" s="22"/>
      <c r="N6" s="22"/>
      <c r="O6" s="21" t="s">
        <v>148</v>
      </c>
      <c r="P6" s="21" t="s">
        <v>149</v>
      </c>
      <c r="Q6" s="21" t="s">
        <v>150</v>
      </c>
      <c r="R6" s="22"/>
      <c r="S6" s="9" t="str">
        <f>"790,0"</f>
        <v>790,0</v>
      </c>
      <c r="T6" s="9" t="str">
        <f>"529,5784"</f>
        <v>529,5784</v>
      </c>
      <c r="U6" s="7"/>
    </row>
    <row r="8" spans="1:21" ht="16">
      <c r="A8" s="68" t="s">
        <v>31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1">
      <c r="A9" s="22" t="s">
        <v>54</v>
      </c>
      <c r="B9" s="7" t="s">
        <v>170</v>
      </c>
      <c r="C9" s="7" t="s">
        <v>152</v>
      </c>
      <c r="D9" s="7" t="s">
        <v>153</v>
      </c>
      <c r="E9" s="8" t="s">
        <v>556</v>
      </c>
      <c r="F9" s="7" t="s">
        <v>531</v>
      </c>
      <c r="G9" s="21" t="s">
        <v>154</v>
      </c>
      <c r="H9" s="21" t="s">
        <v>45</v>
      </c>
      <c r="I9" s="23" t="s">
        <v>149</v>
      </c>
      <c r="J9" s="22"/>
      <c r="K9" s="21" t="s">
        <v>155</v>
      </c>
      <c r="L9" s="21" t="s">
        <v>156</v>
      </c>
      <c r="M9" s="21" t="s">
        <v>18</v>
      </c>
      <c r="N9" s="22"/>
      <c r="O9" s="21" t="s">
        <v>36</v>
      </c>
      <c r="P9" s="21" t="s">
        <v>157</v>
      </c>
      <c r="Q9" s="21" t="s">
        <v>158</v>
      </c>
      <c r="R9" s="22"/>
      <c r="S9" s="9" t="str">
        <f>"732,5"</f>
        <v>732,5</v>
      </c>
      <c r="T9" s="9" t="str">
        <f>"435,0318"</f>
        <v>435,0318</v>
      </c>
      <c r="U9" s="7" t="s">
        <v>159</v>
      </c>
    </row>
    <row r="11" spans="1:21" ht="16">
      <c r="A11" s="68" t="s">
        <v>160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21">
      <c r="A12" s="22" t="s">
        <v>54</v>
      </c>
      <c r="B12" s="7" t="s">
        <v>171</v>
      </c>
      <c r="C12" s="7" t="s">
        <v>161</v>
      </c>
      <c r="D12" s="7" t="s">
        <v>162</v>
      </c>
      <c r="E12" s="8" t="s">
        <v>556</v>
      </c>
      <c r="F12" s="7" t="s">
        <v>531</v>
      </c>
      <c r="G12" s="21" t="s">
        <v>163</v>
      </c>
      <c r="H12" s="21" t="s">
        <v>124</v>
      </c>
      <c r="I12" s="21" t="s">
        <v>29</v>
      </c>
      <c r="J12" s="22"/>
      <c r="K12" s="21" t="s">
        <v>107</v>
      </c>
      <c r="L12" s="21" t="s">
        <v>164</v>
      </c>
      <c r="M12" s="21" t="s">
        <v>165</v>
      </c>
      <c r="N12" s="22"/>
      <c r="O12" s="21" t="s">
        <v>25</v>
      </c>
      <c r="P12" s="21" t="s">
        <v>29</v>
      </c>
      <c r="Q12" s="21" t="s">
        <v>166</v>
      </c>
      <c r="R12" s="22"/>
      <c r="S12" s="9" t="str">
        <f>"612,5"</f>
        <v>612,5</v>
      </c>
      <c r="T12" s="9" t="str">
        <f>"354,9438"</f>
        <v>354,9438</v>
      </c>
      <c r="U12" s="7" t="s">
        <v>159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4"/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1.6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55" t="s">
        <v>480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67" t="s">
        <v>11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94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31" t="s">
        <v>54</v>
      </c>
      <c r="B6" s="24" t="s">
        <v>367</v>
      </c>
      <c r="C6" s="24" t="s">
        <v>362</v>
      </c>
      <c r="D6" s="24" t="s">
        <v>363</v>
      </c>
      <c r="E6" s="25" t="s">
        <v>556</v>
      </c>
      <c r="F6" s="24" t="s">
        <v>531</v>
      </c>
      <c r="G6" s="30" t="s">
        <v>21</v>
      </c>
      <c r="H6" s="30" t="s">
        <v>111</v>
      </c>
      <c r="I6" s="30" t="s">
        <v>70</v>
      </c>
      <c r="J6" s="31"/>
      <c r="K6" s="30" t="s">
        <v>25</v>
      </c>
      <c r="L6" s="30" t="s">
        <v>43</v>
      </c>
      <c r="M6" s="30" t="s">
        <v>33</v>
      </c>
      <c r="N6" s="31"/>
      <c r="O6" s="26" t="str">
        <f>"345,0"</f>
        <v>345,0</v>
      </c>
      <c r="P6" s="26" t="str">
        <f>"247,6755"</f>
        <v>247,6755</v>
      </c>
      <c r="Q6" s="24"/>
    </row>
    <row r="7" spans="1:17">
      <c r="A7" s="34" t="s">
        <v>135</v>
      </c>
      <c r="B7" s="27" t="s">
        <v>368</v>
      </c>
      <c r="C7" s="27" t="s">
        <v>365</v>
      </c>
      <c r="D7" s="27" t="s">
        <v>366</v>
      </c>
      <c r="E7" s="28" t="s">
        <v>556</v>
      </c>
      <c r="F7" s="27" t="s">
        <v>537</v>
      </c>
      <c r="G7" s="33" t="s">
        <v>65</v>
      </c>
      <c r="H7" s="33" t="s">
        <v>97</v>
      </c>
      <c r="I7" s="35" t="s">
        <v>19</v>
      </c>
      <c r="J7" s="34"/>
      <c r="K7" s="35" t="s">
        <v>114</v>
      </c>
      <c r="L7" s="33" t="s">
        <v>114</v>
      </c>
      <c r="M7" s="33" t="s">
        <v>123</v>
      </c>
      <c r="N7" s="34"/>
      <c r="O7" s="29" t="str">
        <f>"295,0"</f>
        <v>295,0</v>
      </c>
      <c r="P7" s="29" t="str">
        <f>"215,5565"</f>
        <v>215,5565</v>
      </c>
      <c r="Q7" s="2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6"/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8.164062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55" t="s">
        <v>481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67" t="s">
        <v>11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12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2" t="s">
        <v>54</v>
      </c>
      <c r="B6" s="7" t="s">
        <v>245</v>
      </c>
      <c r="C6" s="7" t="s">
        <v>185</v>
      </c>
      <c r="D6" s="7" t="s">
        <v>186</v>
      </c>
      <c r="E6" s="8" t="s">
        <v>556</v>
      </c>
      <c r="F6" s="7" t="s">
        <v>531</v>
      </c>
      <c r="G6" s="21" t="s">
        <v>187</v>
      </c>
      <c r="H6" s="21" t="s">
        <v>188</v>
      </c>
      <c r="I6" s="21" t="s">
        <v>98</v>
      </c>
      <c r="J6" s="22"/>
      <c r="K6" s="21" t="s">
        <v>122</v>
      </c>
      <c r="L6" s="21" t="s">
        <v>189</v>
      </c>
      <c r="M6" s="23" t="s">
        <v>24</v>
      </c>
      <c r="N6" s="22"/>
      <c r="O6" s="9" t="str">
        <f>"260,0"</f>
        <v>260,0</v>
      </c>
      <c r="P6" s="9" t="str">
        <f>"265,3560"</f>
        <v>265,3560</v>
      </c>
      <c r="Q6" s="7" t="s">
        <v>190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7"/>
  <dimension ref="A1:M52"/>
  <sheetViews>
    <sheetView topLeftCell="A12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66406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485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176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306</v>
      </c>
      <c r="C6" s="7" t="s">
        <v>266</v>
      </c>
      <c r="D6" s="7" t="s">
        <v>267</v>
      </c>
      <c r="E6" s="8" t="s">
        <v>556</v>
      </c>
      <c r="F6" s="7" t="s">
        <v>531</v>
      </c>
      <c r="G6" s="21" t="s">
        <v>66</v>
      </c>
      <c r="H6" s="21" t="s">
        <v>78</v>
      </c>
      <c r="I6" s="23" t="s">
        <v>91</v>
      </c>
      <c r="J6" s="22"/>
      <c r="K6" s="9" t="str">
        <f>"50,0"</f>
        <v>50,0</v>
      </c>
      <c r="L6" s="9" t="str">
        <f>"64,8200"</f>
        <v>64,8200</v>
      </c>
      <c r="M6" s="7"/>
    </row>
    <row r="8" spans="1:13" ht="16">
      <c r="A8" s="68" t="s">
        <v>60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307</v>
      </c>
      <c r="C9" s="24" t="s">
        <v>268</v>
      </c>
      <c r="D9" s="24" t="s">
        <v>269</v>
      </c>
      <c r="E9" s="25" t="s">
        <v>556</v>
      </c>
      <c r="F9" s="24" t="s">
        <v>534</v>
      </c>
      <c r="G9" s="30" t="s">
        <v>270</v>
      </c>
      <c r="H9" s="32" t="s">
        <v>271</v>
      </c>
      <c r="I9" s="30" t="s">
        <v>271</v>
      </c>
      <c r="J9" s="31"/>
      <c r="K9" s="26" t="str">
        <f>"67,5"</f>
        <v>67,5</v>
      </c>
      <c r="L9" s="26" t="str">
        <f>"80,7772"</f>
        <v>80,7772</v>
      </c>
      <c r="M9" s="24"/>
    </row>
    <row r="10" spans="1:13">
      <c r="A10" s="34" t="s">
        <v>135</v>
      </c>
      <c r="B10" s="27" t="s">
        <v>308</v>
      </c>
      <c r="C10" s="27" t="s">
        <v>272</v>
      </c>
      <c r="D10" s="27" t="s">
        <v>273</v>
      </c>
      <c r="E10" s="28" t="s">
        <v>556</v>
      </c>
      <c r="F10" s="27" t="s">
        <v>531</v>
      </c>
      <c r="G10" s="33" t="s">
        <v>270</v>
      </c>
      <c r="H10" s="35" t="s">
        <v>75</v>
      </c>
      <c r="I10" s="35" t="s">
        <v>75</v>
      </c>
      <c r="J10" s="34"/>
      <c r="K10" s="29" t="str">
        <f>"62,5"</f>
        <v>62,5</v>
      </c>
      <c r="L10" s="29" t="str">
        <f>"74,1625"</f>
        <v>74,1625</v>
      </c>
      <c r="M10" s="27" t="s">
        <v>274</v>
      </c>
    </row>
    <row r="12" spans="1:13" ht="16">
      <c r="A12" s="68" t="s">
        <v>81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22" t="s">
        <v>54</v>
      </c>
      <c r="B13" s="7" t="s">
        <v>309</v>
      </c>
      <c r="C13" s="7" t="s">
        <v>275</v>
      </c>
      <c r="D13" s="7" t="s">
        <v>276</v>
      </c>
      <c r="E13" s="8" t="s">
        <v>556</v>
      </c>
      <c r="F13" s="7" t="s">
        <v>531</v>
      </c>
      <c r="G13" s="21" t="s">
        <v>67</v>
      </c>
      <c r="H13" s="21" t="s">
        <v>91</v>
      </c>
      <c r="I13" s="22"/>
      <c r="J13" s="22"/>
      <c r="K13" s="9" t="str">
        <f>"57,5"</f>
        <v>57,5</v>
      </c>
      <c r="L13" s="9" t="str">
        <f>"64,9463"</f>
        <v>64,9463</v>
      </c>
      <c r="M13" s="7"/>
    </row>
    <row r="15" spans="1:13" ht="16">
      <c r="A15" s="68" t="s">
        <v>81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22" t="s">
        <v>54</v>
      </c>
      <c r="B16" s="7" t="s">
        <v>310</v>
      </c>
      <c r="C16" s="7" t="s">
        <v>277</v>
      </c>
      <c r="D16" s="7" t="s">
        <v>278</v>
      </c>
      <c r="E16" s="8" t="s">
        <v>556</v>
      </c>
      <c r="F16" s="7" t="s">
        <v>538</v>
      </c>
      <c r="G16" s="21" t="s">
        <v>89</v>
      </c>
      <c r="H16" s="21" t="s">
        <v>80</v>
      </c>
      <c r="I16" s="23" t="s">
        <v>90</v>
      </c>
      <c r="J16" s="22"/>
      <c r="K16" s="9" t="str">
        <f>"90,0"</f>
        <v>90,0</v>
      </c>
      <c r="L16" s="9" t="str">
        <f>"77,7150"</f>
        <v>77,7150</v>
      </c>
      <c r="M16" s="7"/>
    </row>
    <row r="18" spans="1:13" ht="16">
      <c r="A18" s="68" t="s">
        <v>12</v>
      </c>
      <c r="B18" s="68"/>
      <c r="C18" s="69"/>
      <c r="D18" s="69"/>
      <c r="E18" s="69"/>
      <c r="F18" s="69"/>
      <c r="G18" s="69"/>
      <c r="H18" s="69"/>
      <c r="I18" s="69"/>
      <c r="J18" s="69"/>
    </row>
    <row r="19" spans="1:13">
      <c r="A19" s="22" t="s">
        <v>54</v>
      </c>
      <c r="B19" s="7" t="s">
        <v>311</v>
      </c>
      <c r="C19" s="7" t="s">
        <v>507</v>
      </c>
      <c r="D19" s="7" t="s">
        <v>279</v>
      </c>
      <c r="E19" s="8" t="s">
        <v>559</v>
      </c>
      <c r="F19" s="7" t="s">
        <v>531</v>
      </c>
      <c r="G19" s="23" t="s">
        <v>64</v>
      </c>
      <c r="H19" s="21" t="s">
        <v>64</v>
      </c>
      <c r="I19" s="23" t="s">
        <v>92</v>
      </c>
      <c r="J19" s="22"/>
      <c r="K19" s="9" t="str">
        <f>"100,0"</f>
        <v>100,0</v>
      </c>
      <c r="L19" s="9" t="str">
        <f>"77,9400"</f>
        <v>77,9400</v>
      </c>
      <c r="M19" s="7" t="s">
        <v>191</v>
      </c>
    </row>
    <row r="21" spans="1:13" ht="16">
      <c r="A21" s="68" t="s">
        <v>94</v>
      </c>
      <c r="B21" s="68"/>
      <c r="C21" s="69"/>
      <c r="D21" s="69"/>
      <c r="E21" s="69"/>
      <c r="F21" s="69"/>
      <c r="G21" s="69"/>
      <c r="H21" s="69"/>
      <c r="I21" s="69"/>
      <c r="J21" s="69"/>
    </row>
    <row r="22" spans="1:13">
      <c r="A22" s="31" t="s">
        <v>54</v>
      </c>
      <c r="B22" s="24" t="s">
        <v>312</v>
      </c>
      <c r="C22" s="24" t="s">
        <v>281</v>
      </c>
      <c r="D22" s="24" t="s">
        <v>282</v>
      </c>
      <c r="E22" s="25" t="s">
        <v>556</v>
      </c>
      <c r="F22" s="24" t="s">
        <v>531</v>
      </c>
      <c r="G22" s="30" t="s">
        <v>107</v>
      </c>
      <c r="H22" s="30" t="s">
        <v>155</v>
      </c>
      <c r="I22" s="32" t="s">
        <v>17</v>
      </c>
      <c r="J22" s="31"/>
      <c r="K22" s="26" t="str">
        <f>"150,0"</f>
        <v>150,0</v>
      </c>
      <c r="L22" s="26" t="str">
        <f>"107,3850"</f>
        <v>107,3850</v>
      </c>
      <c r="M22" s="24" t="s">
        <v>283</v>
      </c>
    </row>
    <row r="23" spans="1:13">
      <c r="A23" s="34" t="s">
        <v>135</v>
      </c>
      <c r="B23" s="27" t="s">
        <v>313</v>
      </c>
      <c r="C23" s="27" t="s">
        <v>284</v>
      </c>
      <c r="D23" s="27" t="s">
        <v>113</v>
      </c>
      <c r="E23" s="28" t="s">
        <v>556</v>
      </c>
      <c r="F23" s="27" t="s">
        <v>539</v>
      </c>
      <c r="G23" s="33" t="s">
        <v>111</v>
      </c>
      <c r="H23" s="35" t="s">
        <v>15</v>
      </c>
      <c r="I23" s="33" t="s">
        <v>15</v>
      </c>
      <c r="J23" s="34"/>
      <c r="K23" s="29" t="str">
        <f>"135,0"</f>
        <v>135,0</v>
      </c>
      <c r="L23" s="29" t="str">
        <f>"96,2010"</f>
        <v>96,2010</v>
      </c>
      <c r="M23" s="27" t="s">
        <v>210</v>
      </c>
    </row>
    <row r="25" spans="1:13" ht="16">
      <c r="A25" s="68" t="s">
        <v>119</v>
      </c>
      <c r="B25" s="68"/>
      <c r="C25" s="69"/>
      <c r="D25" s="69"/>
      <c r="E25" s="69"/>
      <c r="F25" s="69"/>
      <c r="G25" s="69"/>
      <c r="H25" s="69"/>
      <c r="I25" s="69"/>
      <c r="J25" s="69"/>
    </row>
    <row r="26" spans="1:13">
      <c r="A26" s="31" t="s">
        <v>54</v>
      </c>
      <c r="B26" s="24" t="s">
        <v>314</v>
      </c>
      <c r="C26" s="24" t="s">
        <v>285</v>
      </c>
      <c r="D26" s="24" t="s">
        <v>286</v>
      </c>
      <c r="E26" s="25" t="s">
        <v>556</v>
      </c>
      <c r="F26" s="24" t="s">
        <v>531</v>
      </c>
      <c r="G26" s="30" t="s">
        <v>97</v>
      </c>
      <c r="H26" s="30" t="s">
        <v>21</v>
      </c>
      <c r="I26" s="32" t="s">
        <v>70</v>
      </c>
      <c r="J26" s="31"/>
      <c r="K26" s="26" t="str">
        <f>"120,0"</f>
        <v>120,0</v>
      </c>
      <c r="L26" s="26" t="str">
        <f>"81,9840"</f>
        <v>81,9840</v>
      </c>
      <c r="M26" s="24"/>
    </row>
    <row r="27" spans="1:13">
      <c r="A27" s="34" t="s">
        <v>56</v>
      </c>
      <c r="B27" s="27" t="s">
        <v>315</v>
      </c>
      <c r="C27" s="27" t="s">
        <v>287</v>
      </c>
      <c r="D27" s="27" t="s">
        <v>288</v>
      </c>
      <c r="E27" s="28" t="s">
        <v>556</v>
      </c>
      <c r="F27" s="27" t="s">
        <v>540</v>
      </c>
      <c r="G27" s="35" t="s">
        <v>114</v>
      </c>
      <c r="H27" s="35" t="s">
        <v>114</v>
      </c>
      <c r="I27" s="35" t="s">
        <v>114</v>
      </c>
      <c r="J27" s="34"/>
      <c r="K27" s="29" t="str">
        <f>"0.00"</f>
        <v>0.00</v>
      </c>
      <c r="L27" s="29" t="str">
        <f>"0,0000"</f>
        <v>0,0000</v>
      </c>
      <c r="M27" s="27"/>
    </row>
    <row r="29" spans="1:13" ht="16">
      <c r="A29" s="68" t="s">
        <v>26</v>
      </c>
      <c r="B29" s="68"/>
      <c r="C29" s="69"/>
      <c r="D29" s="69"/>
      <c r="E29" s="69"/>
      <c r="F29" s="69"/>
      <c r="G29" s="69"/>
      <c r="H29" s="69"/>
      <c r="I29" s="69"/>
      <c r="J29" s="69"/>
    </row>
    <row r="30" spans="1:13">
      <c r="A30" s="22" t="s">
        <v>54</v>
      </c>
      <c r="B30" s="7" t="s">
        <v>316</v>
      </c>
      <c r="C30" s="7" t="s">
        <v>289</v>
      </c>
      <c r="D30" s="7" t="s">
        <v>290</v>
      </c>
      <c r="E30" s="8" t="s">
        <v>556</v>
      </c>
      <c r="F30" s="7" t="s">
        <v>531</v>
      </c>
      <c r="G30" s="21" t="s">
        <v>165</v>
      </c>
      <c r="H30" s="23" t="s">
        <v>156</v>
      </c>
      <c r="I30" s="21" t="s">
        <v>156</v>
      </c>
      <c r="J30" s="22"/>
      <c r="K30" s="9" t="str">
        <f>"157,5"</f>
        <v>157,5</v>
      </c>
      <c r="L30" s="9" t="str">
        <f>"101,7923"</f>
        <v>101,7923</v>
      </c>
      <c r="M30" s="7" t="s">
        <v>291</v>
      </c>
    </row>
    <row r="32" spans="1:13" ht="16">
      <c r="A32" s="68" t="s">
        <v>126</v>
      </c>
      <c r="B32" s="68"/>
      <c r="C32" s="69"/>
      <c r="D32" s="69"/>
      <c r="E32" s="69"/>
      <c r="F32" s="69"/>
      <c r="G32" s="69"/>
      <c r="H32" s="69"/>
      <c r="I32" s="69"/>
      <c r="J32" s="69"/>
    </row>
    <row r="33" spans="1:13">
      <c r="A33" s="31" t="s">
        <v>54</v>
      </c>
      <c r="B33" s="24" t="s">
        <v>317</v>
      </c>
      <c r="C33" s="24" t="s">
        <v>293</v>
      </c>
      <c r="D33" s="24" t="s">
        <v>294</v>
      </c>
      <c r="E33" s="25" t="s">
        <v>556</v>
      </c>
      <c r="F33" s="24" t="s">
        <v>531</v>
      </c>
      <c r="G33" s="30" t="s">
        <v>115</v>
      </c>
      <c r="H33" s="30" t="s">
        <v>116</v>
      </c>
      <c r="I33" s="30" t="s">
        <v>123</v>
      </c>
      <c r="J33" s="31"/>
      <c r="K33" s="26" t="str">
        <f>"185,0"</f>
        <v>185,0</v>
      </c>
      <c r="L33" s="26" t="str">
        <f>"113,0535"</f>
        <v>113,0535</v>
      </c>
      <c r="M33" s="24" t="s">
        <v>99</v>
      </c>
    </row>
    <row r="34" spans="1:13">
      <c r="A34" s="39" t="s">
        <v>135</v>
      </c>
      <c r="B34" s="36" t="s">
        <v>318</v>
      </c>
      <c r="C34" s="36" t="s">
        <v>295</v>
      </c>
      <c r="D34" s="36" t="s">
        <v>296</v>
      </c>
      <c r="E34" s="37" t="s">
        <v>556</v>
      </c>
      <c r="F34" s="36" t="s">
        <v>535</v>
      </c>
      <c r="G34" s="40" t="s">
        <v>17</v>
      </c>
      <c r="H34" s="40" t="s">
        <v>22</v>
      </c>
      <c r="I34" s="40" t="s">
        <v>18</v>
      </c>
      <c r="J34" s="39"/>
      <c r="K34" s="38" t="str">
        <f>"162,5"</f>
        <v>162,5</v>
      </c>
      <c r="L34" s="38" t="str">
        <f>"100,2950"</f>
        <v>100,2950</v>
      </c>
      <c r="M34" s="36"/>
    </row>
    <row r="35" spans="1:13">
      <c r="A35" s="39" t="s">
        <v>251</v>
      </c>
      <c r="B35" s="36" t="s">
        <v>319</v>
      </c>
      <c r="C35" s="36" t="s">
        <v>297</v>
      </c>
      <c r="D35" s="36" t="s">
        <v>298</v>
      </c>
      <c r="E35" s="37" t="s">
        <v>556</v>
      </c>
      <c r="F35" s="36" t="s">
        <v>541</v>
      </c>
      <c r="G35" s="40" t="s">
        <v>299</v>
      </c>
      <c r="H35" s="40" t="s">
        <v>107</v>
      </c>
      <c r="I35" s="40" t="s">
        <v>16</v>
      </c>
      <c r="J35" s="39"/>
      <c r="K35" s="38" t="str">
        <f>"145,0"</f>
        <v>145,0</v>
      </c>
      <c r="L35" s="38" t="str">
        <f>"88,7545"</f>
        <v>88,7545</v>
      </c>
      <c r="M35" s="36"/>
    </row>
    <row r="36" spans="1:13">
      <c r="A36" s="39" t="s">
        <v>54</v>
      </c>
      <c r="B36" s="36" t="s">
        <v>317</v>
      </c>
      <c r="C36" s="36" t="s">
        <v>508</v>
      </c>
      <c r="D36" s="36" t="s">
        <v>294</v>
      </c>
      <c r="E36" s="37" t="s">
        <v>557</v>
      </c>
      <c r="F36" s="36" t="s">
        <v>531</v>
      </c>
      <c r="G36" s="40" t="s">
        <v>115</v>
      </c>
      <c r="H36" s="40" t="s">
        <v>116</v>
      </c>
      <c r="I36" s="40" t="s">
        <v>123</v>
      </c>
      <c r="J36" s="39"/>
      <c r="K36" s="38" t="str">
        <f>"185,0"</f>
        <v>185,0</v>
      </c>
      <c r="L36" s="38" t="str">
        <f>"114,6363"</f>
        <v>114,6363</v>
      </c>
      <c r="M36" s="36" t="s">
        <v>99</v>
      </c>
    </row>
    <row r="37" spans="1:13">
      <c r="A37" s="34" t="s">
        <v>54</v>
      </c>
      <c r="B37" s="27" t="s">
        <v>320</v>
      </c>
      <c r="C37" s="27" t="s">
        <v>509</v>
      </c>
      <c r="D37" s="27" t="s">
        <v>300</v>
      </c>
      <c r="E37" s="28" t="s">
        <v>561</v>
      </c>
      <c r="F37" s="27" t="s">
        <v>531</v>
      </c>
      <c r="G37" s="33" t="s">
        <v>65</v>
      </c>
      <c r="H37" s="35" t="s">
        <v>19</v>
      </c>
      <c r="I37" s="33" t="s">
        <v>68</v>
      </c>
      <c r="J37" s="34"/>
      <c r="K37" s="29" t="str">
        <f>"115,0"</f>
        <v>115,0</v>
      </c>
      <c r="L37" s="29" t="str">
        <f>"81,2063"</f>
        <v>81,2063</v>
      </c>
      <c r="M37" s="27"/>
    </row>
    <row r="39" spans="1:13" ht="16">
      <c r="A39" s="68" t="s">
        <v>31</v>
      </c>
      <c r="B39" s="68"/>
      <c r="C39" s="69"/>
      <c r="D39" s="69"/>
      <c r="E39" s="69"/>
      <c r="F39" s="69"/>
      <c r="G39" s="69"/>
      <c r="H39" s="69"/>
      <c r="I39" s="69"/>
      <c r="J39" s="69"/>
    </row>
    <row r="40" spans="1:13">
      <c r="A40" s="31" t="s">
        <v>54</v>
      </c>
      <c r="B40" s="24" t="s">
        <v>321</v>
      </c>
      <c r="C40" s="24" t="s">
        <v>302</v>
      </c>
      <c r="D40" s="24" t="s">
        <v>303</v>
      </c>
      <c r="E40" s="25" t="s">
        <v>556</v>
      </c>
      <c r="F40" s="24" t="s">
        <v>539</v>
      </c>
      <c r="G40" s="30" t="s">
        <v>116</v>
      </c>
      <c r="H40" s="30" t="s">
        <v>28</v>
      </c>
      <c r="I40" s="32" t="s">
        <v>25</v>
      </c>
      <c r="J40" s="31"/>
      <c r="K40" s="26" t="str">
        <f>"195,0"</f>
        <v>195,0</v>
      </c>
      <c r="L40" s="26" t="str">
        <f>"115,3620"</f>
        <v>115,3620</v>
      </c>
      <c r="M40" s="24" t="s">
        <v>210</v>
      </c>
    </row>
    <row r="41" spans="1:13">
      <c r="A41" s="34" t="s">
        <v>56</v>
      </c>
      <c r="B41" s="27" t="s">
        <v>322</v>
      </c>
      <c r="C41" s="27" t="s">
        <v>304</v>
      </c>
      <c r="D41" s="27" t="s">
        <v>305</v>
      </c>
      <c r="E41" s="28" t="s">
        <v>556</v>
      </c>
      <c r="F41" s="27" t="s">
        <v>531</v>
      </c>
      <c r="G41" s="35" t="s">
        <v>107</v>
      </c>
      <c r="H41" s="35" t="s">
        <v>107</v>
      </c>
      <c r="I41" s="35" t="s">
        <v>107</v>
      </c>
      <c r="J41" s="34"/>
      <c r="K41" s="29" t="str">
        <f>"0.00"</f>
        <v>0.00</v>
      </c>
      <c r="L41" s="29" t="str">
        <f>"0,0000"</f>
        <v>0,0000</v>
      </c>
      <c r="M41" s="27"/>
    </row>
    <row r="43" spans="1:13" ht="16">
      <c r="F43" s="11"/>
      <c r="G43" s="5"/>
      <c r="K43" s="19"/>
      <c r="M43" s="6"/>
    </row>
    <row r="44" spans="1:13">
      <c r="G44" s="5"/>
      <c r="K44" s="19"/>
      <c r="M44" s="6"/>
    </row>
    <row r="45" spans="1:13" ht="18">
      <c r="B45" s="12" t="s">
        <v>46</v>
      </c>
      <c r="C45" s="12"/>
      <c r="G45" s="3"/>
      <c r="K45" s="19"/>
      <c r="M45" s="6"/>
    </row>
    <row r="46" spans="1:13" ht="16">
      <c r="B46" s="13" t="s">
        <v>47</v>
      </c>
      <c r="C46" s="13"/>
      <c r="G46" s="3"/>
      <c r="K46" s="19"/>
      <c r="M46" s="6"/>
    </row>
    <row r="47" spans="1:13" ht="14">
      <c r="B47" s="14"/>
      <c r="C47" s="15" t="s">
        <v>51</v>
      </c>
      <c r="G47" s="3"/>
      <c r="K47" s="19"/>
      <c r="M47" s="6"/>
    </row>
    <row r="48" spans="1:13" ht="14">
      <c r="B48" s="16" t="s">
        <v>48</v>
      </c>
      <c r="C48" s="16" t="s">
        <v>49</v>
      </c>
      <c r="D48" s="16" t="s">
        <v>523</v>
      </c>
      <c r="E48" s="17" t="s">
        <v>241</v>
      </c>
      <c r="F48" s="16" t="s">
        <v>50</v>
      </c>
      <c r="G48" s="3"/>
      <c r="K48" s="19"/>
      <c r="M48" s="6"/>
    </row>
    <row r="49" spans="2:13">
      <c r="B49" s="5" t="s">
        <v>301</v>
      </c>
      <c r="C49" s="5" t="s">
        <v>51</v>
      </c>
      <c r="D49" s="19" t="s">
        <v>53</v>
      </c>
      <c r="E49" s="20">
        <v>195</v>
      </c>
      <c r="F49" s="18">
        <v>115.36200016737</v>
      </c>
      <c r="G49" s="3"/>
      <c r="K49" s="19"/>
      <c r="M49" s="6"/>
    </row>
    <row r="50" spans="2:13">
      <c r="B50" s="5" t="s">
        <v>292</v>
      </c>
      <c r="C50" s="5" t="s">
        <v>51</v>
      </c>
      <c r="D50" s="19" t="s">
        <v>132</v>
      </c>
      <c r="E50" s="20">
        <v>185</v>
      </c>
      <c r="F50" s="18">
        <v>113.05350333452201</v>
      </c>
      <c r="G50" s="3"/>
      <c r="K50" s="19"/>
      <c r="M50" s="6"/>
    </row>
    <row r="51" spans="2:13">
      <c r="B51" s="5" t="s">
        <v>280</v>
      </c>
      <c r="C51" s="5" t="s">
        <v>51</v>
      </c>
      <c r="D51" s="19" t="s">
        <v>131</v>
      </c>
      <c r="E51" s="20">
        <v>150</v>
      </c>
      <c r="F51" s="18">
        <v>107.38500058651</v>
      </c>
      <c r="G51" s="3"/>
      <c r="K51" s="19"/>
      <c r="M51" s="6"/>
    </row>
    <row r="52" spans="2:13">
      <c r="E52" s="5"/>
      <c r="F52" s="10"/>
      <c r="G52" s="5"/>
      <c r="K52" s="19"/>
      <c r="M52" s="6"/>
    </row>
  </sheetData>
  <mergeCells count="21">
    <mergeCell ref="A29:J29"/>
    <mergeCell ref="A32:J32"/>
    <mergeCell ref="A39:J39"/>
    <mergeCell ref="B3:B4"/>
    <mergeCell ref="A8:J8"/>
    <mergeCell ref="A12:J12"/>
    <mergeCell ref="A15:J15"/>
    <mergeCell ref="A18:J18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8"/>
  <dimension ref="A1:M61"/>
  <sheetViews>
    <sheetView topLeftCell="A10" workbookViewId="0">
      <selection activeCell="E45" sqref="E45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31" style="5" customWidth="1"/>
    <col min="4" max="4" width="21.5" style="5" bestFit="1" customWidth="1"/>
    <col min="5" max="5" width="10.5" style="10" bestFit="1" customWidth="1"/>
    <col min="6" max="6" width="21.5" style="5" bestFit="1" customWidth="1"/>
    <col min="7" max="9" width="5.5" style="19" customWidth="1"/>
    <col min="10" max="10" width="4.83203125" style="19" customWidth="1"/>
    <col min="11" max="11" width="10.5" style="20" bestFit="1" customWidth="1"/>
    <col min="12" max="12" width="8.5" style="6" bestFit="1" customWidth="1"/>
    <col min="13" max="13" width="22.83203125" style="5" bestFit="1" customWidth="1"/>
    <col min="14" max="16384" width="9.1640625" style="3"/>
  </cols>
  <sheetData>
    <row r="1" spans="1:13" s="2" customFormat="1" ht="29" customHeight="1">
      <c r="A1" s="55" t="s">
        <v>486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7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8"/>
      <c r="L4" s="50"/>
      <c r="M4" s="52"/>
    </row>
    <row r="5" spans="1:13" ht="16">
      <c r="A5" s="53" t="s">
        <v>176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54</v>
      </c>
      <c r="B6" s="7" t="s">
        <v>243</v>
      </c>
      <c r="C6" s="7" t="s">
        <v>177</v>
      </c>
      <c r="D6" s="7" t="s">
        <v>178</v>
      </c>
      <c r="E6" s="8" t="s">
        <v>558</v>
      </c>
      <c r="F6" s="7" t="s">
        <v>531</v>
      </c>
      <c r="G6" s="21" t="s">
        <v>179</v>
      </c>
      <c r="H6" s="21" t="s">
        <v>180</v>
      </c>
      <c r="I6" s="21" t="s">
        <v>181</v>
      </c>
      <c r="J6" s="22"/>
      <c r="K6" s="42" t="str">
        <f>"35,0"</f>
        <v>35,0</v>
      </c>
      <c r="L6" s="9" t="str">
        <f>"45,0310"</f>
        <v>45,0310</v>
      </c>
      <c r="M6" s="7" t="s">
        <v>182</v>
      </c>
    </row>
    <row r="8" spans="1:13" ht="16">
      <c r="A8" s="68" t="s">
        <v>12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1" t="s">
        <v>54</v>
      </c>
      <c r="B9" s="24" t="s">
        <v>244</v>
      </c>
      <c r="C9" s="24" t="s">
        <v>183</v>
      </c>
      <c r="D9" s="24" t="s">
        <v>184</v>
      </c>
      <c r="E9" s="25" t="s">
        <v>558</v>
      </c>
      <c r="F9" s="24" t="s">
        <v>531</v>
      </c>
      <c r="G9" s="30" t="s">
        <v>174</v>
      </c>
      <c r="H9" s="30" t="s">
        <v>103</v>
      </c>
      <c r="I9" s="30" t="s">
        <v>104</v>
      </c>
      <c r="J9" s="31"/>
      <c r="K9" s="43" t="str">
        <f>"45,0"</f>
        <v>45,0</v>
      </c>
      <c r="L9" s="26" t="str">
        <f>"47,2095"</f>
        <v>47,2095</v>
      </c>
      <c r="M9" s="24" t="s">
        <v>182</v>
      </c>
    </row>
    <row r="10" spans="1:13">
      <c r="A10" s="34" t="s">
        <v>54</v>
      </c>
      <c r="B10" s="27" t="s">
        <v>245</v>
      </c>
      <c r="C10" s="27" t="s">
        <v>185</v>
      </c>
      <c r="D10" s="27" t="s">
        <v>186</v>
      </c>
      <c r="E10" s="28" t="s">
        <v>556</v>
      </c>
      <c r="F10" s="27" t="s">
        <v>531</v>
      </c>
      <c r="G10" s="33" t="s">
        <v>187</v>
      </c>
      <c r="H10" s="33" t="s">
        <v>188</v>
      </c>
      <c r="I10" s="33" t="s">
        <v>98</v>
      </c>
      <c r="J10" s="34"/>
      <c r="K10" s="44" t="str">
        <f>"82,5"</f>
        <v>82,5</v>
      </c>
      <c r="L10" s="29" t="str">
        <f>"84,1995"</f>
        <v>84,1995</v>
      </c>
      <c r="M10" s="27" t="s">
        <v>190</v>
      </c>
    </row>
    <row r="12" spans="1:13" ht="16">
      <c r="A12" s="68" t="s">
        <v>12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22" t="s">
        <v>54</v>
      </c>
      <c r="B13" s="7" t="s">
        <v>246</v>
      </c>
      <c r="C13" s="7" t="s">
        <v>192</v>
      </c>
      <c r="D13" s="7" t="s">
        <v>186</v>
      </c>
      <c r="E13" s="8" t="s">
        <v>556</v>
      </c>
      <c r="F13" s="7" t="s">
        <v>542</v>
      </c>
      <c r="G13" s="21" t="s">
        <v>15</v>
      </c>
      <c r="H13" s="23" t="s">
        <v>107</v>
      </c>
      <c r="I13" s="23" t="s">
        <v>193</v>
      </c>
      <c r="J13" s="22"/>
      <c r="K13" s="42" t="str">
        <f>"135,0"</f>
        <v>135,0</v>
      </c>
      <c r="L13" s="9" t="str">
        <f>"104,0850"</f>
        <v>104,0850</v>
      </c>
      <c r="M13" s="7"/>
    </row>
    <row r="15" spans="1:13" ht="16">
      <c r="A15" s="68" t="s">
        <v>94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31" t="s">
        <v>54</v>
      </c>
      <c r="B16" s="24" t="s">
        <v>247</v>
      </c>
      <c r="C16" s="24" t="s">
        <v>511</v>
      </c>
      <c r="D16" s="24" t="s">
        <v>96</v>
      </c>
      <c r="E16" s="25" t="s">
        <v>559</v>
      </c>
      <c r="F16" s="24" t="s">
        <v>543</v>
      </c>
      <c r="G16" s="30" t="s">
        <v>19</v>
      </c>
      <c r="H16" s="32" t="s">
        <v>68</v>
      </c>
      <c r="I16" s="32" t="s">
        <v>68</v>
      </c>
      <c r="J16" s="31"/>
      <c r="K16" s="43" t="str">
        <f>"112,5"</f>
        <v>112,5</v>
      </c>
      <c r="L16" s="26" t="str">
        <f>"85,4438"</f>
        <v>85,4438</v>
      </c>
      <c r="M16" s="24" t="s">
        <v>194</v>
      </c>
    </row>
    <row r="17" spans="1:13">
      <c r="A17" s="34" t="s">
        <v>54</v>
      </c>
      <c r="B17" s="27" t="s">
        <v>248</v>
      </c>
      <c r="C17" s="27" t="s">
        <v>512</v>
      </c>
      <c r="D17" s="27" t="s">
        <v>196</v>
      </c>
      <c r="E17" s="28" t="s">
        <v>560</v>
      </c>
      <c r="F17" s="27" t="s">
        <v>531</v>
      </c>
      <c r="G17" s="33" t="s">
        <v>197</v>
      </c>
      <c r="H17" s="33" t="s">
        <v>75</v>
      </c>
      <c r="I17" s="35" t="s">
        <v>76</v>
      </c>
      <c r="J17" s="34"/>
      <c r="K17" s="44" t="str">
        <f>"70,0"</f>
        <v>70,0</v>
      </c>
      <c r="L17" s="29" t="str">
        <f>"92,1791"</f>
        <v>92,1791</v>
      </c>
      <c r="M17" s="27"/>
    </row>
    <row r="19" spans="1:13" ht="16">
      <c r="A19" s="68" t="s">
        <v>119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31" t="s">
        <v>54</v>
      </c>
      <c r="B20" s="24" t="s">
        <v>249</v>
      </c>
      <c r="C20" s="24" t="s">
        <v>198</v>
      </c>
      <c r="D20" s="24" t="s">
        <v>199</v>
      </c>
      <c r="E20" s="25" t="s">
        <v>556</v>
      </c>
      <c r="F20" s="24" t="s">
        <v>531</v>
      </c>
      <c r="G20" s="30" t="s">
        <v>16</v>
      </c>
      <c r="H20" s="30" t="s">
        <v>17</v>
      </c>
      <c r="I20" s="30" t="s">
        <v>114</v>
      </c>
      <c r="J20" s="31"/>
      <c r="K20" s="43" t="str">
        <f>"165,0"</f>
        <v>165,0</v>
      </c>
      <c r="L20" s="26" t="str">
        <f>"111,8535"</f>
        <v>111,8535</v>
      </c>
      <c r="M20" s="24" t="s">
        <v>200</v>
      </c>
    </row>
    <row r="21" spans="1:13">
      <c r="A21" s="39" t="s">
        <v>135</v>
      </c>
      <c r="B21" s="36" t="s">
        <v>250</v>
      </c>
      <c r="C21" s="36" t="s">
        <v>201</v>
      </c>
      <c r="D21" s="36" t="s">
        <v>202</v>
      </c>
      <c r="E21" s="37" t="s">
        <v>556</v>
      </c>
      <c r="F21" s="36" t="s">
        <v>203</v>
      </c>
      <c r="G21" s="40" t="s">
        <v>64</v>
      </c>
      <c r="H21" s="40" t="s">
        <v>97</v>
      </c>
      <c r="I21" s="41" t="s">
        <v>68</v>
      </c>
      <c r="J21" s="39"/>
      <c r="K21" s="45" t="str">
        <f>"110,0"</f>
        <v>110,0</v>
      </c>
      <c r="L21" s="38" t="str">
        <f>"74,8000"</f>
        <v>74,8000</v>
      </c>
      <c r="M21" s="36" t="s">
        <v>204</v>
      </c>
    </row>
    <row r="22" spans="1:13">
      <c r="A22" s="34" t="s">
        <v>251</v>
      </c>
      <c r="B22" s="27" t="s">
        <v>252</v>
      </c>
      <c r="C22" s="27" t="s">
        <v>205</v>
      </c>
      <c r="D22" s="27" t="s">
        <v>206</v>
      </c>
      <c r="E22" s="28" t="s">
        <v>556</v>
      </c>
      <c r="F22" s="27" t="s">
        <v>531</v>
      </c>
      <c r="G22" s="33" t="s">
        <v>89</v>
      </c>
      <c r="H22" s="33" t="s">
        <v>63</v>
      </c>
      <c r="I22" s="35" t="s">
        <v>84</v>
      </c>
      <c r="J22" s="34"/>
      <c r="K22" s="44" t="str">
        <f>"95,0"</f>
        <v>95,0</v>
      </c>
      <c r="L22" s="29" t="str">
        <f>"65,5405"</f>
        <v>65,5405</v>
      </c>
      <c r="M22" s="27"/>
    </row>
    <row r="24" spans="1:13" ht="16">
      <c r="A24" s="68" t="s">
        <v>26</v>
      </c>
      <c r="B24" s="68"/>
      <c r="C24" s="69"/>
      <c r="D24" s="69"/>
      <c r="E24" s="69"/>
      <c r="F24" s="69"/>
      <c r="G24" s="69"/>
      <c r="H24" s="69"/>
      <c r="I24" s="69"/>
      <c r="J24" s="69"/>
    </row>
    <row r="25" spans="1:13">
      <c r="A25" s="31" t="s">
        <v>54</v>
      </c>
      <c r="B25" s="24" t="s">
        <v>253</v>
      </c>
      <c r="C25" s="24" t="s">
        <v>207</v>
      </c>
      <c r="D25" s="24" t="s">
        <v>208</v>
      </c>
      <c r="E25" s="25" t="s">
        <v>558</v>
      </c>
      <c r="F25" s="24" t="s">
        <v>531</v>
      </c>
      <c r="G25" s="30" t="s">
        <v>76</v>
      </c>
      <c r="H25" s="30" t="s">
        <v>77</v>
      </c>
      <c r="I25" s="30" t="s">
        <v>209</v>
      </c>
      <c r="J25" s="31"/>
      <c r="K25" s="43" t="str">
        <f>"85,0"</f>
        <v>85,0</v>
      </c>
      <c r="L25" s="26" t="str">
        <f>"54,7995"</f>
        <v>54,7995</v>
      </c>
      <c r="M25" s="24" t="s">
        <v>99</v>
      </c>
    </row>
    <row r="26" spans="1:13">
      <c r="A26" s="39" t="s">
        <v>54</v>
      </c>
      <c r="B26" s="36" t="s">
        <v>254</v>
      </c>
      <c r="C26" s="36" t="s">
        <v>211</v>
      </c>
      <c r="D26" s="36" t="s">
        <v>212</v>
      </c>
      <c r="E26" s="37" t="s">
        <v>556</v>
      </c>
      <c r="F26" s="36" t="s">
        <v>539</v>
      </c>
      <c r="G26" s="40" t="s">
        <v>28</v>
      </c>
      <c r="H26" s="40" t="s">
        <v>43</v>
      </c>
      <c r="I26" s="40" t="s">
        <v>33</v>
      </c>
      <c r="J26" s="39"/>
      <c r="K26" s="45" t="str">
        <f>"215,0"</f>
        <v>215,0</v>
      </c>
      <c r="L26" s="38" t="str">
        <f>"139,2985"</f>
        <v>139,2985</v>
      </c>
      <c r="M26" s="36"/>
    </row>
    <row r="27" spans="1:13">
      <c r="A27" s="39" t="s">
        <v>135</v>
      </c>
      <c r="B27" s="36" t="s">
        <v>255</v>
      </c>
      <c r="C27" s="36" t="s">
        <v>213</v>
      </c>
      <c r="D27" s="36" t="s">
        <v>214</v>
      </c>
      <c r="E27" s="37" t="s">
        <v>556</v>
      </c>
      <c r="F27" s="36" t="s">
        <v>544</v>
      </c>
      <c r="G27" s="40" t="s">
        <v>156</v>
      </c>
      <c r="H27" s="41" t="s">
        <v>114</v>
      </c>
      <c r="I27" s="41" t="s">
        <v>122</v>
      </c>
      <c r="J27" s="39"/>
      <c r="K27" s="45" t="str">
        <f>"157,5"</f>
        <v>157,5</v>
      </c>
      <c r="L27" s="38" t="str">
        <f>"100,6583"</f>
        <v>100,6583</v>
      </c>
      <c r="M27" s="36" t="s">
        <v>215</v>
      </c>
    </row>
    <row r="28" spans="1:13">
      <c r="A28" s="34" t="s">
        <v>251</v>
      </c>
      <c r="B28" s="27" t="s">
        <v>256</v>
      </c>
      <c r="C28" s="27" t="s">
        <v>216</v>
      </c>
      <c r="D28" s="27" t="s">
        <v>217</v>
      </c>
      <c r="E28" s="28" t="s">
        <v>556</v>
      </c>
      <c r="F28" s="27" t="s">
        <v>531</v>
      </c>
      <c r="G28" s="35" t="s">
        <v>64</v>
      </c>
      <c r="H28" s="35" t="s">
        <v>64</v>
      </c>
      <c r="I28" s="33" t="s">
        <v>64</v>
      </c>
      <c r="J28" s="34"/>
      <c r="K28" s="44" t="str">
        <f>"100,0"</f>
        <v>100,0</v>
      </c>
      <c r="L28" s="29" t="str">
        <f>"64,3200"</f>
        <v>64,3200</v>
      </c>
      <c r="M28" s="27"/>
    </row>
    <row r="30" spans="1:13" ht="16">
      <c r="A30" s="68" t="s">
        <v>126</v>
      </c>
      <c r="B30" s="68"/>
      <c r="C30" s="69"/>
      <c r="D30" s="69"/>
      <c r="E30" s="69"/>
      <c r="F30" s="69"/>
      <c r="G30" s="69"/>
      <c r="H30" s="69"/>
      <c r="I30" s="69"/>
      <c r="J30" s="69"/>
    </row>
    <row r="31" spans="1:13">
      <c r="A31" s="31" t="s">
        <v>54</v>
      </c>
      <c r="B31" s="24" t="s">
        <v>257</v>
      </c>
      <c r="C31" s="24" t="s">
        <v>218</v>
      </c>
      <c r="D31" s="24" t="s">
        <v>219</v>
      </c>
      <c r="E31" s="25" t="s">
        <v>558</v>
      </c>
      <c r="F31" s="24" t="s">
        <v>545</v>
      </c>
      <c r="G31" s="30" t="s">
        <v>97</v>
      </c>
      <c r="H31" s="30" t="s">
        <v>20</v>
      </c>
      <c r="I31" s="32" t="s">
        <v>111</v>
      </c>
      <c r="J31" s="31"/>
      <c r="K31" s="43" t="str">
        <f>"117,5"</f>
        <v>117,5</v>
      </c>
      <c r="L31" s="26" t="str">
        <f>"71,8277"</f>
        <v>71,8277</v>
      </c>
      <c r="M31" s="24" t="s">
        <v>220</v>
      </c>
    </row>
    <row r="32" spans="1:13">
      <c r="A32" s="39" t="s">
        <v>54</v>
      </c>
      <c r="B32" s="36" t="s">
        <v>258</v>
      </c>
      <c r="C32" s="36" t="s">
        <v>222</v>
      </c>
      <c r="D32" s="36" t="s">
        <v>223</v>
      </c>
      <c r="E32" s="37" t="s">
        <v>556</v>
      </c>
      <c r="F32" s="36" t="s">
        <v>531</v>
      </c>
      <c r="G32" s="40" t="s">
        <v>123</v>
      </c>
      <c r="H32" s="40" t="s">
        <v>163</v>
      </c>
      <c r="I32" s="41" t="s">
        <v>25</v>
      </c>
      <c r="J32" s="39"/>
      <c r="K32" s="45" t="str">
        <f>"190,0"</f>
        <v>190,0</v>
      </c>
      <c r="L32" s="38" t="str">
        <f>"117,6290"</f>
        <v>117,6290</v>
      </c>
      <c r="M32" s="36"/>
    </row>
    <row r="33" spans="1:13">
      <c r="A33" s="39" t="s">
        <v>135</v>
      </c>
      <c r="B33" s="36" t="s">
        <v>259</v>
      </c>
      <c r="C33" s="36" t="s">
        <v>224</v>
      </c>
      <c r="D33" s="36" t="s">
        <v>225</v>
      </c>
      <c r="E33" s="37" t="s">
        <v>556</v>
      </c>
      <c r="F33" s="36" t="s">
        <v>531</v>
      </c>
      <c r="G33" s="41" t="s">
        <v>22</v>
      </c>
      <c r="H33" s="40" t="s">
        <v>22</v>
      </c>
      <c r="I33" s="40" t="s">
        <v>114</v>
      </c>
      <c r="J33" s="39"/>
      <c r="K33" s="45" t="str">
        <f>"165,0"</f>
        <v>165,0</v>
      </c>
      <c r="L33" s="38" t="str">
        <f>"102,2505"</f>
        <v>102,2505</v>
      </c>
      <c r="M33" s="36" t="s">
        <v>215</v>
      </c>
    </row>
    <row r="34" spans="1:13">
      <c r="A34" s="34" t="s">
        <v>251</v>
      </c>
      <c r="B34" s="27" t="s">
        <v>260</v>
      </c>
      <c r="C34" s="27" t="s">
        <v>226</v>
      </c>
      <c r="D34" s="27" t="s">
        <v>227</v>
      </c>
      <c r="E34" s="28" t="s">
        <v>556</v>
      </c>
      <c r="F34" s="27" t="s">
        <v>531</v>
      </c>
      <c r="G34" s="33" t="s">
        <v>107</v>
      </c>
      <c r="H34" s="33" t="s">
        <v>164</v>
      </c>
      <c r="I34" s="33" t="s">
        <v>155</v>
      </c>
      <c r="J34" s="34"/>
      <c r="K34" s="44" t="str">
        <f>"150,0"</f>
        <v>150,0</v>
      </c>
      <c r="L34" s="29" t="str">
        <f>"93,3900"</f>
        <v>93,3900</v>
      </c>
      <c r="M34" s="27"/>
    </row>
    <row r="36" spans="1:13" ht="16">
      <c r="A36" s="68" t="s">
        <v>31</v>
      </c>
      <c r="B36" s="68"/>
      <c r="C36" s="69"/>
      <c r="D36" s="69"/>
      <c r="E36" s="69"/>
      <c r="F36" s="69"/>
      <c r="G36" s="69"/>
      <c r="H36" s="69"/>
      <c r="I36" s="69"/>
      <c r="J36" s="69"/>
    </row>
    <row r="37" spans="1:13">
      <c r="A37" s="31" t="s">
        <v>54</v>
      </c>
      <c r="B37" s="24" t="s">
        <v>261</v>
      </c>
      <c r="C37" s="24" t="s">
        <v>228</v>
      </c>
      <c r="D37" s="24" t="s">
        <v>229</v>
      </c>
      <c r="E37" s="25" t="s">
        <v>556</v>
      </c>
      <c r="F37" s="24" t="s">
        <v>531</v>
      </c>
      <c r="G37" s="30" t="s">
        <v>189</v>
      </c>
      <c r="H37" s="32" t="s">
        <v>123</v>
      </c>
      <c r="I37" s="30" t="s">
        <v>230</v>
      </c>
      <c r="J37" s="31"/>
      <c r="K37" s="43" t="str">
        <f>"187,5"</f>
        <v>187,5</v>
      </c>
      <c r="L37" s="26" t="str">
        <f>"110,9812"</f>
        <v>110,9812</v>
      </c>
      <c r="M37" s="24"/>
    </row>
    <row r="38" spans="1:13">
      <c r="A38" s="34" t="s">
        <v>54</v>
      </c>
      <c r="B38" s="27" t="s">
        <v>262</v>
      </c>
      <c r="C38" s="27" t="s">
        <v>513</v>
      </c>
      <c r="D38" s="27" t="s">
        <v>231</v>
      </c>
      <c r="E38" s="28" t="s">
        <v>561</v>
      </c>
      <c r="F38" s="27" t="s">
        <v>203</v>
      </c>
      <c r="G38" s="33" t="s">
        <v>163</v>
      </c>
      <c r="H38" s="33" t="s">
        <v>124</v>
      </c>
      <c r="I38" s="35" t="s">
        <v>232</v>
      </c>
      <c r="J38" s="34"/>
      <c r="K38" s="44" t="str">
        <f>"205,0"</f>
        <v>205,0</v>
      </c>
      <c r="L38" s="29" t="str">
        <f>"133,9542"</f>
        <v>133,9542</v>
      </c>
      <c r="M38" s="27"/>
    </row>
    <row r="40" spans="1:13" ht="16">
      <c r="A40" s="68" t="s">
        <v>160</v>
      </c>
      <c r="B40" s="68"/>
      <c r="C40" s="69"/>
      <c r="D40" s="69"/>
      <c r="E40" s="69"/>
      <c r="F40" s="69"/>
      <c r="G40" s="69"/>
      <c r="H40" s="69"/>
      <c r="I40" s="69"/>
      <c r="J40" s="69"/>
    </row>
    <row r="41" spans="1:13">
      <c r="A41" s="31" t="s">
        <v>54</v>
      </c>
      <c r="B41" s="24" t="s">
        <v>263</v>
      </c>
      <c r="C41" s="24" t="s">
        <v>234</v>
      </c>
      <c r="D41" s="24" t="s">
        <v>235</v>
      </c>
      <c r="E41" s="25" t="s">
        <v>556</v>
      </c>
      <c r="F41" s="24" t="s">
        <v>531</v>
      </c>
      <c r="G41" s="30" t="s">
        <v>35</v>
      </c>
      <c r="H41" s="32" t="s">
        <v>166</v>
      </c>
      <c r="I41" s="31"/>
      <c r="J41" s="31"/>
      <c r="K41" s="43" t="str">
        <f>"230,0"</f>
        <v>230,0</v>
      </c>
      <c r="L41" s="26" t="str">
        <f>"133,6760"</f>
        <v>133,6760</v>
      </c>
      <c r="M41" s="24"/>
    </row>
    <row r="42" spans="1:13">
      <c r="A42" s="39" t="s">
        <v>135</v>
      </c>
      <c r="B42" s="36" t="s">
        <v>264</v>
      </c>
      <c r="C42" s="36" t="s">
        <v>236</v>
      </c>
      <c r="D42" s="36" t="s">
        <v>237</v>
      </c>
      <c r="E42" s="37" t="s">
        <v>556</v>
      </c>
      <c r="F42" s="36" t="s">
        <v>543</v>
      </c>
      <c r="G42" s="40" t="s">
        <v>111</v>
      </c>
      <c r="H42" s="40" t="s">
        <v>15</v>
      </c>
      <c r="I42" s="40" t="s">
        <v>16</v>
      </c>
      <c r="J42" s="39"/>
      <c r="K42" s="45" t="str">
        <f>"145,0"</f>
        <v>145,0</v>
      </c>
      <c r="L42" s="38" t="str">
        <f>"84,6945"</f>
        <v>84,6945</v>
      </c>
      <c r="M42" s="36" t="s">
        <v>238</v>
      </c>
    </row>
    <row r="43" spans="1:13">
      <c r="A43" s="39" t="s">
        <v>56</v>
      </c>
      <c r="B43" s="36" t="s">
        <v>265</v>
      </c>
      <c r="C43" s="36" t="s">
        <v>239</v>
      </c>
      <c r="D43" s="36" t="s">
        <v>240</v>
      </c>
      <c r="E43" s="37" t="s">
        <v>556</v>
      </c>
      <c r="F43" s="36" t="s">
        <v>531</v>
      </c>
      <c r="G43" s="41" t="s">
        <v>116</v>
      </c>
      <c r="H43" s="39"/>
      <c r="I43" s="39"/>
      <c r="J43" s="39"/>
      <c r="K43" s="45">
        <v>0</v>
      </c>
      <c r="L43" s="38" t="str">
        <f>"0,0000"</f>
        <v>0,0000</v>
      </c>
      <c r="M43" s="36" t="s">
        <v>99</v>
      </c>
    </row>
    <row r="44" spans="1:13">
      <c r="A44" s="34" t="s">
        <v>54</v>
      </c>
      <c r="B44" s="27" t="s">
        <v>263</v>
      </c>
      <c r="C44" s="27" t="s">
        <v>514</v>
      </c>
      <c r="D44" s="27" t="s">
        <v>235</v>
      </c>
      <c r="E44" s="28" t="s">
        <v>557</v>
      </c>
      <c r="F44" s="27" t="s">
        <v>531</v>
      </c>
      <c r="G44" s="33" t="s">
        <v>35</v>
      </c>
      <c r="H44" s="35" t="s">
        <v>166</v>
      </c>
      <c r="I44" s="34"/>
      <c r="J44" s="34"/>
      <c r="K44" s="44" t="str">
        <f>"230,0"</f>
        <v>230,0</v>
      </c>
      <c r="L44" s="29" t="str">
        <f>"139,5577"</f>
        <v>139,5577</v>
      </c>
      <c r="M44" s="27"/>
    </row>
    <row r="46" spans="1:13" ht="16">
      <c r="F46" s="11"/>
      <c r="G46" s="5"/>
      <c r="M46" s="6"/>
    </row>
    <row r="47" spans="1:13">
      <c r="G47" s="5"/>
      <c r="M47" s="6"/>
    </row>
    <row r="48" spans="1:13" ht="18">
      <c r="B48" s="12" t="s">
        <v>46</v>
      </c>
      <c r="C48" s="12"/>
      <c r="G48" s="3"/>
      <c r="M48" s="6"/>
    </row>
    <row r="49" spans="2:13" ht="16">
      <c r="B49" s="13" t="s">
        <v>47</v>
      </c>
      <c r="C49" s="13"/>
      <c r="G49" s="3"/>
      <c r="M49" s="6"/>
    </row>
    <row r="50" spans="2:13" ht="14">
      <c r="B50" s="14"/>
      <c r="C50" s="15" t="s">
        <v>51</v>
      </c>
      <c r="G50" s="3"/>
      <c r="M50" s="6"/>
    </row>
    <row r="51" spans="2:13" ht="14">
      <c r="B51" s="16" t="s">
        <v>48</v>
      </c>
      <c r="C51" s="16" t="s">
        <v>49</v>
      </c>
      <c r="D51" s="16" t="s">
        <v>523</v>
      </c>
      <c r="E51" s="17" t="s">
        <v>241</v>
      </c>
      <c r="F51" s="16" t="s">
        <v>50</v>
      </c>
      <c r="G51" s="3"/>
      <c r="M51" s="6"/>
    </row>
    <row r="52" spans="2:13">
      <c r="B52" s="5" t="s">
        <v>210</v>
      </c>
      <c r="C52" s="5" t="s">
        <v>51</v>
      </c>
      <c r="D52" s="19" t="s">
        <v>168</v>
      </c>
      <c r="E52" s="20">
        <v>215</v>
      </c>
      <c r="F52" s="18">
        <v>139.298496842384</v>
      </c>
      <c r="G52" s="3"/>
      <c r="M52" s="6"/>
    </row>
    <row r="53" spans="2:13">
      <c r="B53" s="5" t="s">
        <v>233</v>
      </c>
      <c r="C53" s="5" t="s">
        <v>51</v>
      </c>
      <c r="D53" s="19" t="s">
        <v>167</v>
      </c>
      <c r="E53" s="20">
        <v>230</v>
      </c>
      <c r="F53" s="18">
        <v>133.67600083351101</v>
      </c>
      <c r="G53" s="3"/>
      <c r="M53" s="6"/>
    </row>
    <row r="54" spans="2:13">
      <c r="B54" s="5" t="s">
        <v>221</v>
      </c>
      <c r="C54" s="5" t="s">
        <v>51</v>
      </c>
      <c r="D54" s="19" t="s">
        <v>132</v>
      </c>
      <c r="E54" s="20">
        <v>190</v>
      </c>
      <c r="F54" s="18">
        <v>117.62899518013</v>
      </c>
      <c r="G54" s="3"/>
      <c r="M54" s="6"/>
    </row>
    <row r="55" spans="2:13">
      <c r="G55" s="3"/>
      <c r="M55" s="6"/>
    </row>
    <row r="56" spans="2:13" ht="14">
      <c r="B56" s="14"/>
      <c r="C56" s="15" t="s">
        <v>52</v>
      </c>
      <c r="G56" s="3"/>
      <c r="M56" s="6"/>
    </row>
    <row r="57" spans="2:13" ht="14">
      <c r="B57" s="16" t="s">
        <v>48</v>
      </c>
      <c r="C57" s="16" t="s">
        <v>49</v>
      </c>
      <c r="D57" s="16" t="s">
        <v>523</v>
      </c>
      <c r="E57" s="17" t="s">
        <v>241</v>
      </c>
      <c r="F57" s="16" t="s">
        <v>50</v>
      </c>
      <c r="G57" s="3"/>
      <c r="M57" s="6"/>
    </row>
    <row r="58" spans="2:13">
      <c r="B58" s="5" t="s">
        <v>233</v>
      </c>
      <c r="C58" s="5" t="s">
        <v>510</v>
      </c>
      <c r="D58" s="19" t="s">
        <v>167</v>
      </c>
      <c r="E58" s="20">
        <v>230</v>
      </c>
      <c r="F58" s="18">
        <v>139.55774487018601</v>
      </c>
      <c r="G58" s="3"/>
      <c r="M58" s="6"/>
    </row>
    <row r="59" spans="2:13">
      <c r="B59" s="5" t="s">
        <v>204</v>
      </c>
      <c r="C59" s="5" t="s">
        <v>502</v>
      </c>
      <c r="D59" s="19" t="s">
        <v>53</v>
      </c>
      <c r="E59" s="20">
        <v>205</v>
      </c>
      <c r="F59" s="18">
        <v>133.95421360015899</v>
      </c>
      <c r="G59" s="3"/>
      <c r="M59" s="6"/>
    </row>
    <row r="60" spans="2:13">
      <c r="B60" s="5" t="s">
        <v>195</v>
      </c>
      <c r="C60" s="5" t="s">
        <v>515</v>
      </c>
      <c r="D60" s="19" t="s">
        <v>131</v>
      </c>
      <c r="E60" s="20">
        <v>70</v>
      </c>
      <c r="F60" s="18">
        <v>92.179077053070102</v>
      </c>
      <c r="G60" s="3"/>
      <c r="M60" s="6"/>
    </row>
    <row r="61" spans="2:13">
      <c r="E61" s="5"/>
      <c r="F61" s="10"/>
      <c r="G61" s="5"/>
      <c r="M61" s="6"/>
    </row>
  </sheetData>
  <mergeCells count="20">
    <mergeCell ref="A36:J36"/>
    <mergeCell ref="A40:J40"/>
    <mergeCell ref="B3:B4"/>
    <mergeCell ref="A8:J8"/>
    <mergeCell ref="A12:J12"/>
    <mergeCell ref="A15:J15"/>
    <mergeCell ref="A19:J19"/>
    <mergeCell ref="A24:J24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9"/>
  <dimension ref="A1:M6"/>
  <sheetViews>
    <sheetView workbookViewId="0">
      <selection activeCell="A5" sqref="A5:J5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8.5" style="5" bestFit="1" customWidth="1"/>
    <col min="4" max="4" width="15.5" style="5" bestFit="1" customWidth="1"/>
    <col min="5" max="5" width="10.33203125" style="10" customWidth="1"/>
    <col min="6" max="6" width="15.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10.83203125" style="6" customWidth="1"/>
    <col min="13" max="13" width="20.6640625" style="5" customWidth="1"/>
    <col min="14" max="16384" width="9.1640625" style="3"/>
  </cols>
  <sheetData>
    <row r="1" spans="1:13" s="2" customFormat="1" ht="29" customHeight="1">
      <c r="A1" s="55" t="s">
        <v>484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528</v>
      </c>
      <c r="B3" s="70" t="s">
        <v>0</v>
      </c>
      <c r="C3" s="65" t="s">
        <v>554</v>
      </c>
      <c r="D3" s="65" t="s">
        <v>7</v>
      </c>
      <c r="E3" s="49" t="s">
        <v>555</v>
      </c>
      <c r="F3" s="67" t="s">
        <v>8</v>
      </c>
      <c r="G3" s="67" t="s">
        <v>10</v>
      </c>
      <c r="H3" s="67"/>
      <c r="I3" s="67"/>
      <c r="J3" s="67"/>
      <c r="K3" s="49" t="s">
        <v>242</v>
      </c>
      <c r="L3" s="49" t="s">
        <v>3</v>
      </c>
      <c r="M3" s="51" t="s">
        <v>2</v>
      </c>
    </row>
    <row r="4" spans="1:13" s="1" customFormat="1" ht="21" customHeight="1" thickBot="1">
      <c r="A4" s="64"/>
      <c r="B4" s="71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31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2" t="s">
        <v>56</v>
      </c>
      <c r="B6" s="7" t="s">
        <v>326</v>
      </c>
      <c r="C6" s="7" t="s">
        <v>506</v>
      </c>
      <c r="D6" s="7" t="s">
        <v>323</v>
      </c>
      <c r="E6" s="8" t="s">
        <v>562</v>
      </c>
      <c r="F6" s="7" t="s">
        <v>535</v>
      </c>
      <c r="G6" s="23" t="s">
        <v>324</v>
      </c>
      <c r="H6" s="23" t="s">
        <v>324</v>
      </c>
      <c r="I6" s="23" t="s">
        <v>325</v>
      </c>
      <c r="J6" s="22"/>
      <c r="K6" s="42">
        <v>0</v>
      </c>
      <c r="L6" s="9" t="str">
        <f>"0,0000"</f>
        <v>0,0000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Жим однослой</vt:lpstr>
      <vt:lpstr>СПР Жим софт однопетельная ДК</vt:lpstr>
      <vt:lpstr>СПР Жим софт однопетельная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WRPF Подъем на бицепс ДК</vt:lpstr>
      <vt:lpstr>WRPF Подъем на бицепс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  <vt:lpstr>ФЖД Софт двоеборье однопет.ДК</vt:lpstr>
      <vt:lpstr>ФЖД Армейский жим двоеборье ДК</vt:lpstr>
      <vt:lpstr>ФЖД Армейский жим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2023-04-04T16:20:42Z</dcterms:modified>
</cp:coreProperties>
</file>