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Февраль/"/>
    </mc:Choice>
  </mc:AlternateContent>
  <xr:revisionPtr revIDLastSave="0" documentId="13_ncr:1_{D29B23AF-48E4-2C4F-ADC1-97F96591C96F}" xr6:coauthVersionLast="45" xr6:coauthVersionMax="45" xr10:uidLastSave="{00000000-0000-0000-0000-000000000000}"/>
  <bookViews>
    <workbookView xWindow="480" yWindow="460" windowWidth="28320" windowHeight="16140" activeTab="1" xr2:uid="{00000000-000D-0000-FFFF-FFFF00000000}"/>
  </bookViews>
  <sheets>
    <sheet name="Лист4" sheetId="9" state="hidden" r:id="rId1"/>
    <sheet name="WRPF ПЛ без экипировки" sheetId="5" r:id="rId2"/>
    <sheet name="WRPF Жим лежа без экип" sheetId="6" r:id="rId3"/>
    <sheet name="WRPF Тяга без экипировки" sheetId="7" r:id="rId4"/>
    <sheet name="WRPF Подъем на бицепс" sheetId="8" r:id="rId5"/>
  </sheets>
  <definedNames>
    <definedName name="_FilterDatabase" localSheetId="1" hidden="1">'WRPF ПЛ без экипировки'!$A$1:$S$3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8" l="1"/>
  <c r="K25" i="8"/>
  <c r="L24" i="8"/>
  <c r="K24" i="8"/>
  <c r="L21" i="8"/>
  <c r="K21" i="8"/>
  <c r="L20" i="8"/>
  <c r="K20" i="8"/>
  <c r="L17" i="8"/>
  <c r="K17" i="8"/>
  <c r="L16" i="8"/>
  <c r="K16" i="8"/>
  <c r="L15" i="8"/>
  <c r="K15" i="8"/>
  <c r="L12" i="8"/>
  <c r="K12" i="8"/>
  <c r="L9" i="8"/>
  <c r="K9" i="8"/>
  <c r="L6" i="8"/>
  <c r="K6" i="8"/>
  <c r="L59" i="7"/>
  <c r="K59" i="7"/>
  <c r="L56" i="7"/>
  <c r="L55" i="7"/>
  <c r="K55" i="7"/>
  <c r="L54" i="7"/>
  <c r="K54" i="7"/>
  <c r="L51" i="7"/>
  <c r="K51" i="7"/>
  <c r="L50" i="7"/>
  <c r="K50" i="7"/>
  <c r="L49" i="7"/>
  <c r="K49" i="7"/>
  <c r="L46" i="7"/>
  <c r="L45" i="7"/>
  <c r="K45" i="7"/>
  <c r="L44" i="7"/>
  <c r="K44" i="7"/>
  <c r="L43" i="7"/>
  <c r="K43" i="7"/>
  <c r="L40" i="7"/>
  <c r="K40" i="7"/>
  <c r="L39" i="7"/>
  <c r="K39" i="7"/>
  <c r="L38" i="7"/>
  <c r="K38" i="7"/>
  <c r="L37" i="7"/>
  <c r="K37" i="7"/>
  <c r="L34" i="7"/>
  <c r="K34" i="7"/>
  <c r="L33" i="7"/>
  <c r="K33" i="7"/>
  <c r="L30" i="7"/>
  <c r="K30" i="7"/>
  <c r="L27" i="7"/>
  <c r="K27" i="7"/>
  <c r="L24" i="7"/>
  <c r="K24" i="7"/>
  <c r="L23" i="7"/>
  <c r="K23" i="7"/>
  <c r="L20" i="7"/>
  <c r="K20" i="7"/>
  <c r="L17" i="7"/>
  <c r="K17" i="7"/>
  <c r="L14" i="7"/>
  <c r="K14" i="7"/>
  <c r="L13" i="7"/>
  <c r="K13" i="7"/>
  <c r="L12" i="7"/>
  <c r="K12" i="7"/>
  <c r="L9" i="7"/>
  <c r="K9" i="7"/>
  <c r="L6" i="7"/>
  <c r="K6" i="7"/>
  <c r="L37" i="6"/>
  <c r="K37" i="6"/>
  <c r="L34" i="6"/>
  <c r="K34" i="6"/>
  <c r="L33" i="6"/>
  <c r="K33" i="6"/>
  <c r="L32" i="6"/>
  <c r="K32" i="6"/>
  <c r="L29" i="6"/>
  <c r="K29" i="6"/>
  <c r="L28" i="6"/>
  <c r="K28" i="6"/>
  <c r="L25" i="6"/>
  <c r="K25" i="6"/>
  <c r="L24" i="6"/>
  <c r="K24" i="6"/>
  <c r="L23" i="6"/>
  <c r="K23" i="6"/>
  <c r="L20" i="6"/>
  <c r="K20" i="6"/>
  <c r="L17" i="6"/>
  <c r="K17" i="6"/>
  <c r="L16" i="6"/>
  <c r="K16" i="6"/>
  <c r="L13" i="6"/>
  <c r="K13" i="6"/>
  <c r="L12" i="6"/>
  <c r="K12" i="6"/>
  <c r="L9" i="6"/>
  <c r="K9" i="6"/>
  <c r="L6" i="6"/>
  <c r="K6" i="6"/>
  <c r="T73" i="5"/>
  <c r="S73" i="5"/>
  <c r="T72" i="5"/>
  <c r="S72" i="5"/>
  <c r="T71" i="5"/>
  <c r="S71" i="5"/>
  <c r="T68" i="5"/>
  <c r="S68" i="5"/>
  <c r="T67" i="5"/>
  <c r="S67" i="5"/>
  <c r="T66" i="5"/>
  <c r="S66" i="5"/>
  <c r="T65" i="5"/>
  <c r="S65" i="5"/>
  <c r="T64" i="5"/>
  <c r="S64" i="5"/>
  <c r="T63" i="5"/>
  <c r="S63" i="5"/>
  <c r="T62" i="5"/>
  <c r="S62" i="5"/>
  <c r="T59" i="5"/>
  <c r="S59" i="5"/>
  <c r="T58" i="5"/>
  <c r="S58" i="5"/>
  <c r="T57" i="5"/>
  <c r="S57" i="5"/>
  <c r="T56" i="5"/>
  <c r="S56" i="5"/>
  <c r="T55" i="5"/>
  <c r="S55" i="5"/>
  <c r="T54" i="5"/>
  <c r="S54" i="5"/>
  <c r="T51" i="5"/>
  <c r="S51" i="5"/>
  <c r="T50" i="5"/>
  <c r="S50" i="5"/>
  <c r="T49" i="5"/>
  <c r="S49" i="5"/>
  <c r="T48" i="5"/>
  <c r="S48" i="5"/>
  <c r="T45" i="5"/>
  <c r="S45" i="5"/>
  <c r="T44" i="5"/>
  <c r="S44" i="5"/>
  <c r="T43" i="5"/>
  <c r="S43" i="5"/>
  <c r="T42" i="5"/>
  <c r="S42" i="5"/>
  <c r="T39" i="5"/>
  <c r="S39" i="5"/>
  <c r="T38" i="5"/>
  <c r="S38" i="5"/>
  <c r="T37" i="5"/>
  <c r="S37" i="5"/>
  <c r="T34" i="5"/>
  <c r="S34" i="5"/>
  <c r="T33" i="5"/>
  <c r="S33" i="5"/>
  <c r="T30" i="5"/>
  <c r="S30" i="5"/>
  <c r="T27" i="5"/>
  <c r="S27" i="5"/>
  <c r="T24" i="5"/>
  <c r="S24" i="5"/>
  <c r="T23" i="5"/>
  <c r="S23" i="5"/>
  <c r="T20" i="5"/>
  <c r="S20" i="5"/>
  <c r="T19" i="5"/>
  <c r="S19" i="5"/>
  <c r="T18" i="5"/>
  <c r="S18" i="5"/>
  <c r="T17" i="5"/>
  <c r="S17" i="5"/>
  <c r="T16" i="5"/>
  <c r="S16" i="5"/>
  <c r="T13" i="5"/>
  <c r="S13" i="5"/>
  <c r="T12" i="5"/>
  <c r="S12" i="5"/>
  <c r="T11" i="5"/>
  <c r="S11" i="5"/>
  <c r="T8" i="5"/>
  <c r="S8" i="5"/>
  <c r="T7" i="5"/>
  <c r="S7" i="5"/>
  <c r="T6" i="5"/>
  <c r="S6" i="5"/>
</calcChain>
</file>

<file path=xl/sharedStrings.xml><?xml version="1.0" encoding="utf-8"?>
<sst xmlns="http://schemas.openxmlformats.org/spreadsheetml/2006/main" count="1484" uniqueCount="400">
  <si>
    <t>ФИО</t>
  </si>
  <si>
    <t>Сумма</t>
  </si>
  <si>
    <t>Тренер</t>
  </si>
  <si>
    <t>Очки</t>
  </si>
  <si>
    <t>Команда</t>
  </si>
  <si>
    <t>Рек</t>
  </si>
  <si>
    <t>Коэф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</si>
  <si>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</si>
  <si>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</si>
  <si>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</si>
  <si>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</si>
  <si>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</si>
  <si>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Приседание</t>
  </si>
  <si>
    <t>Жим лёжа</t>
  </si>
  <si>
    <t>Становая тяга</t>
  </si>
  <si>
    <t>ВЕСОВАЯ КАТЕГОРИЯ   52</t>
  </si>
  <si>
    <t>Попова Яна</t>
  </si>
  <si>
    <t>49,50</t>
  </si>
  <si>
    <t xml:space="preserve">Барнаул/Алтайский край </t>
  </si>
  <si>
    <t>75,0</t>
  </si>
  <si>
    <t>80,0</t>
  </si>
  <si>
    <t>82,5</t>
  </si>
  <si>
    <t>35,0</t>
  </si>
  <si>
    <t>37,5</t>
  </si>
  <si>
    <t>40,0</t>
  </si>
  <si>
    <t>85,0</t>
  </si>
  <si>
    <t>87,5</t>
  </si>
  <si>
    <t>Посвистак Яна</t>
  </si>
  <si>
    <t>Открытая (24.11.1999)/23</t>
  </si>
  <si>
    <t>51,80</t>
  </si>
  <si>
    <t>100,0</t>
  </si>
  <si>
    <t>105,0</t>
  </si>
  <si>
    <t>110,0</t>
  </si>
  <si>
    <t>52,5</t>
  </si>
  <si>
    <t>55,0</t>
  </si>
  <si>
    <t>57,5</t>
  </si>
  <si>
    <t>112,5</t>
  </si>
  <si>
    <t>Морозова Мария</t>
  </si>
  <si>
    <t>Открытая (11.08.1992)/30</t>
  </si>
  <si>
    <t>50,90</t>
  </si>
  <si>
    <t>77,5</t>
  </si>
  <si>
    <t>107,5</t>
  </si>
  <si>
    <t>115,0</t>
  </si>
  <si>
    <t>ВЕСОВАЯ КАТЕГОРИЯ   56</t>
  </si>
  <si>
    <t>Манолидис Майя</t>
  </si>
  <si>
    <t>Юниорки (06.04.2001)/21</t>
  </si>
  <si>
    <t>56,00</t>
  </si>
  <si>
    <t xml:space="preserve">Новосибирск/Новосибирская область </t>
  </si>
  <si>
    <t>70,0</t>
  </si>
  <si>
    <t>45,0</t>
  </si>
  <si>
    <t>50,0</t>
  </si>
  <si>
    <t>90,0</t>
  </si>
  <si>
    <t>Шульгина Карина</t>
  </si>
  <si>
    <t>Открытая (19.05.1995)/27</t>
  </si>
  <si>
    <t>55,00</t>
  </si>
  <si>
    <t>62,5</t>
  </si>
  <si>
    <t>120,0</t>
  </si>
  <si>
    <t>130,0</t>
  </si>
  <si>
    <t>Радченко Полина</t>
  </si>
  <si>
    <t>Открытая (28.05.2006)/16</t>
  </si>
  <si>
    <t>ВЕСОВАЯ КАТЕГОРИЯ   60</t>
  </si>
  <si>
    <t>Рачковская Мария</t>
  </si>
  <si>
    <t>Открытая (17.11.1996)/26</t>
  </si>
  <si>
    <t>59,30</t>
  </si>
  <si>
    <t>117,5</t>
  </si>
  <si>
    <t>60,0</t>
  </si>
  <si>
    <t>65,0</t>
  </si>
  <si>
    <t>67,5</t>
  </si>
  <si>
    <t>137,5</t>
  </si>
  <si>
    <t>Ускова Мария</t>
  </si>
  <si>
    <t>Открытая (12.08.1995)/27</t>
  </si>
  <si>
    <t>59,60</t>
  </si>
  <si>
    <t>95,0</t>
  </si>
  <si>
    <t>125,0</t>
  </si>
  <si>
    <t>135,0</t>
  </si>
  <si>
    <t>145,0</t>
  </si>
  <si>
    <t>Бельмегина Елена</t>
  </si>
  <si>
    <t>Открытая (14.08.1982)/40</t>
  </si>
  <si>
    <t>59,50</t>
  </si>
  <si>
    <t>102,5</t>
  </si>
  <si>
    <t>Камнева Елена</t>
  </si>
  <si>
    <t>Открытая (24.03.1988)/34</t>
  </si>
  <si>
    <t>57,80</t>
  </si>
  <si>
    <t>Лопатина Валерия</t>
  </si>
  <si>
    <t>Открытая (19.04.1999)/23</t>
  </si>
  <si>
    <t>59,40</t>
  </si>
  <si>
    <t>ВЕСОВАЯ КАТЕГОРИЯ   67.5</t>
  </si>
  <si>
    <t>Медведева Александра</t>
  </si>
  <si>
    <t>Открытая (28.01.1996)/27</t>
  </si>
  <si>
    <t>65,00</t>
  </si>
  <si>
    <t>127,5</t>
  </si>
  <si>
    <t>155,0</t>
  </si>
  <si>
    <t>160,0</t>
  </si>
  <si>
    <t>Слискова Анастасия</t>
  </si>
  <si>
    <t>Открытая (18.11.1986)/36</t>
  </si>
  <si>
    <t>66,50</t>
  </si>
  <si>
    <t>ВЕСОВАЯ КАТЕГОРИЯ   75</t>
  </si>
  <si>
    <t>Миронова Анастасия</t>
  </si>
  <si>
    <t>Открытая (13.11.1987)/35</t>
  </si>
  <si>
    <t>68,30</t>
  </si>
  <si>
    <t>47,5</t>
  </si>
  <si>
    <t>ВЕСОВАЯ КАТЕГОРИЯ   82.5</t>
  </si>
  <si>
    <t>Чередова Дарина</t>
  </si>
  <si>
    <t>Юниорки (23.09.2002)/20</t>
  </si>
  <si>
    <t>80,40</t>
  </si>
  <si>
    <t>Морозов Александр</t>
  </si>
  <si>
    <t>57,40</t>
  </si>
  <si>
    <t>Колов Игорь</t>
  </si>
  <si>
    <t>56,20</t>
  </si>
  <si>
    <t>72,5</t>
  </si>
  <si>
    <t>Бажан Глеб</t>
  </si>
  <si>
    <t>61,80</t>
  </si>
  <si>
    <t>150,0</t>
  </si>
  <si>
    <t>Прокопец Арсений</t>
  </si>
  <si>
    <t>65,70</t>
  </si>
  <si>
    <t>142,5</t>
  </si>
  <si>
    <t>Варвенюк Мирон</t>
  </si>
  <si>
    <t>66,20</t>
  </si>
  <si>
    <t>Заев Илья</t>
  </si>
  <si>
    <t>71,90</t>
  </si>
  <si>
    <t>Карпов Дмитрий</t>
  </si>
  <si>
    <t>75,00</t>
  </si>
  <si>
    <t>Ефимов Виктор</t>
  </si>
  <si>
    <t>72,80</t>
  </si>
  <si>
    <t>Корольков Леонид</t>
  </si>
  <si>
    <t>Открытая (26.04.1998)/24</t>
  </si>
  <si>
    <t>74,70</t>
  </si>
  <si>
    <t>152,5</t>
  </si>
  <si>
    <t>165,0</t>
  </si>
  <si>
    <t>175,0</t>
  </si>
  <si>
    <t>Чукмаров Азис</t>
  </si>
  <si>
    <t>Юниоры (04.11.2002)/20</t>
  </si>
  <si>
    <t>80,90</t>
  </si>
  <si>
    <t>157,5</t>
  </si>
  <si>
    <t>162,5</t>
  </si>
  <si>
    <t>170,0</t>
  </si>
  <si>
    <t>97,5</t>
  </si>
  <si>
    <t>180,0</t>
  </si>
  <si>
    <t>192,5</t>
  </si>
  <si>
    <t>200,0</t>
  </si>
  <si>
    <t>Дрыгин Евгений</t>
  </si>
  <si>
    <t>Открытая (06.04.1989)/33</t>
  </si>
  <si>
    <t>80,20</t>
  </si>
  <si>
    <t>140,0</t>
  </si>
  <si>
    <t>215,0</t>
  </si>
  <si>
    <t>230,0</t>
  </si>
  <si>
    <t>Гладких Александр</t>
  </si>
  <si>
    <t>Открытая (26.09.1999)/23</t>
  </si>
  <si>
    <t>79,80</t>
  </si>
  <si>
    <t>220,0</t>
  </si>
  <si>
    <t>235,0</t>
  </si>
  <si>
    <t>Цыганенко Дмитрий</t>
  </si>
  <si>
    <t>Открытая (29.09.1997)/25</t>
  </si>
  <si>
    <t>76,90</t>
  </si>
  <si>
    <t>210,0</t>
  </si>
  <si>
    <t>ВЕСОВАЯ КАТЕГОРИЯ   90</t>
  </si>
  <si>
    <t>Гусилетов Андрей</t>
  </si>
  <si>
    <t>Юниоры (28.10.1999)/23</t>
  </si>
  <si>
    <t>85,00</t>
  </si>
  <si>
    <t>122,5</t>
  </si>
  <si>
    <t>245,0</t>
  </si>
  <si>
    <t>255,0</t>
  </si>
  <si>
    <t>Котенёв Владимир</t>
  </si>
  <si>
    <t>Открытая (01.05.1991)/31</t>
  </si>
  <si>
    <t>90,00</t>
  </si>
  <si>
    <t>232,5</t>
  </si>
  <si>
    <t>260,0</t>
  </si>
  <si>
    <t>270,0</t>
  </si>
  <si>
    <t>280,0</t>
  </si>
  <si>
    <t>Лычагин Алексей</t>
  </si>
  <si>
    <t>Открытая (04.08.1983)/39</t>
  </si>
  <si>
    <t>86,70</t>
  </si>
  <si>
    <t>205,0</t>
  </si>
  <si>
    <t>172,5</t>
  </si>
  <si>
    <t>285,0</t>
  </si>
  <si>
    <t>290,0</t>
  </si>
  <si>
    <t>Клубович Александр</t>
  </si>
  <si>
    <t>Открытая (25.11.1994)/28</t>
  </si>
  <si>
    <t>84,00</t>
  </si>
  <si>
    <t>185,0</t>
  </si>
  <si>
    <t>195,0</t>
  </si>
  <si>
    <t>225,0</t>
  </si>
  <si>
    <t>240,0</t>
  </si>
  <si>
    <t>Кадубец Александр</t>
  </si>
  <si>
    <t>Открытая (06.05.1989)/33</t>
  </si>
  <si>
    <t>89,10</t>
  </si>
  <si>
    <t>177,5</t>
  </si>
  <si>
    <t>190,0</t>
  </si>
  <si>
    <t>Тимошенко Александр</t>
  </si>
  <si>
    <t>89,70</t>
  </si>
  <si>
    <t>147,5</t>
  </si>
  <si>
    <t>ВЕСОВАЯ КАТЕГОРИЯ   100</t>
  </si>
  <si>
    <t>Пустовойтов Никита</t>
  </si>
  <si>
    <t>97,20</t>
  </si>
  <si>
    <t>Датий Сергей</t>
  </si>
  <si>
    <t>Открытая (31.07.1983)/39</t>
  </si>
  <si>
    <t>99,00</t>
  </si>
  <si>
    <t>250,0</t>
  </si>
  <si>
    <t>Сакович Владислав</t>
  </si>
  <si>
    <t>Открытая (10.07.1995)/27</t>
  </si>
  <si>
    <t>95,20</t>
  </si>
  <si>
    <t>Лемберг Антон</t>
  </si>
  <si>
    <t>Открытая (18.12.1984)/38</t>
  </si>
  <si>
    <t>94,00</t>
  </si>
  <si>
    <t>Панов Роман</t>
  </si>
  <si>
    <t>Открытая (15.05.1985)/37</t>
  </si>
  <si>
    <t>92,60</t>
  </si>
  <si>
    <t>Кулагин Антон</t>
  </si>
  <si>
    <t>Открытая (16.12.1983)/39</t>
  </si>
  <si>
    <t>98,30</t>
  </si>
  <si>
    <t>Попов Станислав</t>
  </si>
  <si>
    <t>Открытая (23.05.1995)/27</t>
  </si>
  <si>
    <t>96,50</t>
  </si>
  <si>
    <t>ВЕСОВАЯ КАТЕГОРИЯ   110</t>
  </si>
  <si>
    <t>Чернозипунников Тимофей</t>
  </si>
  <si>
    <t>108,90</t>
  </si>
  <si>
    <t>197,5</t>
  </si>
  <si>
    <t>Тактаев Александр</t>
  </si>
  <si>
    <t>Открытая (13.09.1996)/26</t>
  </si>
  <si>
    <t>109,90</t>
  </si>
  <si>
    <t>222,5</t>
  </si>
  <si>
    <t>257,5</t>
  </si>
  <si>
    <t>262,5</t>
  </si>
  <si>
    <t>Новосельцев Сергей</t>
  </si>
  <si>
    <t>Открытая (20.07.1995)/27</t>
  </si>
  <si>
    <t>103,40</t>
  </si>
  <si>
    <t xml:space="preserve">Абсолютный зачёт </t>
  </si>
  <si>
    <t xml:space="preserve">Женщины </t>
  </si>
  <si>
    <t xml:space="preserve">ФИО </t>
  </si>
  <si>
    <t xml:space="preserve">Возрастная группа </t>
  </si>
  <si>
    <t xml:space="preserve">Сумма </t>
  </si>
  <si>
    <t xml:space="preserve">Wilks </t>
  </si>
  <si>
    <t xml:space="preserve">Юниоры </t>
  </si>
  <si>
    <t>82.5</t>
  </si>
  <si>
    <t>56</t>
  </si>
  <si>
    <t xml:space="preserve">Открытая </t>
  </si>
  <si>
    <t>67.5</t>
  </si>
  <si>
    <t>60</t>
  </si>
  <si>
    <t xml:space="preserve">Мужчины </t>
  </si>
  <si>
    <t xml:space="preserve">Юноши </t>
  </si>
  <si>
    <t>100</t>
  </si>
  <si>
    <t>90</t>
  </si>
  <si>
    <t xml:space="preserve">Мастера </t>
  </si>
  <si>
    <t>1</t>
  </si>
  <si>
    <t>2</t>
  </si>
  <si>
    <t>-</t>
  </si>
  <si>
    <t>3</t>
  </si>
  <si>
    <t>4</t>
  </si>
  <si>
    <t>5</t>
  </si>
  <si>
    <t>6</t>
  </si>
  <si>
    <t>Вишняк Анна</t>
  </si>
  <si>
    <t>Открытая (12.12.1984)/38</t>
  </si>
  <si>
    <t>57,90</t>
  </si>
  <si>
    <t>Бородина Валентина</t>
  </si>
  <si>
    <t>78,60</t>
  </si>
  <si>
    <t>Побойкин Сергей</t>
  </si>
  <si>
    <t>Открытая (10.03.1989)/33</t>
  </si>
  <si>
    <t>73,10</t>
  </si>
  <si>
    <t>Гусаров Евгений</t>
  </si>
  <si>
    <t>Открытая (01.07.1995)/27</t>
  </si>
  <si>
    <t>73,80</t>
  </si>
  <si>
    <t xml:space="preserve">Новоалтайск/Алтайский край </t>
  </si>
  <si>
    <t>Лукьянов Данил</t>
  </si>
  <si>
    <t>Открытая (09.10.1997)/25</t>
  </si>
  <si>
    <t>82,40</t>
  </si>
  <si>
    <t>Быховец Артём</t>
  </si>
  <si>
    <t>Открытая (29.09.1992)/30</t>
  </si>
  <si>
    <t>Лысенко Евгений</t>
  </si>
  <si>
    <t>89,30</t>
  </si>
  <si>
    <t>132,5</t>
  </si>
  <si>
    <t>Касьяненко Григорий</t>
  </si>
  <si>
    <t>Открытая (28.03.1990)/32</t>
  </si>
  <si>
    <t>93,30</t>
  </si>
  <si>
    <t>187,5</t>
  </si>
  <si>
    <t>Астафьев Николай</t>
  </si>
  <si>
    <t xml:space="preserve">Заринск/Алтайский край </t>
  </si>
  <si>
    <t>Тактаев Николай</t>
  </si>
  <si>
    <t>100,50</t>
  </si>
  <si>
    <t>ВЕСОВАЯ КАТЕГОРИЯ   140</t>
  </si>
  <si>
    <t>Хозяинов Николай</t>
  </si>
  <si>
    <t>Юниоры (21.02.2003)/20</t>
  </si>
  <si>
    <t>137,00</t>
  </si>
  <si>
    <t xml:space="preserve">Результат </t>
  </si>
  <si>
    <t>75</t>
  </si>
  <si>
    <t>Результат</t>
  </si>
  <si>
    <t>Боева Дарья</t>
  </si>
  <si>
    <t>Юниорки (12.05.1999)/23</t>
  </si>
  <si>
    <t>Толстокорова Юлия</t>
  </si>
  <si>
    <t>Попова Илона</t>
  </si>
  <si>
    <t>Открытая (25.05.1985)/37</t>
  </si>
  <si>
    <t>58,30</t>
  </si>
  <si>
    <t>Кузнецова Нина</t>
  </si>
  <si>
    <t>Открытая (02.11.1987)/35</t>
  </si>
  <si>
    <t>80,60</t>
  </si>
  <si>
    <t>Горбунов Евгений</t>
  </si>
  <si>
    <t>Юниоры (21.02.2000)/23</t>
  </si>
  <si>
    <t>Айтмухаметов Жамбул</t>
  </si>
  <si>
    <t>70,60</t>
  </si>
  <si>
    <t>Абрамов Вадим</t>
  </si>
  <si>
    <t>79,40</t>
  </si>
  <si>
    <t>Пашков Анатолий</t>
  </si>
  <si>
    <t>79,00</t>
  </si>
  <si>
    <t>Шеховцев Роман</t>
  </si>
  <si>
    <t>Открытая (25.08.1984)/38</t>
  </si>
  <si>
    <t>87,60</t>
  </si>
  <si>
    <t>Лупанов Кирилл</t>
  </si>
  <si>
    <t>96,10</t>
  </si>
  <si>
    <t>Куропаткин Антон</t>
  </si>
  <si>
    <t>Открытая (21.11.1984)/38</t>
  </si>
  <si>
    <t>96,80</t>
  </si>
  <si>
    <t>275,0</t>
  </si>
  <si>
    <t>Исмагилов Виктор</t>
  </si>
  <si>
    <t>99,80</t>
  </si>
  <si>
    <t>Кобец Артур</t>
  </si>
  <si>
    <t>Открытая (10.06.1967)/55</t>
  </si>
  <si>
    <t>110,00</t>
  </si>
  <si>
    <t xml:space="preserve">Бийск/Алтайский край </t>
  </si>
  <si>
    <t>110</t>
  </si>
  <si>
    <t>20,0</t>
  </si>
  <si>
    <t>30,0</t>
  </si>
  <si>
    <t>Зверев Лев</t>
  </si>
  <si>
    <t>Открытая (08.03.2004)/18</t>
  </si>
  <si>
    <t>76,50</t>
  </si>
  <si>
    <t>Полосин Сергей</t>
  </si>
  <si>
    <t>Открытая (27.09.1983)/39</t>
  </si>
  <si>
    <t>88,10</t>
  </si>
  <si>
    <t>Парамонов Александр</t>
  </si>
  <si>
    <t>Открытая (06.05.1985)/37</t>
  </si>
  <si>
    <t>87,90</t>
  </si>
  <si>
    <t>Волокитин Роман</t>
  </si>
  <si>
    <t>Открытая (12.01.2004)/19</t>
  </si>
  <si>
    <t>88,70</t>
  </si>
  <si>
    <t>Хартов Николай</t>
  </si>
  <si>
    <t>Открытая (22.06.1998)/24</t>
  </si>
  <si>
    <t>97,10</t>
  </si>
  <si>
    <t>Открытая (24.02.1980)/43</t>
  </si>
  <si>
    <t xml:space="preserve">Gloss </t>
  </si>
  <si>
    <t>Девушки (25.03.2004)/18</t>
  </si>
  <si>
    <t>Мастера (30.09.1973)/49</t>
  </si>
  <si>
    <t>Юноши (26.08.2005)/17</t>
  </si>
  <si>
    <t>Юноши (02.07.2003)/19</t>
  </si>
  <si>
    <t>Юноши (02.06.2005)/17</t>
  </si>
  <si>
    <t>Юноши (08.08.2005)/17</t>
  </si>
  <si>
    <t>Юноши (18.11.2004)/18</t>
  </si>
  <si>
    <t>Юноши (06.01.2010)/13</t>
  </si>
  <si>
    <t>Мастера (15.02.1974)/49</t>
  </si>
  <si>
    <t>Юноши (12.08.2005)/17</t>
  </si>
  <si>
    <t>Юноши (12.05.2004)/18</t>
  </si>
  <si>
    <t>Юноши</t>
  </si>
  <si>
    <t>Кулешов Михаил</t>
  </si>
  <si>
    <t>Лубягин Денис</t>
  </si>
  <si>
    <t xml:space="preserve">Касьяненко Григорий </t>
  </si>
  <si>
    <t>Клюкин Дмитрий</t>
  </si>
  <si>
    <t xml:space="preserve">Кулешов Михаил </t>
  </si>
  <si>
    <t xml:space="preserve">Сакович Владислав </t>
  </si>
  <si>
    <t>Юноши (09.01.2008)/15</t>
  </si>
  <si>
    <t>Морозов Андрей</t>
  </si>
  <si>
    <t xml:space="preserve">Авдеев Роман  </t>
  </si>
  <si>
    <t xml:space="preserve">Клюкин Дмитрий </t>
  </si>
  <si>
    <t xml:space="preserve">Ганш Евгений </t>
  </si>
  <si>
    <t xml:space="preserve">Тактаев Александр </t>
  </si>
  <si>
    <t xml:space="preserve">Лубягин Денис </t>
  </si>
  <si>
    <t>Мастера(11.06.1954)/68</t>
  </si>
  <si>
    <t>Мастера (24.02.1980)/43</t>
  </si>
  <si>
    <t>Мастера (06.11.1976)/46</t>
  </si>
  <si>
    <t xml:space="preserve">Быховец Артём </t>
  </si>
  <si>
    <t xml:space="preserve">Датий Сергей </t>
  </si>
  <si>
    <t>Ефимов Андрей</t>
  </si>
  <si>
    <t>Самостоятельно</t>
  </si>
  <si>
    <t xml:space="preserve">Куропаткин Антон </t>
  </si>
  <si>
    <t>Мастера (01.09.1947)/75</t>
  </si>
  <si>
    <t>Юноши (01.11.2004)/18</t>
  </si>
  <si>
    <t>Мастера (16.05.1950)/72</t>
  </si>
  <si>
    <t>Юноши (07.07.2004)/18</t>
  </si>
  <si>
    <t>Мастера (30.01.1948)/75</t>
  </si>
  <si>
    <t>Мастера</t>
  </si>
  <si>
    <t xml:space="preserve">Лукьянов Данил </t>
  </si>
  <si>
    <t xml:space="preserve">Вишняк Анна </t>
  </si>
  <si>
    <t xml:space="preserve">Ефимов Андрей </t>
  </si>
  <si>
    <t xml:space="preserve">Авдеев Роман </t>
  </si>
  <si>
    <t xml:space="preserve">Пашков Анатолий </t>
  </si>
  <si>
    <t xml:space="preserve">Полосин Сергей </t>
  </si>
  <si>
    <t xml:space="preserve">Пономарев Сергей </t>
  </si>
  <si>
    <t>Весовая категория</t>
  </si>
  <si>
    <t>IV Открытый Кубок города Новоалтайска
WRPF Пауэрлифтинг без экипировки
Новоалтайск/Алтайский край, 26 февраля 2023 года</t>
  </si>
  <si>
    <t>IV Открытый Кубок города Новоалтайска
WRPF Жим лежа без экипировки
Новоалтайск/Алтайский край, 26 февраля 2023 года</t>
  </si>
  <si>
    <t>IV Открытый Кубок города Новоалтайска
WRPF Становая тяга без экипировки
Новоалтайск/Алтайский край, 26 февраля 2023 года</t>
  </si>
  <si>
    <t>IV Открытый Кубок города Новоалтайска
WRPF Строгий подъем штанги на бицепс
Новоалтайск/Алтайский край, 26 февраля 2023 года</t>
  </si>
  <si>
    <t>Весовая категрия</t>
  </si>
  <si>
    <t>№</t>
  </si>
  <si>
    <t>Жим</t>
  </si>
  <si>
    <t xml:space="preserve">
Дата рождения/Возраст</t>
  </si>
  <si>
    <t>Возрастная группа</t>
  </si>
  <si>
    <t>O</t>
  </si>
  <si>
    <t>J</t>
  </si>
  <si>
    <t>T2</t>
  </si>
  <si>
    <t>M1</t>
  </si>
  <si>
    <t>M4</t>
  </si>
  <si>
    <t>M3</t>
  </si>
  <si>
    <t>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</si>
</sst>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workbookViewId="0">
      <selection activeCell="A3" sqref="A3:A4"/>
    </sheetView>
  </sheetViews>
  <sheetFormatPr baseColWidth="10" defaultColWidth="9.1640625" defaultRowHeight="13"/>
  <cols>
    <col min="1" max="1" width="25.83203125" style="4" bestFit="1" customWidth="1"/>
    <col min="2" max="2" width="27.83203125" style="4" customWidth="1"/>
    <col min="3" max="3" width="16.5" style="4" customWidth="1"/>
    <col min="4" max="4" width="6.5" style="5" bestFit="1" customWidth="1"/>
    <col min="5" max="5" width="23.6640625" style="4" bestFit="1" customWidth="1"/>
    <col min="6" max="6" width="21.1640625" style="4" bestFit="1" customWidth="1"/>
    <col min="7" max="7" width="6.5" style="3" bestFit="1" customWidth="1"/>
    <col min="8" max="9" width="2.1640625" style="3" bestFit="1" customWidth="1"/>
    <col min="10" max="10" width="4.83203125" style="3" bestFit="1" customWidth="1"/>
    <col min="11" max="13" width="2.1640625" style="3" bestFit="1" customWidth="1"/>
    <col min="14" max="14" width="4.83203125" style="3" bestFit="1" customWidth="1"/>
    <col min="15" max="17" width="2.1640625" style="3" bestFit="1" customWidth="1"/>
    <col min="18" max="18" width="4.83203125" style="3" bestFit="1" customWidth="1"/>
    <col min="19" max="19" width="5" style="3" bestFit="1" customWidth="1"/>
    <col min="20" max="20" width="10.5" style="3" bestFit="1" customWidth="1"/>
    <col min="21" max="21" width="5" style="3" bestFit="1" customWidth="1"/>
    <col min="22" max="22" width="10.5" style="3" bestFit="1" customWidth="1"/>
    <col min="23" max="23" width="7.83203125" style="7" bestFit="1" customWidth="1"/>
    <col min="24" max="24" width="8.5" style="8" bestFit="1" customWidth="1"/>
    <col min="25" max="25" width="23" style="4" bestFit="1" customWidth="1"/>
    <col min="26" max="16384" width="9.1640625" style="3"/>
  </cols>
  <sheetData>
    <row r="1" spans="1:25" s="2" customFormat="1" ht="15" customHeight="1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2"/>
    </row>
    <row r="2" spans="1:25" s="2" customFormat="1" ht="66" customHeight="1" thickBot="1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</row>
    <row r="3" spans="1:25" s="1" customFormat="1" ht="12.75" customHeight="1">
      <c r="A3" s="56" t="s">
        <v>0</v>
      </c>
      <c r="B3" s="58" t="s">
        <v>7</v>
      </c>
      <c r="C3" s="58" t="s">
        <v>11</v>
      </c>
      <c r="D3" s="60" t="s">
        <v>6</v>
      </c>
      <c r="E3" s="62" t="s">
        <v>4</v>
      </c>
      <c r="F3" s="62" t="s">
        <v>8</v>
      </c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0" t="s">
        <v>1</v>
      </c>
      <c r="X3" s="60" t="s">
        <v>3</v>
      </c>
      <c r="Y3" s="63" t="s">
        <v>2</v>
      </c>
    </row>
    <row r="4" spans="1:25" s="1" customFormat="1" ht="21" customHeight="1" thickBot="1">
      <c r="A4" s="57"/>
      <c r="B4" s="59"/>
      <c r="C4" s="59"/>
      <c r="D4" s="61"/>
      <c r="E4" s="59"/>
      <c r="F4" s="59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9">
        <v>1</v>
      </c>
      <c r="P4" s="9">
        <v>2</v>
      </c>
      <c r="Q4" s="9">
        <v>3</v>
      </c>
      <c r="R4" s="9" t="s">
        <v>5</v>
      </c>
      <c r="S4" s="9" t="s">
        <v>9</v>
      </c>
      <c r="T4" s="9" t="s">
        <v>10</v>
      </c>
      <c r="U4" s="9" t="s">
        <v>9</v>
      </c>
      <c r="V4" s="9" t="s">
        <v>10</v>
      </c>
      <c r="W4" s="61"/>
      <c r="X4" s="61"/>
      <c r="Y4" s="64"/>
    </row>
    <row r="5" spans="1:25">
      <c r="G5" s="6"/>
    </row>
  </sheetData>
  <mergeCells count="15">
    <mergeCell ref="A1:Y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T3"/>
    <mergeCell ref="U3:V3"/>
    <mergeCell ref="W3:W4"/>
    <mergeCell ref="X3:X4"/>
    <mergeCell ref="Y3:Y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1:U96"/>
  <sheetViews>
    <sheetView tabSelected="1" zoomScaleNormal="100" workbookViewId="0">
      <selection activeCell="E74" sqref="E74"/>
    </sheetView>
  </sheetViews>
  <sheetFormatPr baseColWidth="10" defaultColWidth="9.1640625" defaultRowHeight="13"/>
  <cols>
    <col min="1" max="1" width="7.5" style="10" bestFit="1" customWidth="1"/>
    <col min="2" max="2" width="24.5" style="10" bestFit="1" customWidth="1"/>
    <col min="3" max="3" width="27.83203125" style="10" customWidth="1"/>
    <col min="4" max="4" width="21.5" style="10" bestFit="1" customWidth="1"/>
    <col min="5" max="5" width="10.5" style="24" bestFit="1" customWidth="1"/>
    <col min="6" max="6" width="38" style="10" customWidth="1"/>
    <col min="7" max="9" width="5.5" style="32" customWidth="1"/>
    <col min="10" max="10" width="4.83203125" style="32" customWidth="1"/>
    <col min="11" max="13" width="5.5" style="32" customWidth="1"/>
    <col min="14" max="14" width="4.83203125" style="32" customWidth="1"/>
    <col min="15" max="17" width="5.5" style="32" customWidth="1"/>
    <col min="18" max="18" width="4.83203125" style="32" customWidth="1"/>
    <col min="19" max="19" width="7.83203125" style="11" bestFit="1" customWidth="1"/>
    <col min="20" max="20" width="8.5" style="11" bestFit="1" customWidth="1"/>
    <col min="21" max="21" width="21.6640625" style="10" customWidth="1"/>
    <col min="22" max="16384" width="9.1640625" style="3"/>
  </cols>
  <sheetData>
    <row r="1" spans="1:21" s="2" customFormat="1" ht="29" customHeight="1">
      <c r="A1" s="65" t="s">
        <v>384</v>
      </c>
      <c r="B1" s="66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</row>
    <row r="2" spans="1:21" s="2" customFormat="1" ht="62" customHeight="1" thickBot="1">
      <c r="A2" s="53"/>
      <c r="B2" s="67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s="1" customFormat="1" ht="12.75" customHeight="1">
      <c r="A3" s="56" t="s">
        <v>389</v>
      </c>
      <c r="B3" s="70" t="s">
        <v>0</v>
      </c>
      <c r="C3" s="58" t="s">
        <v>391</v>
      </c>
      <c r="D3" s="58" t="s">
        <v>11</v>
      </c>
      <c r="E3" s="60" t="s">
        <v>392</v>
      </c>
      <c r="F3" s="62" t="s">
        <v>8</v>
      </c>
      <c r="G3" s="62" t="s">
        <v>12</v>
      </c>
      <c r="H3" s="62"/>
      <c r="I3" s="62"/>
      <c r="J3" s="62"/>
      <c r="K3" s="62" t="s">
        <v>13</v>
      </c>
      <c r="L3" s="62"/>
      <c r="M3" s="62"/>
      <c r="N3" s="62"/>
      <c r="O3" s="62" t="s">
        <v>14</v>
      </c>
      <c r="P3" s="62"/>
      <c r="Q3" s="62"/>
      <c r="R3" s="62"/>
      <c r="S3" s="60" t="s">
        <v>1</v>
      </c>
      <c r="T3" s="60" t="s">
        <v>3</v>
      </c>
      <c r="U3" s="63" t="s">
        <v>2</v>
      </c>
    </row>
    <row r="4" spans="1:21" s="1" customFormat="1" ht="21" customHeight="1" thickBot="1">
      <c r="A4" s="57"/>
      <c r="B4" s="71"/>
      <c r="C4" s="59"/>
      <c r="D4" s="59"/>
      <c r="E4" s="61"/>
      <c r="F4" s="59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9">
        <v>1</v>
      </c>
      <c r="P4" s="9">
        <v>2</v>
      </c>
      <c r="Q4" s="9">
        <v>3</v>
      </c>
      <c r="R4" s="9" t="s">
        <v>5</v>
      </c>
      <c r="S4" s="61"/>
      <c r="T4" s="61"/>
      <c r="U4" s="64"/>
    </row>
    <row r="5" spans="1:21" ht="16">
      <c r="A5" s="72" t="s">
        <v>15</v>
      </c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21">
      <c r="A6" s="35" t="s">
        <v>243</v>
      </c>
      <c r="B6" s="12" t="s">
        <v>16</v>
      </c>
      <c r="C6" s="12" t="s">
        <v>337</v>
      </c>
      <c r="D6" s="12" t="s">
        <v>17</v>
      </c>
      <c r="E6" s="13" t="s">
        <v>395</v>
      </c>
      <c r="F6" s="12" t="s">
        <v>18</v>
      </c>
      <c r="G6" s="34" t="s">
        <v>19</v>
      </c>
      <c r="H6" s="34" t="s">
        <v>20</v>
      </c>
      <c r="I6" s="34" t="s">
        <v>21</v>
      </c>
      <c r="J6" s="35"/>
      <c r="K6" s="36" t="s">
        <v>22</v>
      </c>
      <c r="L6" s="34" t="s">
        <v>23</v>
      </c>
      <c r="M6" s="34" t="s">
        <v>24</v>
      </c>
      <c r="N6" s="35"/>
      <c r="O6" s="34" t="s">
        <v>20</v>
      </c>
      <c r="P6" s="34" t="s">
        <v>25</v>
      </c>
      <c r="Q6" s="36" t="s">
        <v>26</v>
      </c>
      <c r="R6" s="35"/>
      <c r="S6" s="14" t="str">
        <f>"207,5"</f>
        <v>207,5</v>
      </c>
      <c r="T6" s="14" t="str">
        <f>"268,5880"</f>
        <v>268,5880</v>
      </c>
      <c r="U6" s="12" t="s">
        <v>349</v>
      </c>
    </row>
    <row r="7" spans="1:21">
      <c r="A7" s="38" t="s">
        <v>243</v>
      </c>
      <c r="B7" s="15" t="s">
        <v>27</v>
      </c>
      <c r="C7" s="15" t="s">
        <v>28</v>
      </c>
      <c r="D7" s="15" t="s">
        <v>29</v>
      </c>
      <c r="E7" s="16" t="s">
        <v>393</v>
      </c>
      <c r="F7" s="15" t="s">
        <v>18</v>
      </c>
      <c r="G7" s="37" t="s">
        <v>30</v>
      </c>
      <c r="H7" s="37" t="s">
        <v>31</v>
      </c>
      <c r="I7" s="37" t="s">
        <v>32</v>
      </c>
      <c r="J7" s="38"/>
      <c r="K7" s="37" t="s">
        <v>33</v>
      </c>
      <c r="L7" s="39" t="s">
        <v>34</v>
      </c>
      <c r="M7" s="37" t="s">
        <v>35</v>
      </c>
      <c r="N7" s="38"/>
      <c r="O7" s="37" t="s">
        <v>30</v>
      </c>
      <c r="P7" s="37" t="s">
        <v>31</v>
      </c>
      <c r="Q7" s="39" t="s">
        <v>36</v>
      </c>
      <c r="R7" s="38"/>
      <c r="S7" s="17" t="str">
        <f>"272,5"</f>
        <v>272,5</v>
      </c>
      <c r="T7" s="17" t="str">
        <f>"340,7340"</f>
        <v>340,7340</v>
      </c>
      <c r="U7" s="15" t="s">
        <v>349</v>
      </c>
    </row>
    <row r="8" spans="1:21">
      <c r="A8" s="41" t="s">
        <v>244</v>
      </c>
      <c r="B8" s="18" t="s">
        <v>37</v>
      </c>
      <c r="C8" s="18" t="s">
        <v>38</v>
      </c>
      <c r="D8" s="18" t="s">
        <v>39</v>
      </c>
      <c r="E8" s="19" t="s">
        <v>393</v>
      </c>
      <c r="F8" s="18" t="s">
        <v>18</v>
      </c>
      <c r="G8" s="40" t="s">
        <v>40</v>
      </c>
      <c r="H8" s="40" t="s">
        <v>21</v>
      </c>
      <c r="I8" s="40" t="s">
        <v>26</v>
      </c>
      <c r="J8" s="41"/>
      <c r="K8" s="40" t="s">
        <v>22</v>
      </c>
      <c r="L8" s="40" t="s">
        <v>23</v>
      </c>
      <c r="M8" s="40" t="s">
        <v>24</v>
      </c>
      <c r="N8" s="41"/>
      <c r="O8" s="40" t="s">
        <v>41</v>
      </c>
      <c r="P8" s="40" t="s">
        <v>36</v>
      </c>
      <c r="Q8" s="42" t="s">
        <v>42</v>
      </c>
      <c r="R8" s="41"/>
      <c r="S8" s="20" t="str">
        <f>"240,0"</f>
        <v>240,0</v>
      </c>
      <c r="T8" s="20" t="str">
        <f>"304,1520"</f>
        <v>304,1520</v>
      </c>
      <c r="U8" s="18" t="s">
        <v>350</v>
      </c>
    </row>
    <row r="10" spans="1:21" ht="16">
      <c r="A10" s="68" t="s">
        <v>43</v>
      </c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21">
      <c r="A11" s="35" t="s">
        <v>243</v>
      </c>
      <c r="B11" s="12" t="s">
        <v>44</v>
      </c>
      <c r="C11" s="12" t="s">
        <v>45</v>
      </c>
      <c r="D11" s="12" t="s">
        <v>46</v>
      </c>
      <c r="E11" s="13" t="s">
        <v>394</v>
      </c>
      <c r="F11" s="12" t="s">
        <v>47</v>
      </c>
      <c r="G11" s="34" t="s">
        <v>48</v>
      </c>
      <c r="H11" s="36" t="s">
        <v>19</v>
      </c>
      <c r="I11" s="34" t="s">
        <v>19</v>
      </c>
      <c r="J11" s="35"/>
      <c r="K11" s="34" t="s">
        <v>49</v>
      </c>
      <c r="L11" s="36" t="s">
        <v>50</v>
      </c>
      <c r="M11" s="36" t="s">
        <v>50</v>
      </c>
      <c r="N11" s="35"/>
      <c r="O11" s="34" t="s">
        <v>20</v>
      </c>
      <c r="P11" s="36" t="s">
        <v>51</v>
      </c>
      <c r="Q11" s="34" t="s">
        <v>51</v>
      </c>
      <c r="R11" s="35"/>
      <c r="S11" s="14" t="str">
        <f>"210,0"</f>
        <v>210,0</v>
      </c>
      <c r="T11" s="14" t="str">
        <f>"247,0860"</f>
        <v>247,0860</v>
      </c>
      <c r="U11" s="12" t="s">
        <v>351</v>
      </c>
    </row>
    <row r="12" spans="1:21">
      <c r="A12" s="38" t="s">
        <v>243</v>
      </c>
      <c r="B12" s="15" t="s">
        <v>52</v>
      </c>
      <c r="C12" s="15" t="s">
        <v>53</v>
      </c>
      <c r="D12" s="15" t="s">
        <v>54</v>
      </c>
      <c r="E12" s="16" t="s">
        <v>393</v>
      </c>
      <c r="F12" s="15" t="s">
        <v>18</v>
      </c>
      <c r="G12" s="37" t="s">
        <v>30</v>
      </c>
      <c r="H12" s="39" t="s">
        <v>32</v>
      </c>
      <c r="I12" s="37" t="s">
        <v>32</v>
      </c>
      <c r="J12" s="38"/>
      <c r="K12" s="37" t="s">
        <v>34</v>
      </c>
      <c r="L12" s="37" t="s">
        <v>35</v>
      </c>
      <c r="M12" s="39" t="s">
        <v>55</v>
      </c>
      <c r="N12" s="38"/>
      <c r="O12" s="37" t="s">
        <v>32</v>
      </c>
      <c r="P12" s="37" t="s">
        <v>56</v>
      </c>
      <c r="Q12" s="37" t="s">
        <v>57</v>
      </c>
      <c r="R12" s="38"/>
      <c r="S12" s="17" t="str">
        <f>"297,5"</f>
        <v>297,5</v>
      </c>
      <c r="T12" s="17" t="str">
        <f>"355,0068"</f>
        <v>355,0068</v>
      </c>
      <c r="U12" s="15" t="s">
        <v>198</v>
      </c>
    </row>
    <row r="13" spans="1:21">
      <c r="A13" s="41" t="s">
        <v>245</v>
      </c>
      <c r="B13" s="18" t="s">
        <v>58</v>
      </c>
      <c r="C13" s="18" t="s">
        <v>59</v>
      </c>
      <c r="D13" s="18" t="s">
        <v>46</v>
      </c>
      <c r="E13" s="19" t="s">
        <v>393</v>
      </c>
      <c r="F13" s="18" t="s">
        <v>18</v>
      </c>
      <c r="G13" s="41" t="s">
        <v>50</v>
      </c>
      <c r="H13" s="41"/>
      <c r="I13" s="41"/>
      <c r="J13" s="41"/>
      <c r="K13" s="41" t="s">
        <v>50</v>
      </c>
      <c r="L13" s="41"/>
      <c r="M13" s="41"/>
      <c r="N13" s="41"/>
      <c r="O13" s="41" t="s">
        <v>50</v>
      </c>
      <c r="P13" s="41"/>
      <c r="Q13" s="41"/>
      <c r="R13" s="41"/>
      <c r="S13" s="20" t="str">
        <f>"0.00"</f>
        <v>0.00</v>
      </c>
      <c r="T13" s="20" t="str">
        <f>"0,0000"</f>
        <v>0,0000</v>
      </c>
      <c r="U13" s="18" t="s">
        <v>352</v>
      </c>
    </row>
    <row r="15" spans="1:21" ht="16">
      <c r="A15" s="68" t="s">
        <v>60</v>
      </c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21">
      <c r="A16" s="35" t="s">
        <v>243</v>
      </c>
      <c r="B16" s="12" t="s">
        <v>61</v>
      </c>
      <c r="C16" s="12" t="s">
        <v>62</v>
      </c>
      <c r="D16" s="12" t="s">
        <v>63</v>
      </c>
      <c r="E16" s="13" t="s">
        <v>393</v>
      </c>
      <c r="F16" s="12" t="s">
        <v>18</v>
      </c>
      <c r="G16" s="34" t="s">
        <v>41</v>
      </c>
      <c r="H16" s="34" t="s">
        <v>36</v>
      </c>
      <c r="I16" s="36" t="s">
        <v>64</v>
      </c>
      <c r="J16" s="35"/>
      <c r="K16" s="34" t="s">
        <v>65</v>
      </c>
      <c r="L16" s="34" t="s">
        <v>66</v>
      </c>
      <c r="M16" s="36" t="s">
        <v>67</v>
      </c>
      <c r="N16" s="35"/>
      <c r="O16" s="34" t="s">
        <v>56</v>
      </c>
      <c r="P16" s="34" t="s">
        <v>57</v>
      </c>
      <c r="Q16" s="34" t="s">
        <v>68</v>
      </c>
      <c r="R16" s="35"/>
      <c r="S16" s="14" t="str">
        <f>"315,0"</f>
        <v>315,0</v>
      </c>
      <c r="T16" s="14" t="str">
        <f>"354,4065"</f>
        <v>354,4065</v>
      </c>
      <c r="U16" s="12" t="s">
        <v>353</v>
      </c>
    </row>
    <row r="17" spans="1:21">
      <c r="A17" s="38" t="s">
        <v>244</v>
      </c>
      <c r="B17" s="15" t="s">
        <v>69</v>
      </c>
      <c r="C17" s="15" t="s">
        <v>70</v>
      </c>
      <c r="D17" s="15" t="s">
        <v>71</v>
      </c>
      <c r="E17" s="16" t="s">
        <v>393</v>
      </c>
      <c r="F17" s="15" t="s">
        <v>18</v>
      </c>
      <c r="G17" s="37" t="s">
        <v>25</v>
      </c>
      <c r="H17" s="37" t="s">
        <v>72</v>
      </c>
      <c r="I17" s="37" t="s">
        <v>30</v>
      </c>
      <c r="J17" s="38"/>
      <c r="K17" s="37" t="s">
        <v>65</v>
      </c>
      <c r="L17" s="37" t="s">
        <v>66</v>
      </c>
      <c r="M17" s="37" t="s">
        <v>67</v>
      </c>
      <c r="N17" s="38"/>
      <c r="O17" s="37" t="s">
        <v>73</v>
      </c>
      <c r="P17" s="37" t="s">
        <v>74</v>
      </c>
      <c r="Q17" s="37" t="s">
        <v>75</v>
      </c>
      <c r="R17" s="38"/>
      <c r="S17" s="17" t="str">
        <f>"312,5"</f>
        <v>312,5</v>
      </c>
      <c r="T17" s="17" t="str">
        <f>"350,2188"</f>
        <v>350,2188</v>
      </c>
      <c r="U17" s="15" t="s">
        <v>198</v>
      </c>
    </row>
    <row r="18" spans="1:21">
      <c r="A18" s="38" t="s">
        <v>246</v>
      </c>
      <c r="B18" s="15" t="s">
        <v>76</v>
      </c>
      <c r="C18" s="15" t="s">
        <v>77</v>
      </c>
      <c r="D18" s="15" t="s">
        <v>78</v>
      </c>
      <c r="E18" s="16" t="s">
        <v>393</v>
      </c>
      <c r="F18" s="15" t="s">
        <v>18</v>
      </c>
      <c r="G18" s="37" t="s">
        <v>51</v>
      </c>
      <c r="H18" s="37" t="s">
        <v>72</v>
      </c>
      <c r="I18" s="39" t="s">
        <v>79</v>
      </c>
      <c r="J18" s="38"/>
      <c r="K18" s="37" t="s">
        <v>33</v>
      </c>
      <c r="L18" s="39" t="s">
        <v>34</v>
      </c>
      <c r="M18" s="39" t="s">
        <v>34</v>
      </c>
      <c r="N18" s="38"/>
      <c r="O18" s="37" t="s">
        <v>41</v>
      </c>
      <c r="P18" s="39" t="s">
        <v>42</v>
      </c>
      <c r="Q18" s="37" t="s">
        <v>42</v>
      </c>
      <c r="R18" s="38"/>
      <c r="S18" s="17" t="str">
        <f>"262,5"</f>
        <v>262,5</v>
      </c>
      <c r="T18" s="17" t="str">
        <f>"294,5512"</f>
        <v>294,5512</v>
      </c>
      <c r="U18" s="15" t="s">
        <v>350</v>
      </c>
    </row>
    <row r="19" spans="1:21">
      <c r="A19" s="38" t="s">
        <v>247</v>
      </c>
      <c r="B19" s="15" t="s">
        <v>80</v>
      </c>
      <c r="C19" s="15" t="s">
        <v>81</v>
      </c>
      <c r="D19" s="15" t="s">
        <v>82</v>
      </c>
      <c r="E19" s="16" t="s">
        <v>393</v>
      </c>
      <c r="F19" s="15" t="s">
        <v>18</v>
      </c>
      <c r="G19" s="37" t="s">
        <v>19</v>
      </c>
      <c r="H19" s="37" t="s">
        <v>25</v>
      </c>
      <c r="I19" s="37" t="s">
        <v>72</v>
      </c>
      <c r="J19" s="38"/>
      <c r="K19" s="37" t="s">
        <v>49</v>
      </c>
      <c r="L19" s="39" t="s">
        <v>50</v>
      </c>
      <c r="M19" s="39" t="s">
        <v>50</v>
      </c>
      <c r="N19" s="38"/>
      <c r="O19" s="37" t="s">
        <v>56</v>
      </c>
      <c r="P19" s="39" t="s">
        <v>57</v>
      </c>
      <c r="Q19" s="39" t="s">
        <v>57</v>
      </c>
      <c r="R19" s="38"/>
      <c r="S19" s="17" t="str">
        <f>"260,0"</f>
        <v>260,0</v>
      </c>
      <c r="T19" s="17" t="str">
        <f>"298,4280"</f>
        <v>298,4280</v>
      </c>
      <c r="U19" s="15" t="s">
        <v>307</v>
      </c>
    </row>
    <row r="20" spans="1:21">
      <c r="A20" s="41" t="s">
        <v>248</v>
      </c>
      <c r="B20" s="18" t="s">
        <v>83</v>
      </c>
      <c r="C20" s="18" t="s">
        <v>84</v>
      </c>
      <c r="D20" s="18" t="s">
        <v>85</v>
      </c>
      <c r="E20" s="19" t="s">
        <v>393</v>
      </c>
      <c r="F20" s="18" t="s">
        <v>18</v>
      </c>
      <c r="G20" s="40" t="s">
        <v>72</v>
      </c>
      <c r="H20" s="40" t="s">
        <v>30</v>
      </c>
      <c r="I20" s="42" t="s">
        <v>31</v>
      </c>
      <c r="J20" s="41"/>
      <c r="K20" s="40" t="s">
        <v>33</v>
      </c>
      <c r="L20" s="40" t="s">
        <v>34</v>
      </c>
      <c r="M20" s="42" t="s">
        <v>35</v>
      </c>
      <c r="N20" s="41"/>
      <c r="O20" s="40" t="s">
        <v>72</v>
      </c>
      <c r="P20" s="40" t="s">
        <v>30</v>
      </c>
      <c r="Q20" s="40" t="s">
        <v>31</v>
      </c>
      <c r="R20" s="41"/>
      <c r="S20" s="20" t="str">
        <f>"260,0"</f>
        <v>260,0</v>
      </c>
      <c r="T20" s="20" t="str">
        <f>"292,1360"</f>
        <v>292,1360</v>
      </c>
      <c r="U20" s="18" t="s">
        <v>354</v>
      </c>
    </row>
    <row r="22" spans="1:21" ht="16">
      <c r="A22" s="68" t="s">
        <v>86</v>
      </c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  <row r="23" spans="1:21">
      <c r="A23" s="35" t="s">
        <v>243</v>
      </c>
      <c r="B23" s="12" t="s">
        <v>87</v>
      </c>
      <c r="C23" s="12" t="s">
        <v>88</v>
      </c>
      <c r="D23" s="12" t="s">
        <v>89</v>
      </c>
      <c r="E23" s="13" t="s">
        <v>393</v>
      </c>
      <c r="F23" s="12" t="s">
        <v>18</v>
      </c>
      <c r="G23" s="34" t="s">
        <v>56</v>
      </c>
      <c r="H23" s="36" t="s">
        <v>90</v>
      </c>
      <c r="I23" s="34" t="s">
        <v>90</v>
      </c>
      <c r="J23" s="35"/>
      <c r="K23" s="34" t="s">
        <v>55</v>
      </c>
      <c r="L23" s="34" t="s">
        <v>66</v>
      </c>
      <c r="M23" s="36" t="s">
        <v>67</v>
      </c>
      <c r="N23" s="35"/>
      <c r="O23" s="34" t="s">
        <v>75</v>
      </c>
      <c r="P23" s="34" t="s">
        <v>91</v>
      </c>
      <c r="Q23" s="36" t="s">
        <v>92</v>
      </c>
      <c r="R23" s="35"/>
      <c r="S23" s="14" t="str">
        <f>"347,5"</f>
        <v>347,5</v>
      </c>
      <c r="T23" s="14" t="str">
        <f>"364,5623"</f>
        <v>364,5623</v>
      </c>
      <c r="U23" s="12" t="s">
        <v>198</v>
      </c>
    </row>
    <row r="24" spans="1:21">
      <c r="A24" s="41" t="s">
        <v>244</v>
      </c>
      <c r="B24" s="18" t="s">
        <v>93</v>
      </c>
      <c r="C24" s="18" t="s">
        <v>94</v>
      </c>
      <c r="D24" s="18" t="s">
        <v>95</v>
      </c>
      <c r="E24" s="19" t="s">
        <v>393</v>
      </c>
      <c r="F24" s="18" t="s">
        <v>18</v>
      </c>
      <c r="G24" s="40" t="s">
        <v>20</v>
      </c>
      <c r="H24" s="40" t="s">
        <v>25</v>
      </c>
      <c r="I24" s="40" t="s">
        <v>26</v>
      </c>
      <c r="J24" s="41"/>
      <c r="K24" s="42" t="s">
        <v>33</v>
      </c>
      <c r="L24" s="40" t="s">
        <v>34</v>
      </c>
      <c r="M24" s="40" t="s">
        <v>35</v>
      </c>
      <c r="N24" s="41"/>
      <c r="O24" s="40" t="s">
        <v>31</v>
      </c>
      <c r="P24" s="40" t="s">
        <v>32</v>
      </c>
      <c r="Q24" s="42" t="s">
        <v>36</v>
      </c>
      <c r="R24" s="41"/>
      <c r="S24" s="20" t="str">
        <f>"255,0"</f>
        <v>255,0</v>
      </c>
      <c r="T24" s="20" t="str">
        <f>"263,0835"</f>
        <v>263,0835</v>
      </c>
      <c r="U24" s="18" t="s">
        <v>353</v>
      </c>
    </row>
    <row r="26" spans="1:21" ht="16">
      <c r="A26" s="68" t="s">
        <v>96</v>
      </c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21">
      <c r="A27" s="45" t="s">
        <v>243</v>
      </c>
      <c r="B27" s="21" t="s">
        <v>97</v>
      </c>
      <c r="C27" s="21" t="s">
        <v>98</v>
      </c>
      <c r="D27" s="21" t="s">
        <v>99</v>
      </c>
      <c r="E27" s="22" t="s">
        <v>393</v>
      </c>
      <c r="F27" s="21" t="s">
        <v>47</v>
      </c>
      <c r="G27" s="43" t="s">
        <v>30</v>
      </c>
      <c r="H27" s="44" t="s">
        <v>41</v>
      </c>
      <c r="I27" s="43" t="s">
        <v>41</v>
      </c>
      <c r="J27" s="45"/>
      <c r="K27" s="43" t="s">
        <v>100</v>
      </c>
      <c r="L27" s="44" t="s">
        <v>33</v>
      </c>
      <c r="M27" s="44" t="s">
        <v>33</v>
      </c>
      <c r="N27" s="45"/>
      <c r="O27" s="43" t="s">
        <v>56</v>
      </c>
      <c r="P27" s="43" t="s">
        <v>57</v>
      </c>
      <c r="Q27" s="44" t="s">
        <v>74</v>
      </c>
      <c r="R27" s="45"/>
      <c r="S27" s="23" t="str">
        <f>"285,0"</f>
        <v>285,0</v>
      </c>
      <c r="T27" s="23" t="str">
        <f>"288,4485"</f>
        <v>288,4485</v>
      </c>
      <c r="U27" s="21" t="s">
        <v>265</v>
      </c>
    </row>
    <row r="29" spans="1:21" ht="16">
      <c r="A29" s="68" t="s">
        <v>101</v>
      </c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</row>
    <row r="30" spans="1:21">
      <c r="A30" s="45" t="s">
        <v>243</v>
      </c>
      <c r="B30" s="21" t="s">
        <v>102</v>
      </c>
      <c r="C30" s="21" t="s">
        <v>103</v>
      </c>
      <c r="D30" s="21" t="s">
        <v>104</v>
      </c>
      <c r="E30" s="22" t="s">
        <v>394</v>
      </c>
      <c r="F30" s="21" t="s">
        <v>18</v>
      </c>
      <c r="G30" s="43" t="s">
        <v>32</v>
      </c>
      <c r="H30" s="43" t="s">
        <v>56</v>
      </c>
      <c r="I30" s="43" t="s">
        <v>73</v>
      </c>
      <c r="J30" s="45"/>
      <c r="K30" s="43" t="s">
        <v>34</v>
      </c>
      <c r="L30" s="43" t="s">
        <v>66</v>
      </c>
      <c r="M30" s="44" t="s">
        <v>48</v>
      </c>
      <c r="N30" s="45"/>
      <c r="O30" s="43" t="s">
        <v>32</v>
      </c>
      <c r="P30" s="43" t="s">
        <v>56</v>
      </c>
      <c r="Q30" s="43" t="s">
        <v>57</v>
      </c>
      <c r="R30" s="45"/>
      <c r="S30" s="23" t="str">
        <f>"320,0"</f>
        <v>320,0</v>
      </c>
      <c r="T30" s="23" t="str">
        <f>"292,0000"</f>
        <v>292,0000</v>
      </c>
      <c r="U30" s="21" t="s">
        <v>194</v>
      </c>
    </row>
    <row r="32" spans="1:21" ht="16">
      <c r="A32" s="68" t="s">
        <v>60</v>
      </c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21">
      <c r="A33" s="35" t="s">
        <v>243</v>
      </c>
      <c r="B33" s="12" t="s">
        <v>105</v>
      </c>
      <c r="C33" s="12" t="s">
        <v>355</v>
      </c>
      <c r="D33" s="12" t="s">
        <v>106</v>
      </c>
      <c r="E33" s="13" t="s">
        <v>399</v>
      </c>
      <c r="F33" s="12" t="s">
        <v>18</v>
      </c>
      <c r="G33" s="34" t="s">
        <v>42</v>
      </c>
      <c r="H33" s="34" t="s">
        <v>56</v>
      </c>
      <c r="I33" s="34" t="s">
        <v>73</v>
      </c>
      <c r="J33" s="35"/>
      <c r="K33" s="36" t="s">
        <v>48</v>
      </c>
      <c r="L33" s="34" t="s">
        <v>19</v>
      </c>
      <c r="M33" s="34" t="s">
        <v>20</v>
      </c>
      <c r="N33" s="35"/>
      <c r="O33" s="34" t="s">
        <v>57</v>
      </c>
      <c r="P33" s="34" t="s">
        <v>74</v>
      </c>
      <c r="Q33" s="34" t="s">
        <v>75</v>
      </c>
      <c r="R33" s="35"/>
      <c r="S33" s="14" t="str">
        <f>"350,0"</f>
        <v>350,0</v>
      </c>
      <c r="T33" s="14" t="str">
        <f>"311,1150"</f>
        <v>311,1150</v>
      </c>
      <c r="U33" s="12" t="s">
        <v>356</v>
      </c>
    </row>
    <row r="34" spans="1:21">
      <c r="A34" s="41" t="s">
        <v>243</v>
      </c>
      <c r="B34" s="18" t="s">
        <v>107</v>
      </c>
      <c r="C34" s="18" t="s">
        <v>338</v>
      </c>
      <c r="D34" s="18" t="s">
        <v>108</v>
      </c>
      <c r="E34" s="19" t="s">
        <v>396</v>
      </c>
      <c r="F34" s="18" t="s">
        <v>18</v>
      </c>
      <c r="G34" s="40" t="s">
        <v>109</v>
      </c>
      <c r="H34" s="40" t="s">
        <v>21</v>
      </c>
      <c r="I34" s="40" t="s">
        <v>25</v>
      </c>
      <c r="J34" s="41"/>
      <c r="K34" s="40" t="s">
        <v>55</v>
      </c>
      <c r="L34" s="40" t="s">
        <v>67</v>
      </c>
      <c r="M34" s="42" t="s">
        <v>109</v>
      </c>
      <c r="N34" s="41"/>
      <c r="O34" s="40" t="s">
        <v>20</v>
      </c>
      <c r="P34" s="40" t="s">
        <v>51</v>
      </c>
      <c r="Q34" s="40" t="s">
        <v>30</v>
      </c>
      <c r="R34" s="41"/>
      <c r="S34" s="20" t="str">
        <f>"252,5"</f>
        <v>252,5</v>
      </c>
      <c r="T34" s="20" t="str">
        <f>"259,3050"</f>
        <v>259,3050</v>
      </c>
      <c r="U34" s="18" t="s">
        <v>357</v>
      </c>
    </row>
    <row r="36" spans="1:21" ht="16">
      <c r="A36" s="68" t="s">
        <v>86</v>
      </c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21">
      <c r="A37" s="35" t="s">
        <v>243</v>
      </c>
      <c r="B37" s="12" t="s">
        <v>110</v>
      </c>
      <c r="C37" s="12" t="s">
        <v>339</v>
      </c>
      <c r="D37" s="12" t="s">
        <v>111</v>
      </c>
      <c r="E37" s="13" t="s">
        <v>395</v>
      </c>
      <c r="F37" s="12" t="s">
        <v>18</v>
      </c>
      <c r="G37" s="36" t="s">
        <v>57</v>
      </c>
      <c r="H37" s="36" t="s">
        <v>57</v>
      </c>
      <c r="I37" s="34" t="s">
        <v>57</v>
      </c>
      <c r="J37" s="35"/>
      <c r="K37" s="34" t="s">
        <v>20</v>
      </c>
      <c r="L37" s="36" t="s">
        <v>51</v>
      </c>
      <c r="M37" s="36" t="s">
        <v>51</v>
      </c>
      <c r="N37" s="35"/>
      <c r="O37" s="34" t="s">
        <v>112</v>
      </c>
      <c r="P37" s="36" t="s">
        <v>92</v>
      </c>
      <c r="Q37" s="36" t="s">
        <v>92</v>
      </c>
      <c r="R37" s="35"/>
      <c r="S37" s="14" t="str">
        <f>"360,0"</f>
        <v>360,0</v>
      </c>
      <c r="T37" s="14" t="str">
        <f>"298,9800"</f>
        <v>298,9800</v>
      </c>
      <c r="U37" s="12" t="s">
        <v>358</v>
      </c>
    </row>
    <row r="38" spans="1:21">
      <c r="A38" s="38" t="s">
        <v>244</v>
      </c>
      <c r="B38" s="15" t="s">
        <v>113</v>
      </c>
      <c r="C38" s="15" t="s">
        <v>340</v>
      </c>
      <c r="D38" s="15" t="s">
        <v>114</v>
      </c>
      <c r="E38" s="16" t="s">
        <v>395</v>
      </c>
      <c r="F38" s="15" t="s">
        <v>18</v>
      </c>
      <c r="G38" s="37" t="s">
        <v>31</v>
      </c>
      <c r="H38" s="39" t="s">
        <v>36</v>
      </c>
      <c r="I38" s="37" t="s">
        <v>36</v>
      </c>
      <c r="J38" s="38"/>
      <c r="K38" s="37" t="s">
        <v>19</v>
      </c>
      <c r="L38" s="37" t="s">
        <v>20</v>
      </c>
      <c r="M38" s="39" t="s">
        <v>21</v>
      </c>
      <c r="N38" s="38"/>
      <c r="O38" s="37" t="s">
        <v>74</v>
      </c>
      <c r="P38" s="39" t="s">
        <v>115</v>
      </c>
      <c r="Q38" s="39" t="s">
        <v>75</v>
      </c>
      <c r="R38" s="38"/>
      <c r="S38" s="17" t="str">
        <f>"327,5"</f>
        <v>327,5</v>
      </c>
      <c r="T38" s="17" t="str">
        <f>"258,1028"</f>
        <v>258,1028</v>
      </c>
      <c r="U38" s="15" t="s">
        <v>217</v>
      </c>
    </row>
    <row r="39" spans="1:21">
      <c r="A39" s="41" t="s">
        <v>246</v>
      </c>
      <c r="B39" s="18" t="s">
        <v>116</v>
      </c>
      <c r="C39" s="18" t="s">
        <v>341</v>
      </c>
      <c r="D39" s="18" t="s">
        <v>117</v>
      </c>
      <c r="E39" s="19" t="s">
        <v>395</v>
      </c>
      <c r="F39" s="18" t="s">
        <v>18</v>
      </c>
      <c r="G39" s="42" t="s">
        <v>20</v>
      </c>
      <c r="H39" s="40" t="s">
        <v>20</v>
      </c>
      <c r="I39" s="42" t="s">
        <v>25</v>
      </c>
      <c r="J39" s="41"/>
      <c r="K39" s="40" t="s">
        <v>65</v>
      </c>
      <c r="L39" s="42" t="s">
        <v>67</v>
      </c>
      <c r="M39" s="42" t="s">
        <v>67</v>
      </c>
      <c r="N39" s="41"/>
      <c r="O39" s="40" t="s">
        <v>30</v>
      </c>
      <c r="P39" s="40" t="s">
        <v>32</v>
      </c>
      <c r="Q39" s="40" t="s">
        <v>56</v>
      </c>
      <c r="R39" s="41"/>
      <c r="S39" s="20" t="str">
        <f>"260,0"</f>
        <v>260,0</v>
      </c>
      <c r="T39" s="20" t="str">
        <f>"203,6320"</f>
        <v>203,6320</v>
      </c>
      <c r="U39" s="18" t="s">
        <v>358</v>
      </c>
    </row>
    <row r="41" spans="1:21" ht="16">
      <c r="A41" s="68" t="s">
        <v>96</v>
      </c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</row>
    <row r="42" spans="1:21">
      <c r="A42" s="35" t="s">
        <v>243</v>
      </c>
      <c r="B42" s="12" t="s">
        <v>118</v>
      </c>
      <c r="C42" s="12" t="s">
        <v>342</v>
      </c>
      <c r="D42" s="12" t="s">
        <v>119</v>
      </c>
      <c r="E42" s="13" t="s">
        <v>395</v>
      </c>
      <c r="F42" s="12" t="s">
        <v>18</v>
      </c>
      <c r="G42" s="34" t="s">
        <v>32</v>
      </c>
      <c r="H42" s="34" t="s">
        <v>56</v>
      </c>
      <c r="I42" s="34" t="s">
        <v>57</v>
      </c>
      <c r="J42" s="35"/>
      <c r="K42" s="36" t="s">
        <v>20</v>
      </c>
      <c r="L42" s="34" t="s">
        <v>25</v>
      </c>
      <c r="M42" s="34" t="s">
        <v>26</v>
      </c>
      <c r="N42" s="35"/>
      <c r="O42" s="34" t="s">
        <v>32</v>
      </c>
      <c r="P42" s="34" t="s">
        <v>56</v>
      </c>
      <c r="Q42" s="34" t="s">
        <v>73</v>
      </c>
      <c r="R42" s="35"/>
      <c r="S42" s="14" t="str">
        <f>"342,5"</f>
        <v>342,5</v>
      </c>
      <c r="T42" s="14" t="str">
        <f>"251,5662"</f>
        <v>251,5662</v>
      </c>
      <c r="U42" s="12" t="s">
        <v>358</v>
      </c>
    </row>
    <row r="43" spans="1:21">
      <c r="A43" s="38" t="s">
        <v>244</v>
      </c>
      <c r="B43" s="15" t="s">
        <v>120</v>
      </c>
      <c r="C43" s="15" t="s">
        <v>343</v>
      </c>
      <c r="D43" s="15" t="s">
        <v>121</v>
      </c>
      <c r="E43" s="16" t="s">
        <v>395</v>
      </c>
      <c r="F43" s="15" t="s">
        <v>18</v>
      </c>
      <c r="G43" s="39" t="s">
        <v>30</v>
      </c>
      <c r="H43" s="37" t="s">
        <v>30</v>
      </c>
      <c r="I43" s="37" t="s">
        <v>41</v>
      </c>
      <c r="J43" s="38"/>
      <c r="K43" s="37" t="s">
        <v>48</v>
      </c>
      <c r="L43" s="37" t="s">
        <v>19</v>
      </c>
      <c r="M43" s="39" t="s">
        <v>20</v>
      </c>
      <c r="N43" s="38"/>
      <c r="O43" s="37" t="s">
        <v>56</v>
      </c>
      <c r="P43" s="37" t="s">
        <v>57</v>
      </c>
      <c r="Q43" s="39" t="s">
        <v>68</v>
      </c>
      <c r="R43" s="38"/>
      <c r="S43" s="17" t="str">
        <f>"312,5"</f>
        <v>312,5</v>
      </c>
      <c r="T43" s="17" t="str">
        <f>"222,6875"</f>
        <v>222,6875</v>
      </c>
      <c r="U43" s="15" t="s">
        <v>217</v>
      </c>
    </row>
    <row r="44" spans="1:21">
      <c r="A44" s="38" t="s">
        <v>243</v>
      </c>
      <c r="B44" s="15" t="s">
        <v>122</v>
      </c>
      <c r="C44" s="15" t="s">
        <v>344</v>
      </c>
      <c r="D44" s="15" t="s">
        <v>123</v>
      </c>
      <c r="E44" s="16" t="s">
        <v>399</v>
      </c>
      <c r="F44" s="15" t="s">
        <v>18</v>
      </c>
      <c r="G44" s="37" t="s">
        <v>50</v>
      </c>
      <c r="H44" s="37" t="s">
        <v>65</v>
      </c>
      <c r="I44" s="39" t="s">
        <v>66</v>
      </c>
      <c r="J44" s="38"/>
      <c r="K44" s="37" t="s">
        <v>49</v>
      </c>
      <c r="L44" s="37" t="s">
        <v>33</v>
      </c>
      <c r="M44" s="39" t="s">
        <v>35</v>
      </c>
      <c r="N44" s="38"/>
      <c r="O44" s="37" t="s">
        <v>20</v>
      </c>
      <c r="P44" s="39" t="s">
        <v>51</v>
      </c>
      <c r="Q44" s="39" t="s">
        <v>30</v>
      </c>
      <c r="R44" s="38"/>
      <c r="S44" s="17" t="str">
        <f>"192,5"</f>
        <v>192,5</v>
      </c>
      <c r="T44" s="17" t="str">
        <f>"140,1015"</f>
        <v>140,1015</v>
      </c>
      <c r="U44" s="15" t="s">
        <v>350</v>
      </c>
    </row>
    <row r="45" spans="1:21">
      <c r="A45" s="41" t="s">
        <v>243</v>
      </c>
      <c r="B45" s="18" t="s">
        <v>124</v>
      </c>
      <c r="C45" s="18" t="s">
        <v>125</v>
      </c>
      <c r="D45" s="18" t="s">
        <v>126</v>
      </c>
      <c r="E45" s="19" t="s">
        <v>393</v>
      </c>
      <c r="F45" s="18" t="s">
        <v>18</v>
      </c>
      <c r="G45" s="40" t="s">
        <v>57</v>
      </c>
      <c r="H45" s="40" t="s">
        <v>115</v>
      </c>
      <c r="I45" s="40" t="s">
        <v>127</v>
      </c>
      <c r="J45" s="41"/>
      <c r="K45" s="42" t="s">
        <v>41</v>
      </c>
      <c r="L45" s="40" t="s">
        <v>41</v>
      </c>
      <c r="M45" s="42" t="s">
        <v>36</v>
      </c>
      <c r="N45" s="41"/>
      <c r="O45" s="40" t="s">
        <v>112</v>
      </c>
      <c r="P45" s="40" t="s">
        <v>128</v>
      </c>
      <c r="Q45" s="42" t="s">
        <v>129</v>
      </c>
      <c r="R45" s="41"/>
      <c r="S45" s="20" t="str">
        <f>"425,0"</f>
        <v>425,0</v>
      </c>
      <c r="T45" s="20" t="str">
        <f>"303,7050"</f>
        <v>303,7050</v>
      </c>
      <c r="U45" s="18" t="s">
        <v>350</v>
      </c>
    </row>
    <row r="47" spans="1:21" ht="16">
      <c r="A47" s="68" t="s">
        <v>101</v>
      </c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</row>
    <row r="48" spans="1:21">
      <c r="A48" s="35" t="s">
        <v>243</v>
      </c>
      <c r="B48" s="12" t="s">
        <v>130</v>
      </c>
      <c r="C48" s="12" t="s">
        <v>131</v>
      </c>
      <c r="D48" s="12" t="s">
        <v>132</v>
      </c>
      <c r="E48" s="13" t="s">
        <v>394</v>
      </c>
      <c r="F48" s="12" t="s">
        <v>18</v>
      </c>
      <c r="G48" s="34" t="s">
        <v>133</v>
      </c>
      <c r="H48" s="34" t="s">
        <v>134</v>
      </c>
      <c r="I48" s="34" t="s">
        <v>135</v>
      </c>
      <c r="J48" s="35"/>
      <c r="K48" s="34" t="s">
        <v>136</v>
      </c>
      <c r="L48" s="34" t="s">
        <v>31</v>
      </c>
      <c r="M48" s="36" t="s">
        <v>32</v>
      </c>
      <c r="N48" s="35"/>
      <c r="O48" s="34" t="s">
        <v>137</v>
      </c>
      <c r="P48" s="34" t="s">
        <v>138</v>
      </c>
      <c r="Q48" s="36" t="s">
        <v>139</v>
      </c>
      <c r="R48" s="35"/>
      <c r="S48" s="14" t="str">
        <f>"467,5"</f>
        <v>467,5</v>
      </c>
      <c r="T48" s="14" t="str">
        <f>"316,9183"</f>
        <v>316,9183</v>
      </c>
      <c r="U48" s="12" t="s">
        <v>217</v>
      </c>
    </row>
    <row r="49" spans="1:21">
      <c r="A49" s="38" t="s">
        <v>243</v>
      </c>
      <c r="B49" s="15" t="s">
        <v>140</v>
      </c>
      <c r="C49" s="15" t="s">
        <v>141</v>
      </c>
      <c r="D49" s="15" t="s">
        <v>142</v>
      </c>
      <c r="E49" s="16" t="s">
        <v>393</v>
      </c>
      <c r="F49" s="15" t="s">
        <v>18</v>
      </c>
      <c r="G49" s="37" t="s">
        <v>135</v>
      </c>
      <c r="H49" s="37" t="s">
        <v>137</v>
      </c>
      <c r="I49" s="38"/>
      <c r="J49" s="38"/>
      <c r="K49" s="37" t="s">
        <v>57</v>
      </c>
      <c r="L49" s="37" t="s">
        <v>68</v>
      </c>
      <c r="M49" s="39" t="s">
        <v>143</v>
      </c>
      <c r="N49" s="38"/>
      <c r="O49" s="37" t="s">
        <v>139</v>
      </c>
      <c r="P49" s="37" t="s">
        <v>144</v>
      </c>
      <c r="Q49" s="39" t="s">
        <v>145</v>
      </c>
      <c r="R49" s="38"/>
      <c r="S49" s="17" t="str">
        <f>"532,5"</f>
        <v>532,5</v>
      </c>
      <c r="T49" s="17" t="str">
        <f>"362,9520"</f>
        <v>362,9520</v>
      </c>
      <c r="U49" s="15" t="s">
        <v>350</v>
      </c>
    </row>
    <row r="50" spans="1:21">
      <c r="A50" s="38" t="s">
        <v>244</v>
      </c>
      <c r="B50" s="15" t="s">
        <v>146</v>
      </c>
      <c r="C50" s="15" t="s">
        <v>147</v>
      </c>
      <c r="D50" s="15" t="s">
        <v>148</v>
      </c>
      <c r="E50" s="16" t="s">
        <v>393</v>
      </c>
      <c r="F50" s="15" t="s">
        <v>18</v>
      </c>
      <c r="G50" s="37" t="s">
        <v>92</v>
      </c>
      <c r="H50" s="37" t="s">
        <v>135</v>
      </c>
      <c r="I50" s="39" t="s">
        <v>129</v>
      </c>
      <c r="J50" s="38"/>
      <c r="K50" s="37" t="s">
        <v>31</v>
      </c>
      <c r="L50" s="37" t="s">
        <v>32</v>
      </c>
      <c r="M50" s="39" t="s">
        <v>42</v>
      </c>
      <c r="N50" s="38"/>
      <c r="O50" s="37" t="s">
        <v>149</v>
      </c>
      <c r="P50" s="39" t="s">
        <v>145</v>
      </c>
      <c r="Q50" s="39" t="s">
        <v>150</v>
      </c>
      <c r="R50" s="38"/>
      <c r="S50" s="17" t="str">
        <f>"500,0"</f>
        <v>500,0</v>
      </c>
      <c r="T50" s="17" t="str">
        <f>"341,9000"</f>
        <v>341,9000</v>
      </c>
      <c r="U50" s="15" t="s">
        <v>353</v>
      </c>
    </row>
    <row r="51" spans="1:21">
      <c r="A51" s="41" t="s">
        <v>246</v>
      </c>
      <c r="B51" s="18" t="s">
        <v>151</v>
      </c>
      <c r="C51" s="18" t="s">
        <v>152</v>
      </c>
      <c r="D51" s="18" t="s">
        <v>153</v>
      </c>
      <c r="E51" s="19" t="s">
        <v>393</v>
      </c>
      <c r="F51" s="18" t="s">
        <v>18</v>
      </c>
      <c r="G51" s="40" t="s">
        <v>74</v>
      </c>
      <c r="H51" s="40" t="s">
        <v>115</v>
      </c>
      <c r="I51" s="40" t="s">
        <v>127</v>
      </c>
      <c r="J51" s="41"/>
      <c r="K51" s="40" t="s">
        <v>32</v>
      </c>
      <c r="L51" s="40" t="s">
        <v>42</v>
      </c>
      <c r="M51" s="42" t="s">
        <v>64</v>
      </c>
      <c r="N51" s="41"/>
      <c r="O51" s="40" t="s">
        <v>139</v>
      </c>
      <c r="P51" s="40" t="s">
        <v>154</v>
      </c>
      <c r="Q51" s="42" t="s">
        <v>149</v>
      </c>
      <c r="R51" s="41"/>
      <c r="S51" s="20" t="str">
        <f>"477,5"</f>
        <v>477,5</v>
      </c>
      <c r="T51" s="20" t="str">
        <f>"334,4888"</f>
        <v>334,4888</v>
      </c>
      <c r="U51" s="18" t="s">
        <v>350</v>
      </c>
    </row>
    <row r="53" spans="1:21" ht="16">
      <c r="A53" s="68" t="s">
        <v>155</v>
      </c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</row>
    <row r="54" spans="1:21">
      <c r="A54" s="35" t="s">
        <v>243</v>
      </c>
      <c r="B54" s="12" t="s">
        <v>156</v>
      </c>
      <c r="C54" s="12" t="s">
        <v>157</v>
      </c>
      <c r="D54" s="12" t="s">
        <v>158</v>
      </c>
      <c r="E54" s="13" t="s">
        <v>394</v>
      </c>
      <c r="F54" s="12" t="s">
        <v>18</v>
      </c>
      <c r="G54" s="34" t="s">
        <v>139</v>
      </c>
      <c r="H54" s="34" t="s">
        <v>149</v>
      </c>
      <c r="I54" s="34" t="s">
        <v>145</v>
      </c>
      <c r="J54" s="35"/>
      <c r="K54" s="34" t="s">
        <v>32</v>
      </c>
      <c r="L54" s="34" t="s">
        <v>64</v>
      </c>
      <c r="M54" s="34" t="s">
        <v>159</v>
      </c>
      <c r="N54" s="35"/>
      <c r="O54" s="34" t="s">
        <v>160</v>
      </c>
      <c r="P54" s="36" t="s">
        <v>161</v>
      </c>
      <c r="Q54" s="34" t="s">
        <v>161</v>
      </c>
      <c r="R54" s="35"/>
      <c r="S54" s="14" t="str">
        <f>"607,5"</f>
        <v>607,5</v>
      </c>
      <c r="T54" s="14" t="str">
        <f>"399,9172"</f>
        <v>399,9172</v>
      </c>
      <c r="U54" s="12" t="s">
        <v>360</v>
      </c>
    </row>
    <row r="55" spans="1:21">
      <c r="A55" s="38" t="s">
        <v>243</v>
      </c>
      <c r="B55" s="15" t="s">
        <v>162</v>
      </c>
      <c r="C55" s="15" t="s">
        <v>163</v>
      </c>
      <c r="D55" s="15" t="s">
        <v>164</v>
      </c>
      <c r="E55" s="16" t="s">
        <v>393</v>
      </c>
      <c r="F55" s="15" t="s">
        <v>18</v>
      </c>
      <c r="G55" s="37" t="s">
        <v>139</v>
      </c>
      <c r="H55" s="37" t="s">
        <v>149</v>
      </c>
      <c r="I55" s="37" t="s">
        <v>165</v>
      </c>
      <c r="J55" s="38"/>
      <c r="K55" s="37" t="s">
        <v>112</v>
      </c>
      <c r="L55" s="37" t="s">
        <v>92</v>
      </c>
      <c r="M55" s="37" t="s">
        <v>135</v>
      </c>
      <c r="N55" s="38"/>
      <c r="O55" s="39" t="s">
        <v>166</v>
      </c>
      <c r="P55" s="37" t="s">
        <v>167</v>
      </c>
      <c r="Q55" s="37" t="s">
        <v>168</v>
      </c>
      <c r="R55" s="38"/>
      <c r="S55" s="17" t="str">
        <f>"682,5"</f>
        <v>682,5</v>
      </c>
      <c r="T55" s="17" t="str">
        <f>"435,7080"</f>
        <v>435,7080</v>
      </c>
      <c r="U55" s="15" t="s">
        <v>359</v>
      </c>
    </row>
    <row r="56" spans="1:21">
      <c r="A56" s="38" t="s">
        <v>244</v>
      </c>
      <c r="B56" s="15" t="s">
        <v>169</v>
      </c>
      <c r="C56" s="15" t="s">
        <v>170</v>
      </c>
      <c r="D56" s="15" t="s">
        <v>171</v>
      </c>
      <c r="E56" s="16" t="s">
        <v>393</v>
      </c>
      <c r="F56" s="15" t="s">
        <v>18</v>
      </c>
      <c r="G56" s="37" t="s">
        <v>172</v>
      </c>
      <c r="H56" s="38"/>
      <c r="I56" s="38"/>
      <c r="J56" s="38"/>
      <c r="K56" s="37" t="s">
        <v>128</v>
      </c>
      <c r="L56" s="37" t="s">
        <v>173</v>
      </c>
      <c r="M56" s="39" t="s">
        <v>129</v>
      </c>
      <c r="N56" s="38"/>
      <c r="O56" s="37" t="s">
        <v>167</v>
      </c>
      <c r="P56" s="37" t="s">
        <v>174</v>
      </c>
      <c r="Q56" s="37" t="s">
        <v>175</v>
      </c>
      <c r="R56" s="38"/>
      <c r="S56" s="17" t="str">
        <f>"667,5"</f>
        <v>667,5</v>
      </c>
      <c r="T56" s="17" t="str">
        <f>"434,6092"</f>
        <v>434,6092</v>
      </c>
      <c r="U56" s="15"/>
    </row>
    <row r="57" spans="1:21">
      <c r="A57" s="38" t="s">
        <v>246</v>
      </c>
      <c r="B57" s="15" t="s">
        <v>176</v>
      </c>
      <c r="C57" s="15" t="s">
        <v>177</v>
      </c>
      <c r="D57" s="15" t="s">
        <v>178</v>
      </c>
      <c r="E57" s="16" t="s">
        <v>393</v>
      </c>
      <c r="F57" s="15" t="s">
        <v>18</v>
      </c>
      <c r="G57" s="37" t="s">
        <v>179</v>
      </c>
      <c r="H57" s="37" t="s">
        <v>180</v>
      </c>
      <c r="I57" s="39" t="s">
        <v>172</v>
      </c>
      <c r="J57" s="38"/>
      <c r="K57" s="37" t="s">
        <v>128</v>
      </c>
      <c r="L57" s="37" t="s">
        <v>173</v>
      </c>
      <c r="M57" s="37" t="s">
        <v>137</v>
      </c>
      <c r="N57" s="38"/>
      <c r="O57" s="37" t="s">
        <v>154</v>
      </c>
      <c r="P57" s="37" t="s">
        <v>181</v>
      </c>
      <c r="Q57" s="37" t="s">
        <v>182</v>
      </c>
      <c r="R57" s="38"/>
      <c r="S57" s="17" t="str">
        <f>"615,0"</f>
        <v>615,0</v>
      </c>
      <c r="T57" s="17" t="str">
        <f>"407,6220"</f>
        <v>407,6220</v>
      </c>
      <c r="U57" s="15" t="s">
        <v>350</v>
      </c>
    </row>
    <row r="58" spans="1:21">
      <c r="A58" s="38" t="s">
        <v>247</v>
      </c>
      <c r="B58" s="15" t="s">
        <v>183</v>
      </c>
      <c r="C58" s="15" t="s">
        <v>184</v>
      </c>
      <c r="D58" s="15" t="s">
        <v>185</v>
      </c>
      <c r="E58" s="16" t="s">
        <v>393</v>
      </c>
      <c r="F58" s="15" t="s">
        <v>18</v>
      </c>
      <c r="G58" s="37" t="s">
        <v>135</v>
      </c>
      <c r="H58" s="37" t="s">
        <v>186</v>
      </c>
      <c r="I58" s="37" t="s">
        <v>179</v>
      </c>
      <c r="J58" s="38"/>
      <c r="K58" s="37" t="s">
        <v>56</v>
      </c>
      <c r="L58" s="39" t="s">
        <v>90</v>
      </c>
      <c r="M58" s="38"/>
      <c r="N58" s="38"/>
      <c r="O58" s="37" t="s">
        <v>187</v>
      </c>
      <c r="P58" s="37" t="s">
        <v>139</v>
      </c>
      <c r="Q58" s="39" t="s">
        <v>154</v>
      </c>
      <c r="R58" s="38"/>
      <c r="S58" s="17" t="str">
        <f>"505,0"</f>
        <v>505,0</v>
      </c>
      <c r="T58" s="17" t="str">
        <f>"324,0585"</f>
        <v>324,0585</v>
      </c>
      <c r="U58" s="15" t="s">
        <v>353</v>
      </c>
    </row>
    <row r="59" spans="1:21">
      <c r="A59" s="41" t="s">
        <v>243</v>
      </c>
      <c r="B59" s="18" t="s">
        <v>188</v>
      </c>
      <c r="C59" s="18" t="s">
        <v>345</v>
      </c>
      <c r="D59" s="18" t="s">
        <v>189</v>
      </c>
      <c r="E59" s="19" t="s">
        <v>396</v>
      </c>
      <c r="F59" s="18" t="s">
        <v>18</v>
      </c>
      <c r="G59" s="42" t="s">
        <v>135</v>
      </c>
      <c r="H59" s="40" t="s">
        <v>135</v>
      </c>
      <c r="I59" s="42" t="s">
        <v>137</v>
      </c>
      <c r="J59" s="41"/>
      <c r="K59" s="40" t="s">
        <v>143</v>
      </c>
      <c r="L59" s="40" t="s">
        <v>75</v>
      </c>
      <c r="M59" s="42" t="s">
        <v>190</v>
      </c>
      <c r="N59" s="41"/>
      <c r="O59" s="40" t="s">
        <v>137</v>
      </c>
      <c r="P59" s="42" t="s">
        <v>179</v>
      </c>
      <c r="Q59" s="42" t="s">
        <v>179</v>
      </c>
      <c r="R59" s="41"/>
      <c r="S59" s="20" t="str">
        <f>"495,0"</f>
        <v>495,0</v>
      </c>
      <c r="T59" s="20" t="str">
        <f>"358,3374"</f>
        <v>358,3374</v>
      </c>
      <c r="U59" s="18" t="s">
        <v>361</v>
      </c>
    </row>
    <row r="61" spans="1:21" ht="16">
      <c r="A61" s="68" t="s">
        <v>191</v>
      </c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</row>
    <row r="62" spans="1:21">
      <c r="A62" s="35" t="s">
        <v>243</v>
      </c>
      <c r="B62" s="12" t="s">
        <v>192</v>
      </c>
      <c r="C62" s="12" t="s">
        <v>346</v>
      </c>
      <c r="D62" s="12" t="s">
        <v>193</v>
      </c>
      <c r="E62" s="13" t="s">
        <v>395</v>
      </c>
      <c r="F62" s="12" t="s">
        <v>18</v>
      </c>
      <c r="G62" s="34" t="s">
        <v>91</v>
      </c>
      <c r="H62" s="34" t="s">
        <v>128</v>
      </c>
      <c r="I62" s="34" t="s">
        <v>129</v>
      </c>
      <c r="J62" s="35"/>
      <c r="K62" s="34" t="s">
        <v>31</v>
      </c>
      <c r="L62" s="34" t="s">
        <v>32</v>
      </c>
      <c r="M62" s="36" t="s">
        <v>42</v>
      </c>
      <c r="N62" s="35"/>
      <c r="O62" s="34" t="s">
        <v>139</v>
      </c>
      <c r="P62" s="34" t="s">
        <v>154</v>
      </c>
      <c r="Q62" s="34" t="s">
        <v>149</v>
      </c>
      <c r="R62" s="35"/>
      <c r="S62" s="14" t="str">
        <f>"505,0"</f>
        <v>505,0</v>
      </c>
      <c r="T62" s="14" t="str">
        <f>"310,9790"</f>
        <v>310,9790</v>
      </c>
      <c r="U62" s="12" t="s">
        <v>354</v>
      </c>
    </row>
    <row r="63" spans="1:21">
      <c r="A63" s="38" t="s">
        <v>243</v>
      </c>
      <c r="B63" s="15" t="s">
        <v>194</v>
      </c>
      <c r="C63" s="15" t="s">
        <v>195</v>
      </c>
      <c r="D63" s="15" t="s">
        <v>196</v>
      </c>
      <c r="E63" s="16" t="s">
        <v>393</v>
      </c>
      <c r="F63" s="15" t="s">
        <v>18</v>
      </c>
      <c r="G63" s="37" t="s">
        <v>145</v>
      </c>
      <c r="H63" s="37" t="s">
        <v>182</v>
      </c>
      <c r="I63" s="39" t="s">
        <v>197</v>
      </c>
      <c r="J63" s="38"/>
      <c r="K63" s="37" t="s">
        <v>112</v>
      </c>
      <c r="L63" s="37" t="s">
        <v>92</v>
      </c>
      <c r="M63" s="37" t="s">
        <v>135</v>
      </c>
      <c r="N63" s="38"/>
      <c r="O63" s="37" t="s">
        <v>145</v>
      </c>
      <c r="P63" s="37" t="s">
        <v>182</v>
      </c>
      <c r="Q63" s="37" t="s">
        <v>197</v>
      </c>
      <c r="R63" s="38"/>
      <c r="S63" s="17" t="str">
        <f>"660,0"</f>
        <v>660,0</v>
      </c>
      <c r="T63" s="17" t="str">
        <f>"403,3260"</f>
        <v>403,3260</v>
      </c>
      <c r="U63" s="15"/>
    </row>
    <row r="64" spans="1:21">
      <c r="A64" s="38" t="s">
        <v>244</v>
      </c>
      <c r="B64" s="15" t="s">
        <v>198</v>
      </c>
      <c r="C64" s="15" t="s">
        <v>199</v>
      </c>
      <c r="D64" s="15" t="s">
        <v>200</v>
      </c>
      <c r="E64" s="16" t="s">
        <v>393</v>
      </c>
      <c r="F64" s="15" t="s">
        <v>18</v>
      </c>
      <c r="G64" s="37" t="s">
        <v>179</v>
      </c>
      <c r="H64" s="37" t="s">
        <v>180</v>
      </c>
      <c r="I64" s="37" t="s">
        <v>139</v>
      </c>
      <c r="J64" s="38"/>
      <c r="K64" s="37" t="s">
        <v>112</v>
      </c>
      <c r="L64" s="37" t="s">
        <v>91</v>
      </c>
      <c r="M64" s="37" t="s">
        <v>92</v>
      </c>
      <c r="N64" s="38"/>
      <c r="O64" s="37" t="s">
        <v>149</v>
      </c>
      <c r="P64" s="37" t="s">
        <v>150</v>
      </c>
      <c r="Q64" s="37" t="s">
        <v>160</v>
      </c>
      <c r="R64" s="38"/>
      <c r="S64" s="17" t="str">
        <f>"605,0"</f>
        <v>605,0</v>
      </c>
      <c r="T64" s="17" t="str">
        <f>"375,9470"</f>
        <v>375,9470</v>
      </c>
      <c r="U64" s="15"/>
    </row>
    <row r="65" spans="1:21">
      <c r="A65" s="38" t="s">
        <v>246</v>
      </c>
      <c r="B65" s="15" t="s">
        <v>201</v>
      </c>
      <c r="C65" s="15" t="s">
        <v>202</v>
      </c>
      <c r="D65" s="15" t="s">
        <v>203</v>
      </c>
      <c r="E65" s="16" t="s">
        <v>393</v>
      </c>
      <c r="F65" s="15" t="s">
        <v>18</v>
      </c>
      <c r="G65" s="37" t="s">
        <v>180</v>
      </c>
      <c r="H65" s="37" t="s">
        <v>172</v>
      </c>
      <c r="I65" s="37" t="s">
        <v>154</v>
      </c>
      <c r="J65" s="38"/>
      <c r="K65" s="37" t="s">
        <v>56</v>
      </c>
      <c r="L65" s="37" t="s">
        <v>57</v>
      </c>
      <c r="M65" s="38"/>
      <c r="N65" s="38"/>
      <c r="O65" s="37" t="s">
        <v>149</v>
      </c>
      <c r="P65" s="37" t="s">
        <v>145</v>
      </c>
      <c r="Q65" s="39" t="s">
        <v>182</v>
      </c>
      <c r="R65" s="38"/>
      <c r="S65" s="17" t="str">
        <f>"570,0"</f>
        <v>570,0</v>
      </c>
      <c r="T65" s="17" t="str">
        <f>"356,2500"</f>
        <v>356,2500</v>
      </c>
      <c r="U65" s="15"/>
    </row>
    <row r="66" spans="1:21">
      <c r="A66" s="38" t="s">
        <v>247</v>
      </c>
      <c r="B66" s="15" t="s">
        <v>204</v>
      </c>
      <c r="C66" s="15" t="s">
        <v>205</v>
      </c>
      <c r="D66" s="15" t="s">
        <v>206</v>
      </c>
      <c r="E66" s="16" t="s">
        <v>393</v>
      </c>
      <c r="F66" s="15" t="s">
        <v>18</v>
      </c>
      <c r="G66" s="37" t="s">
        <v>135</v>
      </c>
      <c r="H66" s="37" t="s">
        <v>137</v>
      </c>
      <c r="I66" s="37" t="s">
        <v>179</v>
      </c>
      <c r="J66" s="38"/>
      <c r="K66" s="37" t="s">
        <v>42</v>
      </c>
      <c r="L66" s="37" t="s">
        <v>73</v>
      </c>
      <c r="M66" s="39" t="s">
        <v>90</v>
      </c>
      <c r="N66" s="38"/>
      <c r="O66" s="37" t="s">
        <v>154</v>
      </c>
      <c r="P66" s="37" t="s">
        <v>149</v>
      </c>
      <c r="Q66" s="37" t="s">
        <v>181</v>
      </c>
      <c r="R66" s="38"/>
      <c r="S66" s="17" t="str">
        <f>"535,0"</f>
        <v>535,0</v>
      </c>
      <c r="T66" s="17" t="str">
        <f>"336,7825"</f>
        <v>336,7825</v>
      </c>
      <c r="U66" s="15" t="s">
        <v>353</v>
      </c>
    </row>
    <row r="67" spans="1:21">
      <c r="A67" s="38" t="s">
        <v>248</v>
      </c>
      <c r="B67" s="15" t="s">
        <v>207</v>
      </c>
      <c r="C67" s="15" t="s">
        <v>208</v>
      </c>
      <c r="D67" s="15" t="s">
        <v>209</v>
      </c>
      <c r="E67" s="16" t="s">
        <v>393</v>
      </c>
      <c r="F67" s="15" t="s">
        <v>18</v>
      </c>
      <c r="G67" s="39" t="s">
        <v>73</v>
      </c>
      <c r="H67" s="37" t="s">
        <v>73</v>
      </c>
      <c r="I67" s="39" t="s">
        <v>57</v>
      </c>
      <c r="J67" s="38"/>
      <c r="K67" s="39" t="s">
        <v>42</v>
      </c>
      <c r="L67" s="37" t="s">
        <v>42</v>
      </c>
      <c r="M67" s="39" t="s">
        <v>56</v>
      </c>
      <c r="N67" s="38"/>
      <c r="O67" s="37" t="s">
        <v>135</v>
      </c>
      <c r="P67" s="37" t="s">
        <v>137</v>
      </c>
      <c r="Q67" s="37" t="s">
        <v>180</v>
      </c>
      <c r="R67" s="38"/>
      <c r="S67" s="17" t="str">
        <f>"435,0"</f>
        <v>435,0</v>
      </c>
      <c r="T67" s="17" t="str">
        <f>"266,6115"</f>
        <v>266,6115</v>
      </c>
      <c r="U67" s="15"/>
    </row>
    <row r="68" spans="1:21">
      <c r="A68" s="41" t="s">
        <v>249</v>
      </c>
      <c r="B68" s="18" t="s">
        <v>210</v>
      </c>
      <c r="C68" s="18" t="s">
        <v>211</v>
      </c>
      <c r="D68" s="18" t="s">
        <v>212</v>
      </c>
      <c r="E68" s="19" t="s">
        <v>393</v>
      </c>
      <c r="F68" s="18" t="s">
        <v>18</v>
      </c>
      <c r="G68" s="40" t="s">
        <v>31</v>
      </c>
      <c r="H68" s="40" t="s">
        <v>36</v>
      </c>
      <c r="I68" s="40" t="s">
        <v>42</v>
      </c>
      <c r="J68" s="41"/>
      <c r="K68" s="40" t="s">
        <v>20</v>
      </c>
      <c r="L68" s="40" t="s">
        <v>25</v>
      </c>
      <c r="M68" s="40" t="s">
        <v>26</v>
      </c>
      <c r="N68" s="41"/>
      <c r="O68" s="40" t="s">
        <v>92</v>
      </c>
      <c r="P68" s="40" t="s">
        <v>135</v>
      </c>
      <c r="Q68" s="42" t="s">
        <v>137</v>
      </c>
      <c r="R68" s="41"/>
      <c r="S68" s="20" t="str">
        <f>"372,5"</f>
        <v>372,5</v>
      </c>
      <c r="T68" s="20" t="str">
        <f>"230,0932"</f>
        <v>230,0932</v>
      </c>
      <c r="U68" s="18" t="s">
        <v>353</v>
      </c>
    </row>
    <row r="70" spans="1:21" ht="16">
      <c r="A70" s="68" t="s">
        <v>213</v>
      </c>
      <c r="B70" s="68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</row>
    <row r="71" spans="1:21">
      <c r="A71" s="35" t="s">
        <v>243</v>
      </c>
      <c r="B71" s="12" t="s">
        <v>214</v>
      </c>
      <c r="C71" s="12" t="s">
        <v>347</v>
      </c>
      <c r="D71" s="12" t="s">
        <v>215</v>
      </c>
      <c r="E71" s="13" t="s">
        <v>395</v>
      </c>
      <c r="F71" s="12" t="s">
        <v>18</v>
      </c>
      <c r="G71" s="34" t="s">
        <v>112</v>
      </c>
      <c r="H71" s="34" t="s">
        <v>128</v>
      </c>
      <c r="I71" s="36" t="s">
        <v>137</v>
      </c>
      <c r="J71" s="35"/>
      <c r="K71" s="34" t="s">
        <v>42</v>
      </c>
      <c r="L71" s="34" t="s">
        <v>159</v>
      </c>
      <c r="M71" s="36" t="s">
        <v>57</v>
      </c>
      <c r="N71" s="35"/>
      <c r="O71" s="34" t="s">
        <v>129</v>
      </c>
      <c r="P71" s="34" t="s">
        <v>179</v>
      </c>
      <c r="Q71" s="34" t="s">
        <v>216</v>
      </c>
      <c r="R71" s="35"/>
      <c r="S71" s="14" t="str">
        <f>"485,0"</f>
        <v>485,0</v>
      </c>
      <c r="T71" s="14" t="str">
        <f>"286,2955"</f>
        <v>286,2955</v>
      </c>
      <c r="U71" s="12" t="s">
        <v>360</v>
      </c>
    </row>
    <row r="72" spans="1:21">
      <c r="A72" s="38" t="s">
        <v>243</v>
      </c>
      <c r="B72" s="15" t="s">
        <v>217</v>
      </c>
      <c r="C72" s="15" t="s">
        <v>218</v>
      </c>
      <c r="D72" s="15" t="s">
        <v>219</v>
      </c>
      <c r="E72" s="16" t="s">
        <v>393</v>
      </c>
      <c r="F72" s="15" t="s">
        <v>18</v>
      </c>
      <c r="G72" s="37" t="s">
        <v>154</v>
      </c>
      <c r="H72" s="37" t="s">
        <v>220</v>
      </c>
      <c r="I72" s="39" t="s">
        <v>145</v>
      </c>
      <c r="J72" s="38"/>
      <c r="K72" s="39" t="s">
        <v>143</v>
      </c>
      <c r="L72" s="37" t="s">
        <v>75</v>
      </c>
      <c r="M72" s="37" t="s">
        <v>127</v>
      </c>
      <c r="N72" s="38"/>
      <c r="O72" s="37" t="s">
        <v>197</v>
      </c>
      <c r="P72" s="37" t="s">
        <v>221</v>
      </c>
      <c r="Q72" s="39" t="s">
        <v>222</v>
      </c>
      <c r="R72" s="38"/>
      <c r="S72" s="17" t="str">
        <f>"632,5"</f>
        <v>632,5</v>
      </c>
      <c r="T72" s="17" t="str">
        <f>"372,3527"</f>
        <v>372,3527</v>
      </c>
      <c r="U72" s="15" t="s">
        <v>360</v>
      </c>
    </row>
    <row r="73" spans="1:21">
      <c r="A73" s="41" t="s">
        <v>244</v>
      </c>
      <c r="B73" s="18" t="s">
        <v>223</v>
      </c>
      <c r="C73" s="18" t="s">
        <v>224</v>
      </c>
      <c r="D73" s="18" t="s">
        <v>225</v>
      </c>
      <c r="E73" s="19" t="s">
        <v>393</v>
      </c>
      <c r="F73" s="18" t="s">
        <v>18</v>
      </c>
      <c r="G73" s="40" t="s">
        <v>129</v>
      </c>
      <c r="H73" s="40" t="s">
        <v>179</v>
      </c>
      <c r="I73" s="42" t="s">
        <v>187</v>
      </c>
      <c r="J73" s="41"/>
      <c r="K73" s="40" t="s">
        <v>128</v>
      </c>
      <c r="L73" s="40" t="s">
        <v>173</v>
      </c>
      <c r="M73" s="40" t="s">
        <v>137</v>
      </c>
      <c r="N73" s="41"/>
      <c r="O73" s="40" t="s">
        <v>179</v>
      </c>
      <c r="P73" s="40" t="s">
        <v>139</v>
      </c>
      <c r="Q73" s="42" t="s">
        <v>144</v>
      </c>
      <c r="R73" s="41"/>
      <c r="S73" s="20" t="str">
        <f>"565,0"</f>
        <v>565,0</v>
      </c>
      <c r="T73" s="20" t="str">
        <f>"339,5085"</f>
        <v>339,5085</v>
      </c>
      <c r="U73" s="18" t="s">
        <v>198</v>
      </c>
    </row>
    <row r="77" spans="1:21" ht="18">
      <c r="B77" s="25" t="s">
        <v>226</v>
      </c>
      <c r="C77" s="25"/>
    </row>
    <row r="78" spans="1:21" ht="16">
      <c r="B78" s="26" t="s">
        <v>227</v>
      </c>
      <c r="C78" s="26"/>
    </row>
    <row r="79" spans="1:21" ht="14">
      <c r="B79" s="27"/>
      <c r="C79" s="28" t="s">
        <v>235</v>
      </c>
    </row>
    <row r="80" spans="1:21" ht="14">
      <c r="B80" s="29" t="s">
        <v>228</v>
      </c>
      <c r="C80" s="29" t="s">
        <v>229</v>
      </c>
      <c r="D80" s="29" t="s">
        <v>383</v>
      </c>
      <c r="E80" s="30" t="s">
        <v>230</v>
      </c>
      <c r="F80" s="29" t="s">
        <v>231</v>
      </c>
    </row>
    <row r="81" spans="2:7">
      <c r="B81" s="10" t="s">
        <v>87</v>
      </c>
      <c r="C81" s="10" t="s">
        <v>235</v>
      </c>
      <c r="D81" s="32" t="s">
        <v>236</v>
      </c>
      <c r="E81" s="33">
        <v>347.5</v>
      </c>
      <c r="F81" s="31">
        <v>364.56226438283898</v>
      </c>
    </row>
    <row r="82" spans="2:7">
      <c r="B82" s="10" t="s">
        <v>52</v>
      </c>
      <c r="C82" s="10" t="s">
        <v>235</v>
      </c>
      <c r="D82" s="32" t="s">
        <v>234</v>
      </c>
      <c r="E82" s="33">
        <v>297.5</v>
      </c>
      <c r="F82" s="31">
        <v>355.006752610207</v>
      </c>
    </row>
    <row r="83" spans="2:7">
      <c r="B83" s="10" t="s">
        <v>61</v>
      </c>
      <c r="C83" s="10" t="s">
        <v>235</v>
      </c>
      <c r="D83" s="32" t="s">
        <v>237</v>
      </c>
      <c r="E83" s="33">
        <v>315</v>
      </c>
      <c r="F83" s="31">
        <v>354.40650522708899</v>
      </c>
    </row>
    <row r="85" spans="2:7" ht="16">
      <c r="B85" s="26" t="s">
        <v>238</v>
      </c>
      <c r="C85" s="26"/>
    </row>
    <row r="86" spans="2:7" ht="14">
      <c r="B86" s="27"/>
      <c r="C86" s="28" t="s">
        <v>239</v>
      </c>
    </row>
    <row r="87" spans="2:7" ht="14">
      <c r="B87" s="29" t="s">
        <v>228</v>
      </c>
      <c r="C87" s="29" t="s">
        <v>229</v>
      </c>
      <c r="D87" s="29" t="s">
        <v>383</v>
      </c>
      <c r="E87" s="30" t="s">
        <v>230</v>
      </c>
      <c r="F87" s="29" t="s">
        <v>231</v>
      </c>
    </row>
    <row r="88" spans="2:7">
      <c r="B88" s="10" t="s">
        <v>105</v>
      </c>
      <c r="C88" s="10" t="s">
        <v>348</v>
      </c>
      <c r="D88" s="32" t="s">
        <v>237</v>
      </c>
      <c r="E88" s="33">
        <v>350</v>
      </c>
      <c r="F88" s="31">
        <v>311.114993691444</v>
      </c>
    </row>
    <row r="89" spans="2:7">
      <c r="B89" s="10" t="s">
        <v>192</v>
      </c>
      <c r="C89" s="10" t="s">
        <v>348</v>
      </c>
      <c r="D89" s="32" t="s">
        <v>240</v>
      </c>
      <c r="E89" s="33">
        <v>505</v>
      </c>
      <c r="F89" s="31">
        <v>310.97901165485399</v>
      </c>
    </row>
    <row r="90" spans="2:7">
      <c r="B90" s="10" t="s">
        <v>110</v>
      </c>
      <c r="C90" s="10" t="s">
        <v>239</v>
      </c>
      <c r="D90" s="32" t="s">
        <v>236</v>
      </c>
      <c r="E90" s="33">
        <v>360</v>
      </c>
      <c r="F90" s="31">
        <v>298.98000240325899</v>
      </c>
    </row>
    <row r="92" spans="2:7" ht="14">
      <c r="B92" s="27"/>
      <c r="C92" s="28" t="s">
        <v>235</v>
      </c>
    </row>
    <row r="93" spans="2:7" ht="14">
      <c r="B93" s="29" t="s">
        <v>228</v>
      </c>
      <c r="C93" s="29" t="s">
        <v>229</v>
      </c>
      <c r="D93" s="29" t="s">
        <v>383</v>
      </c>
      <c r="E93" s="30" t="s">
        <v>230</v>
      </c>
      <c r="F93" s="29" t="s">
        <v>231</v>
      </c>
    </row>
    <row r="94" spans="2:7">
      <c r="B94" s="10" t="s">
        <v>162</v>
      </c>
      <c r="C94" s="10" t="s">
        <v>235</v>
      </c>
      <c r="D94" s="32" t="s">
        <v>241</v>
      </c>
      <c r="E94" s="33">
        <v>682.5</v>
      </c>
      <c r="F94" s="31">
        <v>435.70801243186003</v>
      </c>
    </row>
    <row r="95" spans="2:7">
      <c r="B95" s="10" t="s">
        <v>169</v>
      </c>
      <c r="C95" s="10" t="s">
        <v>235</v>
      </c>
      <c r="D95" s="32" t="s">
        <v>241</v>
      </c>
      <c r="E95" s="33">
        <v>667.5</v>
      </c>
      <c r="F95" s="31">
        <v>434.60923656821302</v>
      </c>
      <c r="G95" s="10"/>
    </row>
    <row r="96" spans="2:7">
      <c r="B96" s="10" t="s">
        <v>176</v>
      </c>
      <c r="C96" s="10" t="s">
        <v>235</v>
      </c>
      <c r="D96" s="32" t="s">
        <v>241</v>
      </c>
      <c r="E96" s="33">
        <v>615</v>
      </c>
      <c r="F96" s="31">
        <v>407.622008621693</v>
      </c>
      <c r="G96" s="10"/>
    </row>
  </sheetData>
  <mergeCells count="26">
    <mergeCell ref="A53:R53"/>
    <mergeCell ref="A61:R61"/>
    <mergeCell ref="A70:R70"/>
    <mergeCell ref="B3:B4"/>
    <mergeCell ref="A29:R29"/>
    <mergeCell ref="A32:R32"/>
    <mergeCell ref="A36:R36"/>
    <mergeCell ref="A41:R41"/>
    <mergeCell ref="A47:R47"/>
    <mergeCell ref="A5:R5"/>
    <mergeCell ref="A10:R10"/>
    <mergeCell ref="A15:R15"/>
    <mergeCell ref="A22:R22"/>
    <mergeCell ref="A26:R26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7"/>
  <sheetViews>
    <sheetView zoomScaleNormal="100" workbookViewId="0">
      <selection activeCell="E38" sqref="E38"/>
    </sheetView>
  </sheetViews>
  <sheetFormatPr baseColWidth="10" defaultColWidth="9.1640625" defaultRowHeight="13"/>
  <cols>
    <col min="1" max="1" width="7.5" style="10" bestFit="1" customWidth="1"/>
    <col min="2" max="2" width="21.83203125" style="10" customWidth="1"/>
    <col min="3" max="3" width="27.5" style="10" bestFit="1" customWidth="1"/>
    <col min="4" max="4" width="21.5" style="10" bestFit="1" customWidth="1"/>
    <col min="5" max="5" width="10.5" style="24" bestFit="1" customWidth="1"/>
    <col min="6" max="6" width="36.83203125" style="10" customWidth="1"/>
    <col min="7" max="9" width="5.5" style="32" customWidth="1"/>
    <col min="10" max="10" width="6.1640625" style="32" customWidth="1"/>
    <col min="11" max="11" width="10.5" style="11" bestFit="1" customWidth="1"/>
    <col min="12" max="12" width="8.5" style="11" bestFit="1" customWidth="1"/>
    <col min="13" max="13" width="18.83203125" style="10" customWidth="1"/>
    <col min="14" max="16384" width="9.1640625" style="3"/>
  </cols>
  <sheetData>
    <row r="1" spans="1:13" s="2" customFormat="1" ht="29" customHeight="1">
      <c r="A1" s="65" t="s">
        <v>385</v>
      </c>
      <c r="B1" s="66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67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389</v>
      </c>
      <c r="B3" s="70" t="s">
        <v>0</v>
      </c>
      <c r="C3" s="58" t="s">
        <v>391</v>
      </c>
      <c r="D3" s="58" t="s">
        <v>11</v>
      </c>
      <c r="E3" s="60" t="s">
        <v>392</v>
      </c>
      <c r="F3" s="62" t="s">
        <v>8</v>
      </c>
      <c r="G3" s="62" t="s">
        <v>13</v>
      </c>
      <c r="H3" s="62"/>
      <c r="I3" s="62"/>
      <c r="J3" s="62"/>
      <c r="K3" s="60" t="s">
        <v>284</v>
      </c>
      <c r="L3" s="60" t="s">
        <v>3</v>
      </c>
      <c r="M3" s="63" t="s">
        <v>2</v>
      </c>
    </row>
    <row r="4" spans="1:13" s="1" customFormat="1" ht="21" customHeight="1" thickBot="1">
      <c r="A4" s="57"/>
      <c r="B4" s="71"/>
      <c r="C4" s="59"/>
      <c r="D4" s="59"/>
      <c r="E4" s="61"/>
      <c r="F4" s="59"/>
      <c r="G4" s="9">
        <v>1</v>
      </c>
      <c r="H4" s="9">
        <v>2</v>
      </c>
      <c r="I4" s="9">
        <v>3</v>
      </c>
      <c r="J4" s="9" t="s">
        <v>5</v>
      </c>
      <c r="K4" s="61"/>
      <c r="L4" s="61"/>
      <c r="M4" s="64"/>
    </row>
    <row r="5" spans="1:13" ht="16">
      <c r="A5" s="72" t="s">
        <v>60</v>
      </c>
      <c r="B5" s="72"/>
      <c r="C5" s="73"/>
      <c r="D5" s="73"/>
      <c r="E5" s="73"/>
      <c r="F5" s="73"/>
      <c r="G5" s="73"/>
      <c r="H5" s="73"/>
      <c r="I5" s="73"/>
      <c r="J5" s="73"/>
    </row>
    <row r="6" spans="1:13">
      <c r="A6" s="45" t="s">
        <v>243</v>
      </c>
      <c r="B6" s="21" t="s">
        <v>250</v>
      </c>
      <c r="C6" s="21" t="s">
        <v>251</v>
      </c>
      <c r="D6" s="21" t="s">
        <v>252</v>
      </c>
      <c r="E6" s="22" t="s">
        <v>393</v>
      </c>
      <c r="F6" s="21" t="s">
        <v>47</v>
      </c>
      <c r="G6" s="43" t="s">
        <v>51</v>
      </c>
      <c r="H6" s="43" t="s">
        <v>30</v>
      </c>
      <c r="I6" s="45"/>
      <c r="J6" s="45"/>
      <c r="K6" s="23" t="str">
        <f>"100,0"</f>
        <v>100,0</v>
      </c>
      <c r="L6" s="23" t="str">
        <f>"114,6300"</f>
        <v>114,6300</v>
      </c>
      <c r="M6" s="21" t="s">
        <v>265</v>
      </c>
    </row>
    <row r="8" spans="1:13" ht="16">
      <c r="A8" s="68" t="s">
        <v>96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45" t="s">
        <v>243</v>
      </c>
      <c r="B9" s="21" t="s">
        <v>97</v>
      </c>
      <c r="C9" s="21" t="s">
        <v>98</v>
      </c>
      <c r="D9" s="21" t="s">
        <v>99</v>
      </c>
      <c r="E9" s="22" t="s">
        <v>393</v>
      </c>
      <c r="F9" s="21" t="s">
        <v>47</v>
      </c>
      <c r="G9" s="43" t="s">
        <v>100</v>
      </c>
      <c r="H9" s="44" t="s">
        <v>33</v>
      </c>
      <c r="I9" s="44" t="s">
        <v>33</v>
      </c>
      <c r="J9" s="45"/>
      <c r="K9" s="23" t="str">
        <f>"47,5"</f>
        <v>47,5</v>
      </c>
      <c r="L9" s="23" t="str">
        <f>"48,0747"</f>
        <v>48,0747</v>
      </c>
      <c r="M9" s="21" t="s">
        <v>365</v>
      </c>
    </row>
    <row r="11" spans="1:13" ht="16">
      <c r="A11" s="68" t="s">
        <v>101</v>
      </c>
      <c r="B11" s="68"/>
      <c r="C11" s="69"/>
      <c r="D11" s="69"/>
      <c r="E11" s="69"/>
      <c r="F11" s="69"/>
      <c r="G11" s="69"/>
      <c r="H11" s="69"/>
      <c r="I11" s="69"/>
      <c r="J11" s="69"/>
    </row>
    <row r="12" spans="1:13">
      <c r="A12" s="35" t="s">
        <v>243</v>
      </c>
      <c r="B12" s="12" t="s">
        <v>102</v>
      </c>
      <c r="C12" s="12" t="s">
        <v>103</v>
      </c>
      <c r="D12" s="12" t="s">
        <v>104</v>
      </c>
      <c r="E12" s="13" t="s">
        <v>394</v>
      </c>
      <c r="F12" s="12" t="s">
        <v>18</v>
      </c>
      <c r="G12" s="34" t="s">
        <v>34</v>
      </c>
      <c r="H12" s="34" t="s">
        <v>66</v>
      </c>
      <c r="I12" s="36" t="s">
        <v>48</v>
      </c>
      <c r="J12" s="35"/>
      <c r="K12" s="14" t="str">
        <f>"65,0"</f>
        <v>65,0</v>
      </c>
      <c r="L12" s="14" t="str">
        <f>"59,3125"</f>
        <v>59,3125</v>
      </c>
      <c r="M12" s="12" t="s">
        <v>366</v>
      </c>
    </row>
    <row r="13" spans="1:13">
      <c r="A13" s="41" t="s">
        <v>243</v>
      </c>
      <c r="B13" s="18" t="s">
        <v>253</v>
      </c>
      <c r="C13" s="18" t="s">
        <v>362</v>
      </c>
      <c r="D13" s="18" t="s">
        <v>254</v>
      </c>
      <c r="E13" s="19" t="s">
        <v>398</v>
      </c>
      <c r="F13" s="18" t="s">
        <v>18</v>
      </c>
      <c r="G13" s="40" t="s">
        <v>34</v>
      </c>
      <c r="H13" s="42" t="s">
        <v>65</v>
      </c>
      <c r="I13" s="42" t="s">
        <v>65</v>
      </c>
      <c r="J13" s="41"/>
      <c r="K13" s="20" t="str">
        <f>"55,0"</f>
        <v>55,0</v>
      </c>
      <c r="L13" s="20" t="str">
        <f>"82,8545"</f>
        <v>82,8545</v>
      </c>
      <c r="M13" s="18" t="s">
        <v>353</v>
      </c>
    </row>
    <row r="15" spans="1:13" ht="16">
      <c r="A15" s="68" t="s">
        <v>96</v>
      </c>
      <c r="B15" s="68"/>
      <c r="C15" s="69"/>
      <c r="D15" s="69"/>
      <c r="E15" s="69"/>
      <c r="F15" s="69"/>
      <c r="G15" s="69"/>
      <c r="H15" s="69"/>
      <c r="I15" s="69"/>
      <c r="J15" s="69"/>
    </row>
    <row r="16" spans="1:13">
      <c r="A16" s="35" t="s">
        <v>243</v>
      </c>
      <c r="B16" s="12" t="s">
        <v>255</v>
      </c>
      <c r="C16" s="12" t="s">
        <v>256</v>
      </c>
      <c r="D16" s="12" t="s">
        <v>257</v>
      </c>
      <c r="E16" s="13" t="s">
        <v>393</v>
      </c>
      <c r="F16" s="12" t="s">
        <v>47</v>
      </c>
      <c r="G16" s="34" t="s">
        <v>75</v>
      </c>
      <c r="H16" s="34" t="s">
        <v>112</v>
      </c>
      <c r="I16" s="35"/>
      <c r="J16" s="35"/>
      <c r="K16" s="14" t="str">
        <f>"150,0"</f>
        <v>150,0</v>
      </c>
      <c r="L16" s="14" t="str">
        <f>"108,8400"</f>
        <v>108,8400</v>
      </c>
      <c r="M16" s="12" t="s">
        <v>365</v>
      </c>
    </row>
    <row r="17" spans="1:13">
      <c r="A17" s="41" t="s">
        <v>244</v>
      </c>
      <c r="B17" s="18" t="s">
        <v>258</v>
      </c>
      <c r="C17" s="18" t="s">
        <v>259</v>
      </c>
      <c r="D17" s="18" t="s">
        <v>260</v>
      </c>
      <c r="E17" s="19" t="s">
        <v>393</v>
      </c>
      <c r="F17" s="18" t="s">
        <v>261</v>
      </c>
      <c r="G17" s="40" t="s">
        <v>25</v>
      </c>
      <c r="H17" s="42" t="s">
        <v>51</v>
      </c>
      <c r="I17" s="42" t="s">
        <v>51</v>
      </c>
      <c r="J17" s="41"/>
      <c r="K17" s="20" t="str">
        <f>"85,0"</f>
        <v>85,0</v>
      </c>
      <c r="L17" s="20" t="str">
        <f>"61,2595"</f>
        <v>61,2595</v>
      </c>
      <c r="M17" s="18" t="s">
        <v>367</v>
      </c>
    </row>
    <row r="19" spans="1:13" ht="16">
      <c r="A19" s="68" t="s">
        <v>101</v>
      </c>
      <c r="B19" s="68"/>
      <c r="C19" s="69"/>
      <c r="D19" s="69"/>
      <c r="E19" s="69"/>
      <c r="F19" s="69"/>
      <c r="G19" s="69"/>
      <c r="H19" s="69"/>
      <c r="I19" s="69"/>
      <c r="J19" s="69"/>
    </row>
    <row r="20" spans="1:13">
      <c r="A20" s="45" t="s">
        <v>243</v>
      </c>
      <c r="B20" s="21" t="s">
        <v>262</v>
      </c>
      <c r="C20" s="21" t="s">
        <v>263</v>
      </c>
      <c r="D20" s="21" t="s">
        <v>264</v>
      </c>
      <c r="E20" s="22" t="s">
        <v>393</v>
      </c>
      <c r="F20" s="21" t="s">
        <v>18</v>
      </c>
      <c r="G20" s="43" t="s">
        <v>57</v>
      </c>
      <c r="H20" s="43" t="s">
        <v>74</v>
      </c>
      <c r="I20" s="44" t="s">
        <v>68</v>
      </c>
      <c r="J20" s="45"/>
      <c r="K20" s="23" t="str">
        <f>"135,0"</f>
        <v>135,0</v>
      </c>
      <c r="L20" s="23" t="str">
        <f>"90,5040"</f>
        <v>90,5040</v>
      </c>
      <c r="M20" s="21" t="s">
        <v>360</v>
      </c>
    </row>
    <row r="21" spans="1:13">
      <c r="M21" s="10" t="s">
        <v>245</v>
      </c>
    </row>
    <row r="22" spans="1:13" ht="16">
      <c r="A22" s="68" t="s">
        <v>155</v>
      </c>
      <c r="B22" s="68"/>
      <c r="C22" s="69"/>
      <c r="D22" s="69"/>
      <c r="E22" s="69"/>
      <c r="F22" s="69"/>
      <c r="G22" s="69"/>
      <c r="H22" s="69"/>
      <c r="I22" s="69"/>
      <c r="J22" s="69"/>
    </row>
    <row r="23" spans="1:13">
      <c r="A23" s="35" t="s">
        <v>243</v>
      </c>
      <c r="B23" s="12" t="s">
        <v>169</v>
      </c>
      <c r="C23" s="12" t="s">
        <v>170</v>
      </c>
      <c r="D23" s="12" t="s">
        <v>171</v>
      </c>
      <c r="E23" s="13" t="s">
        <v>393</v>
      </c>
      <c r="F23" s="12" t="s">
        <v>18</v>
      </c>
      <c r="G23" s="34" t="s">
        <v>128</v>
      </c>
      <c r="H23" s="34" t="s">
        <v>173</v>
      </c>
      <c r="I23" s="36" t="s">
        <v>129</v>
      </c>
      <c r="J23" s="35"/>
      <c r="K23" s="14" t="str">
        <f>"172,5"</f>
        <v>172,5</v>
      </c>
      <c r="L23" s="14" t="str">
        <f>"112,3147"</f>
        <v>112,3147</v>
      </c>
      <c r="M23" s="12"/>
    </row>
    <row r="24" spans="1:13">
      <c r="A24" s="38" t="s">
        <v>244</v>
      </c>
      <c r="B24" s="15" t="s">
        <v>265</v>
      </c>
      <c r="C24" s="15" t="s">
        <v>266</v>
      </c>
      <c r="D24" s="15" t="s">
        <v>164</v>
      </c>
      <c r="E24" s="16" t="s">
        <v>393</v>
      </c>
      <c r="F24" s="15" t="s">
        <v>47</v>
      </c>
      <c r="G24" s="37" t="s">
        <v>91</v>
      </c>
      <c r="H24" s="39" t="s">
        <v>128</v>
      </c>
      <c r="I24" s="38"/>
      <c r="J24" s="38"/>
      <c r="K24" s="17" t="str">
        <f>"155,0"</f>
        <v>155,0</v>
      </c>
      <c r="L24" s="17" t="str">
        <f>"98,9520"</f>
        <v>98,9520</v>
      </c>
      <c r="M24" s="15" t="s">
        <v>365</v>
      </c>
    </row>
    <row r="25" spans="1:13">
      <c r="A25" s="41" t="s">
        <v>243</v>
      </c>
      <c r="B25" s="18" t="s">
        <v>267</v>
      </c>
      <c r="C25" s="18" t="s">
        <v>364</v>
      </c>
      <c r="D25" s="18" t="s">
        <v>268</v>
      </c>
      <c r="E25" s="19" t="s">
        <v>396</v>
      </c>
      <c r="F25" s="18" t="s">
        <v>18</v>
      </c>
      <c r="G25" s="40" t="s">
        <v>73</v>
      </c>
      <c r="H25" s="40" t="s">
        <v>269</v>
      </c>
      <c r="I25" s="42" t="s">
        <v>74</v>
      </c>
      <c r="J25" s="41"/>
      <c r="K25" s="20" t="str">
        <f>"132,5"</f>
        <v>132,5</v>
      </c>
      <c r="L25" s="20" t="str">
        <f>"91,5572"</f>
        <v>91,5572</v>
      </c>
      <c r="M25" s="18" t="s">
        <v>368</v>
      </c>
    </row>
    <row r="27" spans="1:13" ht="16">
      <c r="A27" s="68" t="s">
        <v>191</v>
      </c>
      <c r="B27" s="68"/>
      <c r="C27" s="69"/>
      <c r="D27" s="69"/>
      <c r="E27" s="69"/>
      <c r="F27" s="69"/>
      <c r="G27" s="69"/>
      <c r="H27" s="69"/>
      <c r="I27" s="69"/>
      <c r="J27" s="69"/>
    </row>
    <row r="28" spans="1:13">
      <c r="A28" s="35" t="s">
        <v>243</v>
      </c>
      <c r="B28" s="12" t="s">
        <v>270</v>
      </c>
      <c r="C28" s="12" t="s">
        <v>271</v>
      </c>
      <c r="D28" s="12" t="s">
        <v>272</v>
      </c>
      <c r="E28" s="13" t="s">
        <v>393</v>
      </c>
      <c r="F28" s="12" t="s">
        <v>47</v>
      </c>
      <c r="G28" s="34" t="s">
        <v>137</v>
      </c>
      <c r="H28" s="36" t="s">
        <v>273</v>
      </c>
      <c r="I28" s="35"/>
      <c r="J28" s="35"/>
      <c r="K28" s="14" t="str">
        <f>"180,0"</f>
        <v>180,0</v>
      </c>
      <c r="L28" s="14" t="str">
        <f>"112,8960"</f>
        <v>112,8960</v>
      </c>
      <c r="M28" s="12"/>
    </row>
    <row r="29" spans="1:13">
      <c r="A29" s="41" t="s">
        <v>243</v>
      </c>
      <c r="B29" s="18" t="s">
        <v>274</v>
      </c>
      <c r="C29" s="18" t="s">
        <v>363</v>
      </c>
      <c r="D29" s="18" t="s">
        <v>272</v>
      </c>
      <c r="E29" s="19" t="s">
        <v>396</v>
      </c>
      <c r="F29" s="18" t="s">
        <v>275</v>
      </c>
      <c r="G29" s="40" t="s">
        <v>56</v>
      </c>
      <c r="H29" s="40" t="s">
        <v>73</v>
      </c>
      <c r="I29" s="40" t="s">
        <v>57</v>
      </c>
      <c r="J29" s="41"/>
      <c r="K29" s="20" t="str">
        <f>"130,0"</f>
        <v>130,0</v>
      </c>
      <c r="L29" s="20" t="str">
        <f>"83,8190"</f>
        <v>83,8190</v>
      </c>
      <c r="M29" s="18"/>
    </row>
    <row r="31" spans="1:13" ht="16">
      <c r="A31" s="68" t="s">
        <v>213</v>
      </c>
      <c r="B31" s="68"/>
      <c r="C31" s="69"/>
      <c r="D31" s="69"/>
      <c r="E31" s="69"/>
      <c r="F31" s="69"/>
      <c r="G31" s="69"/>
      <c r="H31" s="69"/>
      <c r="I31" s="69"/>
      <c r="J31" s="69"/>
    </row>
    <row r="32" spans="1:13">
      <c r="A32" s="35" t="s">
        <v>243</v>
      </c>
      <c r="B32" s="12" t="s">
        <v>223</v>
      </c>
      <c r="C32" s="12" t="s">
        <v>224</v>
      </c>
      <c r="D32" s="12" t="s">
        <v>225</v>
      </c>
      <c r="E32" s="13" t="s">
        <v>393</v>
      </c>
      <c r="F32" s="12" t="s">
        <v>18</v>
      </c>
      <c r="G32" s="34" t="s">
        <v>128</v>
      </c>
      <c r="H32" s="34" t="s">
        <v>173</v>
      </c>
      <c r="I32" s="34" t="s">
        <v>137</v>
      </c>
      <c r="J32" s="35"/>
      <c r="K32" s="14" t="str">
        <f>"180,0"</f>
        <v>180,0</v>
      </c>
      <c r="L32" s="14" t="str">
        <f>"108,1620"</f>
        <v>108,1620</v>
      </c>
      <c r="M32" s="12" t="s">
        <v>198</v>
      </c>
    </row>
    <row r="33" spans="1:13">
      <c r="A33" s="38" t="s">
        <v>244</v>
      </c>
      <c r="B33" s="15" t="s">
        <v>217</v>
      </c>
      <c r="C33" s="15" t="s">
        <v>218</v>
      </c>
      <c r="D33" s="15" t="s">
        <v>219</v>
      </c>
      <c r="E33" s="16" t="s">
        <v>393</v>
      </c>
      <c r="F33" s="15" t="s">
        <v>18</v>
      </c>
      <c r="G33" s="39" t="s">
        <v>143</v>
      </c>
      <c r="H33" s="37" t="s">
        <v>75</v>
      </c>
      <c r="I33" s="37" t="s">
        <v>127</v>
      </c>
      <c r="J33" s="38"/>
      <c r="K33" s="17" t="str">
        <f>"152,5"</f>
        <v>152,5</v>
      </c>
      <c r="L33" s="17" t="str">
        <f>"89,7767"</f>
        <v>89,7767</v>
      </c>
      <c r="M33" s="15" t="s">
        <v>360</v>
      </c>
    </row>
    <row r="34" spans="1:13">
      <c r="A34" s="41" t="s">
        <v>246</v>
      </c>
      <c r="B34" s="18" t="s">
        <v>276</v>
      </c>
      <c r="C34" s="18" t="s">
        <v>218</v>
      </c>
      <c r="D34" s="18" t="s">
        <v>277</v>
      </c>
      <c r="E34" s="19" t="s">
        <v>393</v>
      </c>
      <c r="F34" s="18" t="s">
        <v>18</v>
      </c>
      <c r="G34" s="42" t="s">
        <v>90</v>
      </c>
      <c r="H34" s="40" t="s">
        <v>269</v>
      </c>
      <c r="I34" s="42" t="s">
        <v>143</v>
      </c>
      <c r="J34" s="41"/>
      <c r="K34" s="20" t="str">
        <f>"132,5"</f>
        <v>132,5</v>
      </c>
      <c r="L34" s="20" t="str">
        <f>"80,4805"</f>
        <v>80,4805</v>
      </c>
      <c r="M34" s="18" t="s">
        <v>360</v>
      </c>
    </row>
    <row r="36" spans="1:13" ht="16">
      <c r="A36" s="68" t="s">
        <v>278</v>
      </c>
      <c r="B36" s="68"/>
      <c r="C36" s="69"/>
      <c r="D36" s="69"/>
      <c r="E36" s="69"/>
      <c r="F36" s="69"/>
      <c r="G36" s="69"/>
      <c r="H36" s="69"/>
      <c r="I36" s="69"/>
      <c r="J36" s="69"/>
    </row>
    <row r="37" spans="1:13">
      <c r="A37" s="45" t="s">
        <v>243</v>
      </c>
      <c r="B37" s="21" t="s">
        <v>279</v>
      </c>
      <c r="C37" s="21" t="s">
        <v>280</v>
      </c>
      <c r="D37" s="21" t="s">
        <v>281</v>
      </c>
      <c r="E37" s="22" t="s">
        <v>394</v>
      </c>
      <c r="F37" s="21" t="s">
        <v>18</v>
      </c>
      <c r="G37" s="44" t="s">
        <v>31</v>
      </c>
      <c r="H37" s="43" t="s">
        <v>31</v>
      </c>
      <c r="I37" s="44" t="s">
        <v>36</v>
      </c>
      <c r="J37" s="45"/>
      <c r="K37" s="23" t="str">
        <f>"105,0"</f>
        <v>105,0</v>
      </c>
      <c r="L37" s="23" t="str">
        <f>"58,8735"</f>
        <v>58,8735</v>
      </c>
      <c r="M37" s="21" t="s">
        <v>369</v>
      </c>
    </row>
    <row r="39" spans="1:13">
      <c r="K39" s="32"/>
      <c r="M39" s="11"/>
    </row>
    <row r="40" spans="1:13">
      <c r="C40" s="3"/>
      <c r="D40" s="3"/>
      <c r="E40" s="3"/>
      <c r="F40" s="3"/>
      <c r="G40" s="3"/>
      <c r="K40" s="32"/>
      <c r="M40" s="11"/>
    </row>
    <row r="41" spans="1:13" ht="18">
      <c r="B41" s="25" t="s">
        <v>226</v>
      </c>
      <c r="C41" s="25"/>
      <c r="G41" s="3"/>
      <c r="K41" s="32"/>
      <c r="M41" s="11"/>
    </row>
    <row r="42" spans="1:13" ht="16">
      <c r="B42" s="26" t="s">
        <v>238</v>
      </c>
      <c r="C42" s="26"/>
      <c r="G42" s="3"/>
      <c r="K42" s="32"/>
      <c r="M42" s="11"/>
    </row>
    <row r="43" spans="1:13" ht="14">
      <c r="B43" s="27"/>
      <c r="C43" s="28" t="s">
        <v>235</v>
      </c>
      <c r="G43" s="3"/>
      <c r="K43" s="32"/>
      <c r="M43" s="11"/>
    </row>
    <row r="44" spans="1:13" ht="14">
      <c r="B44" s="29" t="s">
        <v>228</v>
      </c>
      <c r="C44" s="29" t="s">
        <v>229</v>
      </c>
      <c r="D44" s="29" t="s">
        <v>383</v>
      </c>
      <c r="E44" s="30" t="s">
        <v>282</v>
      </c>
      <c r="F44" s="29" t="s">
        <v>231</v>
      </c>
      <c r="G44" s="3"/>
      <c r="K44" s="32"/>
      <c r="M44" s="11"/>
    </row>
    <row r="45" spans="1:13">
      <c r="B45" s="10" t="s">
        <v>270</v>
      </c>
      <c r="C45" s="10" t="s">
        <v>235</v>
      </c>
      <c r="D45" s="32" t="s">
        <v>240</v>
      </c>
      <c r="E45" s="33">
        <v>180</v>
      </c>
      <c r="F45" s="31">
        <v>112.896001338959</v>
      </c>
      <c r="G45" s="3"/>
      <c r="K45" s="32"/>
      <c r="M45" s="11"/>
    </row>
    <row r="46" spans="1:13">
      <c r="B46" s="10" t="s">
        <v>169</v>
      </c>
      <c r="C46" s="10" t="s">
        <v>235</v>
      </c>
      <c r="D46" s="32" t="s">
        <v>241</v>
      </c>
      <c r="E46" s="33">
        <v>172.5</v>
      </c>
      <c r="F46" s="31">
        <v>112.31474652886401</v>
      </c>
      <c r="G46" s="10"/>
      <c r="K46" s="32"/>
      <c r="M46" s="11"/>
    </row>
    <row r="47" spans="1:13">
      <c r="B47" s="10" t="s">
        <v>255</v>
      </c>
      <c r="C47" s="10" t="s">
        <v>235</v>
      </c>
      <c r="D47" s="32" t="s">
        <v>283</v>
      </c>
      <c r="E47" s="33">
        <v>150</v>
      </c>
      <c r="F47" s="31">
        <v>108.84000062942501</v>
      </c>
      <c r="G47" s="10"/>
      <c r="K47" s="32"/>
      <c r="M47" s="11"/>
    </row>
  </sheetData>
  <mergeCells count="20">
    <mergeCell ref="A31:J31"/>
    <mergeCell ref="A36:J36"/>
    <mergeCell ref="B3:B4"/>
    <mergeCell ref="A8:J8"/>
    <mergeCell ref="A11:J11"/>
    <mergeCell ref="A15:J15"/>
    <mergeCell ref="A19:J19"/>
    <mergeCell ref="A22:J22"/>
    <mergeCell ref="A27:J2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4"/>
  <sheetViews>
    <sheetView topLeftCell="A26" zoomScaleNormal="100" workbookViewId="0">
      <selection activeCell="E60" sqref="E60"/>
    </sheetView>
  </sheetViews>
  <sheetFormatPr baseColWidth="10" defaultColWidth="9.1640625" defaultRowHeight="13"/>
  <cols>
    <col min="1" max="1" width="7.5" style="10" bestFit="1" customWidth="1"/>
    <col min="2" max="2" width="26.33203125" style="10" customWidth="1"/>
    <col min="3" max="3" width="27.5" style="10" bestFit="1" customWidth="1"/>
    <col min="4" max="4" width="21.5" style="10" bestFit="1" customWidth="1"/>
    <col min="5" max="5" width="10.5" style="24" bestFit="1" customWidth="1"/>
    <col min="6" max="6" width="37.83203125" style="10" customWidth="1"/>
    <col min="7" max="9" width="5.5" style="32" customWidth="1"/>
    <col min="10" max="10" width="4.83203125" style="32" customWidth="1"/>
    <col min="11" max="11" width="10.5" style="33" bestFit="1" customWidth="1"/>
    <col min="12" max="12" width="8.5" style="11" bestFit="1" customWidth="1"/>
    <col min="13" max="13" width="21.5" style="10" customWidth="1"/>
    <col min="14" max="16384" width="9.1640625" style="3"/>
  </cols>
  <sheetData>
    <row r="1" spans="1:13" s="2" customFormat="1" ht="29" customHeight="1">
      <c r="A1" s="65" t="s">
        <v>386</v>
      </c>
      <c r="B1" s="66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67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389</v>
      </c>
      <c r="B3" s="70" t="s">
        <v>0</v>
      </c>
      <c r="C3" s="58" t="s">
        <v>391</v>
      </c>
      <c r="D3" s="58" t="s">
        <v>11</v>
      </c>
      <c r="E3" s="60" t="s">
        <v>392</v>
      </c>
      <c r="F3" s="62" t="s">
        <v>8</v>
      </c>
      <c r="G3" s="62" t="s">
        <v>14</v>
      </c>
      <c r="H3" s="62"/>
      <c r="I3" s="62"/>
      <c r="J3" s="62"/>
      <c r="K3" s="74" t="s">
        <v>284</v>
      </c>
      <c r="L3" s="60" t="s">
        <v>3</v>
      </c>
      <c r="M3" s="63" t="s">
        <v>2</v>
      </c>
    </row>
    <row r="4" spans="1:13" s="1" customFormat="1" ht="21" customHeight="1" thickBot="1">
      <c r="A4" s="57"/>
      <c r="B4" s="71"/>
      <c r="C4" s="59"/>
      <c r="D4" s="59"/>
      <c r="E4" s="61"/>
      <c r="F4" s="59"/>
      <c r="G4" s="9">
        <v>1</v>
      </c>
      <c r="H4" s="9">
        <v>2</v>
      </c>
      <c r="I4" s="9">
        <v>3</v>
      </c>
      <c r="J4" s="9" t="s">
        <v>5</v>
      </c>
      <c r="K4" s="75"/>
      <c r="L4" s="61"/>
      <c r="M4" s="64"/>
    </row>
    <row r="5" spans="1:13" ht="16">
      <c r="A5" s="72" t="s">
        <v>15</v>
      </c>
      <c r="B5" s="72"/>
      <c r="C5" s="73"/>
      <c r="D5" s="73"/>
      <c r="E5" s="73"/>
      <c r="F5" s="73"/>
      <c r="G5" s="73"/>
      <c r="H5" s="73"/>
      <c r="I5" s="73"/>
      <c r="J5" s="73"/>
    </row>
    <row r="6" spans="1:13">
      <c r="A6" s="45" t="s">
        <v>243</v>
      </c>
      <c r="B6" s="21" t="s">
        <v>285</v>
      </c>
      <c r="C6" s="21" t="s">
        <v>286</v>
      </c>
      <c r="D6" s="21" t="s">
        <v>39</v>
      </c>
      <c r="E6" s="22" t="s">
        <v>394</v>
      </c>
      <c r="F6" s="21" t="s">
        <v>18</v>
      </c>
      <c r="G6" s="44" t="s">
        <v>51</v>
      </c>
      <c r="H6" s="43" t="s">
        <v>51</v>
      </c>
      <c r="I6" s="43" t="s">
        <v>136</v>
      </c>
      <c r="J6" s="45"/>
      <c r="K6" s="46" t="str">
        <f>"97,5"</f>
        <v>97,5</v>
      </c>
      <c r="L6" s="23" t="str">
        <f>"123,5618"</f>
        <v>123,5618</v>
      </c>
      <c r="M6" s="21" t="s">
        <v>360</v>
      </c>
    </row>
    <row r="8" spans="1:13" ht="16">
      <c r="A8" s="68" t="s">
        <v>43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45" t="s">
        <v>243</v>
      </c>
      <c r="B9" s="21" t="s">
        <v>44</v>
      </c>
      <c r="C9" s="21" t="s">
        <v>45</v>
      </c>
      <c r="D9" s="21" t="s">
        <v>46</v>
      </c>
      <c r="E9" s="22" t="s">
        <v>394</v>
      </c>
      <c r="F9" s="21" t="s">
        <v>47</v>
      </c>
      <c r="G9" s="43" t="s">
        <v>20</v>
      </c>
      <c r="H9" s="44" t="s">
        <v>51</v>
      </c>
      <c r="I9" s="43" t="s">
        <v>51</v>
      </c>
      <c r="J9" s="45"/>
      <c r="K9" s="46" t="str">
        <f>"90,0"</f>
        <v>90,0</v>
      </c>
      <c r="L9" s="23" t="str">
        <f>"105,8940"</f>
        <v>105,8940</v>
      </c>
      <c r="M9" s="21" t="s">
        <v>351</v>
      </c>
    </row>
    <row r="11" spans="1:13" ht="16">
      <c r="A11" s="68" t="s">
        <v>60</v>
      </c>
      <c r="B11" s="68"/>
      <c r="C11" s="69"/>
      <c r="D11" s="69"/>
      <c r="E11" s="69"/>
      <c r="F11" s="69"/>
      <c r="G11" s="69"/>
      <c r="H11" s="69"/>
      <c r="I11" s="69"/>
      <c r="J11" s="69"/>
    </row>
    <row r="12" spans="1:13">
      <c r="A12" s="35" t="s">
        <v>243</v>
      </c>
      <c r="B12" s="12" t="s">
        <v>287</v>
      </c>
      <c r="C12" s="12" t="s">
        <v>170</v>
      </c>
      <c r="D12" s="12" t="s">
        <v>63</v>
      </c>
      <c r="E12" s="13" t="s">
        <v>393</v>
      </c>
      <c r="F12" s="12" t="s">
        <v>18</v>
      </c>
      <c r="G12" s="34" t="s">
        <v>42</v>
      </c>
      <c r="H12" s="34" t="s">
        <v>56</v>
      </c>
      <c r="I12" s="34" t="s">
        <v>73</v>
      </c>
      <c r="J12" s="35"/>
      <c r="K12" s="47" t="str">
        <f>"125,0"</f>
        <v>125,0</v>
      </c>
      <c r="L12" s="14" t="str">
        <f>"140,6375"</f>
        <v>140,6375</v>
      </c>
      <c r="M12" s="12" t="s">
        <v>376</v>
      </c>
    </row>
    <row r="13" spans="1:13">
      <c r="A13" s="38" t="s">
        <v>244</v>
      </c>
      <c r="B13" s="15" t="s">
        <v>80</v>
      </c>
      <c r="C13" s="15" t="s">
        <v>81</v>
      </c>
      <c r="D13" s="15" t="s">
        <v>82</v>
      </c>
      <c r="E13" s="16" t="s">
        <v>393</v>
      </c>
      <c r="F13" s="15" t="s">
        <v>18</v>
      </c>
      <c r="G13" s="37" t="s">
        <v>56</v>
      </c>
      <c r="H13" s="39" t="s">
        <v>57</v>
      </c>
      <c r="I13" s="39" t="s">
        <v>57</v>
      </c>
      <c r="J13" s="38"/>
      <c r="K13" s="48" t="str">
        <f>"120,0"</f>
        <v>120,0</v>
      </c>
      <c r="L13" s="17" t="str">
        <f>"137,7360"</f>
        <v>137,7360</v>
      </c>
      <c r="M13" s="15" t="s">
        <v>369</v>
      </c>
    </row>
    <row r="14" spans="1:13">
      <c r="A14" s="41" t="s">
        <v>246</v>
      </c>
      <c r="B14" s="18" t="s">
        <v>288</v>
      </c>
      <c r="C14" s="18" t="s">
        <v>289</v>
      </c>
      <c r="D14" s="18" t="s">
        <v>290</v>
      </c>
      <c r="E14" s="19" t="s">
        <v>393</v>
      </c>
      <c r="F14" s="18" t="s">
        <v>47</v>
      </c>
      <c r="G14" s="40" t="s">
        <v>48</v>
      </c>
      <c r="H14" s="40" t="s">
        <v>20</v>
      </c>
      <c r="I14" s="40" t="s">
        <v>51</v>
      </c>
      <c r="J14" s="41"/>
      <c r="K14" s="49" t="str">
        <f>"90,0"</f>
        <v>90,0</v>
      </c>
      <c r="L14" s="20" t="str">
        <f>"102,6090"</f>
        <v>102,6090</v>
      </c>
      <c r="M14" s="18" t="s">
        <v>377</v>
      </c>
    </row>
    <row r="16" spans="1:13" ht="16">
      <c r="A16" s="68" t="s">
        <v>86</v>
      </c>
      <c r="B16" s="68"/>
      <c r="C16" s="69"/>
      <c r="D16" s="69"/>
      <c r="E16" s="69"/>
      <c r="F16" s="69"/>
      <c r="G16" s="69"/>
      <c r="H16" s="69"/>
      <c r="I16" s="69"/>
      <c r="J16" s="69"/>
    </row>
    <row r="17" spans="1:13">
      <c r="A17" s="45" t="s">
        <v>243</v>
      </c>
      <c r="B17" s="21" t="s">
        <v>93</v>
      </c>
      <c r="C17" s="21" t="s">
        <v>94</v>
      </c>
      <c r="D17" s="21" t="s">
        <v>95</v>
      </c>
      <c r="E17" s="22" t="s">
        <v>393</v>
      </c>
      <c r="F17" s="21" t="s">
        <v>18</v>
      </c>
      <c r="G17" s="43" t="s">
        <v>31</v>
      </c>
      <c r="H17" s="43" t="s">
        <v>32</v>
      </c>
      <c r="I17" s="44" t="s">
        <v>36</v>
      </c>
      <c r="J17" s="45"/>
      <c r="K17" s="46" t="str">
        <f>"110,0"</f>
        <v>110,0</v>
      </c>
      <c r="L17" s="23" t="str">
        <f>"113,4870"</f>
        <v>113,4870</v>
      </c>
      <c r="M17" s="21" t="s">
        <v>353</v>
      </c>
    </row>
    <row r="19" spans="1:13" ht="16">
      <c r="A19" s="68" t="s">
        <v>96</v>
      </c>
      <c r="B19" s="68"/>
      <c r="C19" s="69"/>
      <c r="D19" s="69"/>
      <c r="E19" s="69"/>
      <c r="F19" s="69"/>
      <c r="G19" s="69"/>
      <c r="H19" s="69"/>
      <c r="I19" s="69"/>
      <c r="J19" s="69"/>
    </row>
    <row r="20" spans="1:13">
      <c r="A20" s="45" t="s">
        <v>243</v>
      </c>
      <c r="B20" s="21" t="s">
        <v>97</v>
      </c>
      <c r="C20" s="21" t="s">
        <v>98</v>
      </c>
      <c r="D20" s="21" t="s">
        <v>99</v>
      </c>
      <c r="E20" s="22" t="s">
        <v>393</v>
      </c>
      <c r="F20" s="21" t="s">
        <v>47</v>
      </c>
      <c r="G20" s="43" t="s">
        <v>56</v>
      </c>
      <c r="H20" s="43" t="s">
        <v>57</v>
      </c>
      <c r="I20" s="44" t="s">
        <v>74</v>
      </c>
      <c r="J20" s="45"/>
      <c r="K20" s="46" t="str">
        <f>"130,0"</f>
        <v>130,0</v>
      </c>
      <c r="L20" s="23" t="str">
        <f>"131,5730"</f>
        <v>131,5730</v>
      </c>
      <c r="M20" s="21" t="s">
        <v>265</v>
      </c>
    </row>
    <row r="22" spans="1:13" ht="16">
      <c r="A22" s="68" t="s">
        <v>101</v>
      </c>
      <c r="B22" s="68"/>
      <c r="C22" s="69"/>
      <c r="D22" s="69"/>
      <c r="E22" s="69"/>
      <c r="F22" s="69"/>
      <c r="G22" s="69"/>
      <c r="H22" s="69"/>
      <c r="I22" s="69"/>
      <c r="J22" s="69"/>
    </row>
    <row r="23" spans="1:13">
      <c r="A23" s="35" t="s">
        <v>243</v>
      </c>
      <c r="B23" s="12" t="s">
        <v>102</v>
      </c>
      <c r="C23" s="12" t="s">
        <v>103</v>
      </c>
      <c r="D23" s="12" t="s">
        <v>104</v>
      </c>
      <c r="E23" s="13" t="s">
        <v>394</v>
      </c>
      <c r="F23" s="12" t="s">
        <v>18</v>
      </c>
      <c r="G23" s="34" t="s">
        <v>32</v>
      </c>
      <c r="H23" s="34" t="s">
        <v>56</v>
      </c>
      <c r="I23" s="34" t="s">
        <v>57</v>
      </c>
      <c r="J23" s="35"/>
      <c r="K23" s="47" t="str">
        <f>"130,0"</f>
        <v>130,0</v>
      </c>
      <c r="L23" s="14" t="str">
        <f>"118,6250"</f>
        <v>118,6250</v>
      </c>
      <c r="M23" s="12" t="s">
        <v>366</v>
      </c>
    </row>
    <row r="24" spans="1:13">
      <c r="A24" s="41" t="s">
        <v>243</v>
      </c>
      <c r="B24" s="18" t="s">
        <v>291</v>
      </c>
      <c r="C24" s="18" t="s">
        <v>292</v>
      </c>
      <c r="D24" s="18" t="s">
        <v>293</v>
      </c>
      <c r="E24" s="19" t="s">
        <v>393</v>
      </c>
      <c r="F24" s="18" t="s">
        <v>261</v>
      </c>
      <c r="G24" s="40" t="s">
        <v>48</v>
      </c>
      <c r="H24" s="42" t="s">
        <v>20</v>
      </c>
      <c r="I24" s="40" t="s">
        <v>25</v>
      </c>
      <c r="J24" s="41"/>
      <c r="K24" s="49" t="str">
        <f>"85,0"</f>
        <v>85,0</v>
      </c>
      <c r="L24" s="20" t="str">
        <f>"77,4520"</f>
        <v>77,4520</v>
      </c>
      <c r="M24" s="18" t="s">
        <v>378</v>
      </c>
    </row>
    <row r="26" spans="1:13" ht="16">
      <c r="A26" s="68" t="s">
        <v>60</v>
      </c>
      <c r="B26" s="68"/>
      <c r="C26" s="69"/>
      <c r="D26" s="69"/>
      <c r="E26" s="69"/>
      <c r="F26" s="69"/>
      <c r="G26" s="69"/>
      <c r="H26" s="69"/>
      <c r="I26" s="69"/>
      <c r="J26" s="69"/>
    </row>
    <row r="27" spans="1:13">
      <c r="A27" s="45" t="s">
        <v>243</v>
      </c>
      <c r="B27" s="21" t="s">
        <v>107</v>
      </c>
      <c r="C27" s="21" t="s">
        <v>338</v>
      </c>
      <c r="D27" s="21" t="s">
        <v>108</v>
      </c>
      <c r="E27" s="22" t="s">
        <v>396</v>
      </c>
      <c r="F27" s="21" t="s">
        <v>18</v>
      </c>
      <c r="G27" s="43" t="s">
        <v>20</v>
      </c>
      <c r="H27" s="43" t="s">
        <v>51</v>
      </c>
      <c r="I27" s="43" t="s">
        <v>30</v>
      </c>
      <c r="J27" s="45"/>
      <c r="K27" s="46" t="str">
        <f>"100,0"</f>
        <v>100,0</v>
      </c>
      <c r="L27" s="23" t="str">
        <f>"102,6950"</f>
        <v>102,6950</v>
      </c>
      <c r="M27" s="21" t="s">
        <v>379</v>
      </c>
    </row>
    <row r="29" spans="1:13" ht="16">
      <c r="A29" s="68" t="s">
        <v>86</v>
      </c>
      <c r="B29" s="68"/>
      <c r="C29" s="69"/>
      <c r="D29" s="69"/>
      <c r="E29" s="69"/>
      <c r="F29" s="69"/>
      <c r="G29" s="69"/>
      <c r="H29" s="69"/>
      <c r="I29" s="69"/>
      <c r="J29" s="69"/>
    </row>
    <row r="30" spans="1:13">
      <c r="A30" s="45" t="s">
        <v>243</v>
      </c>
      <c r="B30" s="21" t="s">
        <v>113</v>
      </c>
      <c r="C30" s="21" t="s">
        <v>340</v>
      </c>
      <c r="D30" s="21" t="s">
        <v>114</v>
      </c>
      <c r="E30" s="22" t="s">
        <v>395</v>
      </c>
      <c r="F30" s="21" t="s">
        <v>18</v>
      </c>
      <c r="G30" s="43" t="s">
        <v>74</v>
      </c>
      <c r="H30" s="44" t="s">
        <v>115</v>
      </c>
      <c r="I30" s="44" t="s">
        <v>75</v>
      </c>
      <c r="J30" s="45"/>
      <c r="K30" s="46" t="str">
        <f>"135,0"</f>
        <v>135,0</v>
      </c>
      <c r="L30" s="23" t="str">
        <f>"106,3935"</f>
        <v>106,3935</v>
      </c>
      <c r="M30" s="21" t="s">
        <v>360</v>
      </c>
    </row>
    <row r="32" spans="1:13" ht="16">
      <c r="A32" s="68" t="s">
        <v>96</v>
      </c>
      <c r="B32" s="68"/>
      <c r="C32" s="69"/>
      <c r="D32" s="69"/>
      <c r="E32" s="69"/>
      <c r="F32" s="69"/>
      <c r="G32" s="69"/>
      <c r="H32" s="69"/>
      <c r="I32" s="69"/>
      <c r="J32" s="69"/>
    </row>
    <row r="33" spans="1:13">
      <c r="A33" s="35" t="s">
        <v>243</v>
      </c>
      <c r="B33" s="12" t="s">
        <v>294</v>
      </c>
      <c r="C33" s="12" t="s">
        <v>295</v>
      </c>
      <c r="D33" s="12" t="s">
        <v>126</v>
      </c>
      <c r="E33" s="13" t="s">
        <v>394</v>
      </c>
      <c r="F33" s="12" t="s">
        <v>18</v>
      </c>
      <c r="G33" s="34" t="s">
        <v>92</v>
      </c>
      <c r="H33" s="34" t="s">
        <v>137</v>
      </c>
      <c r="I33" s="34" t="s">
        <v>138</v>
      </c>
      <c r="J33" s="35"/>
      <c r="K33" s="47" t="str">
        <f>"192,5"</f>
        <v>192,5</v>
      </c>
      <c r="L33" s="14" t="str">
        <f>"137,5605"</f>
        <v>137,5605</v>
      </c>
      <c r="M33" s="12" t="s">
        <v>360</v>
      </c>
    </row>
    <row r="34" spans="1:13">
      <c r="A34" s="41" t="s">
        <v>243</v>
      </c>
      <c r="B34" s="18" t="s">
        <v>296</v>
      </c>
      <c r="C34" s="18" t="s">
        <v>370</v>
      </c>
      <c r="D34" s="18" t="s">
        <v>297</v>
      </c>
      <c r="E34" s="19" t="s">
        <v>397</v>
      </c>
      <c r="F34" s="18" t="s">
        <v>261</v>
      </c>
      <c r="G34" s="40" t="s">
        <v>20</v>
      </c>
      <c r="H34" s="40" t="s">
        <v>25</v>
      </c>
      <c r="I34" s="40" t="s">
        <v>72</v>
      </c>
      <c r="J34" s="41"/>
      <c r="K34" s="49" t="str">
        <f>"95,0"</f>
        <v>95,0</v>
      </c>
      <c r="L34" s="20" t="str">
        <f>"134,3822"</f>
        <v>134,3822</v>
      </c>
      <c r="M34" s="18" t="s">
        <v>380</v>
      </c>
    </row>
    <row r="36" spans="1:13" ht="16">
      <c r="A36" s="68" t="s">
        <v>101</v>
      </c>
      <c r="B36" s="68"/>
      <c r="C36" s="69"/>
      <c r="D36" s="69"/>
      <c r="E36" s="69"/>
      <c r="F36" s="69"/>
      <c r="G36" s="69"/>
      <c r="H36" s="69"/>
      <c r="I36" s="69"/>
      <c r="J36" s="69"/>
    </row>
    <row r="37" spans="1:13">
      <c r="A37" s="35" t="s">
        <v>243</v>
      </c>
      <c r="B37" s="12" t="s">
        <v>298</v>
      </c>
      <c r="C37" s="12" t="s">
        <v>371</v>
      </c>
      <c r="D37" s="12" t="s">
        <v>299</v>
      </c>
      <c r="E37" s="13" t="s">
        <v>395</v>
      </c>
      <c r="F37" s="12" t="s">
        <v>261</v>
      </c>
      <c r="G37" s="34" t="s">
        <v>32</v>
      </c>
      <c r="H37" s="34" t="s">
        <v>56</v>
      </c>
      <c r="I37" s="34" t="s">
        <v>57</v>
      </c>
      <c r="J37" s="35"/>
      <c r="K37" s="47" t="str">
        <f>"130,0"</f>
        <v>130,0</v>
      </c>
      <c r="L37" s="14" t="str">
        <f>"89,1800"</f>
        <v>89,1800</v>
      </c>
      <c r="M37" s="12" t="s">
        <v>367</v>
      </c>
    </row>
    <row r="38" spans="1:13">
      <c r="A38" s="38" t="s">
        <v>243</v>
      </c>
      <c r="B38" s="15" t="s">
        <v>130</v>
      </c>
      <c r="C38" s="15" t="s">
        <v>131</v>
      </c>
      <c r="D38" s="15" t="s">
        <v>132</v>
      </c>
      <c r="E38" s="16" t="s">
        <v>394</v>
      </c>
      <c r="F38" s="15" t="s">
        <v>18</v>
      </c>
      <c r="G38" s="37" t="s">
        <v>137</v>
      </c>
      <c r="H38" s="37" t="s">
        <v>138</v>
      </c>
      <c r="I38" s="39" t="s">
        <v>139</v>
      </c>
      <c r="J38" s="38"/>
      <c r="K38" s="48" t="str">
        <f>"192,5"</f>
        <v>192,5</v>
      </c>
      <c r="L38" s="17" t="str">
        <f>"130,4958"</f>
        <v>130,4958</v>
      </c>
      <c r="M38" s="15" t="s">
        <v>360</v>
      </c>
    </row>
    <row r="39" spans="1:13">
      <c r="A39" s="38" t="s">
        <v>243</v>
      </c>
      <c r="B39" s="15" t="s">
        <v>262</v>
      </c>
      <c r="C39" s="15" t="s">
        <v>263</v>
      </c>
      <c r="D39" s="15" t="s">
        <v>264</v>
      </c>
      <c r="E39" s="16" t="s">
        <v>393</v>
      </c>
      <c r="F39" s="15" t="s">
        <v>18</v>
      </c>
      <c r="G39" s="37" t="s">
        <v>139</v>
      </c>
      <c r="H39" s="39" t="s">
        <v>172</v>
      </c>
      <c r="I39" s="38"/>
      <c r="J39" s="38"/>
      <c r="K39" s="48" t="str">
        <f>"200,0"</f>
        <v>200,0</v>
      </c>
      <c r="L39" s="17" t="str">
        <f>"134,0800"</f>
        <v>134,0800</v>
      </c>
      <c r="M39" s="15" t="s">
        <v>360</v>
      </c>
    </row>
    <row r="40" spans="1:13">
      <c r="A40" s="41" t="s">
        <v>243</v>
      </c>
      <c r="B40" s="18" t="s">
        <v>300</v>
      </c>
      <c r="C40" s="18" t="s">
        <v>372</v>
      </c>
      <c r="D40" s="18" t="s">
        <v>301</v>
      </c>
      <c r="E40" s="19" t="s">
        <v>397</v>
      </c>
      <c r="F40" s="18" t="s">
        <v>261</v>
      </c>
      <c r="G40" s="40" t="s">
        <v>73</v>
      </c>
      <c r="H40" s="40" t="s">
        <v>74</v>
      </c>
      <c r="I40" s="42" t="s">
        <v>112</v>
      </c>
      <c r="J40" s="41"/>
      <c r="K40" s="49" t="str">
        <f>"135,0"</f>
        <v>135,0</v>
      </c>
      <c r="L40" s="20" t="str">
        <f>"165,3745"</f>
        <v>165,3745</v>
      </c>
      <c r="M40" s="18" t="s">
        <v>367</v>
      </c>
    </row>
    <row r="42" spans="1:13" ht="16">
      <c r="A42" s="68" t="s">
        <v>155</v>
      </c>
      <c r="B42" s="68"/>
      <c r="C42" s="69"/>
      <c r="D42" s="69"/>
      <c r="E42" s="69"/>
      <c r="F42" s="69"/>
      <c r="G42" s="69"/>
      <c r="H42" s="69"/>
      <c r="I42" s="69"/>
      <c r="J42" s="69"/>
    </row>
    <row r="43" spans="1:13">
      <c r="A43" s="35" t="s">
        <v>243</v>
      </c>
      <c r="B43" s="12" t="s">
        <v>156</v>
      </c>
      <c r="C43" s="12" t="s">
        <v>157</v>
      </c>
      <c r="D43" s="12" t="s">
        <v>158</v>
      </c>
      <c r="E43" s="13" t="s">
        <v>394</v>
      </c>
      <c r="F43" s="12" t="s">
        <v>18</v>
      </c>
      <c r="G43" s="34" t="s">
        <v>160</v>
      </c>
      <c r="H43" s="36" t="s">
        <v>161</v>
      </c>
      <c r="I43" s="34" t="s">
        <v>161</v>
      </c>
      <c r="J43" s="35"/>
      <c r="K43" s="47" t="str">
        <f>"255,0"</f>
        <v>255,0</v>
      </c>
      <c r="L43" s="14" t="str">
        <f>"167,8665"</f>
        <v>167,8665</v>
      </c>
      <c r="M43" s="12" t="s">
        <v>360</v>
      </c>
    </row>
    <row r="44" spans="1:13">
      <c r="A44" s="38" t="s">
        <v>243</v>
      </c>
      <c r="B44" s="15" t="s">
        <v>169</v>
      </c>
      <c r="C44" s="15" t="s">
        <v>170</v>
      </c>
      <c r="D44" s="15" t="s">
        <v>171</v>
      </c>
      <c r="E44" s="16" t="s">
        <v>393</v>
      </c>
      <c r="F44" s="15" t="s">
        <v>18</v>
      </c>
      <c r="G44" s="37" t="s">
        <v>167</v>
      </c>
      <c r="H44" s="37" t="s">
        <v>174</v>
      </c>
      <c r="I44" s="37" t="s">
        <v>175</v>
      </c>
      <c r="J44" s="38"/>
      <c r="K44" s="48" t="str">
        <f>"290,0"</f>
        <v>290,0</v>
      </c>
      <c r="L44" s="17" t="str">
        <f>"188,8190"</f>
        <v>188,8190</v>
      </c>
      <c r="M44" s="15"/>
    </row>
    <row r="45" spans="1:13">
      <c r="A45" s="38" t="s">
        <v>244</v>
      </c>
      <c r="B45" s="15" t="s">
        <v>162</v>
      </c>
      <c r="C45" s="15" t="s">
        <v>163</v>
      </c>
      <c r="D45" s="15" t="s">
        <v>164</v>
      </c>
      <c r="E45" s="16" t="s">
        <v>393</v>
      </c>
      <c r="F45" s="15" t="s">
        <v>18</v>
      </c>
      <c r="G45" s="39" t="s">
        <v>166</v>
      </c>
      <c r="H45" s="37" t="s">
        <v>167</v>
      </c>
      <c r="I45" s="37" t="s">
        <v>168</v>
      </c>
      <c r="J45" s="38"/>
      <c r="K45" s="48" t="str">
        <f>"280,0"</f>
        <v>280,0</v>
      </c>
      <c r="L45" s="17" t="str">
        <f>"178,7520"</f>
        <v>178,7520</v>
      </c>
      <c r="M45" s="15" t="s">
        <v>359</v>
      </c>
    </row>
    <row r="46" spans="1:13">
      <c r="A46" s="41" t="s">
        <v>245</v>
      </c>
      <c r="B46" s="18" t="s">
        <v>302</v>
      </c>
      <c r="C46" s="18" t="s">
        <v>303</v>
      </c>
      <c r="D46" s="18" t="s">
        <v>304</v>
      </c>
      <c r="E46" s="19" t="s">
        <v>393</v>
      </c>
      <c r="F46" s="18" t="s">
        <v>261</v>
      </c>
      <c r="G46" s="42" t="s">
        <v>137</v>
      </c>
      <c r="H46" s="42" t="s">
        <v>137</v>
      </c>
      <c r="I46" s="41"/>
      <c r="J46" s="41"/>
      <c r="K46" s="49">
        <v>0</v>
      </c>
      <c r="L46" s="20" t="str">
        <f>"0,0000"</f>
        <v>0,0000</v>
      </c>
      <c r="M46" s="18" t="s">
        <v>367</v>
      </c>
    </row>
    <row r="48" spans="1:13" ht="16">
      <c r="A48" s="68" t="s">
        <v>191</v>
      </c>
      <c r="B48" s="68"/>
      <c r="C48" s="69"/>
      <c r="D48" s="69"/>
      <c r="E48" s="69"/>
      <c r="F48" s="69"/>
      <c r="G48" s="69"/>
      <c r="H48" s="69"/>
      <c r="I48" s="69"/>
      <c r="J48" s="69"/>
    </row>
    <row r="49" spans="1:13">
      <c r="A49" s="35" t="s">
        <v>243</v>
      </c>
      <c r="B49" s="12" t="s">
        <v>305</v>
      </c>
      <c r="C49" s="12" t="s">
        <v>373</v>
      </c>
      <c r="D49" s="12" t="s">
        <v>306</v>
      </c>
      <c r="E49" s="13" t="s">
        <v>395</v>
      </c>
      <c r="F49" s="12" t="s">
        <v>18</v>
      </c>
      <c r="G49" s="34" t="s">
        <v>30</v>
      </c>
      <c r="H49" s="34" t="s">
        <v>42</v>
      </c>
      <c r="I49" s="34" t="s">
        <v>90</v>
      </c>
      <c r="J49" s="35"/>
      <c r="K49" s="47" t="str">
        <f>"127,5"</f>
        <v>127,5</v>
      </c>
      <c r="L49" s="14" t="str">
        <f>"78,8970"</f>
        <v>78,8970</v>
      </c>
      <c r="M49" s="12" t="s">
        <v>360</v>
      </c>
    </row>
    <row r="50" spans="1:13">
      <c r="A50" s="38" t="s">
        <v>243</v>
      </c>
      <c r="B50" s="15" t="s">
        <v>307</v>
      </c>
      <c r="C50" s="15" t="s">
        <v>308</v>
      </c>
      <c r="D50" s="15" t="s">
        <v>309</v>
      </c>
      <c r="E50" s="16" t="s">
        <v>393</v>
      </c>
      <c r="F50" s="15" t="s">
        <v>18</v>
      </c>
      <c r="G50" s="37" t="s">
        <v>167</v>
      </c>
      <c r="H50" s="37" t="s">
        <v>310</v>
      </c>
      <c r="I50" s="39" t="s">
        <v>168</v>
      </c>
      <c r="J50" s="38"/>
      <c r="K50" s="48" t="str">
        <f>"275,0"</f>
        <v>275,0</v>
      </c>
      <c r="L50" s="17" t="str">
        <f>"169,6475"</f>
        <v>169,6475</v>
      </c>
      <c r="M50" s="15" t="s">
        <v>368</v>
      </c>
    </row>
    <row r="51" spans="1:13">
      <c r="A51" s="41" t="s">
        <v>243</v>
      </c>
      <c r="B51" s="18" t="s">
        <v>311</v>
      </c>
      <c r="C51" s="18" t="s">
        <v>374</v>
      </c>
      <c r="D51" s="18" t="s">
        <v>312</v>
      </c>
      <c r="E51" s="19" t="s">
        <v>397</v>
      </c>
      <c r="F51" s="18" t="s">
        <v>261</v>
      </c>
      <c r="G51" s="40" t="s">
        <v>30</v>
      </c>
      <c r="H51" s="42" t="s">
        <v>31</v>
      </c>
      <c r="I51" s="40" t="s">
        <v>32</v>
      </c>
      <c r="J51" s="41"/>
      <c r="K51" s="49" t="str">
        <f>"110,0"</f>
        <v>110,0</v>
      </c>
      <c r="L51" s="20" t="str">
        <f>"127,3019"</f>
        <v>127,3019</v>
      </c>
      <c r="M51" s="18" t="s">
        <v>380</v>
      </c>
    </row>
    <row r="53" spans="1:13" ht="16">
      <c r="A53" s="68" t="s">
        <v>213</v>
      </c>
      <c r="B53" s="68"/>
      <c r="C53" s="69"/>
      <c r="D53" s="69"/>
      <c r="E53" s="69"/>
      <c r="F53" s="69"/>
      <c r="G53" s="69"/>
      <c r="H53" s="69"/>
      <c r="I53" s="69"/>
      <c r="J53" s="69"/>
    </row>
    <row r="54" spans="1:13">
      <c r="A54" s="35" t="s">
        <v>243</v>
      </c>
      <c r="B54" s="12" t="s">
        <v>214</v>
      </c>
      <c r="C54" s="12" t="s">
        <v>347</v>
      </c>
      <c r="D54" s="12" t="s">
        <v>215</v>
      </c>
      <c r="E54" s="13" t="s">
        <v>395</v>
      </c>
      <c r="F54" s="12" t="s">
        <v>18</v>
      </c>
      <c r="G54" s="34" t="s">
        <v>129</v>
      </c>
      <c r="H54" s="34" t="s">
        <v>179</v>
      </c>
      <c r="I54" s="34" t="s">
        <v>216</v>
      </c>
      <c r="J54" s="35"/>
      <c r="K54" s="47" t="str">
        <f>"197,5"</f>
        <v>197,5</v>
      </c>
      <c r="L54" s="14" t="str">
        <f>"116,5843"</f>
        <v>116,5843</v>
      </c>
      <c r="M54" s="12" t="s">
        <v>360</v>
      </c>
    </row>
    <row r="55" spans="1:13">
      <c r="A55" s="38" t="s">
        <v>243</v>
      </c>
      <c r="B55" s="15" t="s">
        <v>217</v>
      </c>
      <c r="C55" s="15" t="s">
        <v>218</v>
      </c>
      <c r="D55" s="15" t="s">
        <v>219</v>
      </c>
      <c r="E55" s="16" t="s">
        <v>393</v>
      </c>
      <c r="F55" s="15" t="s">
        <v>18</v>
      </c>
      <c r="G55" s="37" t="s">
        <v>197</v>
      </c>
      <c r="H55" s="37" t="s">
        <v>221</v>
      </c>
      <c r="I55" s="39" t="s">
        <v>222</v>
      </c>
      <c r="J55" s="38"/>
      <c r="K55" s="48" t="str">
        <f>"257,5"</f>
        <v>257,5</v>
      </c>
      <c r="L55" s="17" t="str">
        <f>"151,5902"</f>
        <v>151,5902</v>
      </c>
      <c r="M55" s="15" t="s">
        <v>360</v>
      </c>
    </row>
    <row r="56" spans="1:13">
      <c r="A56" s="41" t="s">
        <v>245</v>
      </c>
      <c r="B56" s="18" t="s">
        <v>313</v>
      </c>
      <c r="C56" s="18" t="s">
        <v>314</v>
      </c>
      <c r="D56" s="18" t="s">
        <v>315</v>
      </c>
      <c r="E56" s="19" t="s">
        <v>393</v>
      </c>
      <c r="F56" s="18" t="s">
        <v>316</v>
      </c>
      <c r="G56" s="41" t="s">
        <v>50</v>
      </c>
      <c r="H56" s="41"/>
      <c r="I56" s="41"/>
      <c r="J56" s="41"/>
      <c r="K56" s="49">
        <v>0</v>
      </c>
      <c r="L56" s="20" t="str">
        <f>"0,0000"</f>
        <v>0,0000</v>
      </c>
      <c r="M56" s="18"/>
    </row>
    <row r="58" spans="1:13" ht="16">
      <c r="A58" s="68" t="s">
        <v>278</v>
      </c>
      <c r="B58" s="68"/>
      <c r="C58" s="69"/>
      <c r="D58" s="69"/>
      <c r="E58" s="69"/>
      <c r="F58" s="69"/>
      <c r="G58" s="69"/>
      <c r="H58" s="69"/>
      <c r="I58" s="69"/>
      <c r="J58" s="69"/>
    </row>
    <row r="59" spans="1:13">
      <c r="A59" s="45" t="s">
        <v>243</v>
      </c>
      <c r="B59" s="21" t="s">
        <v>279</v>
      </c>
      <c r="C59" s="21" t="s">
        <v>280</v>
      </c>
      <c r="D59" s="21" t="s">
        <v>281</v>
      </c>
      <c r="E59" s="22" t="s">
        <v>394</v>
      </c>
      <c r="F59" s="21" t="s">
        <v>18</v>
      </c>
      <c r="G59" s="43" t="s">
        <v>75</v>
      </c>
      <c r="H59" s="43" t="s">
        <v>91</v>
      </c>
      <c r="I59" s="43" t="s">
        <v>128</v>
      </c>
      <c r="J59" s="45"/>
      <c r="K59" s="46" t="str">
        <f>"165,0"</f>
        <v>165,0</v>
      </c>
      <c r="L59" s="23" t="str">
        <f>"92,5155"</f>
        <v>92,5155</v>
      </c>
      <c r="M59" s="21" t="s">
        <v>307</v>
      </c>
    </row>
    <row r="61" spans="1:13">
      <c r="M61" s="11"/>
    </row>
    <row r="62" spans="1:13">
      <c r="M62" s="11"/>
    </row>
    <row r="63" spans="1:13" ht="18">
      <c r="B63" s="25" t="s">
        <v>226</v>
      </c>
      <c r="C63" s="25"/>
      <c r="G63" s="3"/>
      <c r="M63" s="11"/>
    </row>
    <row r="64" spans="1:13" ht="16">
      <c r="B64" s="26" t="s">
        <v>227</v>
      </c>
      <c r="C64" s="26"/>
      <c r="G64" s="3"/>
      <c r="M64" s="11"/>
    </row>
    <row r="65" spans="2:13" ht="14">
      <c r="B65" s="27"/>
      <c r="C65" s="28" t="s">
        <v>235</v>
      </c>
      <c r="G65" s="3"/>
      <c r="M65" s="11"/>
    </row>
    <row r="66" spans="2:13" ht="14">
      <c r="B66" s="29" t="s">
        <v>228</v>
      </c>
      <c r="C66" s="29" t="s">
        <v>229</v>
      </c>
      <c r="D66" s="29" t="s">
        <v>383</v>
      </c>
      <c r="E66" s="30" t="s">
        <v>282</v>
      </c>
      <c r="F66" s="29" t="s">
        <v>231</v>
      </c>
      <c r="G66" s="3"/>
      <c r="M66" s="11"/>
    </row>
    <row r="67" spans="2:13">
      <c r="B67" s="10" t="s">
        <v>287</v>
      </c>
      <c r="C67" s="10" t="s">
        <v>235</v>
      </c>
      <c r="D67" s="32" t="s">
        <v>237</v>
      </c>
      <c r="E67" s="33">
        <v>125</v>
      </c>
      <c r="F67" s="31">
        <v>140.63750207424201</v>
      </c>
      <c r="G67" s="3"/>
      <c r="M67" s="11"/>
    </row>
    <row r="68" spans="2:13">
      <c r="B68" s="10" t="s">
        <v>80</v>
      </c>
      <c r="C68" s="10" t="s">
        <v>235</v>
      </c>
      <c r="D68" s="32" t="s">
        <v>237</v>
      </c>
      <c r="E68" s="33">
        <v>120</v>
      </c>
      <c r="F68" s="31">
        <v>137.735996246338</v>
      </c>
      <c r="G68" s="3"/>
      <c r="M68" s="11"/>
    </row>
    <row r="69" spans="2:13">
      <c r="B69" s="10" t="s">
        <v>97</v>
      </c>
      <c r="C69" s="10" t="s">
        <v>235</v>
      </c>
      <c r="D69" s="32" t="s">
        <v>283</v>
      </c>
      <c r="E69" s="33">
        <v>130</v>
      </c>
      <c r="F69" s="31">
        <v>131.57299757003801</v>
      </c>
      <c r="G69" s="3"/>
      <c r="M69" s="11"/>
    </row>
    <row r="70" spans="2:13">
      <c r="G70" s="3"/>
      <c r="M70" s="11"/>
    </row>
    <row r="71" spans="2:13" ht="16">
      <c r="B71" s="26" t="s">
        <v>238</v>
      </c>
      <c r="C71" s="26"/>
      <c r="G71" s="3"/>
      <c r="M71" s="11"/>
    </row>
    <row r="72" spans="2:13" ht="14">
      <c r="B72" s="27"/>
      <c r="C72" s="28" t="s">
        <v>239</v>
      </c>
      <c r="G72" s="3"/>
      <c r="M72" s="11"/>
    </row>
    <row r="73" spans="2:13" ht="14">
      <c r="B73" s="29" t="s">
        <v>228</v>
      </c>
      <c r="C73" s="29" t="s">
        <v>229</v>
      </c>
      <c r="D73" s="29" t="s">
        <v>388</v>
      </c>
      <c r="E73" s="30" t="s">
        <v>282</v>
      </c>
      <c r="F73" s="29" t="s">
        <v>231</v>
      </c>
      <c r="G73" s="3"/>
      <c r="M73" s="11"/>
    </row>
    <row r="74" spans="2:13">
      <c r="B74" s="10" t="s">
        <v>214</v>
      </c>
      <c r="C74" s="10" t="s">
        <v>239</v>
      </c>
      <c r="D74" s="32" t="s">
        <v>317</v>
      </c>
      <c r="E74" s="33">
        <v>197.5</v>
      </c>
      <c r="F74" s="31">
        <v>116.584254652262</v>
      </c>
      <c r="G74" s="3"/>
      <c r="M74" s="11"/>
    </row>
    <row r="75" spans="2:13">
      <c r="B75" s="10" t="s">
        <v>113</v>
      </c>
      <c r="C75" s="10" t="s">
        <v>348</v>
      </c>
      <c r="D75" s="32" t="s">
        <v>236</v>
      </c>
      <c r="E75" s="33">
        <v>135</v>
      </c>
      <c r="F75" s="31">
        <v>106.393500566483</v>
      </c>
      <c r="G75" s="3"/>
      <c r="M75" s="11"/>
    </row>
    <row r="76" spans="2:13">
      <c r="B76" s="10" t="s">
        <v>298</v>
      </c>
      <c r="C76" s="10" t="s">
        <v>239</v>
      </c>
      <c r="D76" s="32" t="s">
        <v>233</v>
      </c>
      <c r="E76" s="33">
        <v>130</v>
      </c>
      <c r="F76" s="31">
        <v>89.179998636245699</v>
      </c>
      <c r="G76" s="3"/>
      <c r="M76" s="11"/>
    </row>
    <row r="77" spans="2:13">
      <c r="G77" s="3"/>
      <c r="M77" s="11"/>
    </row>
    <row r="78" spans="2:13" ht="14">
      <c r="B78" s="27"/>
      <c r="C78" s="28" t="s">
        <v>232</v>
      </c>
      <c r="G78" s="3"/>
      <c r="M78" s="11"/>
    </row>
    <row r="79" spans="2:13" ht="14">
      <c r="B79" s="29" t="s">
        <v>228</v>
      </c>
      <c r="C79" s="29" t="s">
        <v>229</v>
      </c>
      <c r="D79" s="29" t="s">
        <v>383</v>
      </c>
      <c r="E79" s="30" t="s">
        <v>282</v>
      </c>
      <c r="F79" s="29" t="s">
        <v>231</v>
      </c>
      <c r="G79" s="3"/>
      <c r="M79" s="11"/>
    </row>
    <row r="80" spans="2:13">
      <c r="B80" s="10" t="s">
        <v>156</v>
      </c>
      <c r="C80" s="10" t="s">
        <v>232</v>
      </c>
      <c r="D80" s="32" t="s">
        <v>241</v>
      </c>
      <c r="E80" s="33">
        <v>255</v>
      </c>
      <c r="F80" s="31">
        <v>167.866495549679</v>
      </c>
      <c r="G80" s="3"/>
      <c r="M80" s="11"/>
    </row>
    <row r="81" spans="2:13">
      <c r="B81" s="10" t="s">
        <v>294</v>
      </c>
      <c r="C81" s="10" t="s">
        <v>232</v>
      </c>
      <c r="D81" s="32" t="s">
        <v>283</v>
      </c>
      <c r="E81" s="33">
        <v>192.5</v>
      </c>
      <c r="F81" s="31">
        <v>137.56050512194599</v>
      </c>
      <c r="G81" s="3"/>
      <c r="M81" s="11"/>
    </row>
    <row r="82" spans="2:13">
      <c r="B82" s="10" t="s">
        <v>130</v>
      </c>
      <c r="C82" s="10" t="s">
        <v>232</v>
      </c>
      <c r="D82" s="32" t="s">
        <v>233</v>
      </c>
      <c r="E82" s="33">
        <v>192.5</v>
      </c>
      <c r="F82" s="31">
        <v>130.495753139257</v>
      </c>
      <c r="G82" s="3"/>
      <c r="M82" s="11"/>
    </row>
    <row r="83" spans="2:13">
      <c r="G83" s="3"/>
      <c r="M83" s="11"/>
    </row>
    <row r="84" spans="2:13" ht="14">
      <c r="B84" s="27"/>
      <c r="C84" s="28" t="s">
        <v>235</v>
      </c>
      <c r="G84" s="3"/>
      <c r="M84" s="11"/>
    </row>
    <row r="85" spans="2:13" ht="14">
      <c r="B85" s="29" t="s">
        <v>228</v>
      </c>
      <c r="C85" s="29" t="s">
        <v>229</v>
      </c>
      <c r="D85" s="29" t="s">
        <v>383</v>
      </c>
      <c r="E85" s="30" t="s">
        <v>282</v>
      </c>
      <c r="F85" s="29" t="s">
        <v>231</v>
      </c>
      <c r="G85" s="3"/>
      <c r="M85" s="11"/>
    </row>
    <row r="86" spans="2:13">
      <c r="B86" s="10" t="s">
        <v>169</v>
      </c>
      <c r="C86" s="10" t="s">
        <v>235</v>
      </c>
      <c r="D86" s="32" t="s">
        <v>241</v>
      </c>
      <c r="E86" s="33">
        <v>290</v>
      </c>
      <c r="F86" s="31">
        <v>188.818994164467</v>
      </c>
      <c r="G86" s="3"/>
      <c r="M86" s="11"/>
    </row>
    <row r="87" spans="2:13">
      <c r="B87" s="10" t="s">
        <v>162</v>
      </c>
      <c r="C87" s="10" t="s">
        <v>235</v>
      </c>
      <c r="D87" s="32" t="s">
        <v>241</v>
      </c>
      <c r="E87" s="33">
        <v>280</v>
      </c>
      <c r="F87" s="31">
        <v>178.75200510024999</v>
      </c>
      <c r="G87" s="3"/>
      <c r="M87" s="11"/>
    </row>
    <row r="88" spans="2:13">
      <c r="B88" s="10" t="s">
        <v>307</v>
      </c>
      <c r="C88" s="10" t="s">
        <v>235</v>
      </c>
      <c r="D88" s="32" t="s">
        <v>240</v>
      </c>
      <c r="E88" s="33">
        <v>275</v>
      </c>
      <c r="F88" s="31">
        <v>169.647507369518</v>
      </c>
      <c r="G88" s="3"/>
      <c r="M88" s="11"/>
    </row>
    <row r="89" spans="2:13">
      <c r="G89" s="3"/>
      <c r="M89" s="11"/>
    </row>
    <row r="90" spans="2:13" ht="14">
      <c r="B90" s="27"/>
      <c r="C90" s="28" t="s">
        <v>242</v>
      </c>
      <c r="G90" s="3"/>
      <c r="M90" s="11"/>
    </row>
    <row r="91" spans="2:13" ht="14">
      <c r="B91" s="29" t="s">
        <v>228</v>
      </c>
      <c r="C91" s="29" t="s">
        <v>229</v>
      </c>
      <c r="D91" s="29" t="s">
        <v>383</v>
      </c>
      <c r="E91" s="30" t="s">
        <v>282</v>
      </c>
      <c r="F91" s="29" t="s">
        <v>231</v>
      </c>
      <c r="G91" s="3"/>
      <c r="M91" s="11"/>
    </row>
    <row r="92" spans="2:13">
      <c r="B92" s="10" t="s">
        <v>300</v>
      </c>
      <c r="C92" s="10" t="s">
        <v>242</v>
      </c>
      <c r="D92" s="32" t="s">
        <v>233</v>
      </c>
      <c r="E92" s="33">
        <v>135</v>
      </c>
      <c r="F92" s="31">
        <v>165.374459266663</v>
      </c>
      <c r="G92" s="3"/>
      <c r="M92" s="11"/>
    </row>
    <row r="93" spans="2:13">
      <c r="B93" s="10" t="s">
        <v>296</v>
      </c>
      <c r="C93" s="10" t="s">
        <v>375</v>
      </c>
      <c r="D93" s="32" t="s">
        <v>283</v>
      </c>
      <c r="E93" s="33">
        <v>95</v>
      </c>
      <c r="F93" s="31">
        <v>134.382246643305</v>
      </c>
      <c r="G93" s="10"/>
      <c r="M93" s="11"/>
    </row>
    <row r="94" spans="2:13">
      <c r="B94" s="10" t="s">
        <v>311</v>
      </c>
      <c r="C94" s="10" t="s">
        <v>375</v>
      </c>
      <c r="D94" s="32" t="s">
        <v>240</v>
      </c>
      <c r="E94" s="33">
        <v>110</v>
      </c>
      <c r="F94" s="31">
        <v>127.301896691322</v>
      </c>
    </row>
  </sheetData>
  <mergeCells count="25">
    <mergeCell ref="A58:J58"/>
    <mergeCell ref="B3:B4"/>
    <mergeCell ref="A29:J29"/>
    <mergeCell ref="A32:J32"/>
    <mergeCell ref="A36:J36"/>
    <mergeCell ref="A42:J42"/>
    <mergeCell ref="A48:J48"/>
    <mergeCell ref="A53:J53"/>
    <mergeCell ref="A8:J8"/>
    <mergeCell ref="A11:J11"/>
    <mergeCell ref="A16:J16"/>
    <mergeCell ref="A19:J19"/>
    <mergeCell ref="A22:J22"/>
    <mergeCell ref="A26:J2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5"/>
  <sheetViews>
    <sheetView zoomScaleNormal="100" workbookViewId="0">
      <selection activeCell="E25" sqref="E25"/>
    </sheetView>
  </sheetViews>
  <sheetFormatPr baseColWidth="10" defaultColWidth="9.1640625" defaultRowHeight="13"/>
  <cols>
    <col min="1" max="1" width="7.5" style="10" bestFit="1" customWidth="1"/>
    <col min="2" max="2" width="29.33203125" style="10" customWidth="1"/>
    <col min="3" max="3" width="27.6640625" style="10" bestFit="1" customWidth="1"/>
    <col min="4" max="4" width="21.5" style="10" bestFit="1" customWidth="1"/>
    <col min="5" max="5" width="10.5" style="24" bestFit="1" customWidth="1"/>
    <col min="6" max="6" width="37.83203125" style="10" customWidth="1"/>
    <col min="7" max="9" width="5.5" style="32" customWidth="1"/>
    <col min="10" max="10" width="6.33203125" style="32" customWidth="1"/>
    <col min="11" max="11" width="12.33203125" style="11" customWidth="1"/>
    <col min="12" max="12" width="7.5" style="11" bestFit="1" customWidth="1"/>
    <col min="13" max="13" width="20.1640625" style="10" customWidth="1"/>
    <col min="14" max="16384" width="9.1640625" style="3"/>
  </cols>
  <sheetData>
    <row r="1" spans="1:13" s="2" customFormat="1" ht="29" customHeight="1">
      <c r="A1" s="65" t="s">
        <v>387</v>
      </c>
      <c r="B1" s="66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2" customFormat="1" ht="62" customHeight="1" thickBot="1">
      <c r="A2" s="53"/>
      <c r="B2" s="67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s="1" customFormat="1" ht="12.75" customHeight="1">
      <c r="A3" s="56" t="s">
        <v>389</v>
      </c>
      <c r="B3" s="70" t="s">
        <v>0</v>
      </c>
      <c r="C3" s="58" t="s">
        <v>391</v>
      </c>
      <c r="D3" s="58" t="s">
        <v>11</v>
      </c>
      <c r="E3" s="60" t="s">
        <v>392</v>
      </c>
      <c r="F3" s="62" t="s">
        <v>8</v>
      </c>
      <c r="G3" s="62" t="s">
        <v>390</v>
      </c>
      <c r="H3" s="62"/>
      <c r="I3" s="62"/>
      <c r="J3" s="62"/>
      <c r="K3" s="60" t="s">
        <v>284</v>
      </c>
      <c r="L3" s="60" t="s">
        <v>3</v>
      </c>
      <c r="M3" s="63" t="s">
        <v>2</v>
      </c>
    </row>
    <row r="4" spans="1:13" s="1" customFormat="1" ht="21" customHeight="1" thickBot="1">
      <c r="A4" s="57"/>
      <c r="B4" s="71"/>
      <c r="C4" s="59"/>
      <c r="D4" s="59"/>
      <c r="E4" s="61"/>
      <c r="F4" s="59"/>
      <c r="G4" s="9">
        <v>1</v>
      </c>
      <c r="H4" s="9">
        <v>2</v>
      </c>
      <c r="I4" s="9">
        <v>3</v>
      </c>
      <c r="J4" s="9" t="s">
        <v>5</v>
      </c>
      <c r="K4" s="61"/>
      <c r="L4" s="61"/>
      <c r="M4" s="64"/>
    </row>
    <row r="5" spans="1:13" ht="16">
      <c r="A5" s="72" t="s">
        <v>60</v>
      </c>
      <c r="B5" s="72"/>
      <c r="C5" s="73"/>
      <c r="D5" s="73"/>
      <c r="E5" s="73"/>
      <c r="F5" s="73"/>
      <c r="G5" s="73"/>
      <c r="H5" s="73"/>
      <c r="I5" s="73"/>
      <c r="J5" s="73"/>
    </row>
    <row r="6" spans="1:13">
      <c r="A6" s="45" t="s">
        <v>243</v>
      </c>
      <c r="B6" s="21" t="s">
        <v>250</v>
      </c>
      <c r="C6" s="21" t="s">
        <v>251</v>
      </c>
      <c r="D6" s="21" t="s">
        <v>252</v>
      </c>
      <c r="E6" s="22" t="s">
        <v>393</v>
      </c>
      <c r="F6" s="21" t="s">
        <v>47</v>
      </c>
      <c r="G6" s="43" t="s">
        <v>22</v>
      </c>
      <c r="H6" s="44" t="s">
        <v>23</v>
      </c>
      <c r="I6" s="44" t="s">
        <v>23</v>
      </c>
      <c r="J6" s="45"/>
      <c r="K6" s="23" t="str">
        <f>"35,0"</f>
        <v>35,0</v>
      </c>
      <c r="L6" s="23" t="str">
        <f>"35,5705"</f>
        <v>35,5705</v>
      </c>
      <c r="M6" s="21" t="s">
        <v>365</v>
      </c>
    </row>
    <row r="8" spans="1:13" ht="16">
      <c r="A8" s="68" t="s">
        <v>96</v>
      </c>
      <c r="B8" s="68"/>
      <c r="C8" s="69"/>
      <c r="D8" s="69"/>
      <c r="E8" s="69"/>
      <c r="F8" s="69"/>
      <c r="G8" s="69"/>
      <c r="H8" s="69"/>
      <c r="I8" s="69"/>
      <c r="J8" s="69"/>
    </row>
    <row r="9" spans="1:13">
      <c r="A9" s="45" t="s">
        <v>243</v>
      </c>
      <c r="B9" s="21" t="s">
        <v>97</v>
      </c>
      <c r="C9" s="21" t="s">
        <v>98</v>
      </c>
      <c r="D9" s="21" t="s">
        <v>99</v>
      </c>
      <c r="E9" s="22" t="s">
        <v>393</v>
      </c>
      <c r="F9" s="21" t="s">
        <v>47</v>
      </c>
      <c r="G9" s="43" t="s">
        <v>318</v>
      </c>
      <c r="H9" s="44" t="s">
        <v>319</v>
      </c>
      <c r="I9" s="44" t="s">
        <v>319</v>
      </c>
      <c r="J9" s="45"/>
      <c r="K9" s="23" t="str">
        <f>"20,0"</f>
        <v>20,0</v>
      </c>
      <c r="L9" s="23" t="str">
        <f>"17,8340"</f>
        <v>17,8340</v>
      </c>
      <c r="M9" s="21" t="s">
        <v>265</v>
      </c>
    </row>
    <row r="11" spans="1:13" ht="16">
      <c r="A11" s="68" t="s">
        <v>101</v>
      </c>
      <c r="B11" s="68"/>
      <c r="C11" s="69"/>
      <c r="D11" s="69"/>
      <c r="E11" s="69"/>
      <c r="F11" s="69"/>
      <c r="G11" s="69"/>
      <c r="H11" s="69"/>
      <c r="I11" s="69"/>
      <c r="J11" s="69"/>
    </row>
    <row r="12" spans="1:13">
      <c r="A12" s="45" t="s">
        <v>243</v>
      </c>
      <c r="B12" s="21" t="s">
        <v>320</v>
      </c>
      <c r="C12" s="21" t="s">
        <v>321</v>
      </c>
      <c r="D12" s="21" t="s">
        <v>322</v>
      </c>
      <c r="E12" s="22" t="s">
        <v>393</v>
      </c>
      <c r="F12" s="21" t="s">
        <v>261</v>
      </c>
      <c r="G12" s="43" t="s">
        <v>33</v>
      </c>
      <c r="H12" s="44" t="s">
        <v>34</v>
      </c>
      <c r="I12" s="44" t="s">
        <v>34</v>
      </c>
      <c r="J12" s="45"/>
      <c r="K12" s="23" t="str">
        <f>"52,5"</f>
        <v>52,5</v>
      </c>
      <c r="L12" s="23" t="str">
        <f>"35,6265"</f>
        <v>35,6265</v>
      </c>
      <c r="M12" s="21" t="s">
        <v>381</v>
      </c>
    </row>
    <row r="14" spans="1:13" ht="16">
      <c r="A14" s="68" t="s">
        <v>155</v>
      </c>
      <c r="B14" s="68"/>
      <c r="C14" s="69"/>
      <c r="D14" s="69"/>
      <c r="E14" s="69"/>
      <c r="F14" s="69"/>
      <c r="G14" s="69"/>
      <c r="H14" s="69"/>
      <c r="I14" s="69"/>
      <c r="J14" s="69"/>
    </row>
    <row r="15" spans="1:13">
      <c r="A15" s="35" t="s">
        <v>243</v>
      </c>
      <c r="B15" s="12" t="s">
        <v>323</v>
      </c>
      <c r="C15" s="12" t="s">
        <v>324</v>
      </c>
      <c r="D15" s="12" t="s">
        <v>325</v>
      </c>
      <c r="E15" s="13" t="s">
        <v>393</v>
      </c>
      <c r="F15" s="12" t="s">
        <v>261</v>
      </c>
      <c r="G15" s="34" t="s">
        <v>50</v>
      </c>
      <c r="H15" s="34" t="s">
        <v>34</v>
      </c>
      <c r="I15" s="36" t="s">
        <v>35</v>
      </c>
      <c r="J15" s="35"/>
      <c r="K15" s="14" t="str">
        <f>"55,0"</f>
        <v>55,0</v>
      </c>
      <c r="L15" s="14" t="str">
        <f>"34,0587"</f>
        <v>34,0587</v>
      </c>
      <c r="M15" s="12"/>
    </row>
    <row r="16" spans="1:13">
      <c r="A16" s="38" t="s">
        <v>244</v>
      </c>
      <c r="B16" s="15" t="s">
        <v>326</v>
      </c>
      <c r="C16" s="15" t="s">
        <v>327</v>
      </c>
      <c r="D16" s="15" t="s">
        <v>328</v>
      </c>
      <c r="E16" s="16" t="s">
        <v>393</v>
      </c>
      <c r="F16" s="15" t="s">
        <v>261</v>
      </c>
      <c r="G16" s="39" t="s">
        <v>49</v>
      </c>
      <c r="H16" s="37" t="s">
        <v>50</v>
      </c>
      <c r="I16" s="39" t="s">
        <v>33</v>
      </c>
      <c r="J16" s="38"/>
      <c r="K16" s="17" t="str">
        <f>"50,0"</f>
        <v>50,0</v>
      </c>
      <c r="L16" s="17" t="str">
        <f>"31,0050"</f>
        <v>31,0050</v>
      </c>
      <c r="M16" s="15" t="s">
        <v>367</v>
      </c>
    </row>
    <row r="17" spans="1:13">
      <c r="A17" s="41" t="s">
        <v>246</v>
      </c>
      <c r="B17" s="18" t="s">
        <v>329</v>
      </c>
      <c r="C17" s="18" t="s">
        <v>330</v>
      </c>
      <c r="D17" s="18" t="s">
        <v>331</v>
      </c>
      <c r="E17" s="19" t="s">
        <v>393</v>
      </c>
      <c r="F17" s="18" t="s">
        <v>261</v>
      </c>
      <c r="G17" s="40" t="s">
        <v>100</v>
      </c>
      <c r="H17" s="40" t="s">
        <v>50</v>
      </c>
      <c r="I17" s="42" t="s">
        <v>33</v>
      </c>
      <c r="J17" s="41"/>
      <c r="K17" s="20" t="str">
        <f>"50,0"</f>
        <v>50,0</v>
      </c>
      <c r="L17" s="20" t="str">
        <f>"30,8425"</f>
        <v>30,8425</v>
      </c>
      <c r="M17" s="18" t="s">
        <v>381</v>
      </c>
    </row>
    <row r="19" spans="1:13" ht="16">
      <c r="A19" s="68" t="s">
        <v>191</v>
      </c>
      <c r="B19" s="68"/>
      <c r="C19" s="69"/>
      <c r="D19" s="69"/>
      <c r="E19" s="69"/>
      <c r="F19" s="69"/>
      <c r="G19" s="69"/>
      <c r="H19" s="69"/>
      <c r="I19" s="69"/>
      <c r="J19" s="69"/>
    </row>
    <row r="20" spans="1:13">
      <c r="A20" s="35" t="s">
        <v>243</v>
      </c>
      <c r="B20" s="12" t="s">
        <v>332</v>
      </c>
      <c r="C20" s="12" t="s">
        <v>333</v>
      </c>
      <c r="D20" s="12" t="s">
        <v>334</v>
      </c>
      <c r="E20" s="13" t="s">
        <v>393</v>
      </c>
      <c r="F20" s="12" t="s">
        <v>18</v>
      </c>
      <c r="G20" s="34" t="s">
        <v>66</v>
      </c>
      <c r="H20" s="34" t="s">
        <v>48</v>
      </c>
      <c r="I20" s="36" t="s">
        <v>19</v>
      </c>
      <c r="J20" s="35"/>
      <c r="K20" s="14" t="str">
        <f>"70,0"</f>
        <v>70,0</v>
      </c>
      <c r="L20" s="14" t="str">
        <f>"41,2195"</f>
        <v>41,2195</v>
      </c>
      <c r="M20" s="12" t="s">
        <v>382</v>
      </c>
    </row>
    <row r="21" spans="1:13">
      <c r="A21" s="41" t="s">
        <v>244</v>
      </c>
      <c r="B21" s="18" t="s">
        <v>274</v>
      </c>
      <c r="C21" s="18" t="s">
        <v>335</v>
      </c>
      <c r="D21" s="18" t="s">
        <v>272</v>
      </c>
      <c r="E21" s="19" t="s">
        <v>393</v>
      </c>
      <c r="F21" s="18" t="s">
        <v>275</v>
      </c>
      <c r="G21" s="40" t="s">
        <v>50</v>
      </c>
      <c r="H21" s="40" t="s">
        <v>34</v>
      </c>
      <c r="I21" s="40" t="s">
        <v>65</v>
      </c>
      <c r="J21" s="41"/>
      <c r="K21" s="20" t="str">
        <f>"60,0"</f>
        <v>60,0</v>
      </c>
      <c r="L21" s="20" t="str">
        <f>"36,0180"</f>
        <v>36,0180</v>
      </c>
      <c r="M21" s="18"/>
    </row>
    <row r="23" spans="1:13" ht="16">
      <c r="A23" s="68" t="s">
        <v>213</v>
      </c>
      <c r="B23" s="68"/>
      <c r="C23" s="69"/>
      <c r="D23" s="69"/>
      <c r="E23" s="69"/>
      <c r="F23" s="69"/>
      <c r="G23" s="69"/>
      <c r="H23" s="69"/>
      <c r="I23" s="69"/>
      <c r="J23" s="69"/>
    </row>
    <row r="24" spans="1:13">
      <c r="A24" s="35" t="s">
        <v>243</v>
      </c>
      <c r="B24" s="12" t="s">
        <v>214</v>
      </c>
      <c r="C24" s="12" t="s">
        <v>347</v>
      </c>
      <c r="D24" s="12" t="s">
        <v>215</v>
      </c>
      <c r="E24" s="13" t="s">
        <v>395</v>
      </c>
      <c r="F24" s="12" t="s">
        <v>18</v>
      </c>
      <c r="G24" s="34" t="s">
        <v>33</v>
      </c>
      <c r="H24" s="36" t="s">
        <v>66</v>
      </c>
      <c r="I24" s="36" t="s">
        <v>67</v>
      </c>
      <c r="J24" s="35"/>
      <c r="K24" s="14" t="str">
        <f>"52,5"</f>
        <v>52,5</v>
      </c>
      <c r="L24" s="14" t="str">
        <f>"29,6126"</f>
        <v>29,6126</v>
      </c>
      <c r="M24" s="12" t="s">
        <v>360</v>
      </c>
    </row>
    <row r="25" spans="1:13">
      <c r="A25" s="41" t="s">
        <v>243</v>
      </c>
      <c r="B25" s="18" t="s">
        <v>276</v>
      </c>
      <c r="C25" s="18" t="s">
        <v>218</v>
      </c>
      <c r="D25" s="18" t="s">
        <v>277</v>
      </c>
      <c r="E25" s="19" t="s">
        <v>393</v>
      </c>
      <c r="F25" s="18" t="s">
        <v>18</v>
      </c>
      <c r="G25" s="42" t="s">
        <v>34</v>
      </c>
      <c r="H25" s="40" t="s">
        <v>34</v>
      </c>
      <c r="I25" s="40" t="s">
        <v>55</v>
      </c>
      <c r="J25" s="41"/>
      <c r="K25" s="20" t="str">
        <f>"62,5"</f>
        <v>62,5</v>
      </c>
      <c r="L25" s="20" t="str">
        <f>"36,2594"</f>
        <v>36,2594</v>
      </c>
      <c r="M25" s="18" t="s">
        <v>360</v>
      </c>
    </row>
    <row r="26" spans="1:13">
      <c r="G26" s="10"/>
      <c r="K26" s="32"/>
      <c r="M26" s="11"/>
    </row>
    <row r="27" spans="1:13">
      <c r="K27" s="32"/>
      <c r="M27" s="11"/>
    </row>
    <row r="28" spans="1:13">
      <c r="C28" s="3"/>
      <c r="D28" s="3"/>
      <c r="E28" s="3"/>
      <c r="F28" s="3"/>
      <c r="G28" s="3"/>
      <c r="K28" s="32"/>
      <c r="M28" s="11"/>
    </row>
    <row r="29" spans="1:13" ht="18">
      <c r="B29" s="25" t="s">
        <v>226</v>
      </c>
      <c r="C29" s="25"/>
      <c r="G29" s="3"/>
      <c r="K29" s="32"/>
      <c r="M29" s="11"/>
    </row>
    <row r="30" spans="1:13" ht="16">
      <c r="B30" s="26" t="s">
        <v>238</v>
      </c>
      <c r="C30" s="26"/>
      <c r="G30" s="3"/>
      <c r="K30" s="32"/>
      <c r="M30" s="11"/>
    </row>
    <row r="31" spans="1:13" ht="14">
      <c r="B31" s="27"/>
      <c r="C31" s="28" t="s">
        <v>235</v>
      </c>
      <c r="G31" s="3"/>
      <c r="K31" s="32"/>
      <c r="M31" s="11"/>
    </row>
    <row r="32" spans="1:13" ht="14">
      <c r="B32" s="29" t="s">
        <v>228</v>
      </c>
      <c r="C32" s="29" t="s">
        <v>229</v>
      </c>
      <c r="D32" s="29" t="s">
        <v>383</v>
      </c>
      <c r="E32" s="30" t="s">
        <v>282</v>
      </c>
      <c r="F32" s="29" t="s">
        <v>336</v>
      </c>
      <c r="G32" s="3"/>
      <c r="K32" s="32"/>
      <c r="M32" s="11"/>
    </row>
    <row r="33" spans="2:13">
      <c r="B33" s="10" t="s">
        <v>332</v>
      </c>
      <c r="C33" s="10" t="s">
        <v>235</v>
      </c>
      <c r="D33" s="32" t="s">
        <v>240</v>
      </c>
      <c r="E33" s="33">
        <v>70</v>
      </c>
      <c r="F33" s="31">
        <v>41.2195014953613</v>
      </c>
      <c r="G33" s="3"/>
      <c r="K33" s="32"/>
      <c r="M33" s="11"/>
    </row>
    <row r="34" spans="2:13">
      <c r="B34" s="10" t="s">
        <v>276</v>
      </c>
      <c r="C34" s="10" t="s">
        <v>235</v>
      </c>
      <c r="D34" s="32" t="s">
        <v>317</v>
      </c>
      <c r="E34" s="33">
        <v>62.5</v>
      </c>
      <c r="F34" s="31">
        <v>36.259375512599902</v>
      </c>
      <c r="G34" s="10"/>
      <c r="K34" s="32"/>
      <c r="M34" s="11"/>
    </row>
    <row r="35" spans="2:13">
      <c r="B35" s="10" t="s">
        <v>274</v>
      </c>
      <c r="C35" s="10" t="s">
        <v>235</v>
      </c>
      <c r="D35" s="32" t="s">
        <v>240</v>
      </c>
      <c r="E35" s="33">
        <v>60</v>
      </c>
      <c r="F35" s="31">
        <v>36.018000841140697</v>
      </c>
    </row>
  </sheetData>
  <mergeCells count="17">
    <mergeCell ref="A23:J23"/>
    <mergeCell ref="A5:J5"/>
    <mergeCell ref="A8:J8"/>
    <mergeCell ref="A11:J11"/>
    <mergeCell ref="A14:J14"/>
    <mergeCell ref="A19:J19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WRPF ПЛ без экипировки</vt:lpstr>
      <vt:lpstr>WRPF Жим лежа без экип</vt:lpstr>
      <vt:lpstr>WRPF Тяга без экипировки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2023-03-05T10:05:50Z</dcterms:modified>
</cp:coreProperties>
</file>