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Январь/"/>
    </mc:Choice>
  </mc:AlternateContent>
  <xr:revisionPtr revIDLastSave="0" documentId="13_ncr:1_{8C50F26D-9D74-AE41-BF3D-65493E3957E1}" xr6:coauthVersionLast="45" xr6:coauthVersionMax="45" xr10:uidLastSave="{00000000-0000-0000-0000-000000000000}"/>
  <bookViews>
    <workbookView xWindow="0" yWindow="460" windowWidth="28800" windowHeight="16140" firstSheet="10" activeTab="16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Двоеборье без экип ДК" sheetId="17" r:id="rId4"/>
    <sheet name="IPL Присед без экипировки ДК" sheetId="15" r:id="rId5"/>
    <sheet name="IPL Жим без экипировки ДК" sheetId="10" r:id="rId6"/>
    <sheet name="IPL Жим без экипировки" sheetId="9" r:id="rId7"/>
    <sheet name="IPL Жим однослой" sheetId="11" r:id="rId8"/>
    <sheet name="СПР Жим софт однопетельная ДК" sheetId="19" r:id="rId9"/>
    <sheet name="СПР Жим софт однопетельная" sheetId="18" r:id="rId10"/>
    <sheet name="СПР Жим софт многопетельная" sheetId="20" r:id="rId11"/>
    <sheet name="IPL Тяга без экипировки ДК" sheetId="14" r:id="rId12"/>
    <sheet name="IPL Тяга без экипировки" sheetId="13" r:id="rId13"/>
    <sheet name="СПР Пауэрспорт" sheetId="35" r:id="rId14"/>
    <sheet name="СПР Жим стоя" sheetId="31" r:id="rId15"/>
    <sheet name="СПР Подъем на бицепс ДК" sheetId="34" r:id="rId16"/>
    <sheet name="СПР Подъем на бицепс" sheetId="33" r:id="rId17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35" l="1"/>
  <c r="O6" i="35"/>
  <c r="L17" i="34"/>
  <c r="L16" i="34"/>
  <c r="L13" i="34"/>
  <c r="K13" i="34"/>
  <c r="L10" i="34"/>
  <c r="K10" i="34"/>
  <c r="L7" i="34"/>
  <c r="L6" i="34"/>
  <c r="L6" i="33"/>
  <c r="K6" i="33"/>
  <c r="L6" i="31"/>
  <c r="K6" i="31"/>
  <c r="L6" i="20"/>
  <c r="K6" i="20"/>
  <c r="L6" i="19"/>
  <c r="K6" i="19"/>
  <c r="L6" i="18"/>
  <c r="P27" i="17"/>
  <c r="O27" i="17"/>
  <c r="P24" i="17"/>
  <c r="O24" i="17"/>
  <c r="P21" i="17"/>
  <c r="O21" i="17"/>
  <c r="P18" i="17"/>
  <c r="O18" i="17"/>
  <c r="P15" i="17"/>
  <c r="O15" i="17"/>
  <c r="P12" i="17"/>
  <c r="O12" i="17"/>
  <c r="P9" i="17"/>
  <c r="O9" i="17"/>
  <c r="P6" i="17"/>
  <c r="O6" i="17"/>
  <c r="L9" i="15"/>
  <c r="K9" i="15"/>
  <c r="L6" i="15"/>
  <c r="K6" i="15"/>
  <c r="L33" i="14"/>
  <c r="K33" i="14"/>
  <c r="L30" i="14"/>
  <c r="K30" i="14"/>
  <c r="L27" i="14"/>
  <c r="K27" i="14"/>
  <c r="L24" i="14"/>
  <c r="K24" i="14"/>
  <c r="L21" i="14"/>
  <c r="K21" i="14"/>
  <c r="L20" i="14"/>
  <c r="K20" i="14"/>
  <c r="L17" i="14"/>
  <c r="K17" i="14"/>
  <c r="L16" i="14"/>
  <c r="K16" i="14"/>
  <c r="L15" i="14"/>
  <c r="K15" i="14"/>
  <c r="L12" i="14"/>
  <c r="K12" i="14"/>
  <c r="L9" i="14"/>
  <c r="K9" i="14"/>
  <c r="L6" i="14"/>
  <c r="K6" i="14"/>
  <c r="L18" i="13"/>
  <c r="K18" i="13"/>
  <c r="L15" i="13"/>
  <c r="K15" i="13"/>
  <c r="L12" i="13"/>
  <c r="K12" i="13"/>
  <c r="L9" i="13"/>
  <c r="K9" i="13"/>
  <c r="L6" i="13"/>
  <c r="K6" i="13"/>
  <c r="L6" i="11"/>
  <c r="K6" i="11"/>
  <c r="L59" i="10"/>
  <c r="K59" i="10"/>
  <c r="L56" i="10"/>
  <c r="K56" i="10"/>
  <c r="L55" i="10"/>
  <c r="K55" i="10"/>
  <c r="L54" i="10"/>
  <c r="K54" i="10"/>
  <c r="L53" i="10"/>
  <c r="K53" i="10"/>
  <c r="L50" i="10"/>
  <c r="K50" i="10"/>
  <c r="L49" i="10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2" i="10"/>
  <c r="K42" i="10"/>
  <c r="L39" i="10"/>
  <c r="K39" i="10"/>
  <c r="L38" i="10"/>
  <c r="K38" i="10"/>
  <c r="L35" i="10"/>
  <c r="K35" i="10"/>
  <c r="L34" i="10"/>
  <c r="K34" i="10"/>
  <c r="L33" i="10"/>
  <c r="K33" i="10"/>
  <c r="L30" i="10"/>
  <c r="K30" i="10"/>
  <c r="L27" i="10"/>
  <c r="K27" i="10"/>
  <c r="L26" i="10"/>
  <c r="K26" i="10"/>
  <c r="L25" i="10"/>
  <c r="K25" i="10"/>
  <c r="L24" i="10"/>
  <c r="K24" i="10"/>
  <c r="L23" i="10"/>
  <c r="K23" i="10"/>
  <c r="L20" i="10"/>
  <c r="K20" i="10"/>
  <c r="L19" i="10"/>
  <c r="K19" i="10"/>
  <c r="L16" i="10"/>
  <c r="K16" i="10"/>
  <c r="L15" i="10"/>
  <c r="K15" i="10"/>
  <c r="L12" i="10"/>
  <c r="K12" i="10"/>
  <c r="L11" i="10"/>
  <c r="K11" i="10"/>
  <c r="L10" i="10"/>
  <c r="K10" i="10"/>
  <c r="L9" i="10"/>
  <c r="K9" i="10"/>
  <c r="L6" i="10"/>
  <c r="K6" i="10"/>
  <c r="L38" i="9"/>
  <c r="K38" i="9"/>
  <c r="L35" i="9"/>
  <c r="K35" i="9"/>
  <c r="L34" i="9"/>
  <c r="L33" i="9"/>
  <c r="K33" i="9"/>
  <c r="L30" i="9"/>
  <c r="K30" i="9"/>
  <c r="L29" i="9"/>
  <c r="K29" i="9"/>
  <c r="L28" i="9"/>
  <c r="K28" i="9"/>
  <c r="L27" i="9"/>
  <c r="K27" i="9"/>
  <c r="L24" i="9"/>
  <c r="K24" i="9"/>
  <c r="L23" i="9"/>
  <c r="K23" i="9"/>
  <c r="L20" i="9"/>
  <c r="K20" i="9"/>
  <c r="L19" i="9"/>
  <c r="K19" i="9"/>
  <c r="L18" i="9"/>
  <c r="K18" i="9"/>
  <c r="L15" i="9"/>
  <c r="K15" i="9"/>
  <c r="L12" i="9"/>
  <c r="K12" i="9"/>
  <c r="L9" i="9"/>
  <c r="K9" i="9"/>
  <c r="L6" i="9"/>
  <c r="K6" i="9"/>
  <c r="T6" i="8"/>
  <c r="S6" i="8"/>
  <c r="T55" i="6"/>
  <c r="S55" i="6"/>
  <c r="T52" i="6"/>
  <c r="S52" i="6"/>
  <c r="T51" i="6"/>
  <c r="S51" i="6"/>
  <c r="T48" i="6"/>
  <c r="S48" i="6"/>
  <c r="T47" i="6"/>
  <c r="S47" i="6"/>
  <c r="T46" i="6"/>
  <c r="S46" i="6"/>
  <c r="T45" i="6"/>
  <c r="S45" i="6"/>
  <c r="T42" i="6"/>
  <c r="S42" i="6"/>
  <c r="T39" i="6"/>
  <c r="S39" i="6"/>
  <c r="T38" i="6"/>
  <c r="S38" i="6"/>
  <c r="T37" i="6"/>
  <c r="S37" i="6"/>
  <c r="T36" i="6"/>
  <c r="S36" i="6"/>
  <c r="T33" i="6"/>
  <c r="S33" i="6"/>
  <c r="T30" i="6"/>
  <c r="S30" i="6"/>
  <c r="T27" i="6"/>
  <c r="S27" i="6"/>
  <c r="T24" i="6"/>
  <c r="S24" i="6"/>
  <c r="T23" i="6"/>
  <c r="S23" i="6"/>
  <c r="T22" i="6"/>
  <c r="S22" i="6"/>
  <c r="T19" i="6"/>
  <c r="S19" i="6"/>
  <c r="T18" i="6"/>
  <c r="S18" i="6"/>
  <c r="T17" i="6"/>
  <c r="S17" i="6"/>
  <c r="T14" i="6"/>
  <c r="S14" i="6"/>
  <c r="T13" i="6"/>
  <c r="S13" i="6"/>
  <c r="T12" i="6"/>
  <c r="S12" i="6"/>
  <c r="T9" i="6"/>
  <c r="S9" i="6"/>
  <c r="T6" i="6"/>
  <c r="S6" i="6"/>
  <c r="T35" i="5"/>
  <c r="S35" i="5"/>
  <c r="T34" i="5"/>
  <c r="S34" i="5"/>
  <c r="T31" i="5"/>
  <c r="S31" i="5"/>
  <c r="T30" i="5"/>
  <c r="S30" i="5"/>
  <c r="T27" i="5"/>
  <c r="S27" i="5"/>
  <c r="T24" i="5"/>
  <c r="S24" i="5"/>
  <c r="T23" i="5"/>
  <c r="S23" i="5"/>
  <c r="T22" i="5"/>
  <c r="S22" i="5"/>
  <c r="T21" i="5"/>
  <c r="S21" i="5"/>
  <c r="T18" i="5"/>
  <c r="S18" i="5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<sst xmlns="http://schemas.openxmlformats.org/spreadsheetml/2006/main" count="1915" uniqueCount="535">
  <si>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</si>
  <si>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</si>
  <si>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</si>
  <si>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</si>
  <si>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</si>
  <si>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</si>
  <si>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</si>
  <si>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</si>
  <si>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</si>
  <si>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</si>
  <si>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</si>
  <si>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60</t>
  </si>
  <si>
    <t>Иванова Дарья</t>
  </si>
  <si>
    <t>Открытая (03.05.1990)/32</t>
  </si>
  <si>
    <t>59,60</t>
  </si>
  <si>
    <t>117,5</t>
  </si>
  <si>
    <t>125,0</t>
  </si>
  <si>
    <t>130,0</t>
  </si>
  <si>
    <t>72,5</t>
  </si>
  <si>
    <t>77,5</t>
  </si>
  <si>
    <t>135,0</t>
  </si>
  <si>
    <t>150,0</t>
  </si>
  <si>
    <t>ВЕСОВАЯ КАТЕГОРИЯ   75</t>
  </si>
  <si>
    <t>Шамина Елизавета</t>
  </si>
  <si>
    <t>73,60</t>
  </si>
  <si>
    <t>75,0</t>
  </si>
  <si>
    <t>85,0</t>
  </si>
  <si>
    <t>37,5</t>
  </si>
  <si>
    <t>40,0</t>
  </si>
  <si>
    <t>42,5</t>
  </si>
  <si>
    <t>80,0</t>
  </si>
  <si>
    <t>87,5</t>
  </si>
  <si>
    <t>92,5</t>
  </si>
  <si>
    <t>ВЕСОВАЯ КАТЕГОРИЯ   67.5</t>
  </si>
  <si>
    <t>Аствацатрян Варданес</t>
  </si>
  <si>
    <t>Открытая (31.10.1988)/34</t>
  </si>
  <si>
    <t>66,60</t>
  </si>
  <si>
    <t xml:space="preserve">Чита/Забайкальский край </t>
  </si>
  <si>
    <t>180,0</t>
  </si>
  <si>
    <t>195,0</t>
  </si>
  <si>
    <t>200,0</t>
  </si>
  <si>
    <t>215,0</t>
  </si>
  <si>
    <t>Марков Константин</t>
  </si>
  <si>
    <t>Открытая (16.03.1992)/30</t>
  </si>
  <si>
    <t>72,00</t>
  </si>
  <si>
    <t>102,5</t>
  </si>
  <si>
    <t>107,5</t>
  </si>
  <si>
    <t>90,0</t>
  </si>
  <si>
    <t>95,0</t>
  </si>
  <si>
    <t>127,5</t>
  </si>
  <si>
    <t>ВЕСОВАЯ КАТЕГОРИЯ   82.5</t>
  </si>
  <si>
    <t>Дуничев Максим</t>
  </si>
  <si>
    <t>Открытая (08.08.1996)/26</t>
  </si>
  <si>
    <t>81,20</t>
  </si>
  <si>
    <t>220,0</t>
  </si>
  <si>
    <t>230,0</t>
  </si>
  <si>
    <t>165,0</t>
  </si>
  <si>
    <t>170,0</t>
  </si>
  <si>
    <t>175,0</t>
  </si>
  <si>
    <t>250,0</t>
  </si>
  <si>
    <t>260,0</t>
  </si>
  <si>
    <t>ВЕСОВАЯ КАТЕГОРИЯ   90</t>
  </si>
  <si>
    <t>Мамедов Фарид</t>
  </si>
  <si>
    <t>89,70</t>
  </si>
  <si>
    <t xml:space="preserve">Кириши/Ленинградская область </t>
  </si>
  <si>
    <t>225,0</t>
  </si>
  <si>
    <t>227,5</t>
  </si>
  <si>
    <t>160,0</t>
  </si>
  <si>
    <t>270,0</t>
  </si>
  <si>
    <t>275,0</t>
  </si>
  <si>
    <t>Открытая (18.10.2001)/21</t>
  </si>
  <si>
    <t>Кульпин Никита</t>
  </si>
  <si>
    <t>Открытая (11.10.1993)/29</t>
  </si>
  <si>
    <t>212,5</t>
  </si>
  <si>
    <t>167,5</t>
  </si>
  <si>
    <t>172,5</t>
  </si>
  <si>
    <t>240,0</t>
  </si>
  <si>
    <t>255,0</t>
  </si>
  <si>
    <t>267,5</t>
  </si>
  <si>
    <t>Старовойтов Иван</t>
  </si>
  <si>
    <t>Открытая (26.03.1987)/35</t>
  </si>
  <si>
    <t>89,30</t>
  </si>
  <si>
    <t>177,5</t>
  </si>
  <si>
    <t>140,0</t>
  </si>
  <si>
    <t>142,5</t>
  </si>
  <si>
    <t>190,0</t>
  </si>
  <si>
    <t>202,5</t>
  </si>
  <si>
    <t>ВЕСОВАЯ КАТЕГОРИЯ   100</t>
  </si>
  <si>
    <t>Гнатко Виталий</t>
  </si>
  <si>
    <t>95,40</t>
  </si>
  <si>
    <t>205,0</t>
  </si>
  <si>
    <t>100,0</t>
  </si>
  <si>
    <t>105,0</t>
  </si>
  <si>
    <t>235,0</t>
  </si>
  <si>
    <t>ВЕСОВАЯ КАТЕГОРИЯ   110</t>
  </si>
  <si>
    <t>Минин Николай</t>
  </si>
  <si>
    <t>Открытая (03.07.1989)/33</t>
  </si>
  <si>
    <t>109,70</t>
  </si>
  <si>
    <t xml:space="preserve">Зеленогорск/Санкт-Петербург </t>
  </si>
  <si>
    <t>280,0</t>
  </si>
  <si>
    <t>300,0</t>
  </si>
  <si>
    <t>310,0</t>
  </si>
  <si>
    <t>Клюкач Дмитрий</t>
  </si>
  <si>
    <t>Открытая (20.10.1991)/31</t>
  </si>
  <si>
    <t>108,50</t>
  </si>
  <si>
    <t>245,0</t>
  </si>
  <si>
    <t>257,5</t>
  </si>
  <si>
    <t>265,0</t>
  </si>
  <si>
    <t>155,0</t>
  </si>
  <si>
    <t>ВЕСОВАЯ КАТЕГОРИЯ   125</t>
  </si>
  <si>
    <t>Абрамов Александр</t>
  </si>
  <si>
    <t>Открытая (14.05.1991)/31</t>
  </si>
  <si>
    <t>120,00</t>
  </si>
  <si>
    <t>210,0</t>
  </si>
  <si>
    <t>285,0</t>
  </si>
  <si>
    <t>Чусовской Михаил</t>
  </si>
  <si>
    <t>122,20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</si>
  <si>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</si>
  <si>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</si>
  <si>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</si>
  <si>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</si>
  <si>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Сумма </t>
  </si>
  <si>
    <t xml:space="preserve">Wilks </t>
  </si>
  <si>
    <t>75</t>
  </si>
  <si>
    <t xml:space="preserve">Открытая </t>
  </si>
  <si>
    <t>60</t>
  </si>
  <si>
    <t xml:space="preserve">Мужчины </t>
  </si>
  <si>
    <t>90</t>
  </si>
  <si>
    <t>110</t>
  </si>
  <si>
    <t>82.5</t>
  </si>
  <si>
    <t>125</t>
  </si>
  <si>
    <t xml:space="preserve">Мастера </t>
  </si>
  <si>
    <t>100</t>
  </si>
  <si>
    <t>1</t>
  </si>
  <si>
    <t>2</t>
  </si>
  <si>
    <t>3</t>
  </si>
  <si>
    <t>ВЕСОВАЯ КАТЕГОРИЯ   48</t>
  </si>
  <si>
    <t>Склярова Лариса</t>
  </si>
  <si>
    <t>47,90</t>
  </si>
  <si>
    <t>70,0</t>
  </si>
  <si>
    <t>45,0</t>
  </si>
  <si>
    <t>115,0</t>
  </si>
  <si>
    <t>ВЕСОВАЯ КАТЕГОРИЯ   52</t>
  </si>
  <si>
    <t>Алексеева Татьяна</t>
  </si>
  <si>
    <t>51,90</t>
  </si>
  <si>
    <t xml:space="preserve">Орёл/Орловская область </t>
  </si>
  <si>
    <t>62,5</t>
  </si>
  <si>
    <t>67,5</t>
  </si>
  <si>
    <t>120,0</t>
  </si>
  <si>
    <t>ВЕСОВАЯ КАТЕГОРИЯ   56</t>
  </si>
  <si>
    <t>Полякова Наталья</t>
  </si>
  <si>
    <t>Открытая (18.07.1982)/40</t>
  </si>
  <si>
    <t>53,60</t>
  </si>
  <si>
    <t>57,5</t>
  </si>
  <si>
    <t>60,0</t>
  </si>
  <si>
    <t>Кулакова Екатерина</t>
  </si>
  <si>
    <t>Открытая (16.02.1993)/29</t>
  </si>
  <si>
    <t>54,50</t>
  </si>
  <si>
    <t>Чупракова Екатерина</t>
  </si>
  <si>
    <t>Открытая (11.05.1982)/40</t>
  </si>
  <si>
    <t>58,70</t>
  </si>
  <si>
    <t xml:space="preserve">Москва </t>
  </si>
  <si>
    <t>132,5</t>
  </si>
  <si>
    <t>137,5</t>
  </si>
  <si>
    <t>145,0</t>
  </si>
  <si>
    <t>Киржапкина Елизавета</t>
  </si>
  <si>
    <t>Открытая (23.11.1995)/27</t>
  </si>
  <si>
    <t>57,50</t>
  </si>
  <si>
    <t>97,5</t>
  </si>
  <si>
    <t>47,5</t>
  </si>
  <si>
    <t>50,0</t>
  </si>
  <si>
    <t>52,5</t>
  </si>
  <si>
    <t>110,0</t>
  </si>
  <si>
    <t>Шефер Виктория</t>
  </si>
  <si>
    <t>Открытая (01.03.1990)/32</t>
  </si>
  <si>
    <t>59,00</t>
  </si>
  <si>
    <t>65,0</t>
  </si>
  <si>
    <t>35,0</t>
  </si>
  <si>
    <t>Пчелкина Светлана</t>
  </si>
  <si>
    <t>Открытая (18.08.1986)/36</t>
  </si>
  <si>
    <t>64,90</t>
  </si>
  <si>
    <t>55,0</t>
  </si>
  <si>
    <t>112,5</t>
  </si>
  <si>
    <t>122,5</t>
  </si>
  <si>
    <t>Табанакова Татьяна</t>
  </si>
  <si>
    <t>Открытая (27.09.1964)/58</t>
  </si>
  <si>
    <t xml:space="preserve">Норильск/Красноярский край </t>
  </si>
  <si>
    <t>ВЕСОВАЯ КАТЕГОРИЯ   90+</t>
  </si>
  <si>
    <t>Богданова Юлия</t>
  </si>
  <si>
    <t>Открытая (26.04.1985)/37</t>
  </si>
  <si>
    <t>124,30</t>
  </si>
  <si>
    <t>Сергеев Егор</t>
  </si>
  <si>
    <t>Юноши 15-19 (06.11.2005)/17</t>
  </si>
  <si>
    <t>58,30</t>
  </si>
  <si>
    <t xml:space="preserve">Пикалёво/Ленинградская область </t>
  </si>
  <si>
    <t>Шарапов Владислав</t>
  </si>
  <si>
    <t>Юноши 15-19 (27.12.2005)/17</t>
  </si>
  <si>
    <t>66,80</t>
  </si>
  <si>
    <t>Терещенко Илья</t>
  </si>
  <si>
    <t>Юноши 15-19 (06.02.2003)/19</t>
  </si>
  <si>
    <t>152,5</t>
  </si>
  <si>
    <t>162,5</t>
  </si>
  <si>
    <t>Ярыгин Никита</t>
  </si>
  <si>
    <t>Открытая (23.04.1994)/28</t>
  </si>
  <si>
    <t>Качармин Дмитрий</t>
  </si>
  <si>
    <t>Открытая (09.08.1987)/35</t>
  </si>
  <si>
    <t>72,10</t>
  </si>
  <si>
    <t>Комендант Алексей</t>
  </si>
  <si>
    <t>Открытая (20.11.1996)/26</t>
  </si>
  <si>
    <t>73,40</t>
  </si>
  <si>
    <t>147,5</t>
  </si>
  <si>
    <t>Быстров Алексей</t>
  </si>
  <si>
    <t>Голенцов Вадим</t>
  </si>
  <si>
    <t>88,00</t>
  </si>
  <si>
    <t>187,5</t>
  </si>
  <si>
    <t>Мухин Александр</t>
  </si>
  <si>
    <t>86,20</t>
  </si>
  <si>
    <t>Открытая (03.06.1999)/23</t>
  </si>
  <si>
    <t>Григорьев Александр</t>
  </si>
  <si>
    <t>89,00</t>
  </si>
  <si>
    <t>207,5</t>
  </si>
  <si>
    <t>262,5</t>
  </si>
  <si>
    <t>Каминский Евгений</t>
  </si>
  <si>
    <t>Открытая (07.06.1991)/31</t>
  </si>
  <si>
    <t>98,80</t>
  </si>
  <si>
    <t>157,5</t>
  </si>
  <si>
    <t>325,0</t>
  </si>
  <si>
    <t>Зубков Александр</t>
  </si>
  <si>
    <t>99,70</t>
  </si>
  <si>
    <t>242,5</t>
  </si>
  <si>
    <t>247,5</t>
  </si>
  <si>
    <t>Мищенко Денис</t>
  </si>
  <si>
    <t>Открытая (11.10.1994)/28</t>
  </si>
  <si>
    <t>56</t>
  </si>
  <si>
    <t>90+</t>
  </si>
  <si>
    <t>67.5</t>
  </si>
  <si>
    <t>Медведев Александр</t>
  </si>
  <si>
    <t>98,90</t>
  </si>
  <si>
    <t>Калинина София</t>
  </si>
  <si>
    <t>Девушки 15-19 (22.02.2005)/17</t>
  </si>
  <si>
    <t>66,00</t>
  </si>
  <si>
    <t>Алещенко Ева</t>
  </si>
  <si>
    <t>77,20</t>
  </si>
  <si>
    <t>Вохминцев Юрий</t>
  </si>
  <si>
    <t>73,00</t>
  </si>
  <si>
    <t>Перевозчиков Дмитрий</t>
  </si>
  <si>
    <t>Открытая (29.07.1969)/53</t>
  </si>
  <si>
    <t>81,90</t>
  </si>
  <si>
    <t>Хуснияров Руслан</t>
  </si>
  <si>
    <t>Открытая (26.05.1984)/38</t>
  </si>
  <si>
    <t>Михайлов Александр</t>
  </si>
  <si>
    <t>Воробьёв Максим</t>
  </si>
  <si>
    <t>Открытая (10.03.1994)/28</t>
  </si>
  <si>
    <t>88,60</t>
  </si>
  <si>
    <t>Белов Станислав</t>
  </si>
  <si>
    <t>Открытая (11.11.1990)/32</t>
  </si>
  <si>
    <t xml:space="preserve">Тихвин/Ленинградская область </t>
  </si>
  <si>
    <t>Дмитриев Дмитрий</t>
  </si>
  <si>
    <t>Открытая (27.11.1995)/27</t>
  </si>
  <si>
    <t>97,30</t>
  </si>
  <si>
    <t>Беспалов Александр</t>
  </si>
  <si>
    <t>97,10</t>
  </si>
  <si>
    <t>Ахунжанов Джалиль</t>
  </si>
  <si>
    <t>96,40</t>
  </si>
  <si>
    <t>Кутузов Александр</t>
  </si>
  <si>
    <t>94,50</t>
  </si>
  <si>
    <t xml:space="preserve">Шлиссельбург/Ленинградская область </t>
  </si>
  <si>
    <t>Курка Сергей</t>
  </si>
  <si>
    <t>Открытая (13.12.1990)/32</t>
  </si>
  <si>
    <t>106,40</t>
  </si>
  <si>
    <t>185,0</t>
  </si>
  <si>
    <t>Антимонов Виктор</t>
  </si>
  <si>
    <t>Открытая (07.11.1984)/38</t>
  </si>
  <si>
    <t>105,70</t>
  </si>
  <si>
    <t>Черненко Дмитрий</t>
  </si>
  <si>
    <t>103,10</t>
  </si>
  <si>
    <t>ВЕСОВАЯ КАТЕГОРИЯ   140+</t>
  </si>
  <si>
    <t>Гогуев Расул</t>
  </si>
  <si>
    <t>Открытая (26.08.1987)/35</t>
  </si>
  <si>
    <t>153,70</t>
  </si>
  <si>
    <t xml:space="preserve">Лютаев Дмитрий </t>
  </si>
  <si>
    <t xml:space="preserve">Результат </t>
  </si>
  <si>
    <t>140+</t>
  </si>
  <si>
    <t>Результат</t>
  </si>
  <si>
    <t>-</t>
  </si>
  <si>
    <t>Дорошенко Марина</t>
  </si>
  <si>
    <t>Открытая (16.10.1996)/26</t>
  </si>
  <si>
    <t>47,30</t>
  </si>
  <si>
    <t>Коштялова Яна</t>
  </si>
  <si>
    <t>Открытая (26.03.2002)/20</t>
  </si>
  <si>
    <t>51,10</t>
  </si>
  <si>
    <t>Данилова Ольга</t>
  </si>
  <si>
    <t>Открытая (25.03.1991)/31</t>
  </si>
  <si>
    <t>50,40</t>
  </si>
  <si>
    <t>Мельникова Юлия</t>
  </si>
  <si>
    <t>Открытая (15.01.1992)/30</t>
  </si>
  <si>
    <t>50,10</t>
  </si>
  <si>
    <t>Калинина Екатерина</t>
  </si>
  <si>
    <t>Открытая (18.08.1990)/32</t>
  </si>
  <si>
    <t>54,20</t>
  </si>
  <si>
    <t>Партина Екатерина</t>
  </si>
  <si>
    <t>54,40</t>
  </si>
  <si>
    <t xml:space="preserve">Луга/Ленинградская область </t>
  </si>
  <si>
    <t>Фейзуллаева Анжела</t>
  </si>
  <si>
    <t>Открытая (21.06.1991)/31</t>
  </si>
  <si>
    <t>Пикалова Алеся</t>
  </si>
  <si>
    <t>57,70</t>
  </si>
  <si>
    <t xml:space="preserve">Мурино/Ленинградская область </t>
  </si>
  <si>
    <t>Яшина Ксения</t>
  </si>
  <si>
    <t>Открытая (20.10.1988)/34</t>
  </si>
  <si>
    <t>64,30</t>
  </si>
  <si>
    <t>Кручина Светлана</t>
  </si>
  <si>
    <t>Открытая (19.02.1985)/37</t>
  </si>
  <si>
    <t>67,10</t>
  </si>
  <si>
    <t>Андриянова Ольга</t>
  </si>
  <si>
    <t>66,40</t>
  </si>
  <si>
    <t xml:space="preserve">Дмитриева Елена </t>
  </si>
  <si>
    <t>Дмитриева Елена</t>
  </si>
  <si>
    <t>Дегтярёв Антон</t>
  </si>
  <si>
    <t>Открытая (26.01.1990)/32</t>
  </si>
  <si>
    <t>72,20</t>
  </si>
  <si>
    <t>Прокофьев Алексей</t>
  </si>
  <si>
    <t>Кузнецов Александр</t>
  </si>
  <si>
    <t>74,50</t>
  </si>
  <si>
    <t>Гробовой Алексей</t>
  </si>
  <si>
    <t>Открытая (02.05.1987)/35</t>
  </si>
  <si>
    <t>78,40</t>
  </si>
  <si>
    <t>Пешков Максим</t>
  </si>
  <si>
    <t>Открытая (16.02.1987)/35</t>
  </si>
  <si>
    <t>80,20</t>
  </si>
  <si>
    <t>Хлюстин Валерий</t>
  </si>
  <si>
    <t>Юноши 15-19 (25.05.2003)/19</t>
  </si>
  <si>
    <t>88,50</t>
  </si>
  <si>
    <t>Шепелев Владимир</t>
  </si>
  <si>
    <t>Открытая (03.04.1979)/43</t>
  </si>
  <si>
    <t>88,30</t>
  </si>
  <si>
    <t xml:space="preserve">Великий Новгород/Новгородская </t>
  </si>
  <si>
    <t>Киселёв Артём</t>
  </si>
  <si>
    <t>Открытая (18.05.1990)/32</t>
  </si>
  <si>
    <t>87,90</t>
  </si>
  <si>
    <t>Залесский Владимир</t>
  </si>
  <si>
    <t>Открытая (05.06.1990)/32</t>
  </si>
  <si>
    <t>Ульшин Илья</t>
  </si>
  <si>
    <t>Открытая (03.09.2000)/22</t>
  </si>
  <si>
    <t>86,80</t>
  </si>
  <si>
    <t>Логинов Анатолий</t>
  </si>
  <si>
    <t>Открытая (21.06.1983)/39</t>
  </si>
  <si>
    <t>88,80</t>
  </si>
  <si>
    <t>Волнухин Денис</t>
  </si>
  <si>
    <t>82,70</t>
  </si>
  <si>
    <t>Паншин Константин</t>
  </si>
  <si>
    <t>Сулима Тимофей</t>
  </si>
  <si>
    <t>95,30</t>
  </si>
  <si>
    <t xml:space="preserve">Кировск/Ленинградская область </t>
  </si>
  <si>
    <t>Локтионов Александр</t>
  </si>
  <si>
    <t>Открытая (20.12.1964)/58</t>
  </si>
  <si>
    <t>97,70</t>
  </si>
  <si>
    <t>Хлюстин Илья</t>
  </si>
  <si>
    <t>Открытая (14.02.1983)/39</t>
  </si>
  <si>
    <t>98,60</t>
  </si>
  <si>
    <t>Бабичев Дмитрий</t>
  </si>
  <si>
    <t>93,50</t>
  </si>
  <si>
    <t>ВЕСОВАЯ КАТЕГОРИЯ   140</t>
  </si>
  <si>
    <t>Повесма Кирилл</t>
  </si>
  <si>
    <t>Юноши 15-19 (14.07.2006)/16</t>
  </si>
  <si>
    <t>127,60</t>
  </si>
  <si>
    <t>4</t>
  </si>
  <si>
    <t>5</t>
  </si>
  <si>
    <t>Кравцов Константин</t>
  </si>
  <si>
    <t>Открытая (26.10.1982)/40</t>
  </si>
  <si>
    <t>99,90</t>
  </si>
  <si>
    <t xml:space="preserve">Гатчина/Ленинградская область </t>
  </si>
  <si>
    <t>Титов Алексей</t>
  </si>
  <si>
    <t>Макеев Павел</t>
  </si>
  <si>
    <t>100,00</t>
  </si>
  <si>
    <t>Алтухов Александр</t>
  </si>
  <si>
    <t>Открытая (31.03.1989)/33</t>
  </si>
  <si>
    <t>110,00</t>
  </si>
  <si>
    <t>Костылев Алексей</t>
  </si>
  <si>
    <t>Открытая (04.09.1973)/49</t>
  </si>
  <si>
    <t>118,20</t>
  </si>
  <si>
    <t>305,0</t>
  </si>
  <si>
    <t>Казакова Александра</t>
  </si>
  <si>
    <t>Открытая (22.10.1985)/37</t>
  </si>
  <si>
    <t>62,70</t>
  </si>
  <si>
    <t>Машина Екатерина</t>
  </si>
  <si>
    <t>Открытая (28.11.2000)/22</t>
  </si>
  <si>
    <t>Сметанюк Андрей</t>
  </si>
  <si>
    <t>74,20</t>
  </si>
  <si>
    <t>237,5</t>
  </si>
  <si>
    <t>Першин Дмитрий</t>
  </si>
  <si>
    <t>Открытая (07.12.1988)/34</t>
  </si>
  <si>
    <t>77,40</t>
  </si>
  <si>
    <t xml:space="preserve">Сосногорск/Коми </t>
  </si>
  <si>
    <t>Филимонов Павел</t>
  </si>
  <si>
    <t>99,00</t>
  </si>
  <si>
    <t>Овчинникова Виктория</t>
  </si>
  <si>
    <t>Открытая (19.04.1988)/34</t>
  </si>
  <si>
    <t>59,80</t>
  </si>
  <si>
    <t>Сергеев Олег</t>
  </si>
  <si>
    <t>Открытая (17.11.1991)/31</t>
  </si>
  <si>
    <t>71,60</t>
  </si>
  <si>
    <t>Прашнов Владислав</t>
  </si>
  <si>
    <t>Открытая (02.12.1983)/39</t>
  </si>
  <si>
    <t>98,70</t>
  </si>
  <si>
    <t>Матвеев Александр</t>
  </si>
  <si>
    <t>Открытая (14.03.1974)/48</t>
  </si>
  <si>
    <t>67,50</t>
  </si>
  <si>
    <t>Локк Семен</t>
  </si>
  <si>
    <t>Открытая (28.11.1983)/39</t>
  </si>
  <si>
    <t>86,60</t>
  </si>
  <si>
    <t>Левин Александр</t>
  </si>
  <si>
    <t>Открытая (07.04.1988)/34</t>
  </si>
  <si>
    <t>80,90</t>
  </si>
  <si>
    <t>Тяга</t>
  </si>
  <si>
    <t>Степанов Павел</t>
  </si>
  <si>
    <t>Открытая (20.01.1960)/62</t>
  </si>
  <si>
    <t>96,30</t>
  </si>
  <si>
    <t>Алейников Павел</t>
  </si>
  <si>
    <t>63,80</t>
  </si>
  <si>
    <t>Открытая (15.06.2002)/20</t>
  </si>
  <si>
    <t>Новиков Максим</t>
  </si>
  <si>
    <t>Открытая (16.01.1986)/36</t>
  </si>
  <si>
    <t>96,90</t>
  </si>
  <si>
    <t>82,5</t>
  </si>
  <si>
    <t>Петров Андрей</t>
  </si>
  <si>
    <t>Открытая (17.06.1982)/40</t>
  </si>
  <si>
    <t>107,20</t>
  </si>
  <si>
    <t>Всероссийский мастерский турнир «Невская Битва VII»
СПР Пауэрспорт
Санкт-Петербург, 08 января 2023 года</t>
  </si>
  <si>
    <t>Всероссийский мастерский турнир «Невская Битва VII»
СПР Строгий подъем штанги на бицепс ДК
Санкт-Петербург, 08 января 2023 года</t>
  </si>
  <si>
    <t>Всероссийский мастерский турнир «Невская Битва VII»
СПР Строгий подъем штанги на бицепс
Санкт-Петербург, 08 января 2023 года</t>
  </si>
  <si>
    <t>Всероссийский мастерский турнир «Невская Битва VII»
СПР Жим штанги стоя
Санкт-Петербург, 08 января 2023 года</t>
  </si>
  <si>
    <t>Всероссийский мастерский турнир «Невская Битва VII»
СПР Жим лежа в многопетельной софт экипировке
Санкт-Петербург, 08 января 2023 года</t>
  </si>
  <si>
    <t>Всероссийский мастерский турнир «Невская Битва VII»
СПР Жим лежа в однопетельной софт экипировке ДК
Санкт-Петербург, 08 января 2023 года</t>
  </si>
  <si>
    <t>Всероссийский мастерский турнир «Невская Битва VII»
СПР Жим лежа в однопетельной софт экипировке
Санкт-Петербург, 08 января 2023 года</t>
  </si>
  <si>
    <t>Всероссийский мастерский турнир «Невская Битва VII»
IPL Силовое двоеборье без экипировки ДК
Санкт-Петербург, 08 января 2023 года</t>
  </si>
  <si>
    <t>Всероссийский мастерский турнир «Невская Битва VII»
IPL Присед без экипировки ДК
Санкт-Петербург, 08 января 2023 года</t>
  </si>
  <si>
    <t>Всероссийский мастерский турнир «Невская Битва VII»
IPL Становая тяга без экипировки ДК
Санкт-Петербург, 08 января 2023 года</t>
  </si>
  <si>
    <t>Всероссийский мастерский турнир «Невская Битва VII»
IPL Становая тяга без экипировки
Санкт-Петербург, 08 января 2023 года</t>
  </si>
  <si>
    <t>Всероссийский мастерский турнир «Невская Битва VII»
IPL Жим лежа в однослойной экипировке
Санкт-Петербург, 08 января 2023 года</t>
  </si>
  <si>
    <t>Всероссийский мастерский турнир «Невская Битва VII»
IPL Жим лежа без экипировки ДК
Санкт-Петербург, 08 января 2023 года</t>
  </si>
  <si>
    <t>Всероссийский мастерский турнир «Невская Битва VII»
IPL Жим лежа без экипировки
Санкт-Петербург, 08 января 2023 года</t>
  </si>
  <si>
    <t>Всероссийский мастерский турнир «Невская Битва VII»
IPL Пауэрлифтинг в бинтах ДК
Санкт-Петербург, 08 января 2023 года</t>
  </si>
  <si>
    <t>Всероссийский мастерский турнир «Невская Битва VII»
IPL Пауэрлифтинг без экипировки ДК
Санкт-Петербург, 08 января 2023 года</t>
  </si>
  <si>
    <t>Всероссийский мастерский турнир «Невская Битва VII»
IPL Пауэрлифтинг без экипировки
Санкт-Петербург, 08 января 2023 года</t>
  </si>
  <si>
    <t>Юниоры 20-23 (15.06.2002)/20</t>
  </si>
  <si>
    <t>Мастера 40-49 (17.06.1982)/40</t>
  </si>
  <si>
    <t>Мастера 40-44 (22.11.1980)/42</t>
  </si>
  <si>
    <t>Мастера 40-44 (08.10.1978)/44</t>
  </si>
  <si>
    <t>Мастера 40-44 (10.12.1980)/42</t>
  </si>
  <si>
    <t>Юниорки 20-23 (28.11.2000)/22</t>
  </si>
  <si>
    <t>Мастера 40-44 (15.08.1981)/41</t>
  </si>
  <si>
    <t>Юниоры 20-23 (09.09.1999)/23</t>
  </si>
  <si>
    <t>Мастера 50-54 (28.10.1972)/50</t>
  </si>
  <si>
    <t>Мастера 40-44 (27.05.1980)/42</t>
  </si>
  <si>
    <t>Мастера 45-49 (09.09.1975)/47</t>
  </si>
  <si>
    <t>Мастера 40-44 (25.11.1979)/43</t>
  </si>
  <si>
    <t>Мастера 50-54 (09.02.1972)/50</t>
  </si>
  <si>
    <t>Мастера 45-49 (03.11.1974)/48</t>
  </si>
  <si>
    <t>Мастера 45-49 (10.05.1973)/49</t>
  </si>
  <si>
    <t>Мастера 45-49 (26.08.1975)/47</t>
  </si>
  <si>
    <t>Мастера 40-44 (03.04.1979)/43</t>
  </si>
  <si>
    <t>Мастера 45-49 (06.09.1976)/46</t>
  </si>
  <si>
    <t>Мастера 60-64 (22.01.1960)/62</t>
  </si>
  <si>
    <t>Юниоры 20-23 (13.01.2002)/20</t>
  </si>
  <si>
    <t>Мастера 40-44 (30.08.1981)/41</t>
  </si>
  <si>
    <t xml:space="preserve">Мастера 60-64 </t>
  </si>
  <si>
    <t xml:space="preserve">Мастера 40-44 </t>
  </si>
  <si>
    <t xml:space="preserve">Мастера 45-49 </t>
  </si>
  <si>
    <t>Юниорки 20-23 (17.09.1999)/23</t>
  </si>
  <si>
    <t>Мастера 75-79 (07.04.1947)/75</t>
  </si>
  <si>
    <t>Мастера 60-64 (09.12.1958)/64</t>
  </si>
  <si>
    <t>Мастера 40-44 (07.01.1980)/43</t>
  </si>
  <si>
    <t>Мастера 45-49 (20.03.1976)/46</t>
  </si>
  <si>
    <t>Мастера 65-69 (11.09.1956)/66</t>
  </si>
  <si>
    <t>Мастера 45-49 (17.02.1973)/49</t>
  </si>
  <si>
    <t xml:space="preserve">Мастера 65-69 </t>
  </si>
  <si>
    <t>Мастера 50-54 (14.12.1971)/51</t>
  </si>
  <si>
    <t>Юниорки 20-23 (09.05.1999)/23</t>
  </si>
  <si>
    <t>Мастера 40-44 (18.07.1982)/40</t>
  </si>
  <si>
    <t>Мастера 55-59 (27.09.1964)/58</t>
  </si>
  <si>
    <t>Мастера 45-49 (17.10.1974)/48</t>
  </si>
  <si>
    <t>Юниоры 20-23 (03.06.1999)/23</t>
  </si>
  <si>
    <t>Юниоры 20-23 (10.08.1999)/23</t>
  </si>
  <si>
    <t>Юниорки 20-23 (18.08.2000)/22</t>
  </si>
  <si>
    <t>Юниоры 20-23 (18.10.2001)/21</t>
  </si>
  <si>
    <t>Мастера 60-64 (30.07.1961)/61</t>
  </si>
  <si>
    <t>Мастера 50-54 (21.09.1972)/50</t>
  </si>
  <si>
    <t>Санкт-Петербург</t>
  </si>
  <si>
    <t>Весовая категория</t>
  </si>
  <si>
    <t xml:space="preserve">Всеволожск/Ленинградская область </t>
  </si>
  <si>
    <t xml:space="preserve">Абрамов Александр </t>
  </si>
  <si>
    <t xml:space="preserve">Таранухин Георгий </t>
  </si>
  <si>
    <t xml:space="preserve">Рябинников Олег </t>
  </si>
  <si>
    <t xml:space="preserve">Ростов-на-Дону/Ростовская область </t>
  </si>
  <si>
    <t xml:space="preserve">Кингисепп/Ленинградская область </t>
  </si>
  <si>
    <t>Надым/ЯМАО</t>
  </si>
  <si>
    <t xml:space="preserve">Суслов Николай </t>
  </si>
  <si>
    <t xml:space="preserve">Кулаков Дмитрий </t>
  </si>
  <si>
    <t xml:space="preserve">Ермолаева Дарья </t>
  </si>
  <si>
    <t xml:space="preserve">Талеров Александр </t>
  </si>
  <si>
    <t xml:space="preserve">Кунц Дмитрий </t>
  </si>
  <si>
    <t>Самостоятельно</t>
  </si>
  <si>
    <t xml:space="preserve">Грахов Юлий </t>
  </si>
  <si>
    <t>Киселёв Дмитрий</t>
  </si>
  <si>
    <t xml:space="preserve">Орехово-Зуево/Московская область </t>
  </si>
  <si>
    <t xml:space="preserve">Сосногорск/Республика Коми </t>
  </si>
  <si>
    <t xml:space="preserve">Смирнов Олег </t>
  </si>
  <si>
    <t>Чехия/Злин</t>
  </si>
  <si>
    <t>Беларусь/Минск</t>
  </si>
  <si>
    <t>Великий Новгород/Новгородская область</t>
  </si>
  <si>
    <t xml:space="preserve">Тельмана/Ленинградская область </t>
  </si>
  <si>
    <t xml:space="preserve">Саночкин Михаил </t>
  </si>
  <si>
    <t xml:space="preserve">Алешин Михаил </t>
  </si>
  <si>
    <t xml:space="preserve">Громов Алексей </t>
  </si>
  <si>
    <t>Ермолаева Дарья</t>
  </si>
  <si>
    <t xml:space="preserve">Ругинов Олег </t>
  </si>
  <si>
    <t xml:space="preserve">Мусиенко Константин </t>
  </si>
  <si>
    <t xml:space="preserve">Казаков Роман </t>
  </si>
  <si>
    <t xml:space="preserve">Петрозаводск/Республика Карелия </t>
  </si>
  <si>
    <t xml:space="preserve">Сакович Олег </t>
  </si>
  <si>
    <t>Жим</t>
  </si>
  <si>
    <t>№</t>
  </si>
  <si>
    <t>Возрастная группа</t>
  </si>
  <si>
    <t>J</t>
  </si>
  <si>
    <t>M1</t>
  </si>
  <si>
    <t>O</t>
  </si>
  <si>
    <t>M4</t>
  </si>
  <si>
    <t>T</t>
  </si>
  <si>
    <t>M2</t>
  </si>
  <si>
    <t xml:space="preserve">
Дата рождения/Возраст</t>
  </si>
  <si>
    <t>M5</t>
  </si>
  <si>
    <t>M3</t>
  </si>
  <si>
    <t>M8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</si>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</sst>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803FC-6E85-497F-ADBD-8802956813A8}">
  <dimension ref="A1:U65"/>
  <sheetViews>
    <sheetView topLeftCell="A24" workbookViewId="0">
      <selection activeCell="E56" sqref="E56"/>
    </sheetView>
  </sheetViews>
  <sheetFormatPr baseColWidth="10" defaultColWidth="9.1640625" defaultRowHeight="13"/>
  <cols>
    <col min="1" max="1" width="7.5" style="6" bestFit="1" customWidth="1"/>
    <col min="2" max="2" width="21" style="6" bestFit="1" customWidth="1"/>
    <col min="3" max="3" width="29" style="6" bestFit="1" customWidth="1"/>
    <col min="4" max="4" width="21.5" style="6" bestFit="1" customWidth="1"/>
    <col min="5" max="5" width="10.5" style="20" bestFit="1" customWidth="1"/>
    <col min="6" max="6" width="31.33203125" style="6" bestFit="1" customWidth="1"/>
    <col min="7" max="9" width="5.5" style="29" customWidth="1"/>
    <col min="10" max="10" width="4.83203125" style="29" customWidth="1"/>
    <col min="11" max="13" width="5.5" style="29" customWidth="1"/>
    <col min="14" max="14" width="4.83203125" style="29" customWidth="1"/>
    <col min="15" max="17" width="5.5" style="29" customWidth="1"/>
    <col min="18" max="18" width="4.83203125" style="29" customWidth="1"/>
    <col min="19" max="19" width="7.83203125" style="7" bestFit="1" customWidth="1"/>
    <col min="20" max="20" width="8.5" style="7" bestFit="1" customWidth="1"/>
    <col min="21" max="21" width="24" style="6" customWidth="1"/>
    <col min="22" max="16384" width="9.1640625" style="3"/>
  </cols>
  <sheetData>
    <row r="1" spans="1:21" s="2" customFormat="1" ht="29" customHeight="1">
      <c r="A1" s="48" t="s">
        <v>443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522</v>
      </c>
      <c r="B3" s="67" t="s">
        <v>0</v>
      </c>
      <c r="C3" s="58" t="s">
        <v>5</v>
      </c>
      <c r="D3" s="58" t="s">
        <v>7</v>
      </c>
      <c r="E3" s="60" t="s">
        <v>523</v>
      </c>
      <c r="F3" s="62" t="s">
        <v>6</v>
      </c>
      <c r="G3" s="62" t="s">
        <v>8</v>
      </c>
      <c r="H3" s="62"/>
      <c r="I3" s="62"/>
      <c r="J3" s="62"/>
      <c r="K3" s="62" t="s">
        <v>9</v>
      </c>
      <c r="L3" s="62"/>
      <c r="M3" s="62"/>
      <c r="N3" s="62"/>
      <c r="O3" s="62" t="s">
        <v>10</v>
      </c>
      <c r="P3" s="62"/>
      <c r="Q3" s="62"/>
      <c r="R3" s="62"/>
      <c r="S3" s="60" t="s">
        <v>1</v>
      </c>
      <c r="T3" s="60" t="s">
        <v>3</v>
      </c>
      <c r="U3" s="63" t="s">
        <v>2</v>
      </c>
    </row>
    <row r="4" spans="1:21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1"/>
      <c r="U4" s="64"/>
    </row>
    <row r="5" spans="1:21" ht="16">
      <c r="A5" s="65" t="s">
        <v>136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21">
      <c r="A6" s="32" t="s">
        <v>133</v>
      </c>
      <c r="B6" s="8" t="s">
        <v>137</v>
      </c>
      <c r="C6" s="8" t="s">
        <v>478</v>
      </c>
      <c r="D6" s="8" t="s">
        <v>138</v>
      </c>
      <c r="E6" s="9" t="s">
        <v>524</v>
      </c>
      <c r="F6" s="8" t="s">
        <v>496</v>
      </c>
      <c r="G6" s="31" t="s">
        <v>139</v>
      </c>
      <c r="H6" s="31" t="s">
        <v>19</v>
      </c>
      <c r="I6" s="31" t="s">
        <v>30</v>
      </c>
      <c r="J6" s="32"/>
      <c r="K6" s="31" t="s">
        <v>28</v>
      </c>
      <c r="L6" s="31" t="s">
        <v>29</v>
      </c>
      <c r="M6" s="31" t="s">
        <v>140</v>
      </c>
      <c r="N6" s="32"/>
      <c r="O6" s="31" t="s">
        <v>48</v>
      </c>
      <c r="P6" s="31" t="s">
        <v>92</v>
      </c>
      <c r="Q6" s="31" t="s">
        <v>141</v>
      </c>
      <c r="R6" s="32"/>
      <c r="S6" s="10" t="str">
        <f>"240,0"</f>
        <v>240,0</v>
      </c>
      <c r="T6" s="10" t="str">
        <f>"318,3600"</f>
        <v>318,3600</v>
      </c>
      <c r="U6" s="8"/>
    </row>
    <row r="8" spans="1:21" ht="16">
      <c r="A8" s="69" t="s">
        <v>142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32" t="s">
        <v>133</v>
      </c>
      <c r="B9" s="8" t="s">
        <v>143</v>
      </c>
      <c r="C9" s="8" t="s">
        <v>449</v>
      </c>
      <c r="D9" s="8" t="s">
        <v>144</v>
      </c>
      <c r="E9" s="9" t="s">
        <v>525</v>
      </c>
      <c r="F9" s="8" t="s">
        <v>145</v>
      </c>
      <c r="G9" s="33" t="s">
        <v>47</v>
      </c>
      <c r="H9" s="31" t="s">
        <v>47</v>
      </c>
      <c r="I9" s="31" t="s">
        <v>32</v>
      </c>
      <c r="J9" s="32"/>
      <c r="K9" s="31" t="s">
        <v>146</v>
      </c>
      <c r="L9" s="33" t="s">
        <v>147</v>
      </c>
      <c r="M9" s="33" t="s">
        <v>147</v>
      </c>
      <c r="N9" s="32"/>
      <c r="O9" s="31" t="s">
        <v>141</v>
      </c>
      <c r="P9" s="31" t="s">
        <v>15</v>
      </c>
      <c r="Q9" s="31" t="s">
        <v>148</v>
      </c>
      <c r="R9" s="32"/>
      <c r="S9" s="10" t="str">
        <f>"275,0"</f>
        <v>275,0</v>
      </c>
      <c r="T9" s="10" t="str">
        <f>"348,1442"</f>
        <v>348,1442</v>
      </c>
      <c r="U9" s="8"/>
    </row>
    <row r="11" spans="1:21" ht="16">
      <c r="A11" s="69" t="s">
        <v>149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21">
      <c r="A12" s="36" t="s">
        <v>133</v>
      </c>
      <c r="B12" s="11" t="s">
        <v>150</v>
      </c>
      <c r="C12" s="11" t="s">
        <v>151</v>
      </c>
      <c r="D12" s="11" t="s">
        <v>152</v>
      </c>
      <c r="E12" s="12" t="s">
        <v>526</v>
      </c>
      <c r="F12" s="11" t="s">
        <v>488</v>
      </c>
      <c r="G12" s="34" t="s">
        <v>26</v>
      </c>
      <c r="H12" s="34" t="s">
        <v>47</v>
      </c>
      <c r="I12" s="34" t="s">
        <v>32</v>
      </c>
      <c r="J12" s="36"/>
      <c r="K12" s="34" t="s">
        <v>153</v>
      </c>
      <c r="L12" s="34" t="s">
        <v>154</v>
      </c>
      <c r="M12" s="34" t="s">
        <v>146</v>
      </c>
      <c r="N12" s="36"/>
      <c r="O12" s="34" t="s">
        <v>148</v>
      </c>
      <c r="P12" s="34" t="s">
        <v>16</v>
      </c>
      <c r="Q12" s="34" t="s">
        <v>17</v>
      </c>
      <c r="R12" s="36"/>
      <c r="S12" s="13" t="str">
        <f>"285,0"</f>
        <v>285,0</v>
      </c>
      <c r="T12" s="13" t="str">
        <f>"347,0160"</f>
        <v>347,0160</v>
      </c>
      <c r="U12" s="11" t="s">
        <v>497</v>
      </c>
    </row>
    <row r="13" spans="1:21">
      <c r="A13" s="39" t="s">
        <v>134</v>
      </c>
      <c r="B13" s="14" t="s">
        <v>155</v>
      </c>
      <c r="C13" s="14" t="s">
        <v>156</v>
      </c>
      <c r="D13" s="14" t="s">
        <v>157</v>
      </c>
      <c r="E13" s="15" t="s">
        <v>526</v>
      </c>
      <c r="F13" s="14" t="s">
        <v>488</v>
      </c>
      <c r="G13" s="37" t="s">
        <v>139</v>
      </c>
      <c r="H13" s="38" t="s">
        <v>25</v>
      </c>
      <c r="I13" s="38" t="s">
        <v>25</v>
      </c>
      <c r="J13" s="39"/>
      <c r="K13" s="37" t="s">
        <v>28</v>
      </c>
      <c r="L13" s="37" t="s">
        <v>29</v>
      </c>
      <c r="M13" s="38" t="s">
        <v>140</v>
      </c>
      <c r="N13" s="39"/>
      <c r="O13" s="37" t="s">
        <v>47</v>
      </c>
      <c r="P13" s="37" t="s">
        <v>48</v>
      </c>
      <c r="Q13" s="37" t="s">
        <v>91</v>
      </c>
      <c r="R13" s="39"/>
      <c r="S13" s="16" t="str">
        <f>"212,5"</f>
        <v>212,5</v>
      </c>
      <c r="T13" s="16" t="str">
        <f>"255,4038"</f>
        <v>255,4038</v>
      </c>
      <c r="U13" s="14" t="s">
        <v>498</v>
      </c>
    </row>
    <row r="14" spans="1:21">
      <c r="A14" s="42" t="s">
        <v>133</v>
      </c>
      <c r="B14" s="17" t="s">
        <v>150</v>
      </c>
      <c r="C14" s="17" t="s">
        <v>479</v>
      </c>
      <c r="D14" s="17" t="s">
        <v>152</v>
      </c>
      <c r="E14" s="18" t="s">
        <v>525</v>
      </c>
      <c r="F14" s="17" t="s">
        <v>488</v>
      </c>
      <c r="G14" s="40" t="s">
        <v>26</v>
      </c>
      <c r="H14" s="40" t="s">
        <v>47</v>
      </c>
      <c r="I14" s="40" t="s">
        <v>32</v>
      </c>
      <c r="J14" s="42"/>
      <c r="K14" s="40" t="s">
        <v>153</v>
      </c>
      <c r="L14" s="40" t="s">
        <v>154</v>
      </c>
      <c r="M14" s="40" t="s">
        <v>146</v>
      </c>
      <c r="N14" s="42"/>
      <c r="O14" s="40" t="s">
        <v>148</v>
      </c>
      <c r="P14" s="40" t="s">
        <v>16</v>
      </c>
      <c r="Q14" s="40" t="s">
        <v>17</v>
      </c>
      <c r="R14" s="42"/>
      <c r="S14" s="19" t="str">
        <f>"285,0"</f>
        <v>285,0</v>
      </c>
      <c r="T14" s="19" t="str">
        <f>"347,0160"</f>
        <v>347,0160</v>
      </c>
      <c r="U14" s="17" t="s">
        <v>497</v>
      </c>
    </row>
    <row r="16" spans="1:21" ht="16">
      <c r="A16" s="69" t="s">
        <v>11</v>
      </c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21">
      <c r="A17" s="36" t="s">
        <v>133</v>
      </c>
      <c r="B17" s="11" t="s">
        <v>158</v>
      </c>
      <c r="C17" s="11" t="s">
        <v>159</v>
      </c>
      <c r="D17" s="11" t="s">
        <v>160</v>
      </c>
      <c r="E17" s="12" t="s">
        <v>526</v>
      </c>
      <c r="F17" s="11" t="s">
        <v>161</v>
      </c>
      <c r="G17" s="34" t="s">
        <v>16</v>
      </c>
      <c r="H17" s="34" t="s">
        <v>17</v>
      </c>
      <c r="I17" s="34" t="s">
        <v>162</v>
      </c>
      <c r="J17" s="36"/>
      <c r="K17" s="34" t="s">
        <v>154</v>
      </c>
      <c r="L17" s="35" t="s">
        <v>146</v>
      </c>
      <c r="M17" s="34" t="s">
        <v>146</v>
      </c>
      <c r="N17" s="36"/>
      <c r="O17" s="34" t="s">
        <v>163</v>
      </c>
      <c r="P17" s="34" t="s">
        <v>164</v>
      </c>
      <c r="Q17" s="34" t="s">
        <v>21</v>
      </c>
      <c r="R17" s="36"/>
      <c r="S17" s="13" t="str">
        <f>"345,0"</f>
        <v>345,0</v>
      </c>
      <c r="T17" s="13" t="str">
        <f>"391,2300"</f>
        <v>391,2300</v>
      </c>
      <c r="U17" s="11"/>
    </row>
    <row r="18" spans="1:21">
      <c r="A18" s="39" t="s">
        <v>134</v>
      </c>
      <c r="B18" s="14" t="s">
        <v>165</v>
      </c>
      <c r="C18" s="14" t="s">
        <v>166</v>
      </c>
      <c r="D18" s="14" t="s">
        <v>167</v>
      </c>
      <c r="E18" s="15" t="s">
        <v>526</v>
      </c>
      <c r="F18" s="14" t="s">
        <v>488</v>
      </c>
      <c r="G18" s="37" t="s">
        <v>47</v>
      </c>
      <c r="H18" s="37" t="s">
        <v>48</v>
      </c>
      <c r="I18" s="37" t="s">
        <v>168</v>
      </c>
      <c r="J18" s="39"/>
      <c r="K18" s="37" t="s">
        <v>169</v>
      </c>
      <c r="L18" s="37" t="s">
        <v>170</v>
      </c>
      <c r="M18" s="38" t="s">
        <v>171</v>
      </c>
      <c r="N18" s="39"/>
      <c r="O18" s="37" t="s">
        <v>91</v>
      </c>
      <c r="P18" s="37" t="s">
        <v>92</v>
      </c>
      <c r="Q18" s="37" t="s">
        <v>172</v>
      </c>
      <c r="R18" s="39"/>
      <c r="S18" s="16" t="str">
        <f>"257,5"</f>
        <v>257,5</v>
      </c>
      <c r="T18" s="16" t="str">
        <f>"296,7688"</f>
        <v>296,7688</v>
      </c>
      <c r="U18" s="14"/>
    </row>
    <row r="19" spans="1:21">
      <c r="A19" s="42" t="s">
        <v>135</v>
      </c>
      <c r="B19" s="17" t="s">
        <v>173</v>
      </c>
      <c r="C19" s="17" t="s">
        <v>174</v>
      </c>
      <c r="D19" s="17" t="s">
        <v>175</v>
      </c>
      <c r="E19" s="18" t="s">
        <v>526</v>
      </c>
      <c r="F19" s="17" t="s">
        <v>488</v>
      </c>
      <c r="G19" s="41" t="s">
        <v>176</v>
      </c>
      <c r="H19" s="40" t="s">
        <v>176</v>
      </c>
      <c r="I19" s="40" t="s">
        <v>139</v>
      </c>
      <c r="J19" s="42"/>
      <c r="K19" s="40" t="s">
        <v>177</v>
      </c>
      <c r="L19" s="41" t="s">
        <v>28</v>
      </c>
      <c r="M19" s="41" t="s">
        <v>28</v>
      </c>
      <c r="N19" s="42"/>
      <c r="O19" s="40" t="s">
        <v>48</v>
      </c>
      <c r="P19" s="40" t="s">
        <v>91</v>
      </c>
      <c r="Q19" s="41" t="s">
        <v>92</v>
      </c>
      <c r="R19" s="42"/>
      <c r="S19" s="19" t="str">
        <f>"205,0"</f>
        <v>205,0</v>
      </c>
      <c r="T19" s="19" t="str">
        <f>"231,5475"</f>
        <v>231,5475</v>
      </c>
      <c r="U19" s="17"/>
    </row>
    <row r="21" spans="1:21" ht="16">
      <c r="A21" s="69" t="s">
        <v>33</v>
      </c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21">
      <c r="A22" s="36" t="s">
        <v>133</v>
      </c>
      <c r="B22" s="11" t="s">
        <v>178</v>
      </c>
      <c r="C22" s="11" t="s">
        <v>179</v>
      </c>
      <c r="D22" s="11" t="s">
        <v>180</v>
      </c>
      <c r="E22" s="12" t="s">
        <v>526</v>
      </c>
      <c r="F22" s="11" t="s">
        <v>488</v>
      </c>
      <c r="G22" s="34" t="s">
        <v>48</v>
      </c>
      <c r="H22" s="34" t="s">
        <v>91</v>
      </c>
      <c r="I22" s="35" t="s">
        <v>92</v>
      </c>
      <c r="J22" s="36"/>
      <c r="K22" s="34" t="s">
        <v>181</v>
      </c>
      <c r="L22" s="34" t="s">
        <v>153</v>
      </c>
      <c r="M22" s="35" t="s">
        <v>154</v>
      </c>
      <c r="N22" s="36"/>
      <c r="O22" s="34" t="s">
        <v>182</v>
      </c>
      <c r="P22" s="34" t="s">
        <v>15</v>
      </c>
      <c r="Q22" s="34" t="s">
        <v>183</v>
      </c>
      <c r="R22" s="36"/>
      <c r="S22" s="13" t="str">
        <f>"280,0"</f>
        <v>280,0</v>
      </c>
      <c r="T22" s="13" t="str">
        <f>"294,0840"</f>
        <v>294,0840</v>
      </c>
      <c r="U22" s="11" t="s">
        <v>499</v>
      </c>
    </row>
    <row r="23" spans="1:21">
      <c r="A23" s="39" t="s">
        <v>134</v>
      </c>
      <c r="B23" s="14" t="s">
        <v>184</v>
      </c>
      <c r="C23" s="14" t="s">
        <v>185</v>
      </c>
      <c r="D23" s="14" t="s">
        <v>180</v>
      </c>
      <c r="E23" s="15" t="s">
        <v>526</v>
      </c>
      <c r="F23" s="14" t="s">
        <v>186</v>
      </c>
      <c r="G23" s="37" t="s">
        <v>170</v>
      </c>
      <c r="H23" s="37" t="s">
        <v>181</v>
      </c>
      <c r="I23" s="37" t="s">
        <v>154</v>
      </c>
      <c r="J23" s="39"/>
      <c r="K23" s="37" t="s">
        <v>140</v>
      </c>
      <c r="L23" s="38" t="s">
        <v>170</v>
      </c>
      <c r="M23" s="37" t="s">
        <v>170</v>
      </c>
      <c r="N23" s="39"/>
      <c r="O23" s="37" t="s">
        <v>48</v>
      </c>
      <c r="P23" s="37" t="s">
        <v>92</v>
      </c>
      <c r="Q23" s="38" t="s">
        <v>141</v>
      </c>
      <c r="R23" s="39"/>
      <c r="S23" s="16" t="str">
        <f>"215,0"</f>
        <v>215,0</v>
      </c>
      <c r="T23" s="16" t="str">
        <f>"225,8145"</f>
        <v>225,8145</v>
      </c>
      <c r="U23" s="14"/>
    </row>
    <row r="24" spans="1:21">
      <c r="A24" s="42" t="s">
        <v>133</v>
      </c>
      <c r="B24" s="17" t="s">
        <v>184</v>
      </c>
      <c r="C24" s="17" t="s">
        <v>480</v>
      </c>
      <c r="D24" s="17" t="s">
        <v>180</v>
      </c>
      <c r="E24" s="18" t="s">
        <v>527</v>
      </c>
      <c r="F24" s="17" t="s">
        <v>186</v>
      </c>
      <c r="G24" s="40" t="s">
        <v>170</v>
      </c>
      <c r="H24" s="40" t="s">
        <v>181</v>
      </c>
      <c r="I24" s="40" t="s">
        <v>154</v>
      </c>
      <c r="J24" s="42"/>
      <c r="K24" s="40" t="s">
        <v>140</v>
      </c>
      <c r="L24" s="41" t="s">
        <v>170</v>
      </c>
      <c r="M24" s="40" t="s">
        <v>170</v>
      </c>
      <c r="N24" s="42"/>
      <c r="O24" s="40" t="s">
        <v>48</v>
      </c>
      <c r="P24" s="40" t="s">
        <v>92</v>
      </c>
      <c r="Q24" s="41" t="s">
        <v>141</v>
      </c>
      <c r="R24" s="42"/>
      <c r="S24" s="19" t="str">
        <f>"215,0"</f>
        <v>215,0</v>
      </c>
      <c r="T24" s="19" t="str">
        <f>"298,5268"</f>
        <v>298,5268</v>
      </c>
      <c r="U24" s="17"/>
    </row>
    <row r="26" spans="1:21" ht="16">
      <c r="A26" s="69" t="s">
        <v>187</v>
      </c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21">
      <c r="A27" s="32" t="s">
        <v>133</v>
      </c>
      <c r="B27" s="8" t="s">
        <v>188</v>
      </c>
      <c r="C27" s="8" t="s">
        <v>189</v>
      </c>
      <c r="D27" s="8" t="s">
        <v>190</v>
      </c>
      <c r="E27" s="9" t="s">
        <v>526</v>
      </c>
      <c r="F27" s="8" t="s">
        <v>488</v>
      </c>
      <c r="G27" s="33" t="s">
        <v>20</v>
      </c>
      <c r="H27" s="33" t="s">
        <v>83</v>
      </c>
      <c r="I27" s="31" t="s">
        <v>164</v>
      </c>
      <c r="J27" s="32"/>
      <c r="K27" s="31" t="s">
        <v>18</v>
      </c>
      <c r="L27" s="31" t="s">
        <v>30</v>
      </c>
      <c r="M27" s="33" t="s">
        <v>26</v>
      </c>
      <c r="N27" s="32"/>
      <c r="O27" s="31" t="s">
        <v>83</v>
      </c>
      <c r="P27" s="31" t="s">
        <v>21</v>
      </c>
      <c r="Q27" s="33" t="s">
        <v>67</v>
      </c>
      <c r="R27" s="32"/>
      <c r="S27" s="10" t="str">
        <f>"375,0"</f>
        <v>375,0</v>
      </c>
      <c r="T27" s="10" t="str">
        <f>"298,0125"</f>
        <v>298,0125</v>
      </c>
      <c r="U27" s="8"/>
    </row>
    <row r="29" spans="1:21" ht="16">
      <c r="A29" s="69" t="s">
        <v>11</v>
      </c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21">
      <c r="A30" s="32" t="s">
        <v>133</v>
      </c>
      <c r="B30" s="8" t="s">
        <v>191</v>
      </c>
      <c r="C30" s="8" t="s">
        <v>192</v>
      </c>
      <c r="D30" s="8" t="s">
        <v>193</v>
      </c>
      <c r="E30" s="9" t="s">
        <v>528</v>
      </c>
      <c r="F30" s="8" t="s">
        <v>194</v>
      </c>
      <c r="G30" s="31" t="s">
        <v>17</v>
      </c>
      <c r="H30" s="31" t="s">
        <v>163</v>
      </c>
      <c r="I30" s="31" t="s">
        <v>83</v>
      </c>
      <c r="J30" s="32"/>
      <c r="K30" s="31" t="s">
        <v>30</v>
      </c>
      <c r="L30" s="31" t="s">
        <v>26</v>
      </c>
      <c r="M30" s="31" t="s">
        <v>31</v>
      </c>
      <c r="N30" s="32"/>
      <c r="O30" s="31" t="s">
        <v>162</v>
      </c>
      <c r="P30" s="31" t="s">
        <v>164</v>
      </c>
      <c r="Q30" s="31" t="s">
        <v>21</v>
      </c>
      <c r="R30" s="32"/>
      <c r="S30" s="10" t="str">
        <f>"377,5"</f>
        <v>377,5</v>
      </c>
      <c r="T30" s="10" t="str">
        <f>"330,6522"</f>
        <v>330,6522</v>
      </c>
      <c r="U30" s="8"/>
    </row>
    <row r="32" spans="1:21" ht="16">
      <c r="A32" s="69" t="s">
        <v>33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21">
      <c r="A33" s="32" t="s">
        <v>133</v>
      </c>
      <c r="B33" s="8" t="s">
        <v>195</v>
      </c>
      <c r="C33" s="8" t="s">
        <v>196</v>
      </c>
      <c r="D33" s="8" t="s">
        <v>197</v>
      </c>
      <c r="E33" s="9" t="s">
        <v>528</v>
      </c>
      <c r="F33" s="8" t="s">
        <v>488</v>
      </c>
      <c r="G33" s="31" t="s">
        <v>108</v>
      </c>
      <c r="H33" s="31" t="s">
        <v>67</v>
      </c>
      <c r="I33" s="33" t="s">
        <v>74</v>
      </c>
      <c r="J33" s="32"/>
      <c r="K33" s="31" t="s">
        <v>48</v>
      </c>
      <c r="L33" s="31" t="s">
        <v>91</v>
      </c>
      <c r="M33" s="31" t="s">
        <v>45</v>
      </c>
      <c r="N33" s="32"/>
      <c r="O33" s="31" t="s">
        <v>113</v>
      </c>
      <c r="P33" s="31" t="s">
        <v>54</v>
      </c>
      <c r="Q33" s="33" t="s">
        <v>66</v>
      </c>
      <c r="R33" s="32"/>
      <c r="S33" s="10" t="str">
        <f>"482,5"</f>
        <v>482,5</v>
      </c>
      <c r="T33" s="10" t="str">
        <f>"375,1437"</f>
        <v>375,1437</v>
      </c>
      <c r="U33" s="8"/>
    </row>
    <row r="35" spans="1:21" ht="16">
      <c r="A35" s="69" t="s">
        <v>22</v>
      </c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21">
      <c r="A36" s="36" t="s">
        <v>133</v>
      </c>
      <c r="B36" s="11" t="s">
        <v>198</v>
      </c>
      <c r="C36" s="11" t="s">
        <v>199</v>
      </c>
      <c r="D36" s="11" t="s">
        <v>44</v>
      </c>
      <c r="E36" s="12" t="s">
        <v>528</v>
      </c>
      <c r="F36" s="11" t="s">
        <v>495</v>
      </c>
      <c r="G36" s="35" t="s">
        <v>17</v>
      </c>
      <c r="H36" s="35" t="s">
        <v>17</v>
      </c>
      <c r="I36" s="34" t="s">
        <v>17</v>
      </c>
      <c r="J36" s="36"/>
      <c r="K36" s="34" t="s">
        <v>47</v>
      </c>
      <c r="L36" s="35" t="s">
        <v>48</v>
      </c>
      <c r="M36" s="35" t="s">
        <v>48</v>
      </c>
      <c r="N36" s="36"/>
      <c r="O36" s="34" t="s">
        <v>200</v>
      </c>
      <c r="P36" s="35" t="s">
        <v>201</v>
      </c>
      <c r="Q36" s="35" t="s">
        <v>201</v>
      </c>
      <c r="R36" s="36"/>
      <c r="S36" s="13" t="str">
        <f>"372,5"</f>
        <v>372,5</v>
      </c>
      <c r="T36" s="13" t="str">
        <f>"273,3032"</f>
        <v>273,3032</v>
      </c>
      <c r="U36" s="11"/>
    </row>
    <row r="37" spans="1:21">
      <c r="A37" s="39" t="s">
        <v>133</v>
      </c>
      <c r="B37" s="14" t="s">
        <v>202</v>
      </c>
      <c r="C37" s="14" t="s">
        <v>203</v>
      </c>
      <c r="D37" s="14" t="s">
        <v>24</v>
      </c>
      <c r="E37" s="15" t="s">
        <v>526</v>
      </c>
      <c r="F37" s="14" t="s">
        <v>488</v>
      </c>
      <c r="G37" s="38" t="s">
        <v>67</v>
      </c>
      <c r="H37" s="37" t="s">
        <v>56</v>
      </c>
      <c r="I37" s="37" t="s">
        <v>57</v>
      </c>
      <c r="J37" s="39"/>
      <c r="K37" s="37" t="s">
        <v>172</v>
      </c>
      <c r="L37" s="37" t="s">
        <v>141</v>
      </c>
      <c r="M37" s="38" t="s">
        <v>148</v>
      </c>
      <c r="N37" s="39"/>
      <c r="O37" s="37" t="s">
        <v>113</v>
      </c>
      <c r="P37" s="37" t="s">
        <v>54</v>
      </c>
      <c r="Q37" s="37" t="s">
        <v>55</v>
      </c>
      <c r="R37" s="39"/>
      <c r="S37" s="16" t="str">
        <f>"515,0"</f>
        <v>515,0</v>
      </c>
      <c r="T37" s="16" t="str">
        <f>"371,8815"</f>
        <v>371,8815</v>
      </c>
      <c r="U37" s="14"/>
    </row>
    <row r="38" spans="1:21">
      <c r="A38" s="39" t="s">
        <v>134</v>
      </c>
      <c r="B38" s="14" t="s">
        <v>204</v>
      </c>
      <c r="C38" s="14" t="s">
        <v>205</v>
      </c>
      <c r="D38" s="14" t="s">
        <v>206</v>
      </c>
      <c r="E38" s="15" t="s">
        <v>526</v>
      </c>
      <c r="F38" s="14" t="s">
        <v>488</v>
      </c>
      <c r="G38" s="37" t="s">
        <v>67</v>
      </c>
      <c r="H38" s="37" t="s">
        <v>57</v>
      </c>
      <c r="I38" s="37" t="s">
        <v>82</v>
      </c>
      <c r="J38" s="39"/>
      <c r="K38" s="37" t="s">
        <v>172</v>
      </c>
      <c r="L38" s="37" t="s">
        <v>141</v>
      </c>
      <c r="M38" s="37" t="s">
        <v>148</v>
      </c>
      <c r="N38" s="39"/>
      <c r="O38" s="37" t="s">
        <v>90</v>
      </c>
      <c r="P38" s="37" t="s">
        <v>41</v>
      </c>
      <c r="Q38" s="38" t="s">
        <v>54</v>
      </c>
      <c r="R38" s="39"/>
      <c r="S38" s="16" t="str">
        <f>"512,5"</f>
        <v>512,5</v>
      </c>
      <c r="T38" s="16" t="str">
        <f>"375,6625"</f>
        <v>375,6625</v>
      </c>
      <c r="U38" s="14" t="s">
        <v>500</v>
      </c>
    </row>
    <row r="39" spans="1:21">
      <c r="A39" s="42" t="s">
        <v>135</v>
      </c>
      <c r="B39" s="17" t="s">
        <v>207</v>
      </c>
      <c r="C39" s="17" t="s">
        <v>208</v>
      </c>
      <c r="D39" s="17" t="s">
        <v>209</v>
      </c>
      <c r="E39" s="18" t="s">
        <v>526</v>
      </c>
      <c r="F39" s="17" t="s">
        <v>488</v>
      </c>
      <c r="G39" s="40" t="s">
        <v>17</v>
      </c>
      <c r="H39" s="40" t="s">
        <v>83</v>
      </c>
      <c r="I39" s="41" t="s">
        <v>210</v>
      </c>
      <c r="J39" s="42"/>
      <c r="K39" s="40" t="s">
        <v>19</v>
      </c>
      <c r="L39" s="40" t="s">
        <v>26</v>
      </c>
      <c r="M39" s="40" t="s">
        <v>31</v>
      </c>
      <c r="N39" s="42"/>
      <c r="O39" s="40" t="s">
        <v>57</v>
      </c>
      <c r="P39" s="40" t="s">
        <v>38</v>
      </c>
      <c r="Q39" s="40" t="s">
        <v>85</v>
      </c>
      <c r="R39" s="42"/>
      <c r="S39" s="19" t="str">
        <f>"417,5"</f>
        <v>417,5</v>
      </c>
      <c r="T39" s="19" t="str">
        <f>"302,0613"</f>
        <v>302,0613</v>
      </c>
      <c r="U39" s="17"/>
    </row>
    <row r="41" spans="1:21" ht="16">
      <c r="A41" s="69" t="s">
        <v>50</v>
      </c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21">
      <c r="A42" s="32" t="s">
        <v>133</v>
      </c>
      <c r="B42" s="8" t="s">
        <v>211</v>
      </c>
      <c r="C42" s="8" t="s">
        <v>481</v>
      </c>
      <c r="D42" s="8" t="s">
        <v>53</v>
      </c>
      <c r="E42" s="9" t="s">
        <v>529</v>
      </c>
      <c r="F42" s="8" t="s">
        <v>194</v>
      </c>
      <c r="G42" s="31" t="s">
        <v>57</v>
      </c>
      <c r="H42" s="31" t="s">
        <v>85</v>
      </c>
      <c r="I42" s="33" t="s">
        <v>40</v>
      </c>
      <c r="J42" s="32"/>
      <c r="K42" s="31" t="s">
        <v>16</v>
      </c>
      <c r="L42" s="31" t="s">
        <v>20</v>
      </c>
      <c r="M42" s="33" t="s">
        <v>83</v>
      </c>
      <c r="N42" s="32"/>
      <c r="O42" s="31" t="s">
        <v>85</v>
      </c>
      <c r="P42" s="31" t="s">
        <v>113</v>
      </c>
      <c r="Q42" s="31" t="s">
        <v>41</v>
      </c>
      <c r="R42" s="32"/>
      <c r="S42" s="10" t="str">
        <f>"540,0"</f>
        <v>540,0</v>
      </c>
      <c r="T42" s="10" t="str">
        <f>"406,8952"</f>
        <v>406,8952</v>
      </c>
      <c r="U42" s="8"/>
    </row>
    <row r="44" spans="1:21" ht="16">
      <c r="A44" s="69" t="s">
        <v>61</v>
      </c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21">
      <c r="A45" s="36" t="s">
        <v>133</v>
      </c>
      <c r="B45" s="11" t="s">
        <v>212</v>
      </c>
      <c r="C45" s="11" t="s">
        <v>482</v>
      </c>
      <c r="D45" s="11" t="s">
        <v>213</v>
      </c>
      <c r="E45" s="12" t="s">
        <v>524</v>
      </c>
      <c r="F45" s="11" t="s">
        <v>488</v>
      </c>
      <c r="G45" s="34" t="s">
        <v>38</v>
      </c>
      <c r="H45" s="35" t="s">
        <v>214</v>
      </c>
      <c r="I45" s="34" t="s">
        <v>85</v>
      </c>
      <c r="J45" s="36"/>
      <c r="K45" s="34" t="s">
        <v>16</v>
      </c>
      <c r="L45" s="34" t="s">
        <v>17</v>
      </c>
      <c r="M45" s="35" t="s">
        <v>162</v>
      </c>
      <c r="N45" s="36"/>
      <c r="O45" s="34" t="s">
        <v>39</v>
      </c>
      <c r="P45" s="34" t="s">
        <v>90</v>
      </c>
      <c r="Q45" s="34" t="s">
        <v>73</v>
      </c>
      <c r="R45" s="36"/>
      <c r="S45" s="13" t="str">
        <f>"532,5"</f>
        <v>532,5</v>
      </c>
      <c r="T45" s="13" t="str">
        <f>"343,9418"</f>
        <v>343,9418</v>
      </c>
      <c r="U45" s="11"/>
    </row>
    <row r="46" spans="1:21">
      <c r="A46" s="39" t="s">
        <v>134</v>
      </c>
      <c r="B46" s="14" t="s">
        <v>215</v>
      </c>
      <c r="C46" s="14" t="s">
        <v>483</v>
      </c>
      <c r="D46" s="14" t="s">
        <v>216</v>
      </c>
      <c r="E46" s="15" t="s">
        <v>524</v>
      </c>
      <c r="F46" s="14" t="s">
        <v>488</v>
      </c>
      <c r="G46" s="37" t="s">
        <v>17</v>
      </c>
      <c r="H46" s="37" t="s">
        <v>83</v>
      </c>
      <c r="I46" s="37" t="s">
        <v>210</v>
      </c>
      <c r="J46" s="39"/>
      <c r="K46" s="37" t="s">
        <v>172</v>
      </c>
      <c r="L46" s="37" t="s">
        <v>141</v>
      </c>
      <c r="M46" s="37" t="s">
        <v>148</v>
      </c>
      <c r="N46" s="39"/>
      <c r="O46" s="37" t="s">
        <v>21</v>
      </c>
      <c r="P46" s="37" t="s">
        <v>67</v>
      </c>
      <c r="Q46" s="37" t="s">
        <v>74</v>
      </c>
      <c r="R46" s="39"/>
      <c r="S46" s="16" t="str">
        <f>"435,0"</f>
        <v>435,0</v>
      </c>
      <c r="T46" s="16" t="str">
        <f>"284,1420"</f>
        <v>284,1420</v>
      </c>
      <c r="U46" s="14"/>
    </row>
    <row r="47" spans="1:21">
      <c r="A47" s="39" t="s">
        <v>133</v>
      </c>
      <c r="B47" s="14" t="s">
        <v>212</v>
      </c>
      <c r="C47" s="14" t="s">
        <v>217</v>
      </c>
      <c r="D47" s="14" t="s">
        <v>213</v>
      </c>
      <c r="E47" s="15" t="s">
        <v>526</v>
      </c>
      <c r="F47" s="14" t="s">
        <v>488</v>
      </c>
      <c r="G47" s="37" t="s">
        <v>38</v>
      </c>
      <c r="H47" s="38" t="s">
        <v>214</v>
      </c>
      <c r="I47" s="37" t="s">
        <v>85</v>
      </c>
      <c r="J47" s="39"/>
      <c r="K47" s="37" t="s">
        <v>16</v>
      </c>
      <c r="L47" s="37" t="s">
        <v>17</v>
      </c>
      <c r="M47" s="38" t="s">
        <v>162</v>
      </c>
      <c r="N47" s="39"/>
      <c r="O47" s="37" t="s">
        <v>39</v>
      </c>
      <c r="P47" s="37" t="s">
        <v>90</v>
      </c>
      <c r="Q47" s="37" t="s">
        <v>73</v>
      </c>
      <c r="R47" s="39"/>
      <c r="S47" s="16" t="str">
        <f>"532,5"</f>
        <v>532,5</v>
      </c>
      <c r="T47" s="16" t="str">
        <f>"343,9418"</f>
        <v>343,9418</v>
      </c>
      <c r="U47" s="14"/>
    </row>
    <row r="48" spans="1:21">
      <c r="A48" s="42" t="s">
        <v>133</v>
      </c>
      <c r="B48" s="17" t="s">
        <v>218</v>
      </c>
      <c r="C48" s="17" t="s">
        <v>447</v>
      </c>
      <c r="D48" s="17" t="s">
        <v>219</v>
      </c>
      <c r="E48" s="18" t="s">
        <v>525</v>
      </c>
      <c r="F48" s="17" t="s">
        <v>488</v>
      </c>
      <c r="G48" s="40" t="s">
        <v>40</v>
      </c>
      <c r="H48" s="40" t="s">
        <v>220</v>
      </c>
      <c r="I48" s="40" t="s">
        <v>73</v>
      </c>
      <c r="J48" s="42"/>
      <c r="K48" s="40" t="s">
        <v>108</v>
      </c>
      <c r="L48" s="40" t="s">
        <v>67</v>
      </c>
      <c r="M48" s="40" t="s">
        <v>56</v>
      </c>
      <c r="N48" s="42"/>
      <c r="O48" s="40" t="s">
        <v>59</v>
      </c>
      <c r="P48" s="40" t="s">
        <v>221</v>
      </c>
      <c r="Q48" s="40" t="s">
        <v>68</v>
      </c>
      <c r="R48" s="42"/>
      <c r="S48" s="19" t="str">
        <f>"647,5"</f>
        <v>647,5</v>
      </c>
      <c r="T48" s="19" t="str">
        <f>"421,5804"</f>
        <v>421,5804</v>
      </c>
      <c r="U48" s="17" t="s">
        <v>501</v>
      </c>
    </row>
    <row r="50" spans="1:21" ht="16">
      <c r="A50" s="69" t="s">
        <v>87</v>
      </c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1:21">
      <c r="A51" s="36" t="s">
        <v>133</v>
      </c>
      <c r="B51" s="11" t="s">
        <v>222</v>
      </c>
      <c r="C51" s="11" t="s">
        <v>223</v>
      </c>
      <c r="D51" s="11" t="s">
        <v>224</v>
      </c>
      <c r="E51" s="12" t="s">
        <v>526</v>
      </c>
      <c r="F51" s="11" t="s">
        <v>161</v>
      </c>
      <c r="G51" s="34" t="s">
        <v>59</v>
      </c>
      <c r="H51" s="34" t="s">
        <v>60</v>
      </c>
      <c r="I51" s="34" t="s">
        <v>68</v>
      </c>
      <c r="J51" s="36"/>
      <c r="K51" s="34" t="s">
        <v>210</v>
      </c>
      <c r="L51" s="34" t="s">
        <v>200</v>
      </c>
      <c r="M51" s="34" t="s">
        <v>225</v>
      </c>
      <c r="N51" s="36"/>
      <c r="O51" s="34" t="s">
        <v>101</v>
      </c>
      <c r="P51" s="34" t="s">
        <v>226</v>
      </c>
      <c r="Q51" s="36"/>
      <c r="R51" s="36"/>
      <c r="S51" s="13" t="str">
        <f>"752,5"</f>
        <v>752,5</v>
      </c>
      <c r="T51" s="13" t="str">
        <f>"460,2290"</f>
        <v>460,2290</v>
      </c>
      <c r="U51" s="11"/>
    </row>
    <row r="52" spans="1:21">
      <c r="A52" s="42" t="s">
        <v>133</v>
      </c>
      <c r="B52" s="17" t="s">
        <v>227</v>
      </c>
      <c r="C52" s="17" t="s">
        <v>448</v>
      </c>
      <c r="D52" s="17" t="s">
        <v>228</v>
      </c>
      <c r="E52" s="18" t="s">
        <v>525</v>
      </c>
      <c r="F52" s="17" t="s">
        <v>488</v>
      </c>
      <c r="G52" s="40" t="s">
        <v>76</v>
      </c>
      <c r="H52" s="41" t="s">
        <v>59</v>
      </c>
      <c r="I52" s="41" t="s">
        <v>59</v>
      </c>
      <c r="J52" s="42"/>
      <c r="K52" s="40" t="s">
        <v>91</v>
      </c>
      <c r="L52" s="40" t="s">
        <v>172</v>
      </c>
      <c r="M52" s="42"/>
      <c r="N52" s="42"/>
      <c r="O52" s="40" t="s">
        <v>93</v>
      </c>
      <c r="P52" s="40" t="s">
        <v>229</v>
      </c>
      <c r="Q52" s="41" t="s">
        <v>230</v>
      </c>
      <c r="R52" s="42"/>
      <c r="S52" s="19" t="str">
        <f>"592,5"</f>
        <v>592,5</v>
      </c>
      <c r="T52" s="19" t="str">
        <f>"376,8947"</f>
        <v>376,8947</v>
      </c>
      <c r="U52" s="17"/>
    </row>
    <row r="54" spans="1:21" ht="16">
      <c r="A54" s="69" t="s">
        <v>109</v>
      </c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1:21">
      <c r="A55" s="32" t="s">
        <v>133</v>
      </c>
      <c r="B55" s="8" t="s">
        <v>231</v>
      </c>
      <c r="C55" s="8" t="s">
        <v>232</v>
      </c>
      <c r="D55" s="8" t="s">
        <v>116</v>
      </c>
      <c r="E55" s="9" t="s">
        <v>526</v>
      </c>
      <c r="F55" s="8" t="s">
        <v>494</v>
      </c>
      <c r="G55" s="31" t="s">
        <v>39</v>
      </c>
      <c r="H55" s="31" t="s">
        <v>113</v>
      </c>
      <c r="I55" s="31" t="s">
        <v>54</v>
      </c>
      <c r="J55" s="32"/>
      <c r="K55" s="31" t="s">
        <v>164</v>
      </c>
      <c r="L55" s="31" t="s">
        <v>200</v>
      </c>
      <c r="M55" s="33" t="s">
        <v>108</v>
      </c>
      <c r="N55" s="32"/>
      <c r="O55" s="31" t="s">
        <v>105</v>
      </c>
      <c r="P55" s="31" t="s">
        <v>77</v>
      </c>
      <c r="Q55" s="33" t="s">
        <v>107</v>
      </c>
      <c r="R55" s="32"/>
      <c r="S55" s="10" t="str">
        <f>"627,5"</f>
        <v>627,5</v>
      </c>
      <c r="T55" s="10" t="str">
        <f>"359,3065"</f>
        <v>359,3065</v>
      </c>
      <c r="U55" s="8"/>
    </row>
    <row r="59" spans="1:21" ht="18">
      <c r="B59" s="22" t="s">
        <v>117</v>
      </c>
      <c r="C59" s="22"/>
    </row>
    <row r="60" spans="1:21" ht="16">
      <c r="B60" s="23" t="s">
        <v>118</v>
      </c>
      <c r="C60" s="23"/>
    </row>
    <row r="61" spans="1:21" ht="14">
      <c r="B61" s="24"/>
      <c r="C61" s="25" t="s">
        <v>124</v>
      </c>
    </row>
    <row r="62" spans="1:21" ht="14">
      <c r="B62" s="26" t="s">
        <v>119</v>
      </c>
      <c r="C62" s="26" t="s">
        <v>120</v>
      </c>
      <c r="D62" s="26" t="s">
        <v>489</v>
      </c>
      <c r="E62" s="27" t="s">
        <v>121</v>
      </c>
      <c r="F62" s="26" t="s">
        <v>122</v>
      </c>
    </row>
    <row r="63" spans="1:21">
      <c r="B63" s="6" t="s">
        <v>158</v>
      </c>
      <c r="C63" s="6" t="s">
        <v>124</v>
      </c>
      <c r="D63" s="29" t="s">
        <v>125</v>
      </c>
      <c r="E63" s="30">
        <v>345</v>
      </c>
      <c r="F63" s="28">
        <v>391.22998058795901</v>
      </c>
    </row>
    <row r="64" spans="1:21">
      <c r="B64" s="6" t="s">
        <v>150</v>
      </c>
      <c r="C64" s="6" t="s">
        <v>124</v>
      </c>
      <c r="D64" s="29" t="s">
        <v>233</v>
      </c>
      <c r="E64" s="30">
        <v>285</v>
      </c>
      <c r="F64" s="28">
        <v>347.01599657535598</v>
      </c>
    </row>
    <row r="65" spans="2:6">
      <c r="B65" s="6" t="s">
        <v>188</v>
      </c>
      <c r="C65" s="6" t="s">
        <v>124</v>
      </c>
      <c r="D65" s="29" t="s">
        <v>234</v>
      </c>
      <c r="E65" s="30">
        <v>375</v>
      </c>
      <c r="F65" s="28">
        <v>298.01250994205498</v>
      </c>
    </row>
  </sheetData>
  <mergeCells count="26">
    <mergeCell ref="A5:R5"/>
    <mergeCell ref="B3:B4"/>
    <mergeCell ref="A54:R54"/>
    <mergeCell ref="A8:R8"/>
    <mergeCell ref="A11:R11"/>
    <mergeCell ref="A16:R16"/>
    <mergeCell ref="A21:R21"/>
    <mergeCell ref="A26:R26"/>
    <mergeCell ref="A29:R29"/>
    <mergeCell ref="A32:R32"/>
    <mergeCell ref="A35:R35"/>
    <mergeCell ref="A41:R41"/>
    <mergeCell ref="A44:R44"/>
    <mergeCell ref="A50:R50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F21A-A48D-43D7-8455-6FE847BEA642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18.5" style="6" bestFit="1" customWidth="1"/>
    <col min="3" max="3" width="26.33203125" style="6" bestFit="1" customWidth="1"/>
    <col min="4" max="4" width="15.5" style="6" bestFit="1" customWidth="1"/>
    <col min="5" max="5" width="14" style="20" customWidth="1"/>
    <col min="6" max="6" width="20.33203125" style="6" customWidth="1"/>
    <col min="7" max="9" width="5.5" style="29" customWidth="1"/>
    <col min="10" max="10" width="4.83203125" style="29" customWidth="1"/>
    <col min="11" max="11" width="10.5" style="7" bestFit="1" customWidth="1"/>
    <col min="12" max="12" width="11" style="7" customWidth="1"/>
    <col min="13" max="13" width="22" style="6" customWidth="1"/>
    <col min="14" max="16384" width="9.1640625" style="3"/>
  </cols>
  <sheetData>
    <row r="1" spans="1:13" s="2" customFormat="1" ht="29" customHeight="1">
      <c r="A1" s="48" t="s">
        <v>434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9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33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284</v>
      </c>
      <c r="B6" s="8" t="s">
        <v>405</v>
      </c>
      <c r="C6" s="8" t="s">
        <v>406</v>
      </c>
      <c r="D6" s="8" t="s">
        <v>407</v>
      </c>
      <c r="E6" s="9" t="s">
        <v>526</v>
      </c>
      <c r="F6" s="8" t="s">
        <v>161</v>
      </c>
      <c r="G6" s="33" t="s">
        <v>73</v>
      </c>
      <c r="H6" s="32"/>
      <c r="I6" s="32"/>
      <c r="J6" s="32"/>
      <c r="K6" s="43">
        <v>0</v>
      </c>
      <c r="L6" s="10" t="str">
        <f>"0,0000"</f>
        <v>0,0000</v>
      </c>
      <c r="M6" s="8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68D8A-756A-471C-8F1A-1DF7839C5D4B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17.33203125" style="6" customWidth="1"/>
    <col min="3" max="3" width="26.33203125" style="6" bestFit="1" customWidth="1"/>
    <col min="4" max="4" width="21.5" style="6" bestFit="1" customWidth="1"/>
    <col min="5" max="5" width="10.5" style="20" bestFit="1" customWidth="1"/>
    <col min="6" max="6" width="22.1640625" style="6" customWidth="1"/>
    <col min="7" max="9" width="5.5" style="29" customWidth="1"/>
    <col min="10" max="10" width="4.83203125" style="29" customWidth="1"/>
    <col min="11" max="11" width="10.5" style="7" bestFit="1" customWidth="1"/>
    <col min="12" max="12" width="8.6640625" style="7" bestFit="1" customWidth="1"/>
    <col min="13" max="13" width="19.33203125" style="6" customWidth="1"/>
    <col min="14" max="16384" width="9.1640625" style="3"/>
  </cols>
  <sheetData>
    <row r="1" spans="1:13" s="2" customFormat="1" ht="29" customHeight="1">
      <c r="A1" s="48" t="s">
        <v>432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9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50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411</v>
      </c>
      <c r="C6" s="8" t="s">
        <v>412</v>
      </c>
      <c r="D6" s="8" t="s">
        <v>413</v>
      </c>
      <c r="E6" s="9" t="s">
        <v>526</v>
      </c>
      <c r="F6" s="8" t="s">
        <v>488</v>
      </c>
      <c r="G6" s="31" t="s">
        <v>90</v>
      </c>
      <c r="H6" s="33" t="s">
        <v>113</v>
      </c>
      <c r="I6" s="33" t="s">
        <v>113</v>
      </c>
      <c r="J6" s="32"/>
      <c r="K6" s="10" t="str">
        <f>"205,0"</f>
        <v>205,0</v>
      </c>
      <c r="L6" s="10" t="str">
        <f>"133,8445"</f>
        <v>133,8445</v>
      </c>
      <c r="M6" s="8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3386-1004-44B3-AFC4-38819DEEC576}">
  <dimension ref="A1:M43"/>
  <sheetViews>
    <sheetView workbookViewId="0">
      <selection activeCell="E34" sqref="E34"/>
    </sheetView>
  </sheetViews>
  <sheetFormatPr baseColWidth="10" defaultColWidth="9.1640625" defaultRowHeight="13"/>
  <cols>
    <col min="1" max="1" width="7.5" style="6" bestFit="1" customWidth="1"/>
    <col min="2" max="2" width="20" style="6" bestFit="1" customWidth="1"/>
    <col min="3" max="3" width="29" style="6" bestFit="1" customWidth="1"/>
    <col min="4" max="4" width="21.5" style="6" bestFit="1" customWidth="1"/>
    <col min="5" max="5" width="10.5" style="20" bestFit="1" customWidth="1"/>
    <col min="6" max="6" width="31" style="6" bestFit="1" customWidth="1"/>
    <col min="7" max="9" width="5.5" style="29" customWidth="1"/>
    <col min="10" max="10" width="4.83203125" style="29" customWidth="1"/>
    <col min="11" max="11" width="10.5" style="7" bestFit="1" customWidth="1"/>
    <col min="12" max="12" width="8.6640625" style="7" bestFit="1" customWidth="1"/>
    <col min="13" max="13" width="21.1640625" style="6" customWidth="1"/>
    <col min="14" max="16384" width="9.1640625" style="3"/>
  </cols>
  <sheetData>
    <row r="1" spans="1:13" s="2" customFormat="1" ht="29" customHeight="1">
      <c r="A1" s="48" t="s">
        <v>437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10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136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285</v>
      </c>
      <c r="C6" s="8" t="s">
        <v>286</v>
      </c>
      <c r="D6" s="8" t="s">
        <v>287</v>
      </c>
      <c r="E6" s="9" t="s">
        <v>526</v>
      </c>
      <c r="F6" s="8" t="s">
        <v>488</v>
      </c>
      <c r="G6" s="31" t="s">
        <v>139</v>
      </c>
      <c r="H6" s="31" t="s">
        <v>25</v>
      </c>
      <c r="I6" s="31" t="s">
        <v>30</v>
      </c>
      <c r="J6" s="32"/>
      <c r="K6" s="10" t="str">
        <f>"80,0"</f>
        <v>80,0</v>
      </c>
      <c r="L6" s="10" t="str">
        <f>"107,0960"</f>
        <v>107,0960</v>
      </c>
      <c r="M6" s="8"/>
    </row>
    <row r="8" spans="1:13" ht="16">
      <c r="A8" s="69" t="s">
        <v>142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32" t="s">
        <v>133</v>
      </c>
      <c r="B9" s="8" t="s">
        <v>143</v>
      </c>
      <c r="C9" s="8" t="s">
        <v>449</v>
      </c>
      <c r="D9" s="8" t="s">
        <v>144</v>
      </c>
      <c r="E9" s="9" t="s">
        <v>525</v>
      </c>
      <c r="F9" s="8" t="s">
        <v>145</v>
      </c>
      <c r="G9" s="31" t="s">
        <v>141</v>
      </c>
      <c r="H9" s="31" t="s">
        <v>15</v>
      </c>
      <c r="I9" s="31" t="s">
        <v>148</v>
      </c>
      <c r="J9" s="32"/>
      <c r="K9" s="10" t="str">
        <f>"120,0"</f>
        <v>120,0</v>
      </c>
      <c r="L9" s="10" t="str">
        <f>"151,9175"</f>
        <v>151,9175</v>
      </c>
      <c r="M9" s="8"/>
    </row>
    <row r="11" spans="1:13" ht="16">
      <c r="A11" s="69" t="s">
        <v>11</v>
      </c>
      <c r="B11" s="69"/>
      <c r="C11" s="70"/>
      <c r="D11" s="70"/>
      <c r="E11" s="70"/>
      <c r="F11" s="70"/>
      <c r="G11" s="70"/>
      <c r="H11" s="70"/>
      <c r="I11" s="70"/>
      <c r="J11" s="70"/>
    </row>
    <row r="12" spans="1:13">
      <c r="A12" s="32" t="s">
        <v>133</v>
      </c>
      <c r="B12" s="8" t="s">
        <v>173</v>
      </c>
      <c r="C12" s="8" t="s">
        <v>174</v>
      </c>
      <c r="D12" s="8" t="s">
        <v>175</v>
      </c>
      <c r="E12" s="9" t="s">
        <v>526</v>
      </c>
      <c r="F12" s="8" t="s">
        <v>488</v>
      </c>
      <c r="G12" s="31" t="s">
        <v>48</v>
      </c>
      <c r="H12" s="31" t="s">
        <v>91</v>
      </c>
      <c r="I12" s="33" t="s">
        <v>92</v>
      </c>
      <c r="J12" s="32"/>
      <c r="K12" s="10" t="str">
        <f>"100,0"</f>
        <v>100,0</v>
      </c>
      <c r="L12" s="10" t="str">
        <f>"112,9500"</f>
        <v>112,9500</v>
      </c>
      <c r="M12" s="8"/>
    </row>
    <row r="14" spans="1:13" ht="16">
      <c r="A14" s="69" t="s">
        <v>33</v>
      </c>
      <c r="B14" s="69"/>
      <c r="C14" s="70"/>
      <c r="D14" s="70"/>
      <c r="E14" s="70"/>
      <c r="F14" s="70"/>
      <c r="G14" s="70"/>
      <c r="H14" s="70"/>
      <c r="I14" s="70"/>
      <c r="J14" s="70"/>
    </row>
    <row r="15" spans="1:13">
      <c r="A15" s="36" t="s">
        <v>133</v>
      </c>
      <c r="B15" s="11" t="s">
        <v>178</v>
      </c>
      <c r="C15" s="11" t="s">
        <v>179</v>
      </c>
      <c r="D15" s="11" t="s">
        <v>180</v>
      </c>
      <c r="E15" s="12" t="s">
        <v>526</v>
      </c>
      <c r="F15" s="11" t="s">
        <v>488</v>
      </c>
      <c r="G15" s="34" t="s">
        <v>182</v>
      </c>
      <c r="H15" s="34" t="s">
        <v>15</v>
      </c>
      <c r="I15" s="34" t="s">
        <v>183</v>
      </c>
      <c r="J15" s="36"/>
      <c r="K15" s="13" t="str">
        <f>"122,5"</f>
        <v>122,5</v>
      </c>
      <c r="L15" s="13" t="str">
        <f>"128,6618"</f>
        <v>128,6618</v>
      </c>
      <c r="M15" s="11" t="s">
        <v>499</v>
      </c>
    </row>
    <row r="16" spans="1:13">
      <c r="A16" s="39" t="s">
        <v>134</v>
      </c>
      <c r="B16" s="14" t="s">
        <v>382</v>
      </c>
      <c r="C16" s="14" t="s">
        <v>383</v>
      </c>
      <c r="D16" s="14" t="s">
        <v>384</v>
      </c>
      <c r="E16" s="15" t="s">
        <v>526</v>
      </c>
      <c r="F16" s="14" t="s">
        <v>488</v>
      </c>
      <c r="G16" s="37" t="s">
        <v>182</v>
      </c>
      <c r="H16" s="37" t="s">
        <v>15</v>
      </c>
      <c r="I16" s="38" t="s">
        <v>183</v>
      </c>
      <c r="J16" s="39"/>
      <c r="K16" s="16" t="str">
        <f>"117,5"</f>
        <v>117,5</v>
      </c>
      <c r="L16" s="16" t="str">
        <f>"126,6533"</f>
        <v>126,6533</v>
      </c>
      <c r="M16" s="14" t="s">
        <v>518</v>
      </c>
    </row>
    <row r="17" spans="1:13">
      <c r="A17" s="42" t="s">
        <v>135</v>
      </c>
      <c r="B17" s="17" t="s">
        <v>184</v>
      </c>
      <c r="C17" s="17" t="s">
        <v>185</v>
      </c>
      <c r="D17" s="17" t="s">
        <v>180</v>
      </c>
      <c r="E17" s="18" t="s">
        <v>526</v>
      </c>
      <c r="F17" s="17" t="s">
        <v>186</v>
      </c>
      <c r="G17" s="40" t="s">
        <v>48</v>
      </c>
      <c r="H17" s="40" t="s">
        <v>92</v>
      </c>
      <c r="I17" s="41" t="s">
        <v>141</v>
      </c>
      <c r="J17" s="42"/>
      <c r="K17" s="19" t="str">
        <f>"105,0"</f>
        <v>105,0</v>
      </c>
      <c r="L17" s="19" t="str">
        <f>"110,2815"</f>
        <v>110,2815</v>
      </c>
      <c r="M17" s="17"/>
    </row>
    <row r="19" spans="1:13" ht="16">
      <c r="A19" s="69" t="s">
        <v>22</v>
      </c>
      <c r="B19" s="69"/>
      <c r="C19" s="70"/>
      <c r="D19" s="70"/>
      <c r="E19" s="70"/>
      <c r="F19" s="70"/>
      <c r="G19" s="70"/>
      <c r="H19" s="70"/>
      <c r="I19" s="70"/>
      <c r="J19" s="70"/>
    </row>
    <row r="20" spans="1:13">
      <c r="A20" s="36" t="s">
        <v>133</v>
      </c>
      <c r="B20" s="11" t="s">
        <v>385</v>
      </c>
      <c r="C20" s="11" t="s">
        <v>450</v>
      </c>
      <c r="D20" s="11" t="s">
        <v>206</v>
      </c>
      <c r="E20" s="12" t="s">
        <v>524</v>
      </c>
      <c r="F20" s="11" t="s">
        <v>488</v>
      </c>
      <c r="G20" s="34" t="s">
        <v>141</v>
      </c>
      <c r="H20" s="34" t="s">
        <v>16</v>
      </c>
      <c r="I20" s="35" t="s">
        <v>20</v>
      </c>
      <c r="J20" s="36"/>
      <c r="K20" s="13" t="str">
        <f>"125,0"</f>
        <v>125,0</v>
      </c>
      <c r="L20" s="13" t="str">
        <f>"121,8875"</f>
        <v>121,8875</v>
      </c>
      <c r="M20" s="11"/>
    </row>
    <row r="21" spans="1:13">
      <c r="A21" s="42" t="s">
        <v>133</v>
      </c>
      <c r="B21" s="17" t="s">
        <v>385</v>
      </c>
      <c r="C21" s="17" t="s">
        <v>386</v>
      </c>
      <c r="D21" s="17" t="s">
        <v>206</v>
      </c>
      <c r="E21" s="18" t="s">
        <v>526</v>
      </c>
      <c r="F21" s="17" t="s">
        <v>488</v>
      </c>
      <c r="G21" s="40" t="s">
        <v>141</v>
      </c>
      <c r="H21" s="40" t="s">
        <v>16</v>
      </c>
      <c r="I21" s="41" t="s">
        <v>20</v>
      </c>
      <c r="J21" s="42"/>
      <c r="K21" s="19" t="str">
        <f>"125,0"</f>
        <v>125,0</v>
      </c>
      <c r="L21" s="19" t="str">
        <f>"121,8875"</f>
        <v>121,8875</v>
      </c>
      <c r="M21" s="17"/>
    </row>
    <row r="23" spans="1:13" ht="16">
      <c r="A23" s="69" t="s">
        <v>22</v>
      </c>
      <c r="B23" s="69"/>
      <c r="C23" s="70"/>
      <c r="D23" s="70"/>
      <c r="E23" s="70"/>
      <c r="F23" s="70"/>
      <c r="G23" s="70"/>
      <c r="H23" s="70"/>
      <c r="I23" s="70"/>
      <c r="J23" s="70"/>
    </row>
    <row r="24" spans="1:13">
      <c r="A24" s="32" t="s">
        <v>133</v>
      </c>
      <c r="B24" s="8" t="s">
        <v>387</v>
      </c>
      <c r="C24" s="8" t="s">
        <v>451</v>
      </c>
      <c r="D24" s="8" t="s">
        <v>388</v>
      </c>
      <c r="E24" s="9" t="s">
        <v>525</v>
      </c>
      <c r="F24" s="8" t="s">
        <v>495</v>
      </c>
      <c r="G24" s="31" t="s">
        <v>389</v>
      </c>
      <c r="H24" s="33" t="s">
        <v>59</v>
      </c>
      <c r="I24" s="33" t="s">
        <v>59</v>
      </c>
      <c r="J24" s="32"/>
      <c r="K24" s="10" t="str">
        <f>"237,5"</f>
        <v>237,5</v>
      </c>
      <c r="L24" s="10" t="str">
        <f>"171,3538"</f>
        <v>171,3538</v>
      </c>
      <c r="M24" s="8"/>
    </row>
    <row r="26" spans="1:13" ht="16">
      <c r="A26" s="69" t="s">
        <v>50</v>
      </c>
      <c r="B26" s="69"/>
      <c r="C26" s="70"/>
      <c r="D26" s="70"/>
      <c r="E26" s="70"/>
      <c r="F26" s="70"/>
      <c r="G26" s="70"/>
      <c r="H26" s="70"/>
      <c r="I26" s="70"/>
      <c r="J26" s="70"/>
    </row>
    <row r="27" spans="1:13">
      <c r="A27" s="32" t="s">
        <v>133</v>
      </c>
      <c r="B27" s="8" t="s">
        <v>390</v>
      </c>
      <c r="C27" s="8" t="s">
        <v>391</v>
      </c>
      <c r="D27" s="8" t="s">
        <v>392</v>
      </c>
      <c r="E27" s="9" t="s">
        <v>526</v>
      </c>
      <c r="F27" s="8" t="s">
        <v>393</v>
      </c>
      <c r="G27" s="31" t="s">
        <v>38</v>
      </c>
      <c r="H27" s="31" t="s">
        <v>39</v>
      </c>
      <c r="I27" s="33" t="s">
        <v>90</v>
      </c>
      <c r="J27" s="32"/>
      <c r="K27" s="10" t="str">
        <f>"195,0"</f>
        <v>195,0</v>
      </c>
      <c r="L27" s="10" t="str">
        <f>"136,0125"</f>
        <v>136,0125</v>
      </c>
      <c r="M27" s="8"/>
    </row>
    <row r="29" spans="1:13" ht="16">
      <c r="A29" s="69" t="s">
        <v>61</v>
      </c>
      <c r="B29" s="69"/>
      <c r="C29" s="70"/>
      <c r="D29" s="70"/>
      <c r="E29" s="70"/>
      <c r="F29" s="70"/>
      <c r="G29" s="70"/>
      <c r="H29" s="70"/>
      <c r="I29" s="70"/>
      <c r="J29" s="70"/>
    </row>
    <row r="30" spans="1:13">
      <c r="A30" s="32" t="s">
        <v>133</v>
      </c>
      <c r="B30" s="8" t="s">
        <v>218</v>
      </c>
      <c r="C30" s="8" t="s">
        <v>447</v>
      </c>
      <c r="D30" s="8" t="s">
        <v>219</v>
      </c>
      <c r="E30" s="9" t="s">
        <v>525</v>
      </c>
      <c r="F30" s="8" t="s">
        <v>488</v>
      </c>
      <c r="G30" s="31" t="s">
        <v>59</v>
      </c>
      <c r="H30" s="31" t="s">
        <v>221</v>
      </c>
      <c r="I30" s="31" t="s">
        <v>68</v>
      </c>
      <c r="J30" s="32"/>
      <c r="K30" s="10" t="str">
        <f>"270,0"</f>
        <v>270,0</v>
      </c>
      <c r="L30" s="10" t="str">
        <f>"175,7941"</f>
        <v>175,7941</v>
      </c>
      <c r="M30" s="8" t="s">
        <v>501</v>
      </c>
    </row>
    <row r="32" spans="1:13" ht="16">
      <c r="A32" s="69" t="s">
        <v>87</v>
      </c>
      <c r="B32" s="69"/>
      <c r="C32" s="70"/>
      <c r="D32" s="70"/>
      <c r="E32" s="70"/>
      <c r="F32" s="70"/>
      <c r="G32" s="70"/>
      <c r="H32" s="70"/>
      <c r="I32" s="70"/>
      <c r="J32" s="70"/>
    </row>
    <row r="33" spans="1:13">
      <c r="A33" s="32" t="s">
        <v>133</v>
      </c>
      <c r="B33" s="8" t="s">
        <v>394</v>
      </c>
      <c r="C33" s="8" t="s">
        <v>452</v>
      </c>
      <c r="D33" s="8" t="s">
        <v>395</v>
      </c>
      <c r="E33" s="9" t="s">
        <v>524</v>
      </c>
      <c r="F33" s="8" t="s">
        <v>488</v>
      </c>
      <c r="G33" s="31" t="s">
        <v>54</v>
      </c>
      <c r="H33" s="33" t="s">
        <v>55</v>
      </c>
      <c r="I33" s="31" t="s">
        <v>55</v>
      </c>
      <c r="J33" s="32"/>
      <c r="K33" s="10" t="str">
        <f>"230,0"</f>
        <v>230,0</v>
      </c>
      <c r="L33" s="10" t="str">
        <f>"140,5530"</f>
        <v>140,5530</v>
      </c>
      <c r="M33" s="8" t="s">
        <v>507</v>
      </c>
    </row>
    <row r="35" spans="1:13">
      <c r="G35" s="6"/>
      <c r="K35" s="29"/>
      <c r="M35" s="7"/>
    </row>
    <row r="36" spans="1:13">
      <c r="K36" s="29"/>
      <c r="M36" s="7"/>
    </row>
    <row r="37" spans="1:13" ht="18">
      <c r="B37" s="22" t="s">
        <v>117</v>
      </c>
      <c r="C37" s="22"/>
      <c r="K37" s="29"/>
      <c r="M37" s="7"/>
    </row>
    <row r="38" spans="1:13" ht="16">
      <c r="B38" s="23" t="s">
        <v>118</v>
      </c>
      <c r="C38" s="23"/>
      <c r="K38" s="29"/>
      <c r="M38" s="7"/>
    </row>
    <row r="39" spans="1:13" ht="14">
      <c r="B39" s="24"/>
      <c r="C39" s="25" t="s">
        <v>124</v>
      </c>
      <c r="K39" s="29"/>
      <c r="M39" s="7"/>
    </row>
    <row r="40" spans="1:13" ht="14">
      <c r="B40" s="26" t="s">
        <v>119</v>
      </c>
      <c r="C40" s="26" t="s">
        <v>120</v>
      </c>
      <c r="D40" s="26" t="s">
        <v>489</v>
      </c>
      <c r="E40" s="27" t="s">
        <v>281</v>
      </c>
      <c r="F40" s="26" t="s">
        <v>122</v>
      </c>
      <c r="K40" s="29"/>
      <c r="M40" s="7"/>
    </row>
    <row r="41" spans="1:13">
      <c r="B41" s="6" t="s">
        <v>178</v>
      </c>
      <c r="C41" s="6" t="s">
        <v>124</v>
      </c>
      <c r="D41" s="29" t="s">
        <v>235</v>
      </c>
      <c r="E41" s="30">
        <v>122.5</v>
      </c>
      <c r="F41" s="28">
        <v>128.661750257015</v>
      </c>
      <c r="K41" s="29"/>
      <c r="M41" s="7"/>
    </row>
    <row r="42" spans="1:13">
      <c r="B42" s="6" t="s">
        <v>382</v>
      </c>
      <c r="C42" s="6" t="s">
        <v>124</v>
      </c>
      <c r="D42" s="29" t="s">
        <v>235</v>
      </c>
      <c r="E42" s="30">
        <v>117.5</v>
      </c>
      <c r="F42" s="28">
        <v>126.653256118298</v>
      </c>
      <c r="K42" s="29"/>
      <c r="M42" s="7"/>
    </row>
    <row r="43" spans="1:13">
      <c r="B43" s="6" t="s">
        <v>385</v>
      </c>
      <c r="C43" s="6" t="s">
        <v>124</v>
      </c>
      <c r="D43" s="29" t="s">
        <v>123</v>
      </c>
      <c r="E43" s="30">
        <v>125</v>
      </c>
      <c r="F43" s="28">
        <v>121.887497603893</v>
      </c>
      <c r="G43" s="6"/>
      <c r="K43" s="29"/>
      <c r="M43" s="7"/>
    </row>
  </sheetData>
  <mergeCells count="20">
    <mergeCell ref="A29:J29"/>
    <mergeCell ref="A32:J32"/>
    <mergeCell ref="B3:B4"/>
    <mergeCell ref="A8:J8"/>
    <mergeCell ref="A11:J11"/>
    <mergeCell ref="A14:J14"/>
    <mergeCell ref="A19:J19"/>
    <mergeCell ref="A23:J23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B884B-A59A-4C28-B0C2-0B730F12C8E3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6" bestFit="1" customWidth="1"/>
    <col min="2" max="2" width="18.1640625" style="6" bestFit="1" customWidth="1"/>
    <col min="3" max="3" width="28.5" style="6" bestFit="1" customWidth="1"/>
    <col min="4" max="4" width="21.5" style="6" bestFit="1" customWidth="1"/>
    <col min="5" max="5" width="10.5" style="20" bestFit="1" customWidth="1"/>
    <col min="6" max="6" width="36.6640625" style="6" customWidth="1"/>
    <col min="7" max="9" width="5.5" style="29" customWidth="1"/>
    <col min="10" max="10" width="4.83203125" style="29" customWidth="1"/>
    <col min="11" max="11" width="10.5" style="7" bestFit="1" customWidth="1"/>
    <col min="12" max="12" width="8.6640625" style="7" bestFit="1" customWidth="1"/>
    <col min="13" max="13" width="23.5" style="6" customWidth="1"/>
    <col min="14" max="16384" width="9.1640625" style="3"/>
  </cols>
  <sheetData>
    <row r="1" spans="1:13" s="2" customFormat="1" ht="29" customHeight="1">
      <c r="A1" s="48" t="s">
        <v>438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10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11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12</v>
      </c>
      <c r="C6" s="8" t="s">
        <v>13</v>
      </c>
      <c r="D6" s="8" t="s">
        <v>14</v>
      </c>
      <c r="E6" s="9" t="s">
        <v>526</v>
      </c>
      <c r="F6" s="8" t="s">
        <v>488</v>
      </c>
      <c r="G6" s="31" t="s">
        <v>20</v>
      </c>
      <c r="H6" s="33" t="s">
        <v>21</v>
      </c>
      <c r="I6" s="33" t="s">
        <v>21</v>
      </c>
      <c r="J6" s="32"/>
      <c r="K6" s="10" t="str">
        <f>"135,0"</f>
        <v>135,0</v>
      </c>
      <c r="L6" s="10" t="str">
        <f>"151,2945"</f>
        <v>151,2945</v>
      </c>
      <c r="M6" s="8"/>
    </row>
    <row r="8" spans="1:13" ht="16">
      <c r="A8" s="69" t="s">
        <v>22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32" t="s">
        <v>133</v>
      </c>
      <c r="B9" s="8" t="s">
        <v>372</v>
      </c>
      <c r="C9" s="8" t="s">
        <v>453</v>
      </c>
      <c r="D9" s="8" t="s">
        <v>323</v>
      </c>
      <c r="E9" s="9" t="s">
        <v>532</v>
      </c>
      <c r="F9" s="8" t="s">
        <v>488</v>
      </c>
      <c r="G9" s="31" t="s">
        <v>40</v>
      </c>
      <c r="H9" s="31" t="s">
        <v>113</v>
      </c>
      <c r="I9" s="33" t="s">
        <v>41</v>
      </c>
      <c r="J9" s="32"/>
      <c r="K9" s="10" t="str">
        <f>"210,0"</f>
        <v>210,0</v>
      </c>
      <c r="L9" s="10" t="str">
        <f>"172,8899"</f>
        <v>172,8899</v>
      </c>
      <c r="M9" s="8"/>
    </row>
    <row r="11" spans="1:13" ht="16">
      <c r="A11" s="69" t="s">
        <v>87</v>
      </c>
      <c r="B11" s="69"/>
      <c r="C11" s="70"/>
      <c r="D11" s="70"/>
      <c r="E11" s="70"/>
      <c r="F11" s="70"/>
      <c r="G11" s="70"/>
      <c r="H11" s="70"/>
      <c r="I11" s="70"/>
      <c r="J11" s="70"/>
    </row>
    <row r="12" spans="1:13">
      <c r="A12" s="32" t="s">
        <v>133</v>
      </c>
      <c r="B12" s="8" t="s">
        <v>373</v>
      </c>
      <c r="C12" s="8" t="s">
        <v>454</v>
      </c>
      <c r="D12" s="8" t="s">
        <v>374</v>
      </c>
      <c r="E12" s="9" t="s">
        <v>525</v>
      </c>
      <c r="F12" s="8" t="s">
        <v>488</v>
      </c>
      <c r="G12" s="31" t="s">
        <v>113</v>
      </c>
      <c r="H12" s="31" t="s">
        <v>54</v>
      </c>
      <c r="I12" s="32"/>
      <c r="J12" s="32"/>
      <c r="K12" s="10" t="str">
        <f>"220,0"</f>
        <v>220,0</v>
      </c>
      <c r="L12" s="10" t="str">
        <f>"135,7665"</f>
        <v>135,7665</v>
      </c>
      <c r="M12" s="8"/>
    </row>
    <row r="14" spans="1:13" ht="16">
      <c r="A14" s="69" t="s">
        <v>94</v>
      </c>
      <c r="B14" s="69"/>
      <c r="C14" s="70"/>
      <c r="D14" s="70"/>
      <c r="E14" s="70"/>
      <c r="F14" s="70"/>
      <c r="G14" s="70"/>
      <c r="H14" s="70"/>
      <c r="I14" s="70"/>
      <c r="J14" s="70"/>
    </row>
    <row r="15" spans="1:13">
      <c r="A15" s="32" t="s">
        <v>133</v>
      </c>
      <c r="B15" s="8" t="s">
        <v>375</v>
      </c>
      <c r="C15" s="8" t="s">
        <v>376</v>
      </c>
      <c r="D15" s="8" t="s">
        <v>377</v>
      </c>
      <c r="E15" s="9" t="s">
        <v>526</v>
      </c>
      <c r="F15" s="8" t="s">
        <v>488</v>
      </c>
      <c r="G15" s="31" t="s">
        <v>55</v>
      </c>
      <c r="H15" s="31" t="s">
        <v>105</v>
      </c>
      <c r="I15" s="31" t="s">
        <v>77</v>
      </c>
      <c r="J15" s="32"/>
      <c r="K15" s="10" t="str">
        <f>"255,0"</f>
        <v>255,0</v>
      </c>
      <c r="L15" s="10" t="str">
        <f>"150,0675"</f>
        <v>150,0675</v>
      </c>
      <c r="M15" s="8" t="s">
        <v>503</v>
      </c>
    </row>
    <row r="17" spans="1:13" ht="16">
      <c r="A17" s="69" t="s">
        <v>109</v>
      </c>
      <c r="B17" s="69"/>
      <c r="C17" s="70"/>
      <c r="D17" s="70"/>
      <c r="E17" s="70"/>
      <c r="F17" s="70"/>
      <c r="G17" s="70"/>
      <c r="H17" s="70"/>
      <c r="I17" s="70"/>
      <c r="J17" s="70"/>
    </row>
    <row r="18" spans="1:13">
      <c r="A18" s="32" t="s">
        <v>133</v>
      </c>
      <c r="B18" s="8" t="s">
        <v>378</v>
      </c>
      <c r="C18" s="8" t="s">
        <v>379</v>
      </c>
      <c r="D18" s="8" t="s">
        <v>380</v>
      </c>
      <c r="E18" s="9" t="s">
        <v>526</v>
      </c>
      <c r="F18" s="8" t="s">
        <v>519</v>
      </c>
      <c r="G18" s="31" t="s">
        <v>99</v>
      </c>
      <c r="H18" s="31" t="s">
        <v>100</v>
      </c>
      <c r="I18" s="33" t="s">
        <v>381</v>
      </c>
      <c r="J18" s="32"/>
      <c r="K18" s="10" t="str">
        <f>"300,0"</f>
        <v>300,0</v>
      </c>
      <c r="L18" s="10" t="str">
        <f>"173,1000"</f>
        <v>173,1000</v>
      </c>
      <c r="M18" s="8"/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F159-D0FC-4A15-BBC5-6A4F7DB6DAAB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9.1640625" style="3"/>
    <col min="2" max="2" width="25.83203125" style="6" bestFit="1" customWidth="1"/>
    <col min="3" max="3" width="27.83203125" style="6" customWidth="1"/>
    <col min="4" max="4" width="16.5" style="6" customWidth="1"/>
    <col min="5" max="5" width="10.33203125" style="20" customWidth="1"/>
    <col min="6" max="6" width="31.83203125" style="6" customWidth="1"/>
    <col min="7" max="9" width="5.5" style="6" customWidth="1"/>
    <col min="10" max="10" width="4.83203125" style="6" bestFit="1" customWidth="1"/>
    <col min="11" max="13" width="5.5" style="6" customWidth="1"/>
    <col min="14" max="14" width="4.83203125" style="6" bestFit="1" customWidth="1"/>
    <col min="15" max="15" width="7.83203125" style="7" bestFit="1" customWidth="1"/>
    <col min="16" max="16" width="8.5" style="7" bestFit="1" customWidth="1"/>
    <col min="17" max="17" width="23" style="6" bestFit="1" customWidth="1"/>
    <col min="18" max="16384" width="9.1640625" style="3"/>
  </cols>
  <sheetData>
    <row r="1" spans="1:17" s="2" customFormat="1" ht="29" customHeight="1">
      <c r="A1" s="48" t="s">
        <v>428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s="2" customFormat="1" ht="62" customHeight="1" thickBo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s="1" customFormat="1" ht="12.75" customHeight="1">
      <c r="A3" s="56" t="s">
        <v>522</v>
      </c>
      <c r="B3" s="62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521</v>
      </c>
      <c r="H3" s="62"/>
      <c r="I3" s="62"/>
      <c r="J3" s="62"/>
      <c r="K3" s="62" t="s">
        <v>414</v>
      </c>
      <c r="L3" s="62"/>
      <c r="M3" s="62"/>
      <c r="N3" s="62"/>
      <c r="O3" s="60" t="s">
        <v>1</v>
      </c>
      <c r="P3" s="60" t="s">
        <v>3</v>
      </c>
      <c r="Q3" s="63" t="s">
        <v>2</v>
      </c>
    </row>
    <row r="4" spans="1:17" s="1" customFormat="1" ht="21" customHeight="1" thickBot="1">
      <c r="A4" s="57"/>
      <c r="B4" s="59"/>
      <c r="C4" s="59"/>
      <c r="D4" s="59"/>
      <c r="E4" s="61"/>
      <c r="F4" s="59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61"/>
      <c r="P4" s="61"/>
      <c r="Q4" s="64"/>
    </row>
    <row r="5" spans="1:17" ht="16">
      <c r="B5" s="78" t="s">
        <v>87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7">
      <c r="A6" s="47" t="s">
        <v>133</v>
      </c>
      <c r="B6" s="8" t="s">
        <v>257</v>
      </c>
      <c r="C6" s="8" t="s">
        <v>258</v>
      </c>
      <c r="D6" s="8" t="s">
        <v>259</v>
      </c>
      <c r="E6" s="9" t="s">
        <v>526</v>
      </c>
      <c r="F6" s="8" t="s">
        <v>505</v>
      </c>
      <c r="G6" s="31" t="s">
        <v>25</v>
      </c>
      <c r="H6" s="31" t="s">
        <v>424</v>
      </c>
      <c r="I6" s="33" t="s">
        <v>31</v>
      </c>
      <c r="J6" s="32"/>
      <c r="K6" s="31" t="s">
        <v>181</v>
      </c>
      <c r="L6" s="33" t="s">
        <v>147</v>
      </c>
      <c r="M6" s="8"/>
      <c r="N6" s="8"/>
      <c r="O6" s="10" t="str">
        <f>"137,5"</f>
        <v>137,5</v>
      </c>
      <c r="P6" s="10" t="str">
        <f>"80,8844"</f>
        <v>80,8844</v>
      </c>
      <c r="Q6" s="8"/>
    </row>
  </sheetData>
  <mergeCells count="13">
    <mergeCell ref="A1:Q2"/>
    <mergeCell ref="A3:A4"/>
    <mergeCell ref="B5:N5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F482F-1B92-4C5E-BDC4-3872F565CA7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19.6640625" style="6" customWidth="1"/>
    <col min="3" max="3" width="26.33203125" style="6" bestFit="1" customWidth="1"/>
    <col min="4" max="4" width="21.5" style="6" bestFit="1" customWidth="1"/>
    <col min="5" max="5" width="10.5" style="20" bestFit="1" customWidth="1"/>
    <col min="6" max="6" width="17.33203125" style="6" bestFit="1" customWidth="1"/>
    <col min="7" max="9" width="5.5" style="29" customWidth="1"/>
    <col min="10" max="10" width="4.83203125" style="29" customWidth="1"/>
    <col min="11" max="11" width="10.5" style="7" bestFit="1" customWidth="1"/>
    <col min="12" max="12" width="10" style="7" customWidth="1"/>
    <col min="13" max="13" width="18.83203125" style="6" customWidth="1"/>
    <col min="14" max="16384" width="9.1640625" style="3"/>
  </cols>
  <sheetData>
    <row r="1" spans="1:13" s="2" customFormat="1" ht="29" customHeight="1">
      <c r="A1" s="48" t="s">
        <v>431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521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87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415</v>
      </c>
      <c r="C6" s="8" t="s">
        <v>416</v>
      </c>
      <c r="D6" s="8" t="s">
        <v>417</v>
      </c>
      <c r="E6" s="9" t="s">
        <v>526</v>
      </c>
      <c r="F6" s="8" t="s">
        <v>488</v>
      </c>
      <c r="G6" s="31" t="s">
        <v>26</v>
      </c>
      <c r="H6" s="33" t="s">
        <v>47</v>
      </c>
      <c r="I6" s="33" t="s">
        <v>47</v>
      </c>
      <c r="J6" s="32"/>
      <c r="K6" s="10" t="str">
        <f>"85,0"</f>
        <v>85,0</v>
      </c>
      <c r="L6" s="10" t="str">
        <f>"50,2435"</f>
        <v>50,2435</v>
      </c>
      <c r="M6" s="8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C3CBF-0058-4F46-8DFD-A89C44D9D04F}">
  <dimension ref="A1:M19"/>
  <sheetViews>
    <sheetView workbookViewId="0">
      <selection activeCell="E18" sqref="E18"/>
    </sheetView>
  </sheetViews>
  <sheetFormatPr baseColWidth="10" defaultColWidth="9.1640625" defaultRowHeight="13"/>
  <cols>
    <col min="1" max="1" width="7.5" style="6" bestFit="1" customWidth="1"/>
    <col min="2" max="2" width="19.83203125" style="6" customWidth="1"/>
    <col min="3" max="3" width="28.5" style="6" bestFit="1" customWidth="1"/>
    <col min="4" max="4" width="21.5" style="6" bestFit="1" customWidth="1"/>
    <col min="5" max="5" width="10.5" style="20" bestFit="1" customWidth="1"/>
    <col min="6" max="6" width="31.1640625" style="6" customWidth="1"/>
    <col min="7" max="9" width="5.5" style="29" customWidth="1"/>
    <col min="10" max="10" width="4.83203125" style="29" customWidth="1"/>
    <col min="11" max="11" width="10.5" style="30" bestFit="1" customWidth="1"/>
    <col min="12" max="12" width="7.5" style="7" bestFit="1" customWidth="1"/>
    <col min="13" max="13" width="22.1640625" style="6" customWidth="1"/>
    <col min="14" max="16384" width="9.1640625" style="3"/>
  </cols>
  <sheetData>
    <row r="1" spans="1:13" s="2" customFormat="1" ht="29" customHeight="1">
      <c r="A1" s="48" t="s">
        <v>429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521</v>
      </c>
      <c r="H3" s="62"/>
      <c r="I3" s="62"/>
      <c r="J3" s="62"/>
      <c r="K3" s="71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72"/>
      <c r="L4" s="61"/>
      <c r="M4" s="64"/>
    </row>
    <row r="5" spans="1:13" ht="16">
      <c r="A5" s="65" t="s">
        <v>33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6" t="s">
        <v>284</v>
      </c>
      <c r="B6" s="11" t="s">
        <v>418</v>
      </c>
      <c r="C6" s="11" t="s">
        <v>445</v>
      </c>
      <c r="D6" s="11" t="s">
        <v>419</v>
      </c>
      <c r="E6" s="12" t="s">
        <v>524</v>
      </c>
      <c r="F6" s="11" t="s">
        <v>488</v>
      </c>
      <c r="G6" s="35" t="s">
        <v>171</v>
      </c>
      <c r="H6" s="35" t="s">
        <v>181</v>
      </c>
      <c r="I6" s="35" t="s">
        <v>181</v>
      </c>
      <c r="J6" s="36"/>
      <c r="K6" s="44">
        <v>0</v>
      </c>
      <c r="L6" s="13" t="str">
        <f>"0,0000"</f>
        <v>0,0000</v>
      </c>
      <c r="M6" s="11"/>
    </row>
    <row r="7" spans="1:13">
      <c r="A7" s="42" t="s">
        <v>284</v>
      </c>
      <c r="B7" s="17" t="s">
        <v>418</v>
      </c>
      <c r="C7" s="17" t="s">
        <v>420</v>
      </c>
      <c r="D7" s="17" t="s">
        <v>419</v>
      </c>
      <c r="E7" s="18" t="s">
        <v>526</v>
      </c>
      <c r="F7" s="17" t="s">
        <v>488</v>
      </c>
      <c r="G7" s="41" t="s">
        <v>171</v>
      </c>
      <c r="H7" s="41" t="s">
        <v>181</v>
      </c>
      <c r="I7" s="41" t="s">
        <v>181</v>
      </c>
      <c r="J7" s="42"/>
      <c r="K7" s="46">
        <v>0</v>
      </c>
      <c r="L7" s="19" t="str">
        <f>"0,0000"</f>
        <v>0,0000</v>
      </c>
      <c r="M7" s="17"/>
    </row>
    <row r="9" spans="1:13" ht="16">
      <c r="A9" s="69" t="s">
        <v>50</v>
      </c>
      <c r="B9" s="69"/>
      <c r="C9" s="70"/>
      <c r="D9" s="70"/>
      <c r="E9" s="70"/>
      <c r="F9" s="70"/>
      <c r="G9" s="70"/>
      <c r="H9" s="70"/>
      <c r="I9" s="70"/>
      <c r="J9" s="70"/>
    </row>
    <row r="10" spans="1:13">
      <c r="A10" s="32" t="s">
        <v>133</v>
      </c>
      <c r="B10" s="8" t="s">
        <v>390</v>
      </c>
      <c r="C10" s="8" t="s">
        <v>391</v>
      </c>
      <c r="D10" s="8" t="s">
        <v>392</v>
      </c>
      <c r="E10" s="9" t="s">
        <v>526</v>
      </c>
      <c r="F10" s="8" t="s">
        <v>506</v>
      </c>
      <c r="G10" s="31" t="s">
        <v>170</v>
      </c>
      <c r="H10" s="33" t="s">
        <v>181</v>
      </c>
      <c r="I10" s="33" t="s">
        <v>181</v>
      </c>
      <c r="J10" s="32"/>
      <c r="K10" s="43" t="str">
        <f>"50,0"</f>
        <v>50,0</v>
      </c>
      <c r="L10" s="10" t="str">
        <f>"33,6525"</f>
        <v>33,6525</v>
      </c>
      <c r="M10" s="8"/>
    </row>
    <row r="12" spans="1:13" ht="16">
      <c r="A12" s="69" t="s">
        <v>87</v>
      </c>
      <c r="B12" s="69"/>
      <c r="C12" s="70"/>
      <c r="D12" s="70"/>
      <c r="E12" s="70"/>
      <c r="F12" s="70"/>
      <c r="G12" s="70"/>
      <c r="H12" s="70"/>
      <c r="I12" s="70"/>
      <c r="J12" s="70"/>
    </row>
    <row r="13" spans="1:13">
      <c r="A13" s="32" t="s">
        <v>133</v>
      </c>
      <c r="B13" s="8" t="s">
        <v>421</v>
      </c>
      <c r="C13" s="8" t="s">
        <v>422</v>
      </c>
      <c r="D13" s="8" t="s">
        <v>423</v>
      </c>
      <c r="E13" s="9" t="s">
        <v>526</v>
      </c>
      <c r="F13" s="8" t="s">
        <v>488</v>
      </c>
      <c r="G13" s="33" t="s">
        <v>19</v>
      </c>
      <c r="H13" s="33" t="s">
        <v>424</v>
      </c>
      <c r="I13" s="31" t="s">
        <v>424</v>
      </c>
      <c r="J13" s="32"/>
      <c r="K13" s="43" t="str">
        <f>"82,5"</f>
        <v>82,5</v>
      </c>
      <c r="L13" s="10" t="str">
        <f>"48,6255"</f>
        <v>48,6255</v>
      </c>
      <c r="M13" s="8"/>
    </row>
    <row r="15" spans="1:13" ht="16">
      <c r="A15" s="69" t="s">
        <v>94</v>
      </c>
      <c r="B15" s="69"/>
      <c r="C15" s="70"/>
      <c r="D15" s="70"/>
      <c r="E15" s="70"/>
      <c r="F15" s="70"/>
      <c r="G15" s="70"/>
      <c r="H15" s="70"/>
      <c r="I15" s="70"/>
      <c r="J15" s="70"/>
    </row>
    <row r="16" spans="1:13">
      <c r="A16" s="36" t="s">
        <v>284</v>
      </c>
      <c r="B16" s="11" t="s">
        <v>425</v>
      </c>
      <c r="C16" s="11" t="s">
        <v>426</v>
      </c>
      <c r="D16" s="11" t="s">
        <v>427</v>
      </c>
      <c r="E16" s="12" t="s">
        <v>526</v>
      </c>
      <c r="F16" s="11" t="s">
        <v>519</v>
      </c>
      <c r="G16" s="35" t="s">
        <v>31</v>
      </c>
      <c r="H16" s="35" t="s">
        <v>31</v>
      </c>
      <c r="I16" s="35" t="s">
        <v>31</v>
      </c>
      <c r="J16" s="36"/>
      <c r="K16" s="44">
        <v>0</v>
      </c>
      <c r="L16" s="13" t="str">
        <f>"0,0000"</f>
        <v>0,0000</v>
      </c>
      <c r="M16" s="11" t="s">
        <v>520</v>
      </c>
    </row>
    <row r="17" spans="1:13">
      <c r="A17" s="42" t="s">
        <v>284</v>
      </c>
      <c r="B17" s="17" t="s">
        <v>425</v>
      </c>
      <c r="C17" s="17" t="s">
        <v>446</v>
      </c>
      <c r="D17" s="17" t="s">
        <v>427</v>
      </c>
      <c r="E17" s="18" t="s">
        <v>525</v>
      </c>
      <c r="F17" s="17" t="s">
        <v>519</v>
      </c>
      <c r="G17" s="41" t="s">
        <v>31</v>
      </c>
      <c r="H17" s="41" t="s">
        <v>31</v>
      </c>
      <c r="I17" s="41" t="s">
        <v>31</v>
      </c>
      <c r="J17" s="42"/>
      <c r="K17" s="46">
        <v>0</v>
      </c>
      <c r="L17" s="19" t="str">
        <f>"0,0000"</f>
        <v>0,0000</v>
      </c>
      <c r="M17" s="17" t="s">
        <v>520</v>
      </c>
    </row>
    <row r="19" spans="1:13">
      <c r="E19" s="6"/>
      <c r="F19" s="20"/>
      <c r="G19" s="6"/>
      <c r="M19" s="7"/>
    </row>
  </sheetData>
  <mergeCells count="15">
    <mergeCell ref="A9:J9"/>
    <mergeCell ref="A12:J12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F50D-5C17-4D7C-82A2-E62CEF5DC580}"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20" style="6" customWidth="1"/>
    <col min="3" max="3" width="26.33203125" style="6" bestFit="1" customWidth="1"/>
    <col min="4" max="4" width="21.5" style="6" bestFit="1" customWidth="1"/>
    <col min="5" max="5" width="10.5" style="20" bestFit="1" customWidth="1"/>
    <col min="6" max="6" width="20" style="6" customWidth="1"/>
    <col min="7" max="9" width="5.5" style="29" customWidth="1"/>
    <col min="10" max="10" width="4.83203125" style="29" customWidth="1"/>
    <col min="11" max="11" width="10.5" style="7" bestFit="1" customWidth="1"/>
    <col min="12" max="12" width="9" style="7" customWidth="1"/>
    <col min="13" max="13" width="18.5" style="6" customWidth="1"/>
    <col min="14" max="16384" width="9.1640625" style="3"/>
  </cols>
  <sheetData>
    <row r="1" spans="1:13" s="2" customFormat="1" ht="29" customHeight="1">
      <c r="A1" s="48" t="s">
        <v>430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521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87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415</v>
      </c>
      <c r="C6" s="8" t="s">
        <v>416</v>
      </c>
      <c r="D6" s="8" t="s">
        <v>417</v>
      </c>
      <c r="E6" s="9" t="s">
        <v>526</v>
      </c>
      <c r="F6" s="8" t="s">
        <v>488</v>
      </c>
      <c r="G6" s="31" t="s">
        <v>154</v>
      </c>
      <c r="H6" s="31" t="s">
        <v>176</v>
      </c>
      <c r="I6" s="33" t="s">
        <v>139</v>
      </c>
      <c r="J6" s="32"/>
      <c r="K6" s="10" t="str">
        <f>"65,0"</f>
        <v>65,0</v>
      </c>
      <c r="L6" s="10" t="str">
        <f>"38,4215"</f>
        <v>38,4215</v>
      </c>
      <c r="M6" s="8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45"/>
  <sheetViews>
    <sheetView workbookViewId="0">
      <selection activeCell="E36" sqref="E36"/>
    </sheetView>
  </sheetViews>
  <sheetFormatPr baseColWidth="10" defaultColWidth="9.1640625" defaultRowHeight="13"/>
  <cols>
    <col min="1" max="1" width="7.5" style="6" bestFit="1" customWidth="1"/>
    <col min="2" max="2" width="21" style="6" bestFit="1" customWidth="1"/>
    <col min="3" max="3" width="29" style="6" bestFit="1" customWidth="1"/>
    <col min="4" max="4" width="21.5" style="6" bestFit="1" customWidth="1"/>
    <col min="5" max="5" width="10.5" style="20" bestFit="1" customWidth="1"/>
    <col min="6" max="6" width="31.83203125" style="6" bestFit="1" customWidth="1"/>
    <col min="7" max="13" width="5.5" style="29" customWidth="1"/>
    <col min="14" max="14" width="4.83203125" style="29" customWidth="1"/>
    <col min="15" max="17" width="5.5" style="29" customWidth="1"/>
    <col min="18" max="18" width="4.83203125" style="29" customWidth="1"/>
    <col min="19" max="19" width="7.83203125" style="7" bestFit="1" customWidth="1"/>
    <col min="20" max="20" width="8.5" style="7" bestFit="1" customWidth="1"/>
    <col min="21" max="21" width="19.33203125" style="6" bestFit="1" customWidth="1"/>
    <col min="22" max="16384" width="9.1640625" style="3"/>
  </cols>
  <sheetData>
    <row r="1" spans="1:21" s="2" customFormat="1" ht="29" customHeight="1">
      <c r="A1" s="48" t="s">
        <v>444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8</v>
      </c>
      <c r="H3" s="62"/>
      <c r="I3" s="62"/>
      <c r="J3" s="62"/>
      <c r="K3" s="62" t="s">
        <v>9</v>
      </c>
      <c r="L3" s="62"/>
      <c r="M3" s="62"/>
      <c r="N3" s="62"/>
      <c r="O3" s="62" t="s">
        <v>10</v>
      </c>
      <c r="P3" s="62"/>
      <c r="Q3" s="62"/>
      <c r="R3" s="62"/>
      <c r="S3" s="60" t="s">
        <v>1</v>
      </c>
      <c r="T3" s="60" t="s">
        <v>3</v>
      </c>
      <c r="U3" s="63" t="s">
        <v>2</v>
      </c>
    </row>
    <row r="4" spans="1:21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1"/>
      <c r="U4" s="64"/>
    </row>
    <row r="5" spans="1:21" ht="16">
      <c r="A5" s="65" t="s">
        <v>11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21">
      <c r="A6" s="32" t="s">
        <v>133</v>
      </c>
      <c r="B6" s="8" t="s">
        <v>12</v>
      </c>
      <c r="C6" s="8" t="s">
        <v>13</v>
      </c>
      <c r="D6" s="8" t="s">
        <v>14</v>
      </c>
      <c r="E6" s="9" t="s">
        <v>526</v>
      </c>
      <c r="F6" s="8" t="s">
        <v>488</v>
      </c>
      <c r="G6" s="31" t="s">
        <v>15</v>
      </c>
      <c r="H6" s="31" t="s">
        <v>16</v>
      </c>
      <c r="I6" s="31" t="s">
        <v>17</v>
      </c>
      <c r="J6" s="32"/>
      <c r="K6" s="31" t="s">
        <v>18</v>
      </c>
      <c r="L6" s="33" t="s">
        <v>19</v>
      </c>
      <c r="M6" s="33" t="s">
        <v>19</v>
      </c>
      <c r="N6" s="32"/>
      <c r="O6" s="31" t="s">
        <v>20</v>
      </c>
      <c r="P6" s="33" t="s">
        <v>21</v>
      </c>
      <c r="Q6" s="33" t="s">
        <v>21</v>
      </c>
      <c r="R6" s="32"/>
      <c r="S6" s="10" t="str">
        <f>"337,5"</f>
        <v>337,5</v>
      </c>
      <c r="T6" s="10" t="str">
        <f>"378,2363"</f>
        <v>378,2363</v>
      </c>
      <c r="U6" s="8"/>
    </row>
    <row r="8" spans="1:21" ht="16">
      <c r="A8" s="69" t="s">
        <v>22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32" t="s">
        <v>133</v>
      </c>
      <c r="B9" s="8" t="s">
        <v>23</v>
      </c>
      <c r="C9" s="8" t="s">
        <v>484</v>
      </c>
      <c r="D9" s="8" t="s">
        <v>24</v>
      </c>
      <c r="E9" s="9" t="s">
        <v>524</v>
      </c>
      <c r="F9" s="8" t="s">
        <v>488</v>
      </c>
      <c r="G9" s="33" t="s">
        <v>25</v>
      </c>
      <c r="H9" s="33" t="s">
        <v>25</v>
      </c>
      <c r="I9" s="31" t="s">
        <v>26</v>
      </c>
      <c r="J9" s="32"/>
      <c r="K9" s="31" t="s">
        <v>27</v>
      </c>
      <c r="L9" s="31" t="s">
        <v>28</v>
      </c>
      <c r="M9" s="33" t="s">
        <v>29</v>
      </c>
      <c r="N9" s="32"/>
      <c r="O9" s="31" t="s">
        <v>30</v>
      </c>
      <c r="P9" s="31" t="s">
        <v>31</v>
      </c>
      <c r="Q9" s="31" t="s">
        <v>32</v>
      </c>
      <c r="R9" s="32"/>
      <c r="S9" s="10" t="str">
        <f>"217,5"</f>
        <v>217,5</v>
      </c>
      <c r="T9" s="10" t="str">
        <f>"209,2568"</f>
        <v>209,2568</v>
      </c>
      <c r="U9" s="8"/>
    </row>
    <row r="11" spans="1:21" ht="16">
      <c r="A11" s="69" t="s">
        <v>33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21">
      <c r="A12" s="32" t="s">
        <v>133</v>
      </c>
      <c r="B12" s="8" t="s">
        <v>34</v>
      </c>
      <c r="C12" s="8" t="s">
        <v>35</v>
      </c>
      <c r="D12" s="8" t="s">
        <v>36</v>
      </c>
      <c r="E12" s="9" t="s">
        <v>526</v>
      </c>
      <c r="F12" s="8" t="s">
        <v>37</v>
      </c>
      <c r="G12" s="33" t="s">
        <v>38</v>
      </c>
      <c r="H12" s="31" t="s">
        <v>38</v>
      </c>
      <c r="I12" s="31" t="s">
        <v>39</v>
      </c>
      <c r="J12" s="32"/>
      <c r="K12" s="31" t="s">
        <v>15</v>
      </c>
      <c r="L12" s="31" t="s">
        <v>16</v>
      </c>
      <c r="M12" s="33" t="s">
        <v>17</v>
      </c>
      <c r="N12" s="32"/>
      <c r="O12" s="31" t="s">
        <v>40</v>
      </c>
      <c r="P12" s="33" t="s">
        <v>41</v>
      </c>
      <c r="Q12" s="33" t="s">
        <v>41</v>
      </c>
      <c r="R12" s="32"/>
      <c r="S12" s="10" t="str">
        <f>"520,0"</f>
        <v>520,0</v>
      </c>
      <c r="T12" s="10" t="str">
        <f>"405,2880"</f>
        <v>405,2880</v>
      </c>
      <c r="U12" s="8"/>
    </row>
    <row r="14" spans="1:21" ht="16">
      <c r="A14" s="69" t="s">
        <v>22</v>
      </c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21">
      <c r="A15" s="32" t="s">
        <v>133</v>
      </c>
      <c r="B15" s="8" t="s">
        <v>42</v>
      </c>
      <c r="C15" s="8" t="s">
        <v>43</v>
      </c>
      <c r="D15" s="8" t="s">
        <v>44</v>
      </c>
      <c r="E15" s="9" t="s">
        <v>526</v>
      </c>
      <c r="F15" s="8" t="s">
        <v>490</v>
      </c>
      <c r="G15" s="31" t="s">
        <v>45</v>
      </c>
      <c r="H15" s="33" t="s">
        <v>46</v>
      </c>
      <c r="I15" s="31" t="s">
        <v>46</v>
      </c>
      <c r="J15" s="32"/>
      <c r="K15" s="31" t="s">
        <v>26</v>
      </c>
      <c r="L15" s="31" t="s">
        <v>47</v>
      </c>
      <c r="M15" s="33" t="s">
        <v>48</v>
      </c>
      <c r="N15" s="32"/>
      <c r="O15" s="33" t="s">
        <v>49</v>
      </c>
      <c r="P15" s="31" t="s">
        <v>49</v>
      </c>
      <c r="Q15" s="31" t="s">
        <v>20</v>
      </c>
      <c r="R15" s="32"/>
      <c r="S15" s="10" t="str">
        <f>"332,5"</f>
        <v>332,5</v>
      </c>
      <c r="T15" s="10" t="str">
        <f>"243,9552"</f>
        <v>243,9552</v>
      </c>
      <c r="U15" s="8" t="s">
        <v>493</v>
      </c>
    </row>
    <row r="17" spans="1:21" ht="16">
      <c r="A17" s="69" t="s">
        <v>50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21">
      <c r="A18" s="32" t="s">
        <v>133</v>
      </c>
      <c r="B18" s="8" t="s">
        <v>51</v>
      </c>
      <c r="C18" s="8" t="s">
        <v>52</v>
      </c>
      <c r="D18" s="8" t="s">
        <v>53</v>
      </c>
      <c r="E18" s="9" t="s">
        <v>526</v>
      </c>
      <c r="F18" s="8" t="s">
        <v>488</v>
      </c>
      <c r="G18" s="33" t="s">
        <v>54</v>
      </c>
      <c r="H18" s="31" t="s">
        <v>54</v>
      </c>
      <c r="I18" s="33" t="s">
        <v>55</v>
      </c>
      <c r="J18" s="32"/>
      <c r="K18" s="31" t="s">
        <v>56</v>
      </c>
      <c r="L18" s="31" t="s">
        <v>57</v>
      </c>
      <c r="M18" s="31" t="s">
        <v>58</v>
      </c>
      <c r="N18" s="32"/>
      <c r="O18" s="33" t="s">
        <v>59</v>
      </c>
      <c r="P18" s="31" t="s">
        <v>59</v>
      </c>
      <c r="Q18" s="31" t="s">
        <v>60</v>
      </c>
      <c r="R18" s="32"/>
      <c r="S18" s="10" t="str">
        <f>"655,0"</f>
        <v>655,0</v>
      </c>
      <c r="T18" s="10" t="str">
        <f>"443,0420"</f>
        <v>443,0420</v>
      </c>
      <c r="U18" s="8"/>
    </row>
    <row r="20" spans="1:21" ht="16">
      <c r="A20" s="69" t="s">
        <v>61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21">
      <c r="A21" s="36" t="s">
        <v>133</v>
      </c>
      <c r="B21" s="11" t="s">
        <v>62</v>
      </c>
      <c r="C21" s="11" t="s">
        <v>485</v>
      </c>
      <c r="D21" s="11" t="s">
        <v>63</v>
      </c>
      <c r="E21" s="12" t="s">
        <v>524</v>
      </c>
      <c r="F21" s="11" t="s">
        <v>64</v>
      </c>
      <c r="G21" s="34" t="s">
        <v>41</v>
      </c>
      <c r="H21" s="34" t="s">
        <v>65</v>
      </c>
      <c r="I21" s="35" t="s">
        <v>66</v>
      </c>
      <c r="J21" s="36"/>
      <c r="K21" s="34" t="s">
        <v>21</v>
      </c>
      <c r="L21" s="35" t="s">
        <v>67</v>
      </c>
      <c r="M21" s="34" t="s">
        <v>67</v>
      </c>
      <c r="N21" s="36"/>
      <c r="O21" s="34" t="s">
        <v>68</v>
      </c>
      <c r="P21" s="35" t="s">
        <v>69</v>
      </c>
      <c r="Q21" s="35" t="s">
        <v>69</v>
      </c>
      <c r="R21" s="36"/>
      <c r="S21" s="13" t="str">
        <f>"655,0"</f>
        <v>655,0</v>
      </c>
      <c r="T21" s="13" t="str">
        <f>"418,8725"</f>
        <v>418,8725</v>
      </c>
      <c r="U21" s="11"/>
    </row>
    <row r="22" spans="1:21">
      <c r="A22" s="39" t="s">
        <v>133</v>
      </c>
      <c r="B22" s="14" t="s">
        <v>62</v>
      </c>
      <c r="C22" s="14" t="s">
        <v>70</v>
      </c>
      <c r="D22" s="14" t="s">
        <v>63</v>
      </c>
      <c r="E22" s="15" t="s">
        <v>526</v>
      </c>
      <c r="F22" s="14" t="s">
        <v>64</v>
      </c>
      <c r="G22" s="37" t="s">
        <v>41</v>
      </c>
      <c r="H22" s="37" t="s">
        <v>65</v>
      </c>
      <c r="I22" s="38" t="s">
        <v>66</v>
      </c>
      <c r="J22" s="39"/>
      <c r="K22" s="37" t="s">
        <v>21</v>
      </c>
      <c r="L22" s="38" t="s">
        <v>67</v>
      </c>
      <c r="M22" s="37" t="s">
        <v>67</v>
      </c>
      <c r="N22" s="39"/>
      <c r="O22" s="37" t="s">
        <v>68</v>
      </c>
      <c r="P22" s="38" t="s">
        <v>69</v>
      </c>
      <c r="Q22" s="38" t="s">
        <v>69</v>
      </c>
      <c r="R22" s="39"/>
      <c r="S22" s="16" t="str">
        <f>"655,0"</f>
        <v>655,0</v>
      </c>
      <c r="T22" s="16" t="str">
        <f>"418,8725"</f>
        <v>418,8725</v>
      </c>
      <c r="U22" s="14"/>
    </row>
    <row r="23" spans="1:21">
      <c r="A23" s="39" t="s">
        <v>134</v>
      </c>
      <c r="B23" s="14" t="s">
        <v>71</v>
      </c>
      <c r="C23" s="14" t="s">
        <v>72</v>
      </c>
      <c r="D23" s="14" t="s">
        <v>63</v>
      </c>
      <c r="E23" s="15" t="s">
        <v>526</v>
      </c>
      <c r="F23" s="14" t="s">
        <v>488</v>
      </c>
      <c r="G23" s="37" t="s">
        <v>40</v>
      </c>
      <c r="H23" s="37" t="s">
        <v>73</v>
      </c>
      <c r="I23" s="37" t="s">
        <v>54</v>
      </c>
      <c r="J23" s="39"/>
      <c r="K23" s="37" t="s">
        <v>67</v>
      </c>
      <c r="L23" s="37" t="s">
        <v>74</v>
      </c>
      <c r="M23" s="38" t="s">
        <v>75</v>
      </c>
      <c r="N23" s="39"/>
      <c r="O23" s="37" t="s">
        <v>76</v>
      </c>
      <c r="P23" s="37" t="s">
        <v>77</v>
      </c>
      <c r="Q23" s="38" t="s">
        <v>78</v>
      </c>
      <c r="R23" s="39"/>
      <c r="S23" s="16" t="str">
        <f>"642,5"</f>
        <v>642,5</v>
      </c>
      <c r="T23" s="16" t="str">
        <f>"410,8788"</f>
        <v>410,8788</v>
      </c>
      <c r="U23" s="14" t="s">
        <v>492</v>
      </c>
    </row>
    <row r="24" spans="1:21">
      <c r="A24" s="42" t="s">
        <v>135</v>
      </c>
      <c r="B24" s="17" t="s">
        <v>79</v>
      </c>
      <c r="C24" s="17" t="s">
        <v>80</v>
      </c>
      <c r="D24" s="17" t="s">
        <v>81</v>
      </c>
      <c r="E24" s="18" t="s">
        <v>526</v>
      </c>
      <c r="F24" s="17" t="s">
        <v>488</v>
      </c>
      <c r="G24" s="40" t="s">
        <v>67</v>
      </c>
      <c r="H24" s="40" t="s">
        <v>57</v>
      </c>
      <c r="I24" s="41" t="s">
        <v>82</v>
      </c>
      <c r="J24" s="42"/>
      <c r="K24" s="40" t="s">
        <v>20</v>
      </c>
      <c r="L24" s="40" t="s">
        <v>83</v>
      </c>
      <c r="M24" s="40" t="s">
        <v>84</v>
      </c>
      <c r="N24" s="42"/>
      <c r="O24" s="40" t="s">
        <v>85</v>
      </c>
      <c r="P24" s="40" t="s">
        <v>86</v>
      </c>
      <c r="Q24" s="40" t="s">
        <v>73</v>
      </c>
      <c r="R24" s="42"/>
      <c r="S24" s="19" t="str">
        <f>"525,0"</f>
        <v>525,0</v>
      </c>
      <c r="T24" s="19" t="str">
        <f>"336,5250"</f>
        <v>336,5250</v>
      </c>
      <c r="U24" s="17" t="s">
        <v>491</v>
      </c>
    </row>
    <row r="26" spans="1:21" ht="16">
      <c r="A26" s="69" t="s">
        <v>87</v>
      </c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21">
      <c r="A27" s="32" t="s">
        <v>133</v>
      </c>
      <c r="B27" s="8" t="s">
        <v>88</v>
      </c>
      <c r="C27" s="8" t="s">
        <v>486</v>
      </c>
      <c r="D27" s="8" t="s">
        <v>89</v>
      </c>
      <c r="E27" s="9" t="s">
        <v>531</v>
      </c>
      <c r="F27" s="8" t="s">
        <v>488</v>
      </c>
      <c r="G27" s="31" t="s">
        <v>85</v>
      </c>
      <c r="H27" s="31" t="s">
        <v>40</v>
      </c>
      <c r="I27" s="31" t="s">
        <v>90</v>
      </c>
      <c r="J27" s="32"/>
      <c r="K27" s="31" t="s">
        <v>47</v>
      </c>
      <c r="L27" s="31" t="s">
        <v>91</v>
      </c>
      <c r="M27" s="31" t="s">
        <v>92</v>
      </c>
      <c r="N27" s="32"/>
      <c r="O27" s="31" t="s">
        <v>65</v>
      </c>
      <c r="P27" s="31" t="s">
        <v>93</v>
      </c>
      <c r="Q27" s="31" t="s">
        <v>76</v>
      </c>
      <c r="R27" s="32"/>
      <c r="S27" s="10" t="str">
        <f>"550,0"</f>
        <v>550,0</v>
      </c>
      <c r="T27" s="10" t="str">
        <f>"481,5079"</f>
        <v>481,5079</v>
      </c>
      <c r="U27" s="8"/>
    </row>
    <row r="29" spans="1:21" ht="16">
      <c r="A29" s="69" t="s">
        <v>94</v>
      </c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21">
      <c r="A30" s="36" t="s">
        <v>133</v>
      </c>
      <c r="B30" s="11" t="s">
        <v>95</v>
      </c>
      <c r="C30" s="11" t="s">
        <v>96</v>
      </c>
      <c r="D30" s="11" t="s">
        <v>97</v>
      </c>
      <c r="E30" s="12" t="s">
        <v>526</v>
      </c>
      <c r="F30" s="11" t="s">
        <v>98</v>
      </c>
      <c r="G30" s="34" t="s">
        <v>54</v>
      </c>
      <c r="H30" s="34" t="s">
        <v>55</v>
      </c>
      <c r="I30" s="34" t="s">
        <v>76</v>
      </c>
      <c r="J30" s="36"/>
      <c r="K30" s="34" t="s">
        <v>85</v>
      </c>
      <c r="L30" s="34" t="s">
        <v>90</v>
      </c>
      <c r="M30" s="35" t="s">
        <v>73</v>
      </c>
      <c r="N30" s="36"/>
      <c r="O30" s="34" t="s">
        <v>99</v>
      </c>
      <c r="P30" s="34" t="s">
        <v>100</v>
      </c>
      <c r="Q30" s="34" t="s">
        <v>101</v>
      </c>
      <c r="R30" s="36"/>
      <c r="S30" s="13" t="str">
        <f>"755,0"</f>
        <v>755,0</v>
      </c>
      <c r="T30" s="13" t="str">
        <f>"444,6950"</f>
        <v>444,6950</v>
      </c>
      <c r="U30" s="11"/>
    </row>
    <row r="31" spans="1:21">
      <c r="A31" s="42" t="s">
        <v>134</v>
      </c>
      <c r="B31" s="17" t="s">
        <v>102</v>
      </c>
      <c r="C31" s="17" t="s">
        <v>103</v>
      </c>
      <c r="D31" s="17" t="s">
        <v>104</v>
      </c>
      <c r="E31" s="18" t="s">
        <v>526</v>
      </c>
      <c r="F31" s="17" t="s">
        <v>488</v>
      </c>
      <c r="G31" s="40" t="s">
        <v>105</v>
      </c>
      <c r="H31" s="40" t="s">
        <v>106</v>
      </c>
      <c r="I31" s="41" t="s">
        <v>107</v>
      </c>
      <c r="J31" s="40" t="s">
        <v>107</v>
      </c>
      <c r="K31" s="40" t="s">
        <v>108</v>
      </c>
      <c r="L31" s="40" t="s">
        <v>56</v>
      </c>
      <c r="M31" s="40" t="s">
        <v>75</v>
      </c>
      <c r="N31" s="42"/>
      <c r="O31" s="40" t="s">
        <v>105</v>
      </c>
      <c r="P31" s="40" t="s">
        <v>60</v>
      </c>
      <c r="Q31" s="40" t="s">
        <v>68</v>
      </c>
      <c r="R31" s="42"/>
      <c r="S31" s="19" t="str">
        <f>"700,0"</f>
        <v>700,0</v>
      </c>
      <c r="T31" s="19" t="str">
        <f>"413,7000"</f>
        <v>413,7000</v>
      </c>
      <c r="U31" s="17"/>
    </row>
    <row r="33" spans="1:21" ht="16">
      <c r="A33" s="69" t="s">
        <v>109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21">
      <c r="A34" s="36" t="s">
        <v>133</v>
      </c>
      <c r="B34" s="11" t="s">
        <v>110</v>
      </c>
      <c r="C34" s="11" t="s">
        <v>111</v>
      </c>
      <c r="D34" s="11" t="s">
        <v>112</v>
      </c>
      <c r="E34" s="12" t="s">
        <v>526</v>
      </c>
      <c r="F34" s="11" t="s">
        <v>488</v>
      </c>
      <c r="G34" s="34" t="s">
        <v>60</v>
      </c>
      <c r="H34" s="35" t="s">
        <v>68</v>
      </c>
      <c r="I34" s="34" t="s">
        <v>68</v>
      </c>
      <c r="J34" s="36"/>
      <c r="K34" s="34" t="s">
        <v>85</v>
      </c>
      <c r="L34" s="34" t="s">
        <v>40</v>
      </c>
      <c r="M34" s="35" t="s">
        <v>113</v>
      </c>
      <c r="N34" s="36"/>
      <c r="O34" s="35" t="s">
        <v>99</v>
      </c>
      <c r="P34" s="35" t="s">
        <v>114</v>
      </c>
      <c r="Q34" s="34" t="s">
        <v>114</v>
      </c>
      <c r="R34" s="36"/>
      <c r="S34" s="13" t="str">
        <f>"755,0"</f>
        <v>755,0</v>
      </c>
      <c r="T34" s="13" t="str">
        <f>"434,0495"</f>
        <v>434,0495</v>
      </c>
      <c r="U34" s="11"/>
    </row>
    <row r="35" spans="1:21">
      <c r="A35" s="42" t="s">
        <v>133</v>
      </c>
      <c r="B35" s="17" t="s">
        <v>115</v>
      </c>
      <c r="C35" s="17" t="s">
        <v>487</v>
      </c>
      <c r="D35" s="17" t="s">
        <v>116</v>
      </c>
      <c r="E35" s="18" t="s">
        <v>532</v>
      </c>
      <c r="F35" s="17" t="s">
        <v>488</v>
      </c>
      <c r="G35" s="41" t="s">
        <v>55</v>
      </c>
      <c r="H35" s="40" t="s">
        <v>76</v>
      </c>
      <c r="I35" s="40" t="s">
        <v>59</v>
      </c>
      <c r="J35" s="42"/>
      <c r="K35" s="40" t="s">
        <v>67</v>
      </c>
      <c r="L35" s="40" t="s">
        <v>57</v>
      </c>
      <c r="M35" s="40" t="s">
        <v>82</v>
      </c>
      <c r="N35" s="42"/>
      <c r="O35" s="40" t="s">
        <v>93</v>
      </c>
      <c r="P35" s="40" t="s">
        <v>105</v>
      </c>
      <c r="Q35" s="41" t="s">
        <v>59</v>
      </c>
      <c r="R35" s="42"/>
      <c r="S35" s="19" t="str">
        <f>"672,5"</f>
        <v>672,5</v>
      </c>
      <c r="T35" s="19" t="str">
        <f>"442,8345"</f>
        <v>442,8345</v>
      </c>
      <c r="U35" s="17"/>
    </row>
    <row r="38" spans="1:21">
      <c r="C38" s="3"/>
      <c r="D38" s="3"/>
      <c r="E38" s="3"/>
      <c r="F38" s="3"/>
      <c r="G38" s="3"/>
    </row>
    <row r="39" spans="1:21" ht="18">
      <c r="B39" s="22" t="s">
        <v>117</v>
      </c>
      <c r="C39" s="22"/>
      <c r="G39" s="3"/>
    </row>
    <row r="40" spans="1:21" ht="16">
      <c r="B40" s="23" t="s">
        <v>126</v>
      </c>
      <c r="C40" s="23"/>
      <c r="G40" s="3"/>
    </row>
    <row r="41" spans="1:21" ht="14">
      <c r="B41" s="24"/>
      <c r="C41" s="25" t="s">
        <v>124</v>
      </c>
      <c r="G41" s="3"/>
    </row>
    <row r="42" spans="1:21" ht="14">
      <c r="B42" s="26" t="s">
        <v>119</v>
      </c>
      <c r="C42" s="26" t="s">
        <v>120</v>
      </c>
      <c r="D42" s="26" t="s">
        <v>489</v>
      </c>
      <c r="E42" s="27" t="s">
        <v>121</v>
      </c>
      <c r="F42" s="26" t="s">
        <v>122</v>
      </c>
      <c r="G42" s="3"/>
    </row>
    <row r="43" spans="1:21">
      <c r="B43" s="6" t="s">
        <v>95</v>
      </c>
      <c r="C43" s="6" t="s">
        <v>124</v>
      </c>
      <c r="D43" s="29" t="s">
        <v>128</v>
      </c>
      <c r="E43" s="30">
        <v>755</v>
      </c>
      <c r="F43" s="28">
        <v>444.69498991966202</v>
      </c>
      <c r="G43" s="3"/>
    </row>
    <row r="44" spans="1:21">
      <c r="B44" s="6" t="s">
        <v>51</v>
      </c>
      <c r="C44" s="6" t="s">
        <v>124</v>
      </c>
      <c r="D44" s="29" t="s">
        <v>129</v>
      </c>
      <c r="E44" s="30">
        <v>655</v>
      </c>
      <c r="F44" s="28">
        <v>443.04200381040602</v>
      </c>
    </row>
    <row r="45" spans="1:21">
      <c r="B45" s="6" t="s">
        <v>110</v>
      </c>
      <c r="C45" s="6" t="s">
        <v>124</v>
      </c>
      <c r="D45" s="29" t="s">
        <v>130</v>
      </c>
      <c r="E45" s="30">
        <v>755</v>
      </c>
      <c r="F45" s="28">
        <v>434.04947847127897</v>
      </c>
    </row>
  </sheetData>
  <mergeCells count="22">
    <mergeCell ref="A20:R20"/>
    <mergeCell ref="A26:R26"/>
    <mergeCell ref="A29:R29"/>
    <mergeCell ref="A33:R33"/>
    <mergeCell ref="B3:B4"/>
    <mergeCell ref="A5:R5"/>
    <mergeCell ref="A8:R8"/>
    <mergeCell ref="A11:R11"/>
    <mergeCell ref="A14:R14"/>
    <mergeCell ref="A17:R17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E44C-027D-486A-ADBD-276181606E25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20" style="6" bestFit="1" customWidth="1"/>
    <col min="3" max="3" width="28.5" style="6" bestFit="1" customWidth="1"/>
    <col min="4" max="4" width="21.5" style="6" bestFit="1" customWidth="1"/>
    <col min="5" max="5" width="10.5" style="20" bestFit="1" customWidth="1"/>
    <col min="6" max="6" width="19" style="6" customWidth="1"/>
    <col min="7" max="9" width="5.5" style="29" customWidth="1"/>
    <col min="10" max="10" width="4.83203125" style="29" customWidth="1"/>
    <col min="11" max="13" width="5.5" style="29" customWidth="1"/>
    <col min="14" max="14" width="4.83203125" style="29" customWidth="1"/>
    <col min="15" max="17" width="5.5" style="29" customWidth="1"/>
    <col min="18" max="18" width="4.83203125" style="29" customWidth="1"/>
    <col min="19" max="19" width="7.83203125" style="7" bestFit="1" customWidth="1"/>
    <col min="20" max="20" width="8.5" style="7" bestFit="1" customWidth="1"/>
    <col min="21" max="21" width="23" style="6" customWidth="1"/>
    <col min="22" max="16384" width="9.1640625" style="3"/>
  </cols>
  <sheetData>
    <row r="1" spans="1:21" s="2" customFormat="1" ht="29" customHeight="1">
      <c r="A1" s="48" t="s">
        <v>442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8</v>
      </c>
      <c r="H3" s="62"/>
      <c r="I3" s="62"/>
      <c r="J3" s="62"/>
      <c r="K3" s="62" t="s">
        <v>9</v>
      </c>
      <c r="L3" s="62"/>
      <c r="M3" s="62"/>
      <c r="N3" s="62"/>
      <c r="O3" s="62" t="s">
        <v>10</v>
      </c>
      <c r="P3" s="62"/>
      <c r="Q3" s="62"/>
      <c r="R3" s="62"/>
      <c r="S3" s="60" t="s">
        <v>1</v>
      </c>
      <c r="T3" s="60" t="s">
        <v>3</v>
      </c>
      <c r="U3" s="63" t="s">
        <v>2</v>
      </c>
    </row>
    <row r="4" spans="1:21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1"/>
      <c r="U4" s="64"/>
    </row>
    <row r="5" spans="1:21" ht="16">
      <c r="A5" s="65" t="s">
        <v>87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21">
      <c r="A6" s="32" t="s">
        <v>133</v>
      </c>
      <c r="B6" s="8" t="s">
        <v>236</v>
      </c>
      <c r="C6" s="8" t="s">
        <v>477</v>
      </c>
      <c r="D6" s="8" t="s">
        <v>237</v>
      </c>
      <c r="E6" s="9" t="s">
        <v>532</v>
      </c>
      <c r="F6" s="8" t="s">
        <v>488</v>
      </c>
      <c r="G6" s="31" t="s">
        <v>90</v>
      </c>
      <c r="H6" s="33" t="s">
        <v>41</v>
      </c>
      <c r="I6" s="33" t="s">
        <v>41</v>
      </c>
      <c r="J6" s="32"/>
      <c r="K6" s="31" t="s">
        <v>148</v>
      </c>
      <c r="L6" s="31" t="s">
        <v>16</v>
      </c>
      <c r="M6" s="33" t="s">
        <v>17</v>
      </c>
      <c r="N6" s="32"/>
      <c r="O6" s="31" t="s">
        <v>40</v>
      </c>
      <c r="P6" s="31" t="s">
        <v>113</v>
      </c>
      <c r="Q6" s="31" t="s">
        <v>65</v>
      </c>
      <c r="R6" s="32"/>
      <c r="S6" s="10" t="str">
        <f>"555,0"</f>
        <v>555,0</v>
      </c>
      <c r="T6" s="10" t="str">
        <f>"396,2691"</f>
        <v>396,2691</v>
      </c>
      <c r="U6" s="8" t="s">
        <v>502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781D-DED4-42F4-81E0-E25283DD8A56}">
  <dimension ref="A1:Q27"/>
  <sheetViews>
    <sheetView workbookViewId="0">
      <selection activeCell="E28" sqref="E28"/>
    </sheetView>
  </sheetViews>
  <sheetFormatPr baseColWidth="10" defaultColWidth="9.1640625" defaultRowHeight="13"/>
  <cols>
    <col min="1" max="1" width="7.5" style="6" bestFit="1" customWidth="1"/>
    <col min="2" max="2" width="21" style="6" bestFit="1" customWidth="1"/>
    <col min="3" max="3" width="28.5" style="6" bestFit="1" customWidth="1"/>
    <col min="4" max="4" width="21.5" style="6" bestFit="1" customWidth="1"/>
    <col min="5" max="5" width="10.5" style="20" bestFit="1" customWidth="1"/>
    <col min="6" max="6" width="31.33203125" style="6" bestFit="1" customWidth="1"/>
    <col min="7" max="9" width="5.5" style="29" customWidth="1"/>
    <col min="10" max="10" width="4.83203125" style="29" customWidth="1"/>
    <col min="11" max="13" width="5.5" style="29" customWidth="1"/>
    <col min="14" max="14" width="4.83203125" style="29" customWidth="1"/>
    <col min="15" max="15" width="7.83203125" style="7" bestFit="1" customWidth="1"/>
    <col min="16" max="16" width="8.5" style="7" bestFit="1" customWidth="1"/>
    <col min="17" max="17" width="23" style="6" customWidth="1"/>
    <col min="18" max="16384" width="9.1640625" style="3"/>
  </cols>
  <sheetData>
    <row r="1" spans="1:17" s="2" customFormat="1" ht="29" customHeight="1">
      <c r="A1" s="48" t="s">
        <v>435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9</v>
      </c>
      <c r="H3" s="62"/>
      <c r="I3" s="62"/>
      <c r="J3" s="62"/>
      <c r="K3" s="62" t="s">
        <v>10</v>
      </c>
      <c r="L3" s="62"/>
      <c r="M3" s="62"/>
      <c r="N3" s="62"/>
      <c r="O3" s="60" t="s">
        <v>1</v>
      </c>
      <c r="P3" s="60" t="s">
        <v>3</v>
      </c>
      <c r="Q3" s="63" t="s">
        <v>2</v>
      </c>
    </row>
    <row r="4" spans="1:17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1"/>
      <c r="P4" s="61"/>
      <c r="Q4" s="64"/>
    </row>
    <row r="5" spans="1:17" ht="16">
      <c r="A5" s="65" t="s">
        <v>136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7">
      <c r="A6" s="32" t="s">
        <v>133</v>
      </c>
      <c r="B6" s="8" t="s">
        <v>285</v>
      </c>
      <c r="C6" s="8" t="s">
        <v>286</v>
      </c>
      <c r="D6" s="8" t="s">
        <v>287</v>
      </c>
      <c r="E6" s="9" t="s">
        <v>526</v>
      </c>
      <c r="F6" s="8" t="s">
        <v>488</v>
      </c>
      <c r="G6" s="33" t="s">
        <v>27</v>
      </c>
      <c r="H6" s="33" t="s">
        <v>27</v>
      </c>
      <c r="I6" s="31" t="s">
        <v>28</v>
      </c>
      <c r="J6" s="32"/>
      <c r="K6" s="31" t="s">
        <v>139</v>
      </c>
      <c r="L6" s="31" t="s">
        <v>25</v>
      </c>
      <c r="M6" s="31" t="s">
        <v>30</v>
      </c>
      <c r="N6" s="32"/>
      <c r="O6" s="10" t="str">
        <f>"120,0"</f>
        <v>120,0</v>
      </c>
      <c r="P6" s="10" t="str">
        <f>"160,6440"</f>
        <v>160,6440</v>
      </c>
      <c r="Q6" s="8"/>
    </row>
    <row r="8" spans="1:17" ht="16">
      <c r="A8" s="69" t="s">
        <v>11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7">
      <c r="A9" s="32" t="s">
        <v>133</v>
      </c>
      <c r="B9" s="8" t="s">
        <v>396</v>
      </c>
      <c r="C9" s="8" t="s">
        <v>397</v>
      </c>
      <c r="D9" s="8" t="s">
        <v>398</v>
      </c>
      <c r="E9" s="9" t="s">
        <v>526</v>
      </c>
      <c r="F9" s="8" t="s">
        <v>488</v>
      </c>
      <c r="G9" s="31" t="s">
        <v>181</v>
      </c>
      <c r="H9" s="31" t="s">
        <v>153</v>
      </c>
      <c r="I9" s="33" t="s">
        <v>154</v>
      </c>
      <c r="J9" s="32"/>
      <c r="K9" s="31" t="s">
        <v>91</v>
      </c>
      <c r="L9" s="31" t="s">
        <v>92</v>
      </c>
      <c r="M9" s="31" t="s">
        <v>182</v>
      </c>
      <c r="N9" s="32"/>
      <c r="O9" s="10" t="str">
        <f>"170,0"</f>
        <v>170,0</v>
      </c>
      <c r="P9" s="10" t="str">
        <f>"190,0260"</f>
        <v>190,0260</v>
      </c>
      <c r="Q9" s="8" t="s">
        <v>507</v>
      </c>
    </row>
    <row r="11" spans="1:17" ht="16">
      <c r="A11" s="69" t="s">
        <v>33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7">
      <c r="A12" s="32" t="s">
        <v>133</v>
      </c>
      <c r="B12" s="8" t="s">
        <v>178</v>
      </c>
      <c r="C12" s="8" t="s">
        <v>179</v>
      </c>
      <c r="D12" s="8" t="s">
        <v>180</v>
      </c>
      <c r="E12" s="9" t="s">
        <v>526</v>
      </c>
      <c r="F12" s="8" t="s">
        <v>488</v>
      </c>
      <c r="G12" s="31" t="s">
        <v>181</v>
      </c>
      <c r="H12" s="31" t="s">
        <v>153</v>
      </c>
      <c r="I12" s="33" t="s">
        <v>154</v>
      </c>
      <c r="J12" s="32"/>
      <c r="K12" s="31" t="s">
        <v>182</v>
      </c>
      <c r="L12" s="31" t="s">
        <v>15</v>
      </c>
      <c r="M12" s="31" t="s">
        <v>183</v>
      </c>
      <c r="N12" s="32"/>
      <c r="O12" s="10" t="str">
        <f>"180,0"</f>
        <v>180,0</v>
      </c>
      <c r="P12" s="10" t="str">
        <f>"189,0540"</f>
        <v>189,0540</v>
      </c>
      <c r="Q12" s="8" t="s">
        <v>499</v>
      </c>
    </row>
    <row r="14" spans="1:17" ht="16">
      <c r="A14" s="69" t="s">
        <v>11</v>
      </c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7">
      <c r="A15" s="32" t="s">
        <v>133</v>
      </c>
      <c r="B15" s="8" t="s">
        <v>191</v>
      </c>
      <c r="C15" s="8" t="s">
        <v>192</v>
      </c>
      <c r="D15" s="8" t="s">
        <v>193</v>
      </c>
      <c r="E15" s="9" t="s">
        <v>528</v>
      </c>
      <c r="F15" s="8" t="s">
        <v>194</v>
      </c>
      <c r="G15" s="31" t="s">
        <v>30</v>
      </c>
      <c r="H15" s="31" t="s">
        <v>26</v>
      </c>
      <c r="I15" s="31" t="s">
        <v>31</v>
      </c>
      <c r="J15" s="32"/>
      <c r="K15" s="31" t="s">
        <v>162</v>
      </c>
      <c r="L15" s="31" t="s">
        <v>164</v>
      </c>
      <c r="M15" s="31" t="s">
        <v>21</v>
      </c>
      <c r="N15" s="32"/>
      <c r="O15" s="10" t="str">
        <f>"237,5"</f>
        <v>237,5</v>
      </c>
      <c r="P15" s="10" t="str">
        <f>"208,0262"</f>
        <v>208,0262</v>
      </c>
      <c r="Q15" s="8"/>
    </row>
    <row r="17" spans="1:17" ht="16">
      <c r="A17" s="69" t="s">
        <v>22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7">
      <c r="A18" s="32" t="s">
        <v>133</v>
      </c>
      <c r="B18" s="8" t="s">
        <v>399</v>
      </c>
      <c r="C18" s="8" t="s">
        <v>400</v>
      </c>
      <c r="D18" s="8" t="s">
        <v>401</v>
      </c>
      <c r="E18" s="9" t="s">
        <v>526</v>
      </c>
      <c r="F18" s="8" t="s">
        <v>488</v>
      </c>
      <c r="G18" s="31" t="s">
        <v>48</v>
      </c>
      <c r="H18" s="33" t="s">
        <v>91</v>
      </c>
      <c r="I18" s="33" t="s">
        <v>91</v>
      </c>
      <c r="J18" s="32"/>
      <c r="K18" s="31" t="s">
        <v>108</v>
      </c>
      <c r="L18" s="33" t="s">
        <v>67</v>
      </c>
      <c r="M18" s="31" t="s">
        <v>67</v>
      </c>
      <c r="N18" s="32"/>
      <c r="O18" s="10" t="str">
        <f>"255,0"</f>
        <v>255,0</v>
      </c>
      <c r="P18" s="10" t="str">
        <f>"187,8585"</f>
        <v>187,8585</v>
      </c>
      <c r="Q18" s="8"/>
    </row>
    <row r="20" spans="1:17" ht="16">
      <c r="A20" s="69" t="s">
        <v>50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7">
      <c r="A21" s="32" t="s">
        <v>133</v>
      </c>
      <c r="B21" s="8" t="s">
        <v>390</v>
      </c>
      <c r="C21" s="8" t="s">
        <v>391</v>
      </c>
      <c r="D21" s="8" t="s">
        <v>392</v>
      </c>
      <c r="E21" s="9" t="s">
        <v>526</v>
      </c>
      <c r="F21" s="8" t="s">
        <v>506</v>
      </c>
      <c r="G21" s="31" t="s">
        <v>92</v>
      </c>
      <c r="H21" s="31" t="s">
        <v>172</v>
      </c>
      <c r="I21" s="33" t="s">
        <v>182</v>
      </c>
      <c r="J21" s="32"/>
      <c r="K21" s="31" t="s">
        <v>38</v>
      </c>
      <c r="L21" s="31" t="s">
        <v>39</v>
      </c>
      <c r="M21" s="33" t="s">
        <v>90</v>
      </c>
      <c r="N21" s="32"/>
      <c r="O21" s="10" t="str">
        <f>"305,0"</f>
        <v>305,0</v>
      </c>
      <c r="P21" s="10" t="str">
        <f>"212,7375"</f>
        <v>212,7375</v>
      </c>
      <c r="Q21" s="8"/>
    </row>
    <row r="23" spans="1:17" ht="16">
      <c r="A23" s="69" t="s">
        <v>61</v>
      </c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7">
      <c r="A24" s="32" t="s">
        <v>133</v>
      </c>
      <c r="B24" s="8" t="s">
        <v>218</v>
      </c>
      <c r="C24" s="8" t="s">
        <v>447</v>
      </c>
      <c r="D24" s="8" t="s">
        <v>219</v>
      </c>
      <c r="E24" s="9" t="s">
        <v>525</v>
      </c>
      <c r="F24" s="8" t="s">
        <v>488</v>
      </c>
      <c r="G24" s="31" t="s">
        <v>108</v>
      </c>
      <c r="H24" s="31" t="s">
        <v>67</v>
      </c>
      <c r="I24" s="31" t="s">
        <v>56</v>
      </c>
      <c r="J24" s="32"/>
      <c r="K24" s="31" t="s">
        <v>59</v>
      </c>
      <c r="L24" s="31" t="s">
        <v>221</v>
      </c>
      <c r="M24" s="31" t="s">
        <v>68</v>
      </c>
      <c r="N24" s="32"/>
      <c r="O24" s="10" t="str">
        <f>"435,0"</f>
        <v>435,0</v>
      </c>
      <c r="P24" s="10" t="str">
        <f>"283,2239"</f>
        <v>283,2239</v>
      </c>
      <c r="Q24" s="8" t="s">
        <v>501</v>
      </c>
    </row>
    <row r="26" spans="1:17" ht="16">
      <c r="A26" s="69" t="s">
        <v>87</v>
      </c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7">
      <c r="A27" s="32" t="s">
        <v>133</v>
      </c>
      <c r="B27" s="8" t="s">
        <v>402</v>
      </c>
      <c r="C27" s="8" t="s">
        <v>403</v>
      </c>
      <c r="D27" s="8" t="s">
        <v>404</v>
      </c>
      <c r="E27" s="9" t="s">
        <v>526</v>
      </c>
      <c r="F27" s="8" t="s">
        <v>488</v>
      </c>
      <c r="G27" s="31" t="s">
        <v>47</v>
      </c>
      <c r="H27" s="33" t="s">
        <v>17</v>
      </c>
      <c r="I27" s="33" t="s">
        <v>17</v>
      </c>
      <c r="J27" s="32"/>
      <c r="K27" s="31" t="s">
        <v>57</v>
      </c>
      <c r="L27" s="31" t="s">
        <v>38</v>
      </c>
      <c r="M27" s="33" t="s">
        <v>270</v>
      </c>
      <c r="N27" s="32"/>
      <c r="O27" s="10" t="str">
        <f>"270,0"</f>
        <v>270,0</v>
      </c>
      <c r="P27" s="10" t="str">
        <f>"165,1860"</f>
        <v>165,1860</v>
      </c>
      <c r="Q27" s="8"/>
    </row>
  </sheetData>
  <mergeCells count="20">
    <mergeCell ref="A26:N26"/>
    <mergeCell ref="B3:B4"/>
    <mergeCell ref="A8:N8"/>
    <mergeCell ref="A11:N11"/>
    <mergeCell ref="A14:N14"/>
    <mergeCell ref="A17:N17"/>
    <mergeCell ref="A20:N20"/>
    <mergeCell ref="A23:N23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49968-9792-416E-AFCA-EA7BB9BB65DD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6" bestFit="1" customWidth="1"/>
    <col min="2" max="2" width="23.1640625" style="6" customWidth="1"/>
    <col min="3" max="3" width="28.5" style="6" bestFit="1" customWidth="1"/>
    <col min="4" max="4" width="21.5" style="6" bestFit="1" customWidth="1"/>
    <col min="5" max="5" width="10.5" style="20" bestFit="1" customWidth="1"/>
    <col min="6" max="6" width="31.33203125" style="6" bestFit="1" customWidth="1"/>
    <col min="7" max="9" width="5.5" style="29" customWidth="1"/>
    <col min="10" max="10" width="4.83203125" style="29" customWidth="1"/>
    <col min="11" max="11" width="10.5" style="7" bestFit="1" customWidth="1"/>
    <col min="12" max="12" width="8.5" style="7" bestFit="1" customWidth="1"/>
    <col min="13" max="13" width="20.33203125" style="6" customWidth="1"/>
    <col min="14" max="16384" width="9.1640625" style="3"/>
  </cols>
  <sheetData>
    <row r="1" spans="1:13" s="2" customFormat="1" ht="29" customHeight="1">
      <c r="A1" s="48" t="s">
        <v>436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8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11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191</v>
      </c>
      <c r="C6" s="8" t="s">
        <v>192</v>
      </c>
      <c r="D6" s="8" t="s">
        <v>193</v>
      </c>
      <c r="E6" s="9" t="s">
        <v>528</v>
      </c>
      <c r="F6" s="8" t="s">
        <v>194</v>
      </c>
      <c r="G6" s="31" t="s">
        <v>17</v>
      </c>
      <c r="H6" s="31" t="s">
        <v>163</v>
      </c>
      <c r="I6" s="31" t="s">
        <v>83</v>
      </c>
      <c r="J6" s="32"/>
      <c r="K6" s="10" t="str">
        <f>"140,0"</f>
        <v>140,0</v>
      </c>
      <c r="L6" s="10" t="str">
        <f>"122,6260"</f>
        <v>122,6260</v>
      </c>
      <c r="M6" s="8"/>
    </row>
    <row r="8" spans="1:13" ht="16">
      <c r="A8" s="69" t="s">
        <v>87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32" t="s">
        <v>133</v>
      </c>
      <c r="B9" s="8" t="s">
        <v>227</v>
      </c>
      <c r="C9" s="8" t="s">
        <v>448</v>
      </c>
      <c r="D9" s="8" t="s">
        <v>228</v>
      </c>
      <c r="E9" s="9" t="s">
        <v>525</v>
      </c>
      <c r="F9" s="8" t="s">
        <v>488</v>
      </c>
      <c r="G9" s="31" t="s">
        <v>76</v>
      </c>
      <c r="H9" s="33" t="s">
        <v>59</v>
      </c>
      <c r="I9" s="33" t="s">
        <v>59</v>
      </c>
      <c r="J9" s="32"/>
      <c r="K9" s="10" t="str">
        <f>"240,0"</f>
        <v>240,0</v>
      </c>
      <c r="L9" s="10" t="str">
        <f>"152,6662"</f>
        <v>152,6662</v>
      </c>
      <c r="M9" s="8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E6371-FEC7-4D10-A391-C168F9D980BD}">
  <dimension ref="A1:M83"/>
  <sheetViews>
    <sheetView topLeftCell="A27" workbookViewId="0">
      <selection activeCell="E60" sqref="E60"/>
    </sheetView>
  </sheetViews>
  <sheetFormatPr baseColWidth="10" defaultColWidth="9.1640625" defaultRowHeight="13"/>
  <cols>
    <col min="1" max="1" width="7.5" style="6" bestFit="1" customWidth="1"/>
    <col min="2" max="2" width="20" style="6" bestFit="1" customWidth="1"/>
    <col min="3" max="3" width="28.5" style="6" bestFit="1" customWidth="1"/>
    <col min="4" max="4" width="21.5" style="6" bestFit="1" customWidth="1"/>
    <col min="5" max="5" width="10.5" style="20" bestFit="1" customWidth="1"/>
    <col min="6" max="6" width="36.33203125" style="6" customWidth="1"/>
    <col min="7" max="9" width="5.5" style="29" customWidth="1"/>
    <col min="10" max="10" width="4.83203125" style="29" customWidth="1"/>
    <col min="11" max="11" width="10.5" style="7" bestFit="1" customWidth="1"/>
    <col min="12" max="12" width="8.5" style="7" bestFit="1" customWidth="1"/>
    <col min="13" max="13" width="30.1640625" style="6" bestFit="1" customWidth="1"/>
    <col min="14" max="16384" width="9.1640625" style="3"/>
  </cols>
  <sheetData>
    <row r="1" spans="1:13" s="2" customFormat="1" ht="29" customHeight="1">
      <c r="A1" s="48" t="s">
        <v>440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9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136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285</v>
      </c>
      <c r="C6" s="8" t="s">
        <v>286</v>
      </c>
      <c r="D6" s="8" t="s">
        <v>287</v>
      </c>
      <c r="E6" s="9" t="s">
        <v>526</v>
      </c>
      <c r="F6" s="8" t="s">
        <v>488</v>
      </c>
      <c r="G6" s="33" t="s">
        <v>27</v>
      </c>
      <c r="H6" s="33" t="s">
        <v>27</v>
      </c>
      <c r="I6" s="31" t="s">
        <v>28</v>
      </c>
      <c r="J6" s="32"/>
      <c r="K6" s="10" t="str">
        <f>"40,0"</f>
        <v>40,0</v>
      </c>
      <c r="L6" s="10" t="str">
        <f>"53,5480"</f>
        <v>53,5480</v>
      </c>
      <c r="M6" s="8"/>
    </row>
    <row r="8" spans="1:13" ht="16">
      <c r="A8" s="69" t="s">
        <v>142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36" t="s">
        <v>133</v>
      </c>
      <c r="B9" s="11" t="s">
        <v>288</v>
      </c>
      <c r="C9" s="11" t="s">
        <v>289</v>
      </c>
      <c r="D9" s="11" t="s">
        <v>290</v>
      </c>
      <c r="E9" s="12" t="s">
        <v>526</v>
      </c>
      <c r="F9" s="11" t="s">
        <v>508</v>
      </c>
      <c r="G9" s="34" t="s">
        <v>169</v>
      </c>
      <c r="H9" s="34" t="s">
        <v>170</v>
      </c>
      <c r="I9" s="34" t="s">
        <v>171</v>
      </c>
      <c r="J9" s="36"/>
      <c r="K9" s="13" t="str">
        <f>"52,5"</f>
        <v>52,5</v>
      </c>
      <c r="L9" s="13" t="str">
        <f>"66,3337"</f>
        <v>66,3337</v>
      </c>
      <c r="M9" s="11"/>
    </row>
    <row r="10" spans="1:13">
      <c r="A10" s="39" t="s">
        <v>134</v>
      </c>
      <c r="B10" s="14" t="s">
        <v>291</v>
      </c>
      <c r="C10" s="14" t="s">
        <v>292</v>
      </c>
      <c r="D10" s="14" t="s">
        <v>293</v>
      </c>
      <c r="E10" s="15" t="s">
        <v>526</v>
      </c>
      <c r="F10" s="14" t="s">
        <v>488</v>
      </c>
      <c r="G10" s="37" t="s">
        <v>29</v>
      </c>
      <c r="H10" s="37" t="s">
        <v>140</v>
      </c>
      <c r="I10" s="37" t="s">
        <v>169</v>
      </c>
      <c r="J10" s="39"/>
      <c r="K10" s="16" t="str">
        <f>"47,5"</f>
        <v>47,5</v>
      </c>
      <c r="L10" s="16" t="str">
        <f>"60,6528"</f>
        <v>60,6528</v>
      </c>
      <c r="M10" s="14"/>
    </row>
    <row r="11" spans="1:13">
      <c r="A11" s="39" t="s">
        <v>135</v>
      </c>
      <c r="B11" s="14" t="s">
        <v>294</v>
      </c>
      <c r="C11" s="14" t="s">
        <v>295</v>
      </c>
      <c r="D11" s="14" t="s">
        <v>296</v>
      </c>
      <c r="E11" s="15" t="s">
        <v>526</v>
      </c>
      <c r="F11" s="14" t="s">
        <v>488</v>
      </c>
      <c r="G11" s="37" t="s">
        <v>29</v>
      </c>
      <c r="H11" s="38" t="s">
        <v>140</v>
      </c>
      <c r="I11" s="38" t="s">
        <v>140</v>
      </c>
      <c r="J11" s="39"/>
      <c r="K11" s="16" t="str">
        <f>"42,5"</f>
        <v>42,5</v>
      </c>
      <c r="L11" s="16" t="str">
        <f>"54,5147"</f>
        <v>54,5147</v>
      </c>
      <c r="M11" s="14" t="s">
        <v>512</v>
      </c>
    </row>
    <row r="12" spans="1:13">
      <c r="A12" s="42" t="s">
        <v>133</v>
      </c>
      <c r="B12" s="17" t="s">
        <v>143</v>
      </c>
      <c r="C12" s="17" t="s">
        <v>449</v>
      </c>
      <c r="D12" s="17" t="s">
        <v>144</v>
      </c>
      <c r="E12" s="18" t="s">
        <v>525</v>
      </c>
      <c r="F12" s="17" t="s">
        <v>145</v>
      </c>
      <c r="G12" s="40" t="s">
        <v>146</v>
      </c>
      <c r="H12" s="41" t="s">
        <v>147</v>
      </c>
      <c r="I12" s="41" t="s">
        <v>147</v>
      </c>
      <c r="J12" s="42"/>
      <c r="K12" s="19" t="str">
        <f>"62,5"</f>
        <v>62,5</v>
      </c>
      <c r="L12" s="19" t="str">
        <f>"79,1237"</f>
        <v>79,1237</v>
      </c>
      <c r="M12" s="17"/>
    </row>
    <row r="14" spans="1:13" ht="16">
      <c r="A14" s="69" t="s">
        <v>149</v>
      </c>
      <c r="B14" s="69"/>
      <c r="C14" s="70"/>
      <c r="D14" s="70"/>
      <c r="E14" s="70"/>
      <c r="F14" s="70"/>
      <c r="G14" s="70"/>
      <c r="H14" s="70"/>
      <c r="I14" s="70"/>
      <c r="J14" s="70"/>
    </row>
    <row r="15" spans="1:13">
      <c r="A15" s="36" t="s">
        <v>133</v>
      </c>
      <c r="B15" s="11" t="s">
        <v>297</v>
      </c>
      <c r="C15" s="11" t="s">
        <v>298</v>
      </c>
      <c r="D15" s="11" t="s">
        <v>299</v>
      </c>
      <c r="E15" s="12" t="s">
        <v>526</v>
      </c>
      <c r="F15" s="11" t="s">
        <v>488</v>
      </c>
      <c r="G15" s="34" t="s">
        <v>154</v>
      </c>
      <c r="H15" s="34" t="s">
        <v>146</v>
      </c>
      <c r="I15" s="35" t="s">
        <v>176</v>
      </c>
      <c r="J15" s="36"/>
      <c r="K15" s="13" t="str">
        <f>"62,5"</f>
        <v>62,5</v>
      </c>
      <c r="L15" s="13" t="str">
        <f>"75,4438"</f>
        <v>75,4438</v>
      </c>
      <c r="M15" s="11"/>
    </row>
    <row r="16" spans="1:13">
      <c r="A16" s="42" t="s">
        <v>133</v>
      </c>
      <c r="B16" s="17" t="s">
        <v>300</v>
      </c>
      <c r="C16" s="17" t="s">
        <v>455</v>
      </c>
      <c r="D16" s="17" t="s">
        <v>301</v>
      </c>
      <c r="E16" s="18" t="s">
        <v>529</v>
      </c>
      <c r="F16" s="17" t="s">
        <v>302</v>
      </c>
      <c r="G16" s="40" t="s">
        <v>171</v>
      </c>
      <c r="H16" s="41" t="s">
        <v>181</v>
      </c>
      <c r="I16" s="41" t="s">
        <v>181</v>
      </c>
      <c r="J16" s="42"/>
      <c r="K16" s="19" t="str">
        <f>"52,5"</f>
        <v>52,5</v>
      </c>
      <c r="L16" s="19" t="str">
        <f>"69,2551"</f>
        <v>69,2551</v>
      </c>
      <c r="M16" s="17" t="s">
        <v>513</v>
      </c>
    </row>
    <row r="18" spans="1:13" ht="16">
      <c r="A18" s="69" t="s">
        <v>11</v>
      </c>
      <c r="B18" s="69"/>
      <c r="C18" s="70"/>
      <c r="D18" s="70"/>
      <c r="E18" s="70"/>
      <c r="F18" s="70"/>
      <c r="G18" s="70"/>
      <c r="H18" s="70"/>
      <c r="I18" s="70"/>
      <c r="J18" s="70"/>
    </row>
    <row r="19" spans="1:13">
      <c r="A19" s="36" t="s">
        <v>133</v>
      </c>
      <c r="B19" s="11" t="s">
        <v>303</v>
      </c>
      <c r="C19" s="11" t="s">
        <v>304</v>
      </c>
      <c r="D19" s="11" t="s">
        <v>160</v>
      </c>
      <c r="E19" s="12" t="s">
        <v>526</v>
      </c>
      <c r="F19" s="11" t="s">
        <v>302</v>
      </c>
      <c r="G19" s="34" t="s">
        <v>153</v>
      </c>
      <c r="H19" s="34" t="s">
        <v>154</v>
      </c>
      <c r="I19" s="34" t="s">
        <v>146</v>
      </c>
      <c r="J19" s="36"/>
      <c r="K19" s="13" t="str">
        <f>"62,5"</f>
        <v>62,5</v>
      </c>
      <c r="L19" s="13" t="str">
        <f>"70,8750"</f>
        <v>70,8750</v>
      </c>
      <c r="M19" s="11" t="s">
        <v>513</v>
      </c>
    </row>
    <row r="20" spans="1:13">
      <c r="A20" s="42" t="s">
        <v>133</v>
      </c>
      <c r="B20" s="17" t="s">
        <v>305</v>
      </c>
      <c r="C20" s="17" t="s">
        <v>456</v>
      </c>
      <c r="D20" s="17" t="s">
        <v>306</v>
      </c>
      <c r="E20" s="18" t="s">
        <v>525</v>
      </c>
      <c r="F20" s="17" t="s">
        <v>307</v>
      </c>
      <c r="G20" s="41" t="s">
        <v>147</v>
      </c>
      <c r="H20" s="40" t="s">
        <v>147</v>
      </c>
      <c r="I20" s="41" t="s">
        <v>139</v>
      </c>
      <c r="J20" s="42"/>
      <c r="K20" s="19" t="str">
        <f>"67,5"</f>
        <v>67,5</v>
      </c>
      <c r="L20" s="19" t="str">
        <f>"79,7569"</f>
        <v>79,7569</v>
      </c>
      <c r="M20" s="17" t="s">
        <v>514</v>
      </c>
    </row>
    <row r="22" spans="1:13" ht="16">
      <c r="A22" s="69" t="s">
        <v>33</v>
      </c>
      <c r="B22" s="69"/>
      <c r="C22" s="70"/>
      <c r="D22" s="70"/>
      <c r="E22" s="70"/>
      <c r="F22" s="70"/>
      <c r="G22" s="70"/>
      <c r="H22" s="70"/>
      <c r="I22" s="70"/>
      <c r="J22" s="70"/>
    </row>
    <row r="23" spans="1:13">
      <c r="A23" s="36" t="s">
        <v>133</v>
      </c>
      <c r="B23" s="11" t="s">
        <v>308</v>
      </c>
      <c r="C23" s="11" t="s">
        <v>309</v>
      </c>
      <c r="D23" s="11" t="s">
        <v>310</v>
      </c>
      <c r="E23" s="12" t="s">
        <v>526</v>
      </c>
      <c r="F23" s="11" t="s">
        <v>488</v>
      </c>
      <c r="G23" s="34" t="s">
        <v>154</v>
      </c>
      <c r="H23" s="34" t="s">
        <v>176</v>
      </c>
      <c r="I23" s="34" t="s">
        <v>139</v>
      </c>
      <c r="J23" s="36"/>
      <c r="K23" s="13" t="str">
        <f>"70,0"</f>
        <v>70,0</v>
      </c>
      <c r="L23" s="13" t="str">
        <f>"74,0320"</f>
        <v>74,0320</v>
      </c>
      <c r="M23" s="11"/>
    </row>
    <row r="24" spans="1:13">
      <c r="A24" s="39" t="s">
        <v>134</v>
      </c>
      <c r="B24" s="14" t="s">
        <v>311</v>
      </c>
      <c r="C24" s="14" t="s">
        <v>312</v>
      </c>
      <c r="D24" s="14" t="s">
        <v>313</v>
      </c>
      <c r="E24" s="15" t="s">
        <v>526</v>
      </c>
      <c r="F24" s="14" t="s">
        <v>488</v>
      </c>
      <c r="G24" s="37" t="s">
        <v>176</v>
      </c>
      <c r="H24" s="37" t="s">
        <v>147</v>
      </c>
      <c r="I24" s="38" t="s">
        <v>139</v>
      </c>
      <c r="J24" s="39"/>
      <c r="K24" s="16" t="str">
        <f>"67,5"</f>
        <v>67,5</v>
      </c>
      <c r="L24" s="16" t="str">
        <f>"69,1875"</f>
        <v>69,1875</v>
      </c>
      <c r="M24" s="14" t="s">
        <v>316</v>
      </c>
    </row>
    <row r="25" spans="1:13">
      <c r="A25" s="39" t="s">
        <v>135</v>
      </c>
      <c r="B25" s="14" t="s">
        <v>178</v>
      </c>
      <c r="C25" s="14" t="s">
        <v>179</v>
      </c>
      <c r="D25" s="14" t="s">
        <v>180</v>
      </c>
      <c r="E25" s="15" t="s">
        <v>526</v>
      </c>
      <c r="F25" s="14" t="s">
        <v>488</v>
      </c>
      <c r="G25" s="37" t="s">
        <v>181</v>
      </c>
      <c r="H25" s="37" t="s">
        <v>153</v>
      </c>
      <c r="I25" s="38" t="s">
        <v>154</v>
      </c>
      <c r="J25" s="39"/>
      <c r="K25" s="16" t="str">
        <f>"57,5"</f>
        <v>57,5</v>
      </c>
      <c r="L25" s="16" t="str">
        <f>"60,3923"</f>
        <v>60,3923</v>
      </c>
      <c r="M25" s="14" t="s">
        <v>515</v>
      </c>
    </row>
    <row r="26" spans="1:13">
      <c r="A26" s="39" t="s">
        <v>366</v>
      </c>
      <c r="B26" s="14" t="s">
        <v>184</v>
      </c>
      <c r="C26" s="14" t="s">
        <v>185</v>
      </c>
      <c r="D26" s="14" t="s">
        <v>180</v>
      </c>
      <c r="E26" s="15" t="s">
        <v>526</v>
      </c>
      <c r="F26" s="14" t="s">
        <v>186</v>
      </c>
      <c r="G26" s="37" t="s">
        <v>140</v>
      </c>
      <c r="H26" s="38" t="s">
        <v>170</v>
      </c>
      <c r="I26" s="37" t="s">
        <v>170</v>
      </c>
      <c r="J26" s="39"/>
      <c r="K26" s="16" t="str">
        <f>"50,0"</f>
        <v>50,0</v>
      </c>
      <c r="L26" s="16" t="str">
        <f>"52,5150"</f>
        <v>52,5150</v>
      </c>
      <c r="M26" s="14"/>
    </row>
    <row r="27" spans="1:13">
      <c r="A27" s="42" t="s">
        <v>133</v>
      </c>
      <c r="B27" s="17" t="s">
        <v>314</v>
      </c>
      <c r="C27" s="17" t="s">
        <v>457</v>
      </c>
      <c r="D27" s="17" t="s">
        <v>315</v>
      </c>
      <c r="E27" s="18" t="s">
        <v>532</v>
      </c>
      <c r="F27" s="17" t="s">
        <v>488</v>
      </c>
      <c r="G27" s="40" t="s">
        <v>170</v>
      </c>
      <c r="H27" s="40" t="s">
        <v>171</v>
      </c>
      <c r="I27" s="40" t="s">
        <v>181</v>
      </c>
      <c r="J27" s="42"/>
      <c r="K27" s="19" t="str">
        <f>"55,0"</f>
        <v>55,0</v>
      </c>
      <c r="L27" s="19" t="str">
        <f>"65,3246"</f>
        <v>65,3246</v>
      </c>
      <c r="M27" s="17" t="s">
        <v>316</v>
      </c>
    </row>
    <row r="29" spans="1:13" ht="16">
      <c r="A29" s="69" t="s">
        <v>22</v>
      </c>
      <c r="B29" s="69"/>
      <c r="C29" s="70"/>
      <c r="D29" s="70"/>
      <c r="E29" s="70"/>
      <c r="F29" s="70"/>
      <c r="G29" s="70"/>
      <c r="H29" s="70"/>
      <c r="I29" s="70"/>
      <c r="J29" s="70"/>
    </row>
    <row r="30" spans="1:13">
      <c r="A30" s="32" t="s">
        <v>133</v>
      </c>
      <c r="B30" s="8" t="s">
        <v>317</v>
      </c>
      <c r="C30" s="8" t="s">
        <v>458</v>
      </c>
      <c r="D30" s="8" t="s">
        <v>206</v>
      </c>
      <c r="E30" s="9" t="s">
        <v>529</v>
      </c>
      <c r="F30" s="8" t="s">
        <v>488</v>
      </c>
      <c r="G30" s="31" t="s">
        <v>181</v>
      </c>
      <c r="H30" s="31" t="s">
        <v>153</v>
      </c>
      <c r="I30" s="31" t="s">
        <v>154</v>
      </c>
      <c r="J30" s="32"/>
      <c r="K30" s="10" t="str">
        <f>"60,0"</f>
        <v>60,0</v>
      </c>
      <c r="L30" s="10" t="str">
        <f>"65,1757"</f>
        <v>65,1757</v>
      </c>
      <c r="M30" s="8"/>
    </row>
    <row r="32" spans="1:13" ht="16">
      <c r="A32" s="69" t="s">
        <v>22</v>
      </c>
      <c r="B32" s="69"/>
      <c r="C32" s="70"/>
      <c r="D32" s="70"/>
      <c r="E32" s="70"/>
      <c r="F32" s="70"/>
      <c r="G32" s="70"/>
      <c r="H32" s="70"/>
      <c r="I32" s="70"/>
      <c r="J32" s="70"/>
    </row>
    <row r="33" spans="1:13">
      <c r="A33" s="36" t="s">
        <v>133</v>
      </c>
      <c r="B33" s="11" t="s">
        <v>318</v>
      </c>
      <c r="C33" s="11" t="s">
        <v>319</v>
      </c>
      <c r="D33" s="11" t="s">
        <v>320</v>
      </c>
      <c r="E33" s="12" t="s">
        <v>526</v>
      </c>
      <c r="F33" s="11" t="s">
        <v>488</v>
      </c>
      <c r="G33" s="34" t="s">
        <v>20</v>
      </c>
      <c r="H33" s="34" t="s">
        <v>164</v>
      </c>
      <c r="I33" s="35" t="s">
        <v>21</v>
      </c>
      <c r="J33" s="36"/>
      <c r="K33" s="13" t="str">
        <f>"145,0"</f>
        <v>145,0</v>
      </c>
      <c r="L33" s="13" t="str">
        <f>"106,1690"</f>
        <v>106,1690</v>
      </c>
      <c r="M33" s="11"/>
    </row>
    <row r="34" spans="1:13">
      <c r="A34" s="39" t="s">
        <v>133</v>
      </c>
      <c r="B34" s="14" t="s">
        <v>321</v>
      </c>
      <c r="C34" s="14" t="s">
        <v>459</v>
      </c>
      <c r="D34" s="14" t="s">
        <v>209</v>
      </c>
      <c r="E34" s="15" t="s">
        <v>529</v>
      </c>
      <c r="F34" s="14" t="s">
        <v>488</v>
      </c>
      <c r="G34" s="37" t="s">
        <v>15</v>
      </c>
      <c r="H34" s="37" t="s">
        <v>148</v>
      </c>
      <c r="I34" s="37" t="s">
        <v>183</v>
      </c>
      <c r="J34" s="39"/>
      <c r="K34" s="16" t="str">
        <f>"122,5"</f>
        <v>122,5</v>
      </c>
      <c r="L34" s="16" t="str">
        <f>"100,3277"</f>
        <v>100,3277</v>
      </c>
      <c r="M34" s="14"/>
    </row>
    <row r="35" spans="1:13">
      <c r="A35" s="42" t="s">
        <v>134</v>
      </c>
      <c r="B35" s="17" t="s">
        <v>322</v>
      </c>
      <c r="C35" s="17" t="s">
        <v>460</v>
      </c>
      <c r="D35" s="17" t="s">
        <v>323</v>
      </c>
      <c r="E35" s="18" t="s">
        <v>529</v>
      </c>
      <c r="F35" s="17" t="s">
        <v>488</v>
      </c>
      <c r="G35" s="40" t="s">
        <v>92</v>
      </c>
      <c r="H35" s="40" t="s">
        <v>182</v>
      </c>
      <c r="I35" s="41" t="s">
        <v>15</v>
      </c>
      <c r="J35" s="42"/>
      <c r="K35" s="19" t="str">
        <f>"112,5"</f>
        <v>112,5</v>
      </c>
      <c r="L35" s="19" t="str">
        <f>"88,2705"</f>
        <v>88,2705</v>
      </c>
      <c r="M35" s="17"/>
    </row>
    <row r="37" spans="1:13" ht="16">
      <c r="A37" s="69" t="s">
        <v>50</v>
      </c>
      <c r="B37" s="69"/>
      <c r="C37" s="70"/>
      <c r="D37" s="70"/>
      <c r="E37" s="70"/>
      <c r="F37" s="70"/>
      <c r="G37" s="70"/>
      <c r="H37" s="70"/>
      <c r="I37" s="70"/>
      <c r="J37" s="70"/>
    </row>
    <row r="38" spans="1:13">
      <c r="A38" s="36" t="s">
        <v>133</v>
      </c>
      <c r="B38" s="11" t="s">
        <v>324</v>
      </c>
      <c r="C38" s="11" t="s">
        <v>325</v>
      </c>
      <c r="D38" s="11" t="s">
        <v>326</v>
      </c>
      <c r="E38" s="12" t="s">
        <v>526</v>
      </c>
      <c r="F38" s="11" t="s">
        <v>488</v>
      </c>
      <c r="G38" s="34" t="s">
        <v>84</v>
      </c>
      <c r="H38" s="35" t="s">
        <v>210</v>
      </c>
      <c r="I38" s="35" t="s">
        <v>200</v>
      </c>
      <c r="J38" s="36"/>
      <c r="K38" s="13" t="str">
        <f>"142,5"</f>
        <v>142,5</v>
      </c>
      <c r="L38" s="13" t="str">
        <f>"98,5530"</f>
        <v>98,5530</v>
      </c>
      <c r="M38" s="11"/>
    </row>
    <row r="39" spans="1:13">
      <c r="A39" s="42" t="s">
        <v>134</v>
      </c>
      <c r="B39" s="17" t="s">
        <v>327</v>
      </c>
      <c r="C39" s="17" t="s">
        <v>328</v>
      </c>
      <c r="D39" s="17" t="s">
        <v>329</v>
      </c>
      <c r="E39" s="18" t="s">
        <v>526</v>
      </c>
      <c r="F39" s="17" t="s">
        <v>490</v>
      </c>
      <c r="G39" s="41" t="s">
        <v>91</v>
      </c>
      <c r="H39" s="41" t="s">
        <v>92</v>
      </c>
      <c r="I39" s="40" t="s">
        <v>92</v>
      </c>
      <c r="J39" s="42"/>
      <c r="K39" s="19" t="str">
        <f>"105,0"</f>
        <v>105,0</v>
      </c>
      <c r="L39" s="19" t="str">
        <f>"71,5680"</f>
        <v>71,5680</v>
      </c>
      <c r="M39" s="17"/>
    </row>
    <row r="41" spans="1:13" ht="16">
      <c r="A41" s="69" t="s">
        <v>61</v>
      </c>
      <c r="B41" s="69"/>
      <c r="C41" s="70"/>
      <c r="D41" s="70"/>
      <c r="E41" s="70"/>
      <c r="F41" s="70"/>
      <c r="G41" s="70"/>
      <c r="H41" s="70"/>
      <c r="I41" s="70"/>
      <c r="J41" s="70"/>
    </row>
    <row r="42" spans="1:13">
      <c r="A42" s="36" t="s">
        <v>133</v>
      </c>
      <c r="B42" s="11" t="s">
        <v>330</v>
      </c>
      <c r="C42" s="11" t="s">
        <v>331</v>
      </c>
      <c r="D42" s="11" t="s">
        <v>332</v>
      </c>
      <c r="E42" s="12" t="s">
        <v>528</v>
      </c>
      <c r="F42" s="11" t="s">
        <v>488</v>
      </c>
      <c r="G42" s="34" t="s">
        <v>91</v>
      </c>
      <c r="H42" s="35" t="s">
        <v>92</v>
      </c>
      <c r="I42" s="35" t="s">
        <v>46</v>
      </c>
      <c r="J42" s="36"/>
      <c r="K42" s="13" t="str">
        <f>"100,0"</f>
        <v>100,0</v>
      </c>
      <c r="L42" s="13" t="str">
        <f>"64,4000"</f>
        <v>64,4000</v>
      </c>
      <c r="M42" s="11"/>
    </row>
    <row r="43" spans="1:13">
      <c r="A43" s="39" t="s">
        <v>133</v>
      </c>
      <c r="B43" s="14" t="s">
        <v>333</v>
      </c>
      <c r="C43" s="14" t="s">
        <v>334</v>
      </c>
      <c r="D43" s="14" t="s">
        <v>335</v>
      </c>
      <c r="E43" s="15" t="s">
        <v>526</v>
      </c>
      <c r="F43" s="14" t="s">
        <v>336</v>
      </c>
      <c r="G43" s="37" t="s">
        <v>67</v>
      </c>
      <c r="H43" s="38" t="s">
        <v>58</v>
      </c>
      <c r="I43" s="38" t="s">
        <v>58</v>
      </c>
      <c r="J43" s="39"/>
      <c r="K43" s="16" t="str">
        <f>"160,0"</f>
        <v>160,0</v>
      </c>
      <c r="L43" s="16" t="str">
        <f>"103,1520"</f>
        <v>103,1520</v>
      </c>
      <c r="M43" s="14"/>
    </row>
    <row r="44" spans="1:13">
      <c r="A44" s="39" t="s">
        <v>134</v>
      </c>
      <c r="B44" s="14" t="s">
        <v>337</v>
      </c>
      <c r="C44" s="14" t="s">
        <v>338</v>
      </c>
      <c r="D44" s="14" t="s">
        <v>339</v>
      </c>
      <c r="E44" s="15" t="s">
        <v>526</v>
      </c>
      <c r="F44" s="14" t="s">
        <v>509</v>
      </c>
      <c r="G44" s="37" t="s">
        <v>164</v>
      </c>
      <c r="H44" s="37" t="s">
        <v>200</v>
      </c>
      <c r="I44" s="38" t="s">
        <v>108</v>
      </c>
      <c r="J44" s="39"/>
      <c r="K44" s="16" t="str">
        <f>"152,5"</f>
        <v>152,5</v>
      </c>
      <c r="L44" s="16" t="str">
        <f>"98,5608"</f>
        <v>98,5608</v>
      </c>
      <c r="M44" s="14"/>
    </row>
    <row r="45" spans="1:13">
      <c r="A45" s="39" t="s">
        <v>135</v>
      </c>
      <c r="B45" s="14" t="s">
        <v>340</v>
      </c>
      <c r="C45" s="14" t="s">
        <v>341</v>
      </c>
      <c r="D45" s="14" t="s">
        <v>81</v>
      </c>
      <c r="E45" s="15" t="s">
        <v>526</v>
      </c>
      <c r="F45" s="14" t="s">
        <v>488</v>
      </c>
      <c r="G45" s="37" t="s">
        <v>162</v>
      </c>
      <c r="H45" s="37" t="s">
        <v>163</v>
      </c>
      <c r="I45" s="38" t="s">
        <v>83</v>
      </c>
      <c r="J45" s="39"/>
      <c r="K45" s="16" t="str">
        <f>"137,5"</f>
        <v>137,5</v>
      </c>
      <c r="L45" s="16" t="str">
        <f>"88,1375"</f>
        <v>88,1375</v>
      </c>
      <c r="M45" s="14"/>
    </row>
    <row r="46" spans="1:13">
      <c r="A46" s="39" t="s">
        <v>366</v>
      </c>
      <c r="B46" s="14" t="s">
        <v>342</v>
      </c>
      <c r="C46" s="14" t="s">
        <v>343</v>
      </c>
      <c r="D46" s="14" t="s">
        <v>344</v>
      </c>
      <c r="E46" s="15" t="s">
        <v>526</v>
      </c>
      <c r="F46" s="14" t="s">
        <v>488</v>
      </c>
      <c r="G46" s="37" t="s">
        <v>183</v>
      </c>
      <c r="H46" s="38" t="s">
        <v>162</v>
      </c>
      <c r="I46" s="38" t="s">
        <v>162</v>
      </c>
      <c r="J46" s="39"/>
      <c r="K46" s="16" t="str">
        <f>"122,5"</f>
        <v>122,5</v>
      </c>
      <c r="L46" s="16" t="str">
        <f>"79,7107"</f>
        <v>79,7107</v>
      </c>
      <c r="M46" s="14"/>
    </row>
    <row r="47" spans="1:13">
      <c r="A47" s="39" t="s">
        <v>367</v>
      </c>
      <c r="B47" s="14" t="s">
        <v>345</v>
      </c>
      <c r="C47" s="14" t="s">
        <v>346</v>
      </c>
      <c r="D47" s="14" t="s">
        <v>347</v>
      </c>
      <c r="E47" s="15" t="s">
        <v>526</v>
      </c>
      <c r="F47" s="14" t="s">
        <v>488</v>
      </c>
      <c r="G47" s="37" t="s">
        <v>30</v>
      </c>
      <c r="H47" s="37" t="s">
        <v>31</v>
      </c>
      <c r="I47" s="37" t="s">
        <v>32</v>
      </c>
      <c r="J47" s="39"/>
      <c r="K47" s="16" t="str">
        <f>"92,5"</f>
        <v>92,5</v>
      </c>
      <c r="L47" s="16" t="str">
        <f>"59,4590"</f>
        <v>59,4590</v>
      </c>
      <c r="M47" s="14"/>
    </row>
    <row r="48" spans="1:13">
      <c r="A48" s="39" t="s">
        <v>133</v>
      </c>
      <c r="B48" s="14" t="s">
        <v>333</v>
      </c>
      <c r="C48" s="14" t="s">
        <v>461</v>
      </c>
      <c r="D48" s="14" t="s">
        <v>335</v>
      </c>
      <c r="E48" s="15" t="s">
        <v>525</v>
      </c>
      <c r="F48" s="14" t="s">
        <v>510</v>
      </c>
      <c r="G48" s="37" t="s">
        <v>67</v>
      </c>
      <c r="H48" s="38" t="s">
        <v>58</v>
      </c>
      <c r="I48" s="38" t="s">
        <v>58</v>
      </c>
      <c r="J48" s="39"/>
      <c r="K48" s="16" t="str">
        <f>"160,0"</f>
        <v>160,0</v>
      </c>
      <c r="L48" s="16" t="str">
        <f>"106,0403"</f>
        <v>106,0403</v>
      </c>
      <c r="M48" s="14"/>
    </row>
    <row r="49" spans="1:13">
      <c r="A49" s="39" t="s">
        <v>133</v>
      </c>
      <c r="B49" s="14" t="s">
        <v>348</v>
      </c>
      <c r="C49" s="14" t="s">
        <v>462</v>
      </c>
      <c r="D49" s="14" t="s">
        <v>349</v>
      </c>
      <c r="E49" s="15" t="s">
        <v>529</v>
      </c>
      <c r="F49" s="14" t="s">
        <v>488</v>
      </c>
      <c r="G49" s="37" t="s">
        <v>48</v>
      </c>
      <c r="H49" s="37" t="s">
        <v>91</v>
      </c>
      <c r="I49" s="38" t="s">
        <v>46</v>
      </c>
      <c r="J49" s="39"/>
      <c r="K49" s="16" t="str">
        <f>"100,0"</f>
        <v>100,0</v>
      </c>
      <c r="L49" s="16" t="str">
        <f>"72,1074"</f>
        <v>72,1074</v>
      </c>
      <c r="M49" s="14"/>
    </row>
    <row r="50" spans="1:13">
      <c r="A50" s="42" t="s">
        <v>133</v>
      </c>
      <c r="B50" s="17" t="s">
        <v>350</v>
      </c>
      <c r="C50" s="17" t="s">
        <v>463</v>
      </c>
      <c r="D50" s="17" t="s">
        <v>344</v>
      </c>
      <c r="E50" s="18" t="s">
        <v>531</v>
      </c>
      <c r="F50" s="17" t="s">
        <v>488</v>
      </c>
      <c r="G50" s="41" t="s">
        <v>210</v>
      </c>
      <c r="H50" s="40" t="s">
        <v>21</v>
      </c>
      <c r="I50" s="40" t="s">
        <v>200</v>
      </c>
      <c r="J50" s="42"/>
      <c r="K50" s="19" t="str">
        <f>"152,5"</f>
        <v>152,5</v>
      </c>
      <c r="L50" s="19" t="str">
        <f>"142,8937"</f>
        <v>142,8937</v>
      </c>
      <c r="M50" s="17"/>
    </row>
    <row r="52" spans="1:13" ht="16">
      <c r="A52" s="69" t="s">
        <v>87</v>
      </c>
      <c r="B52" s="69"/>
      <c r="C52" s="70"/>
      <c r="D52" s="70"/>
      <c r="E52" s="70"/>
      <c r="F52" s="70"/>
      <c r="G52" s="70"/>
      <c r="H52" s="70"/>
      <c r="I52" s="70"/>
      <c r="J52" s="70"/>
    </row>
    <row r="53" spans="1:13">
      <c r="A53" s="36" t="s">
        <v>133</v>
      </c>
      <c r="B53" s="11" t="s">
        <v>351</v>
      </c>
      <c r="C53" s="11" t="s">
        <v>464</v>
      </c>
      <c r="D53" s="11" t="s">
        <v>352</v>
      </c>
      <c r="E53" s="12" t="s">
        <v>524</v>
      </c>
      <c r="F53" s="11" t="s">
        <v>353</v>
      </c>
      <c r="G53" s="35" t="s">
        <v>21</v>
      </c>
      <c r="H53" s="34" t="s">
        <v>21</v>
      </c>
      <c r="I53" s="34" t="s">
        <v>108</v>
      </c>
      <c r="J53" s="36"/>
      <c r="K53" s="13" t="str">
        <f>"155,0"</f>
        <v>155,0</v>
      </c>
      <c r="L53" s="13" t="str">
        <f>"96,2705"</f>
        <v>96,2705</v>
      </c>
      <c r="M53" s="11"/>
    </row>
    <row r="54" spans="1:13">
      <c r="A54" s="39" t="s">
        <v>133</v>
      </c>
      <c r="B54" s="14" t="s">
        <v>354</v>
      </c>
      <c r="C54" s="14" t="s">
        <v>355</v>
      </c>
      <c r="D54" s="14" t="s">
        <v>356</v>
      </c>
      <c r="E54" s="15" t="s">
        <v>526</v>
      </c>
      <c r="F54" s="14" t="s">
        <v>511</v>
      </c>
      <c r="G54" s="37" t="s">
        <v>90</v>
      </c>
      <c r="H54" s="37" t="s">
        <v>113</v>
      </c>
      <c r="I54" s="38" t="s">
        <v>41</v>
      </c>
      <c r="J54" s="39"/>
      <c r="K54" s="16" t="str">
        <f>"210,0"</f>
        <v>210,0</v>
      </c>
      <c r="L54" s="16" t="str">
        <f>"129,0240"</f>
        <v>129,0240</v>
      </c>
      <c r="M54" s="14"/>
    </row>
    <row r="55" spans="1:13">
      <c r="A55" s="39" t="s">
        <v>134</v>
      </c>
      <c r="B55" s="14" t="s">
        <v>357</v>
      </c>
      <c r="C55" s="14" t="s">
        <v>358</v>
      </c>
      <c r="D55" s="14" t="s">
        <v>359</v>
      </c>
      <c r="E55" s="15" t="s">
        <v>526</v>
      </c>
      <c r="F55" s="14" t="s">
        <v>488</v>
      </c>
      <c r="G55" s="37" t="s">
        <v>162</v>
      </c>
      <c r="H55" s="37" t="s">
        <v>84</v>
      </c>
      <c r="I55" s="37" t="s">
        <v>164</v>
      </c>
      <c r="J55" s="39"/>
      <c r="K55" s="16" t="str">
        <f>"145,0"</f>
        <v>145,0</v>
      </c>
      <c r="L55" s="16" t="str">
        <f>"88,7545"</f>
        <v>88,7545</v>
      </c>
      <c r="M55" s="14"/>
    </row>
    <row r="56" spans="1:13">
      <c r="A56" s="42" t="s">
        <v>133</v>
      </c>
      <c r="B56" s="17" t="s">
        <v>360</v>
      </c>
      <c r="C56" s="17" t="s">
        <v>465</v>
      </c>
      <c r="D56" s="17" t="s">
        <v>361</v>
      </c>
      <c r="E56" s="18" t="s">
        <v>525</v>
      </c>
      <c r="F56" s="17" t="s">
        <v>488</v>
      </c>
      <c r="G56" s="40" t="s">
        <v>172</v>
      </c>
      <c r="H56" s="40" t="s">
        <v>148</v>
      </c>
      <c r="I56" s="41" t="s">
        <v>16</v>
      </c>
      <c r="J56" s="42"/>
      <c r="K56" s="19" t="str">
        <f>"120,0"</f>
        <v>120,0</v>
      </c>
      <c r="L56" s="19" t="str">
        <f>"75,5680"</f>
        <v>75,5680</v>
      </c>
      <c r="M56" s="17" t="s">
        <v>516</v>
      </c>
    </row>
    <row r="58" spans="1:13" ht="16">
      <c r="A58" s="69" t="s">
        <v>362</v>
      </c>
      <c r="B58" s="69"/>
      <c r="C58" s="70"/>
      <c r="D58" s="70"/>
      <c r="E58" s="70"/>
      <c r="F58" s="70"/>
      <c r="G58" s="70"/>
      <c r="H58" s="70"/>
      <c r="I58" s="70"/>
      <c r="J58" s="70"/>
    </row>
    <row r="59" spans="1:13">
      <c r="A59" s="32" t="s">
        <v>133</v>
      </c>
      <c r="B59" s="8" t="s">
        <v>363</v>
      </c>
      <c r="C59" s="8" t="s">
        <v>364</v>
      </c>
      <c r="D59" s="8" t="s">
        <v>365</v>
      </c>
      <c r="E59" s="9" t="s">
        <v>528</v>
      </c>
      <c r="F59" s="8" t="s">
        <v>488</v>
      </c>
      <c r="G59" s="31" t="s">
        <v>47</v>
      </c>
      <c r="H59" s="31" t="s">
        <v>48</v>
      </c>
      <c r="I59" s="31" t="s">
        <v>91</v>
      </c>
      <c r="J59" s="32"/>
      <c r="K59" s="10" t="str">
        <f>"100,0"</f>
        <v>100,0</v>
      </c>
      <c r="L59" s="10" t="str">
        <f>"56,7500"</f>
        <v>56,7500</v>
      </c>
      <c r="M59" s="8"/>
    </row>
    <row r="61" spans="1:13" ht="16">
      <c r="F61" s="21"/>
      <c r="G61" s="6"/>
      <c r="K61" s="29"/>
      <c r="M61" s="7"/>
    </row>
    <row r="62" spans="1:13">
      <c r="G62" s="6"/>
      <c r="K62" s="29"/>
      <c r="M62" s="7"/>
    </row>
    <row r="63" spans="1:13" ht="18">
      <c r="B63" s="22" t="s">
        <v>117</v>
      </c>
      <c r="C63" s="22"/>
      <c r="G63" s="3"/>
      <c r="K63" s="29"/>
      <c r="M63" s="7"/>
    </row>
    <row r="64" spans="1:13" ht="16">
      <c r="B64" s="23" t="s">
        <v>118</v>
      </c>
      <c r="C64" s="23"/>
      <c r="G64" s="3"/>
      <c r="K64" s="29"/>
      <c r="M64" s="7"/>
    </row>
    <row r="65" spans="2:13" ht="14">
      <c r="B65" s="24"/>
      <c r="C65" s="25" t="s">
        <v>124</v>
      </c>
      <c r="G65" s="3"/>
      <c r="K65" s="29"/>
      <c r="M65" s="7"/>
    </row>
    <row r="66" spans="2:13" ht="14">
      <c r="B66" s="26" t="s">
        <v>119</v>
      </c>
      <c r="C66" s="26" t="s">
        <v>120</v>
      </c>
      <c r="D66" s="26" t="s">
        <v>489</v>
      </c>
      <c r="E66" s="27" t="s">
        <v>281</v>
      </c>
      <c r="F66" s="26" t="s">
        <v>122</v>
      </c>
      <c r="G66" s="3"/>
      <c r="K66" s="29"/>
      <c r="M66" s="7"/>
    </row>
    <row r="67" spans="2:13">
      <c r="B67" s="6" t="s">
        <v>297</v>
      </c>
      <c r="C67" s="6" t="s">
        <v>124</v>
      </c>
      <c r="D67" s="29" t="s">
        <v>233</v>
      </c>
      <c r="E67" s="30">
        <v>62.5</v>
      </c>
      <c r="F67" s="28">
        <v>75.443752110004397</v>
      </c>
      <c r="G67" s="3"/>
      <c r="K67" s="29"/>
      <c r="M67" s="7"/>
    </row>
    <row r="68" spans="2:13">
      <c r="B68" s="6" t="s">
        <v>308</v>
      </c>
      <c r="C68" s="6" t="s">
        <v>124</v>
      </c>
      <c r="D68" s="29" t="s">
        <v>235</v>
      </c>
      <c r="E68" s="30">
        <v>70</v>
      </c>
      <c r="F68" s="28">
        <v>74.0320014953613</v>
      </c>
      <c r="G68" s="3"/>
      <c r="K68" s="29"/>
      <c r="M68" s="7"/>
    </row>
    <row r="69" spans="2:13">
      <c r="B69" s="6" t="s">
        <v>303</v>
      </c>
      <c r="C69" s="6" t="s">
        <v>124</v>
      </c>
      <c r="D69" s="29" t="s">
        <v>125</v>
      </c>
      <c r="E69" s="30">
        <v>62.5</v>
      </c>
      <c r="F69" s="28">
        <v>70.874996483326001</v>
      </c>
      <c r="G69" s="3"/>
      <c r="K69" s="29"/>
      <c r="M69" s="7"/>
    </row>
    <row r="70" spans="2:13">
      <c r="G70" s="3"/>
      <c r="K70" s="29"/>
      <c r="M70" s="7"/>
    </row>
    <row r="71" spans="2:13" ht="16">
      <c r="B71" s="23" t="s">
        <v>126</v>
      </c>
      <c r="C71" s="23"/>
      <c r="G71" s="3"/>
      <c r="K71" s="29"/>
      <c r="M71" s="7"/>
    </row>
    <row r="72" spans="2:13" ht="14">
      <c r="B72" s="24"/>
      <c r="C72" s="25" t="s">
        <v>124</v>
      </c>
      <c r="G72" s="3"/>
      <c r="K72" s="29"/>
      <c r="M72" s="7"/>
    </row>
    <row r="73" spans="2:13" ht="14">
      <c r="B73" s="26" t="s">
        <v>119</v>
      </c>
      <c r="C73" s="26" t="s">
        <v>120</v>
      </c>
      <c r="D73" s="26" t="s">
        <v>489</v>
      </c>
      <c r="E73" s="27" t="s">
        <v>281</v>
      </c>
      <c r="F73" s="26" t="s">
        <v>122</v>
      </c>
      <c r="G73" s="3"/>
      <c r="K73" s="29"/>
      <c r="M73" s="7"/>
    </row>
    <row r="74" spans="2:13">
      <c r="B74" s="6" t="s">
        <v>354</v>
      </c>
      <c r="C74" s="6" t="s">
        <v>124</v>
      </c>
      <c r="D74" s="29" t="s">
        <v>132</v>
      </c>
      <c r="E74" s="30">
        <v>210</v>
      </c>
      <c r="F74" s="28">
        <v>129.02400612831099</v>
      </c>
      <c r="G74" s="3"/>
      <c r="K74" s="29"/>
      <c r="M74" s="7"/>
    </row>
    <row r="75" spans="2:13">
      <c r="B75" s="6" t="s">
        <v>318</v>
      </c>
      <c r="C75" s="6" t="s">
        <v>124</v>
      </c>
      <c r="D75" s="29" t="s">
        <v>123</v>
      </c>
      <c r="E75" s="30">
        <v>145</v>
      </c>
      <c r="F75" s="28">
        <v>106.169003844261</v>
      </c>
      <c r="G75" s="3"/>
      <c r="K75" s="29"/>
      <c r="M75" s="7"/>
    </row>
    <row r="76" spans="2:13">
      <c r="B76" s="6" t="s">
        <v>333</v>
      </c>
      <c r="C76" s="6" t="s">
        <v>124</v>
      </c>
      <c r="D76" s="29" t="s">
        <v>127</v>
      </c>
      <c r="E76" s="30">
        <v>160</v>
      </c>
      <c r="F76" s="28">
        <v>103.15199851989701</v>
      </c>
      <c r="G76" s="3"/>
      <c r="K76" s="29"/>
      <c r="M76" s="7"/>
    </row>
    <row r="77" spans="2:13">
      <c r="G77" s="3"/>
      <c r="K77" s="29"/>
      <c r="M77" s="7"/>
    </row>
    <row r="78" spans="2:13" ht="14">
      <c r="B78" s="24"/>
      <c r="C78" s="25" t="s">
        <v>131</v>
      </c>
      <c r="G78" s="3"/>
      <c r="K78" s="29"/>
      <c r="M78" s="7"/>
    </row>
    <row r="79" spans="2:13" ht="14">
      <c r="B79" s="26" t="s">
        <v>119</v>
      </c>
      <c r="C79" s="26" t="s">
        <v>120</v>
      </c>
      <c r="D79" s="26" t="s">
        <v>489</v>
      </c>
      <c r="E79" s="27" t="s">
        <v>281</v>
      </c>
      <c r="F79" s="26" t="s">
        <v>122</v>
      </c>
      <c r="G79" s="3"/>
      <c r="K79" s="29"/>
      <c r="M79" s="7"/>
    </row>
    <row r="80" spans="2:13">
      <c r="B80" s="6" t="s">
        <v>350</v>
      </c>
      <c r="C80" s="6" t="s">
        <v>466</v>
      </c>
      <c r="D80" s="29" t="s">
        <v>127</v>
      </c>
      <c r="E80" s="30">
        <v>152.5</v>
      </c>
      <c r="F80" s="28">
        <v>142.89371409416199</v>
      </c>
      <c r="G80" s="3"/>
      <c r="K80" s="29"/>
      <c r="M80" s="7"/>
    </row>
    <row r="81" spans="2:13">
      <c r="B81" s="6" t="s">
        <v>333</v>
      </c>
      <c r="C81" s="6" t="s">
        <v>467</v>
      </c>
      <c r="D81" s="29" t="s">
        <v>127</v>
      </c>
      <c r="E81" s="30">
        <v>160</v>
      </c>
      <c r="F81" s="28">
        <v>106.040254478455</v>
      </c>
      <c r="G81" s="3"/>
      <c r="K81" s="29"/>
      <c r="M81" s="7"/>
    </row>
    <row r="82" spans="2:13">
      <c r="B82" s="6" t="s">
        <v>321</v>
      </c>
      <c r="C82" s="6" t="s">
        <v>468</v>
      </c>
      <c r="D82" s="29" t="s">
        <v>123</v>
      </c>
      <c r="E82" s="30">
        <v>122.5</v>
      </c>
      <c r="F82" s="28">
        <v>100.327746851444</v>
      </c>
      <c r="G82" s="3"/>
      <c r="K82" s="29"/>
      <c r="M82" s="7"/>
    </row>
    <row r="83" spans="2:13">
      <c r="E83" s="6"/>
      <c r="F83" s="20"/>
      <c r="G83" s="6"/>
      <c r="K83" s="29"/>
      <c r="M83" s="7"/>
    </row>
  </sheetData>
  <mergeCells count="22">
    <mergeCell ref="A37:J37"/>
    <mergeCell ref="A41:J41"/>
    <mergeCell ref="A52:J52"/>
    <mergeCell ref="A58:J58"/>
    <mergeCell ref="B3:B4"/>
    <mergeCell ref="A8:J8"/>
    <mergeCell ref="A14:J14"/>
    <mergeCell ref="A18:J18"/>
    <mergeCell ref="A22:J22"/>
    <mergeCell ref="A29:J29"/>
    <mergeCell ref="A32:J32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9934-950B-413B-B0F9-1045FBAB8065}">
  <dimension ref="A1:M54"/>
  <sheetViews>
    <sheetView topLeftCell="A10" workbookViewId="0">
      <selection activeCell="E39" sqref="E39"/>
    </sheetView>
  </sheetViews>
  <sheetFormatPr baseColWidth="10" defaultColWidth="9.1640625" defaultRowHeight="13"/>
  <cols>
    <col min="1" max="1" width="7.5" style="6" bestFit="1" customWidth="1"/>
    <col min="2" max="2" width="21.1640625" style="6" bestFit="1" customWidth="1"/>
    <col min="3" max="3" width="29" style="6" bestFit="1" customWidth="1"/>
    <col min="4" max="4" width="21.5" style="6" bestFit="1" customWidth="1"/>
    <col min="5" max="5" width="10.5" style="20" bestFit="1" customWidth="1"/>
    <col min="6" max="6" width="35.5" style="6" bestFit="1" customWidth="1"/>
    <col min="7" max="9" width="5.5" style="29" customWidth="1"/>
    <col min="10" max="10" width="4.83203125" style="29" customWidth="1"/>
    <col min="11" max="11" width="10.5" style="30" bestFit="1" customWidth="1"/>
    <col min="12" max="12" width="8.5" style="7" bestFit="1" customWidth="1"/>
    <col min="13" max="13" width="27.5" style="6" bestFit="1" customWidth="1"/>
    <col min="14" max="16384" width="9.1640625" style="3"/>
  </cols>
  <sheetData>
    <row r="1" spans="1:13" s="2" customFormat="1" ht="29" customHeight="1">
      <c r="A1" s="48" t="s">
        <v>441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9</v>
      </c>
      <c r="H3" s="62"/>
      <c r="I3" s="62"/>
      <c r="J3" s="62"/>
      <c r="K3" s="71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72"/>
      <c r="L4" s="61"/>
      <c r="M4" s="64"/>
    </row>
    <row r="5" spans="1:13" ht="16">
      <c r="A5" s="65" t="s">
        <v>11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12</v>
      </c>
      <c r="C6" s="8" t="s">
        <v>13</v>
      </c>
      <c r="D6" s="8" t="s">
        <v>14</v>
      </c>
      <c r="E6" s="9" t="s">
        <v>526</v>
      </c>
      <c r="F6" s="8" t="s">
        <v>488</v>
      </c>
      <c r="G6" s="31" t="s">
        <v>18</v>
      </c>
      <c r="H6" s="33" t="s">
        <v>19</v>
      </c>
      <c r="I6" s="33" t="s">
        <v>19</v>
      </c>
      <c r="J6" s="32"/>
      <c r="K6" s="43" t="str">
        <f>"72,5"</f>
        <v>72,5</v>
      </c>
      <c r="L6" s="10" t="str">
        <f>"81,2508"</f>
        <v>81,2508</v>
      </c>
      <c r="M6" s="8"/>
    </row>
    <row r="8" spans="1:13" ht="16">
      <c r="A8" s="69" t="s">
        <v>33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32" t="s">
        <v>133</v>
      </c>
      <c r="B9" s="8" t="s">
        <v>238</v>
      </c>
      <c r="C9" s="8" t="s">
        <v>239</v>
      </c>
      <c r="D9" s="8" t="s">
        <v>240</v>
      </c>
      <c r="E9" s="9" t="s">
        <v>528</v>
      </c>
      <c r="F9" s="8" t="s">
        <v>488</v>
      </c>
      <c r="G9" s="31" t="s">
        <v>154</v>
      </c>
      <c r="H9" s="33" t="s">
        <v>176</v>
      </c>
      <c r="I9" s="32"/>
      <c r="J9" s="32"/>
      <c r="K9" s="43" t="str">
        <f>"60,0"</f>
        <v>60,0</v>
      </c>
      <c r="L9" s="10" t="str">
        <f>"62,2440"</f>
        <v>62,2440</v>
      </c>
      <c r="M9" s="8"/>
    </row>
    <row r="11" spans="1:13" ht="16">
      <c r="A11" s="69" t="s">
        <v>50</v>
      </c>
      <c r="B11" s="69"/>
      <c r="C11" s="70"/>
      <c r="D11" s="70"/>
      <c r="E11" s="70"/>
      <c r="F11" s="70"/>
      <c r="G11" s="70"/>
      <c r="H11" s="70"/>
      <c r="I11" s="70"/>
      <c r="J11" s="70"/>
    </row>
    <row r="12" spans="1:13">
      <c r="A12" s="32" t="s">
        <v>133</v>
      </c>
      <c r="B12" s="8" t="s">
        <v>241</v>
      </c>
      <c r="C12" s="8" t="s">
        <v>469</v>
      </c>
      <c r="D12" s="8" t="s">
        <v>242</v>
      </c>
      <c r="E12" s="9" t="s">
        <v>524</v>
      </c>
      <c r="F12" s="8" t="s">
        <v>488</v>
      </c>
      <c r="G12" s="31" t="s">
        <v>154</v>
      </c>
      <c r="H12" s="31" t="s">
        <v>146</v>
      </c>
      <c r="I12" s="31" t="s">
        <v>176</v>
      </c>
      <c r="J12" s="32"/>
      <c r="K12" s="43" t="str">
        <f>"65,0"</f>
        <v>65,0</v>
      </c>
      <c r="L12" s="10" t="str">
        <f>"60,7100"</f>
        <v>60,7100</v>
      </c>
      <c r="M12" s="8"/>
    </row>
    <row r="14" spans="1:13" ht="16">
      <c r="A14" s="69" t="s">
        <v>22</v>
      </c>
      <c r="B14" s="69"/>
      <c r="C14" s="70"/>
      <c r="D14" s="70"/>
      <c r="E14" s="70"/>
      <c r="F14" s="70"/>
      <c r="G14" s="70"/>
      <c r="H14" s="70"/>
      <c r="I14" s="70"/>
      <c r="J14" s="70"/>
    </row>
    <row r="15" spans="1:13">
      <c r="A15" s="32" t="s">
        <v>133</v>
      </c>
      <c r="B15" s="8" t="s">
        <v>243</v>
      </c>
      <c r="C15" s="8" t="s">
        <v>470</v>
      </c>
      <c r="D15" s="8" t="s">
        <v>244</v>
      </c>
      <c r="E15" s="9" t="s">
        <v>533</v>
      </c>
      <c r="F15" s="8" t="s">
        <v>488</v>
      </c>
      <c r="G15" s="31" t="s">
        <v>154</v>
      </c>
      <c r="H15" s="31" t="s">
        <v>176</v>
      </c>
      <c r="I15" s="31" t="s">
        <v>147</v>
      </c>
      <c r="J15" s="32"/>
      <c r="K15" s="43" t="str">
        <f>"67,5"</f>
        <v>67,5</v>
      </c>
      <c r="L15" s="10" t="str">
        <f>"93,1608"</f>
        <v>93,1608</v>
      </c>
      <c r="M15" s="8" t="s">
        <v>504</v>
      </c>
    </row>
    <row r="17" spans="1:13" ht="16">
      <c r="A17" s="69" t="s">
        <v>50</v>
      </c>
      <c r="B17" s="69"/>
      <c r="C17" s="70"/>
      <c r="D17" s="70"/>
      <c r="E17" s="70"/>
      <c r="F17" s="70"/>
      <c r="G17" s="70"/>
      <c r="H17" s="70"/>
      <c r="I17" s="70"/>
      <c r="J17" s="70"/>
    </row>
    <row r="18" spans="1:13">
      <c r="A18" s="36" t="s">
        <v>133</v>
      </c>
      <c r="B18" s="11" t="s">
        <v>245</v>
      </c>
      <c r="C18" s="11" t="s">
        <v>246</v>
      </c>
      <c r="D18" s="11" t="s">
        <v>247</v>
      </c>
      <c r="E18" s="12" t="s">
        <v>526</v>
      </c>
      <c r="F18" s="11" t="s">
        <v>488</v>
      </c>
      <c r="G18" s="34" t="s">
        <v>141</v>
      </c>
      <c r="H18" s="34" t="s">
        <v>148</v>
      </c>
      <c r="I18" s="34" t="s">
        <v>17</v>
      </c>
      <c r="J18" s="36"/>
      <c r="K18" s="44" t="str">
        <f>"130,0"</f>
        <v>130,0</v>
      </c>
      <c r="L18" s="13" t="str">
        <f>"87,4770"</f>
        <v>87,4770</v>
      </c>
      <c r="M18" s="11"/>
    </row>
    <row r="19" spans="1:13">
      <c r="A19" s="39" t="s">
        <v>134</v>
      </c>
      <c r="B19" s="14" t="s">
        <v>248</v>
      </c>
      <c r="C19" s="14" t="s">
        <v>249</v>
      </c>
      <c r="D19" s="14" t="s">
        <v>53</v>
      </c>
      <c r="E19" s="15" t="s">
        <v>526</v>
      </c>
      <c r="F19" s="14" t="s">
        <v>488</v>
      </c>
      <c r="G19" s="37" t="s">
        <v>141</v>
      </c>
      <c r="H19" s="38" t="s">
        <v>16</v>
      </c>
      <c r="I19" s="38" t="s">
        <v>49</v>
      </c>
      <c r="J19" s="39"/>
      <c r="K19" s="45" t="str">
        <f>"115,0"</f>
        <v>115,0</v>
      </c>
      <c r="L19" s="16" t="str">
        <f>"77,7860"</f>
        <v>77,7860</v>
      </c>
      <c r="M19" s="14"/>
    </row>
    <row r="20" spans="1:13">
      <c r="A20" s="42" t="s">
        <v>133</v>
      </c>
      <c r="B20" s="17" t="s">
        <v>250</v>
      </c>
      <c r="C20" s="17" t="s">
        <v>471</v>
      </c>
      <c r="D20" s="17" t="s">
        <v>247</v>
      </c>
      <c r="E20" s="18" t="s">
        <v>531</v>
      </c>
      <c r="F20" s="17" t="s">
        <v>488</v>
      </c>
      <c r="G20" s="40" t="s">
        <v>32</v>
      </c>
      <c r="H20" s="40" t="s">
        <v>168</v>
      </c>
      <c r="I20" s="40" t="s">
        <v>91</v>
      </c>
      <c r="J20" s="42"/>
      <c r="K20" s="46" t="str">
        <f>"100,0"</f>
        <v>100,0</v>
      </c>
      <c r="L20" s="19" t="str">
        <f>"101,0023"</f>
        <v>101,0023</v>
      </c>
      <c r="M20" s="17" t="s">
        <v>503</v>
      </c>
    </row>
    <row r="22" spans="1:13" ht="16">
      <c r="A22" s="69" t="s">
        <v>61</v>
      </c>
      <c r="B22" s="69"/>
      <c r="C22" s="70"/>
      <c r="D22" s="70"/>
      <c r="E22" s="70"/>
      <c r="F22" s="70"/>
      <c r="G22" s="70"/>
      <c r="H22" s="70"/>
      <c r="I22" s="70"/>
      <c r="J22" s="70"/>
    </row>
    <row r="23" spans="1:13">
      <c r="A23" s="36" t="s">
        <v>133</v>
      </c>
      <c r="B23" s="11" t="s">
        <v>251</v>
      </c>
      <c r="C23" s="11" t="s">
        <v>252</v>
      </c>
      <c r="D23" s="11" t="s">
        <v>253</v>
      </c>
      <c r="E23" s="12" t="s">
        <v>526</v>
      </c>
      <c r="F23" s="11" t="s">
        <v>488</v>
      </c>
      <c r="G23" s="34" t="s">
        <v>56</v>
      </c>
      <c r="H23" s="34" t="s">
        <v>57</v>
      </c>
      <c r="I23" s="34" t="s">
        <v>38</v>
      </c>
      <c r="J23" s="36"/>
      <c r="K23" s="44" t="str">
        <f>"180,0"</f>
        <v>180,0</v>
      </c>
      <c r="L23" s="13" t="str">
        <f>"115,8480"</f>
        <v>115,8480</v>
      </c>
      <c r="M23" s="11"/>
    </row>
    <row r="24" spans="1:13">
      <c r="A24" s="42" t="s">
        <v>134</v>
      </c>
      <c r="B24" s="17" t="s">
        <v>254</v>
      </c>
      <c r="C24" s="17" t="s">
        <v>255</v>
      </c>
      <c r="D24" s="17" t="s">
        <v>219</v>
      </c>
      <c r="E24" s="18" t="s">
        <v>526</v>
      </c>
      <c r="F24" s="17" t="s">
        <v>256</v>
      </c>
      <c r="G24" s="40" t="s">
        <v>108</v>
      </c>
      <c r="H24" s="40" t="s">
        <v>57</v>
      </c>
      <c r="I24" s="41" t="s">
        <v>58</v>
      </c>
      <c r="J24" s="42"/>
      <c r="K24" s="46" t="str">
        <f>"170,0"</f>
        <v>170,0</v>
      </c>
      <c r="L24" s="19" t="str">
        <f>"109,1570"</f>
        <v>109,1570</v>
      </c>
      <c r="M24" s="17"/>
    </row>
    <row r="26" spans="1:13" ht="16">
      <c r="A26" s="69" t="s">
        <v>87</v>
      </c>
      <c r="B26" s="69"/>
      <c r="C26" s="70"/>
      <c r="D26" s="70"/>
      <c r="E26" s="70"/>
      <c r="F26" s="70"/>
      <c r="G26" s="70"/>
      <c r="H26" s="70"/>
      <c r="I26" s="70"/>
      <c r="J26" s="70"/>
    </row>
    <row r="27" spans="1:13">
      <c r="A27" s="36" t="s">
        <v>133</v>
      </c>
      <c r="B27" s="11" t="s">
        <v>257</v>
      </c>
      <c r="C27" s="11" t="s">
        <v>258</v>
      </c>
      <c r="D27" s="11" t="s">
        <v>259</v>
      </c>
      <c r="E27" s="12" t="s">
        <v>526</v>
      </c>
      <c r="F27" s="11" t="s">
        <v>505</v>
      </c>
      <c r="G27" s="34" t="s">
        <v>83</v>
      </c>
      <c r="H27" s="35" t="s">
        <v>21</v>
      </c>
      <c r="I27" s="34" t="s">
        <v>200</v>
      </c>
      <c r="J27" s="36"/>
      <c r="K27" s="44" t="str">
        <f>"152,5"</f>
        <v>152,5</v>
      </c>
      <c r="L27" s="13" t="str">
        <f>"93,8637"</f>
        <v>93,8637</v>
      </c>
      <c r="M27" s="11"/>
    </row>
    <row r="28" spans="1:13">
      <c r="A28" s="39" t="s">
        <v>133</v>
      </c>
      <c r="B28" s="14" t="s">
        <v>260</v>
      </c>
      <c r="C28" s="14" t="s">
        <v>472</v>
      </c>
      <c r="D28" s="14" t="s">
        <v>261</v>
      </c>
      <c r="E28" s="15" t="s">
        <v>525</v>
      </c>
      <c r="F28" s="14" t="s">
        <v>488</v>
      </c>
      <c r="G28" s="37" t="s">
        <v>38</v>
      </c>
      <c r="H28" s="37" t="s">
        <v>85</v>
      </c>
      <c r="I28" s="37" t="s">
        <v>39</v>
      </c>
      <c r="J28" s="39"/>
      <c r="K28" s="45" t="str">
        <f>"195,0"</f>
        <v>195,0</v>
      </c>
      <c r="L28" s="16" t="str">
        <f>"123,5034"</f>
        <v>123,5034</v>
      </c>
      <c r="M28" s="14"/>
    </row>
    <row r="29" spans="1:13">
      <c r="A29" s="39" t="s">
        <v>133</v>
      </c>
      <c r="B29" s="14" t="s">
        <v>262</v>
      </c>
      <c r="C29" s="14" t="s">
        <v>473</v>
      </c>
      <c r="D29" s="14" t="s">
        <v>263</v>
      </c>
      <c r="E29" s="15" t="s">
        <v>529</v>
      </c>
      <c r="F29" s="14" t="s">
        <v>488</v>
      </c>
      <c r="G29" s="37" t="s">
        <v>38</v>
      </c>
      <c r="H29" s="37" t="s">
        <v>85</v>
      </c>
      <c r="I29" s="37" t="s">
        <v>40</v>
      </c>
      <c r="J29" s="39"/>
      <c r="K29" s="45" t="str">
        <f>"200,0"</f>
        <v>200,0</v>
      </c>
      <c r="L29" s="16" t="str">
        <f>"133,2408"</f>
        <v>133,2408</v>
      </c>
      <c r="M29" s="14"/>
    </row>
    <row r="30" spans="1:13">
      <c r="A30" s="42" t="s">
        <v>133</v>
      </c>
      <c r="B30" s="17" t="s">
        <v>264</v>
      </c>
      <c r="C30" s="17" t="s">
        <v>474</v>
      </c>
      <c r="D30" s="17" t="s">
        <v>265</v>
      </c>
      <c r="E30" s="18" t="s">
        <v>534</v>
      </c>
      <c r="F30" s="17" t="s">
        <v>266</v>
      </c>
      <c r="G30" s="40" t="s">
        <v>182</v>
      </c>
      <c r="H30" s="40" t="s">
        <v>15</v>
      </c>
      <c r="I30" s="40" t="s">
        <v>148</v>
      </c>
      <c r="J30" s="42"/>
      <c r="K30" s="46" t="str">
        <f>"120,0"</f>
        <v>120,0</v>
      </c>
      <c r="L30" s="19" t="str">
        <f>"117,0933"</f>
        <v>117,0933</v>
      </c>
      <c r="M30" s="17"/>
    </row>
    <row r="32" spans="1:13" ht="16">
      <c r="A32" s="69" t="s">
        <v>94</v>
      </c>
      <c r="B32" s="69"/>
      <c r="C32" s="70"/>
      <c r="D32" s="70"/>
      <c r="E32" s="70"/>
      <c r="F32" s="70"/>
      <c r="G32" s="70"/>
      <c r="H32" s="70"/>
      <c r="I32" s="70"/>
      <c r="J32" s="70"/>
    </row>
    <row r="33" spans="1:13">
      <c r="A33" s="36" t="s">
        <v>133</v>
      </c>
      <c r="B33" s="11" t="s">
        <v>267</v>
      </c>
      <c r="C33" s="11" t="s">
        <v>268</v>
      </c>
      <c r="D33" s="11" t="s">
        <v>269</v>
      </c>
      <c r="E33" s="12" t="s">
        <v>526</v>
      </c>
      <c r="F33" s="11" t="s">
        <v>488</v>
      </c>
      <c r="G33" s="34" t="s">
        <v>58</v>
      </c>
      <c r="H33" s="35" t="s">
        <v>270</v>
      </c>
      <c r="I33" s="36"/>
      <c r="J33" s="36"/>
      <c r="K33" s="44" t="str">
        <f>"175,0"</f>
        <v>175,0</v>
      </c>
      <c r="L33" s="13" t="str">
        <f>"104,0900"</f>
        <v>104,0900</v>
      </c>
      <c r="M33" s="11"/>
    </row>
    <row r="34" spans="1:13">
      <c r="A34" s="39" t="s">
        <v>284</v>
      </c>
      <c r="B34" s="14" t="s">
        <v>271</v>
      </c>
      <c r="C34" s="14" t="s">
        <v>272</v>
      </c>
      <c r="D34" s="14" t="s">
        <v>273</v>
      </c>
      <c r="E34" s="15" t="s">
        <v>526</v>
      </c>
      <c r="F34" s="14" t="s">
        <v>488</v>
      </c>
      <c r="G34" s="38" t="s">
        <v>67</v>
      </c>
      <c r="H34" s="38" t="s">
        <v>67</v>
      </c>
      <c r="I34" s="38" t="s">
        <v>67</v>
      </c>
      <c r="J34" s="39"/>
      <c r="K34" s="45">
        <v>0</v>
      </c>
      <c r="L34" s="16" t="str">
        <f>"0,0000"</f>
        <v>0,0000</v>
      </c>
      <c r="M34" s="14"/>
    </row>
    <row r="35" spans="1:13">
      <c r="A35" s="42" t="s">
        <v>133</v>
      </c>
      <c r="B35" s="17" t="s">
        <v>274</v>
      </c>
      <c r="C35" s="17" t="s">
        <v>475</v>
      </c>
      <c r="D35" s="17" t="s">
        <v>275</v>
      </c>
      <c r="E35" s="18" t="s">
        <v>529</v>
      </c>
      <c r="F35" s="17" t="s">
        <v>266</v>
      </c>
      <c r="G35" s="40" t="s">
        <v>21</v>
      </c>
      <c r="H35" s="40" t="s">
        <v>108</v>
      </c>
      <c r="I35" s="40" t="s">
        <v>67</v>
      </c>
      <c r="J35" s="42"/>
      <c r="K35" s="46" t="str">
        <f>"160,0"</f>
        <v>160,0</v>
      </c>
      <c r="L35" s="19" t="str">
        <f>"108,9437"</f>
        <v>108,9437</v>
      </c>
      <c r="M35" s="17"/>
    </row>
    <row r="37" spans="1:13" ht="16">
      <c r="A37" s="69" t="s">
        <v>276</v>
      </c>
      <c r="B37" s="69"/>
      <c r="C37" s="70"/>
      <c r="D37" s="70"/>
      <c r="E37" s="70"/>
      <c r="F37" s="70"/>
      <c r="G37" s="70"/>
      <c r="H37" s="70"/>
      <c r="I37" s="70"/>
      <c r="J37" s="70"/>
    </row>
    <row r="38" spans="1:13">
      <c r="A38" s="32" t="s">
        <v>133</v>
      </c>
      <c r="B38" s="8" t="s">
        <v>277</v>
      </c>
      <c r="C38" s="8" t="s">
        <v>278</v>
      </c>
      <c r="D38" s="8" t="s">
        <v>279</v>
      </c>
      <c r="E38" s="9" t="s">
        <v>526</v>
      </c>
      <c r="F38" s="8" t="s">
        <v>488</v>
      </c>
      <c r="G38" s="31" t="s">
        <v>54</v>
      </c>
      <c r="H38" s="31" t="s">
        <v>55</v>
      </c>
      <c r="I38" s="33" t="s">
        <v>93</v>
      </c>
      <c r="J38" s="32"/>
      <c r="K38" s="43" t="str">
        <f>"230,0"</f>
        <v>230,0</v>
      </c>
      <c r="L38" s="10" t="str">
        <f>"126,8220"</f>
        <v>126,8220</v>
      </c>
      <c r="M38" s="8" t="s">
        <v>280</v>
      </c>
    </row>
    <row r="40" spans="1:13">
      <c r="M40" s="7"/>
    </row>
    <row r="41" spans="1:13">
      <c r="M41" s="7"/>
    </row>
    <row r="42" spans="1:13" ht="18">
      <c r="B42" s="22" t="s">
        <v>117</v>
      </c>
      <c r="C42" s="22"/>
      <c r="M42" s="7"/>
    </row>
    <row r="43" spans="1:13" ht="16">
      <c r="B43" s="23" t="s">
        <v>126</v>
      </c>
      <c r="C43" s="23"/>
      <c r="M43" s="7"/>
    </row>
    <row r="44" spans="1:13" ht="14">
      <c r="B44" s="24"/>
      <c r="C44" s="25" t="s">
        <v>124</v>
      </c>
      <c r="M44" s="7"/>
    </row>
    <row r="45" spans="1:13" ht="14">
      <c r="B45" s="26" t="s">
        <v>119</v>
      </c>
      <c r="C45" s="26" t="s">
        <v>120</v>
      </c>
      <c r="D45" s="26" t="s">
        <v>489</v>
      </c>
      <c r="E45" s="27" t="s">
        <v>281</v>
      </c>
      <c r="F45" s="26" t="s">
        <v>122</v>
      </c>
      <c r="M45" s="7"/>
    </row>
    <row r="46" spans="1:13">
      <c r="B46" s="6" t="s">
        <v>277</v>
      </c>
      <c r="C46" s="6" t="s">
        <v>124</v>
      </c>
      <c r="D46" s="29" t="s">
        <v>282</v>
      </c>
      <c r="E46" s="30">
        <v>230</v>
      </c>
      <c r="F46" s="28">
        <v>126.82200133800499</v>
      </c>
      <c r="M46" s="7"/>
    </row>
    <row r="47" spans="1:13">
      <c r="B47" s="6" t="s">
        <v>251</v>
      </c>
      <c r="C47" s="6" t="s">
        <v>124</v>
      </c>
      <c r="D47" s="29" t="s">
        <v>127</v>
      </c>
      <c r="E47" s="30">
        <v>180</v>
      </c>
      <c r="F47" s="28">
        <v>115.847997665405</v>
      </c>
      <c r="M47" s="7"/>
    </row>
    <row r="48" spans="1:13">
      <c r="B48" s="6" t="s">
        <v>254</v>
      </c>
      <c r="C48" s="6" t="s">
        <v>124</v>
      </c>
      <c r="D48" s="29" t="s">
        <v>127</v>
      </c>
      <c r="E48" s="30">
        <v>170</v>
      </c>
      <c r="F48" s="28">
        <v>109.15699601173399</v>
      </c>
      <c r="M48" s="7"/>
    </row>
    <row r="49" spans="2:13">
      <c r="M49" s="7"/>
    </row>
    <row r="50" spans="2:13" ht="14">
      <c r="B50" s="24"/>
      <c r="C50" s="25" t="s">
        <v>131</v>
      </c>
      <c r="M50" s="7"/>
    </row>
    <row r="51" spans="2:13" ht="14">
      <c r="B51" s="26" t="s">
        <v>119</v>
      </c>
      <c r="C51" s="26" t="s">
        <v>120</v>
      </c>
      <c r="D51" s="26" t="s">
        <v>489</v>
      </c>
      <c r="E51" s="27" t="s">
        <v>281</v>
      </c>
      <c r="F51" s="26" t="s">
        <v>122</v>
      </c>
      <c r="M51" s="7"/>
    </row>
    <row r="52" spans="2:13">
      <c r="B52" s="6" t="s">
        <v>262</v>
      </c>
      <c r="C52" s="6" t="s">
        <v>468</v>
      </c>
      <c r="D52" s="29" t="s">
        <v>132</v>
      </c>
      <c r="E52" s="30">
        <v>200</v>
      </c>
      <c r="F52" s="28">
        <v>133.24079372882801</v>
      </c>
      <c r="M52" s="7"/>
    </row>
    <row r="53" spans="2:13">
      <c r="B53" s="6" t="s">
        <v>260</v>
      </c>
      <c r="C53" s="6" t="s">
        <v>467</v>
      </c>
      <c r="D53" s="29" t="s">
        <v>132</v>
      </c>
      <c r="E53" s="30">
        <v>195</v>
      </c>
      <c r="F53" s="28">
        <v>123.50340865731199</v>
      </c>
      <c r="G53" s="6"/>
      <c r="M53" s="7"/>
    </row>
    <row r="54" spans="2:13">
      <c r="B54" s="6" t="s">
        <v>264</v>
      </c>
      <c r="C54" s="6" t="s">
        <v>476</v>
      </c>
      <c r="D54" s="29" t="s">
        <v>132</v>
      </c>
      <c r="E54" s="30">
        <v>120</v>
      </c>
      <c r="F54" s="28">
        <v>117.0932980299</v>
      </c>
    </row>
  </sheetData>
  <mergeCells count="20">
    <mergeCell ref="A32:J32"/>
    <mergeCell ref="A37:J37"/>
    <mergeCell ref="B3:B4"/>
    <mergeCell ref="A8:J8"/>
    <mergeCell ref="A11:J11"/>
    <mergeCell ref="A14:J14"/>
    <mergeCell ref="A17:J17"/>
    <mergeCell ref="A22:J22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84A43-C94D-41B6-BAF5-5007D59FA188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18.5" style="6" bestFit="1" customWidth="1"/>
    <col min="3" max="3" width="26.33203125" style="6" bestFit="1" customWidth="1"/>
    <col min="4" max="4" width="21.5" style="6" bestFit="1" customWidth="1"/>
    <col min="5" max="5" width="10.5" style="20" bestFit="1" customWidth="1"/>
    <col min="6" max="6" width="29.83203125" style="6" bestFit="1" customWidth="1"/>
    <col min="7" max="9" width="5.5" style="29" customWidth="1"/>
    <col min="10" max="10" width="4.83203125" style="29" customWidth="1"/>
    <col min="11" max="11" width="10.5" style="7" bestFit="1" customWidth="1"/>
    <col min="12" max="12" width="8.5" style="7" bestFit="1" customWidth="1"/>
    <col min="13" max="13" width="22.1640625" style="6" customWidth="1"/>
    <col min="14" max="16384" width="9.1640625" style="3"/>
  </cols>
  <sheetData>
    <row r="1" spans="1:13" s="2" customFormat="1" ht="29" customHeight="1">
      <c r="A1" s="48" t="s">
        <v>439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9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87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368</v>
      </c>
      <c r="C6" s="8" t="s">
        <v>369</v>
      </c>
      <c r="D6" s="8" t="s">
        <v>370</v>
      </c>
      <c r="E6" s="9" t="s">
        <v>526</v>
      </c>
      <c r="F6" s="8" t="s">
        <v>371</v>
      </c>
      <c r="G6" s="33" t="s">
        <v>105</v>
      </c>
      <c r="H6" s="33" t="s">
        <v>105</v>
      </c>
      <c r="I6" s="31" t="s">
        <v>105</v>
      </c>
      <c r="J6" s="32"/>
      <c r="K6" s="10" t="str">
        <f>"245,0"</f>
        <v>245,0</v>
      </c>
      <c r="L6" s="10" t="str">
        <f>"149,1560"</f>
        <v>149,1560</v>
      </c>
      <c r="M6" s="8" t="s">
        <v>517</v>
      </c>
    </row>
    <row r="8" spans="1:13">
      <c r="E8" s="6"/>
      <c r="F8" s="20"/>
      <c r="G8" s="6"/>
      <c r="K8" s="29"/>
      <c r="M8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CFB7-05A6-4C49-89A1-1435F7C0EDD3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20.1640625" style="6" customWidth="1"/>
    <col min="3" max="3" width="26.33203125" style="6" bestFit="1" customWidth="1"/>
    <col min="4" max="4" width="21.5" style="6" bestFit="1" customWidth="1"/>
    <col min="5" max="5" width="10.5" style="20" bestFit="1" customWidth="1"/>
    <col min="6" max="6" width="22.6640625" style="6" customWidth="1"/>
    <col min="7" max="9" width="5.5" style="29" customWidth="1"/>
    <col min="10" max="10" width="4.83203125" style="29" customWidth="1"/>
    <col min="11" max="11" width="10.5" style="7" bestFit="1" customWidth="1"/>
    <col min="12" max="12" width="8.5" style="7" bestFit="1" customWidth="1"/>
    <col min="13" max="13" width="22" style="6" customWidth="1"/>
    <col min="14" max="16384" width="9.1640625" style="3"/>
  </cols>
  <sheetData>
    <row r="1" spans="1:13" s="2" customFormat="1" ht="29" customHeight="1">
      <c r="A1" s="48" t="s">
        <v>433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522</v>
      </c>
      <c r="B3" s="67" t="s">
        <v>0</v>
      </c>
      <c r="C3" s="58" t="s">
        <v>530</v>
      </c>
      <c r="D3" s="58" t="s">
        <v>7</v>
      </c>
      <c r="E3" s="60" t="s">
        <v>523</v>
      </c>
      <c r="F3" s="62" t="s">
        <v>6</v>
      </c>
      <c r="G3" s="62" t="s">
        <v>9</v>
      </c>
      <c r="H3" s="62"/>
      <c r="I3" s="62"/>
      <c r="J3" s="62"/>
      <c r="K3" s="60" t="s">
        <v>283</v>
      </c>
      <c r="L3" s="60" t="s">
        <v>3</v>
      </c>
      <c r="M3" s="63" t="s">
        <v>2</v>
      </c>
    </row>
    <row r="4" spans="1:13" s="1" customFormat="1" ht="21" customHeight="1" thickBot="1">
      <c r="A4" s="57"/>
      <c r="B4" s="68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4"/>
    </row>
    <row r="5" spans="1:13" ht="16">
      <c r="A5" s="65" t="s">
        <v>61</v>
      </c>
      <c r="B5" s="65"/>
      <c r="C5" s="66"/>
      <c r="D5" s="66"/>
      <c r="E5" s="66"/>
      <c r="F5" s="66"/>
      <c r="G5" s="66"/>
      <c r="H5" s="66"/>
      <c r="I5" s="66"/>
      <c r="J5" s="66"/>
    </row>
    <row r="6" spans="1:13">
      <c r="A6" s="32" t="s">
        <v>133</v>
      </c>
      <c r="B6" s="8" t="s">
        <v>408</v>
      </c>
      <c r="C6" s="8" t="s">
        <v>409</v>
      </c>
      <c r="D6" s="8" t="s">
        <v>410</v>
      </c>
      <c r="E6" s="9" t="s">
        <v>526</v>
      </c>
      <c r="F6" s="8" t="s">
        <v>488</v>
      </c>
      <c r="G6" s="31" t="s">
        <v>56</v>
      </c>
      <c r="H6" s="31" t="s">
        <v>58</v>
      </c>
      <c r="I6" s="31" t="s">
        <v>38</v>
      </c>
      <c r="J6" s="32"/>
      <c r="K6" s="10" t="str">
        <f>"180,0"</f>
        <v>180,0</v>
      </c>
      <c r="L6" s="10" t="str">
        <f>"112,5900"</f>
        <v>112,5900</v>
      </c>
      <c r="M6" s="8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IPL ПЛ без экипировки ДК</vt:lpstr>
      <vt:lpstr>IPL ПЛ без экипировки</vt:lpstr>
      <vt:lpstr>IPL ПЛ в бинтах ДК</vt:lpstr>
      <vt:lpstr>IPL Двоеборье без экип ДК</vt:lpstr>
      <vt:lpstr>IPL Присед без экипировки ДК</vt:lpstr>
      <vt:lpstr>IPL Жим без экипировки ДК</vt:lpstr>
      <vt:lpstr>IPL Жим без экипировки</vt:lpstr>
      <vt:lpstr>IPL Жим однослой</vt:lpstr>
      <vt:lpstr>СПР Жим софт однопетельная ДК</vt:lpstr>
      <vt:lpstr>СПР Жим софт однопетельная</vt:lpstr>
      <vt:lpstr>СПР Жим софт многопетельная</vt:lpstr>
      <vt:lpstr>IPL Тяга без экипировки ДК</vt:lpstr>
      <vt:lpstr>IPL Тяга без экипировки</vt:lpstr>
      <vt:lpstr>СПР Пауэрспорт</vt:lpstr>
      <vt:lpstr>СПР Жим стоя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2023-01-11T07:32:53Z</dcterms:modified>
</cp:coreProperties>
</file>