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61D37775-6F30-3548-B524-7E101240215B}" xr6:coauthVersionLast="45" xr6:coauthVersionMax="45" xr10:uidLastSave="{00000000-0000-0000-0000-000000000000}"/>
  <bookViews>
    <workbookView xWindow="0" yWindow="460" windowWidth="28740" windowHeight="15900" tabRatio="817" firstSheet="8" activeTab="13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22" r:id="rId5"/>
    <sheet name="WRPF Двоеборье без экип" sheetId="21" r:id="rId6"/>
    <sheet name="WRPF Жим лежа без экип ДК" sheetId="12" r:id="rId7"/>
    <sheet name="WRPF Жим лежа без экип" sheetId="11" r:id="rId8"/>
    <sheet name="WEPF Жим софт многопетельная" sheetId="15" r:id="rId9"/>
    <sheet name="WRPF Военный жим" sheetId="10" r:id="rId10"/>
    <sheet name="WRPF Тяга без экипировки ДК" sheetId="18" r:id="rId11"/>
    <sheet name="WRPF Тяга без экипировки" sheetId="17" r:id="rId12"/>
    <sheet name="WRPF Подъем на бицепс ДК" sheetId="25" r:id="rId13"/>
    <sheet name="WRPF Подъем на бицепс" sheetId="24" r:id="rId14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25" l="1"/>
  <c r="K12" i="25"/>
  <c r="L9" i="25"/>
  <c r="K9" i="25"/>
  <c r="L6" i="25"/>
  <c r="K6" i="25"/>
  <c r="L6" i="24"/>
  <c r="K6" i="24"/>
  <c r="P16" i="22"/>
  <c r="O16" i="22"/>
  <c r="P15" i="22"/>
  <c r="O15" i="22"/>
  <c r="P12" i="22"/>
  <c r="O12" i="22"/>
  <c r="P9" i="22"/>
  <c r="O9" i="22"/>
  <c r="P6" i="22"/>
  <c r="O6" i="22"/>
  <c r="P14" i="21"/>
  <c r="O14" i="21"/>
  <c r="P11" i="21"/>
  <c r="O11" i="21"/>
  <c r="P10" i="21"/>
  <c r="O10" i="21"/>
  <c r="P7" i="21"/>
  <c r="O7" i="21"/>
  <c r="P6" i="21"/>
  <c r="O6" i="21"/>
  <c r="L19" i="18"/>
  <c r="K19" i="18"/>
  <c r="L18" i="18"/>
  <c r="K18" i="18"/>
  <c r="L15" i="18"/>
  <c r="K15" i="18"/>
  <c r="L12" i="18"/>
  <c r="K12" i="18"/>
  <c r="L9" i="18"/>
  <c r="K9" i="18"/>
  <c r="L6" i="18"/>
  <c r="K6" i="18"/>
  <c r="L18" i="17"/>
  <c r="K18" i="17"/>
  <c r="L15" i="17"/>
  <c r="K15" i="17"/>
  <c r="L12" i="17"/>
  <c r="K12" i="17"/>
  <c r="L11" i="17"/>
  <c r="K11" i="17"/>
  <c r="L10" i="17"/>
  <c r="K10" i="17"/>
  <c r="L7" i="17"/>
  <c r="K7" i="17"/>
  <c r="L6" i="17"/>
  <c r="K6" i="17"/>
  <c r="L6" i="15"/>
  <c r="K6" i="15"/>
  <c r="L28" i="12"/>
  <c r="K28" i="12"/>
  <c r="L25" i="12"/>
  <c r="K25" i="12"/>
  <c r="L24" i="12"/>
  <c r="K24" i="12"/>
  <c r="L23" i="12"/>
  <c r="K23" i="12"/>
  <c r="L20" i="12"/>
  <c r="K20" i="12"/>
  <c r="L19" i="12"/>
  <c r="K19" i="12"/>
  <c r="L16" i="12"/>
  <c r="K16" i="12"/>
  <c r="L15" i="12"/>
  <c r="K15" i="12"/>
  <c r="L12" i="12"/>
  <c r="K12" i="12"/>
  <c r="L9" i="12"/>
  <c r="K9" i="12"/>
  <c r="L6" i="12"/>
  <c r="K6" i="12"/>
  <c r="L24" i="11"/>
  <c r="K24" i="11"/>
  <c r="L21" i="11"/>
  <c r="K21" i="11"/>
  <c r="L18" i="11"/>
  <c r="K18" i="11"/>
  <c r="L17" i="11"/>
  <c r="K17" i="11"/>
  <c r="L14" i="11"/>
  <c r="K14" i="11"/>
  <c r="L11" i="11"/>
  <c r="K11" i="11"/>
  <c r="L10" i="11"/>
  <c r="K10" i="11"/>
  <c r="L7" i="11"/>
  <c r="K7" i="11"/>
  <c r="L6" i="11"/>
  <c r="K6" i="11"/>
  <c r="L6" i="10"/>
  <c r="K6" i="10"/>
  <c r="T23" i="8"/>
  <c r="S23" i="8"/>
  <c r="T20" i="8"/>
  <c r="S20" i="8"/>
  <c r="T19" i="8"/>
  <c r="S19" i="8"/>
  <c r="T16" i="8"/>
  <c r="S16" i="8"/>
  <c r="T15" i="8"/>
  <c r="S15" i="8"/>
  <c r="T12" i="8"/>
  <c r="S12" i="8"/>
  <c r="T9" i="8"/>
  <c r="S9" i="8"/>
  <c r="T6" i="8"/>
  <c r="T15" i="7"/>
  <c r="S15" i="7"/>
  <c r="T14" i="7"/>
  <c r="S14" i="7"/>
  <c r="T11" i="7"/>
  <c r="S11" i="7"/>
  <c r="T8" i="7"/>
  <c r="S8" i="7"/>
  <c r="T7" i="7"/>
  <c r="S7" i="7"/>
  <c r="T6" i="7"/>
  <c r="S6" i="7"/>
  <c r="T10" i="6"/>
  <c r="S10" i="6"/>
  <c r="T9" i="6"/>
  <c r="S9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<sst xmlns="http://schemas.openxmlformats.org/spreadsheetml/2006/main" count="1044" uniqueCount="291">
  <si>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</si>
  <si>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</si>
  <si>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</si>
  <si>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</si>
  <si>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</si>
  <si>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</si>
  <si>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</si>
  <si>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</si>
  <si>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</si>
  <si>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</si>
  <si>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</si>
  <si>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Исаков Тимур</t>
  </si>
  <si>
    <t>Открытая (15.08.1987)/35</t>
  </si>
  <si>
    <t>90,00</t>
  </si>
  <si>
    <t>210,0</t>
  </si>
  <si>
    <t>220,0</t>
  </si>
  <si>
    <t>240,0</t>
  </si>
  <si>
    <t>150,0</t>
  </si>
  <si>
    <t>160,0</t>
  </si>
  <si>
    <t>170,0</t>
  </si>
  <si>
    <t>235,0</t>
  </si>
  <si>
    <t>250,0</t>
  </si>
  <si>
    <t xml:space="preserve">Магомедов А. </t>
  </si>
  <si>
    <t>ВЕСОВАЯ КАТЕГОРИЯ   100</t>
  </si>
  <si>
    <t>Рамазанов Шамхал</t>
  </si>
  <si>
    <t>Открытая (29.12.1987)/34</t>
  </si>
  <si>
    <t>98,70</t>
  </si>
  <si>
    <t>230,0</t>
  </si>
  <si>
    <t>180,0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</si>
  <si>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</si>
  <si>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</si>
  <si>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</si>
  <si>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</si>
  <si>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</si>
  <si>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</si>
  <si>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</si>
  <si>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90</t>
  </si>
  <si>
    <t>100</t>
  </si>
  <si>
    <t>1</t>
  </si>
  <si>
    <t>ВЕСОВАЯ КАТЕГОРИЯ   60</t>
  </si>
  <si>
    <t>Сайпудинова Зайдат</t>
  </si>
  <si>
    <t>Юниорки (03.03.1999)/23</t>
  </si>
  <si>
    <t>59,20</t>
  </si>
  <si>
    <t>80,0</t>
  </si>
  <si>
    <t>95,0</t>
  </si>
  <si>
    <t>105,0</t>
  </si>
  <si>
    <t>42,5</t>
  </si>
  <si>
    <t>47,5</t>
  </si>
  <si>
    <t>55,0</t>
  </si>
  <si>
    <t>90,0</t>
  </si>
  <si>
    <t>102,5</t>
  </si>
  <si>
    <t>115,0</t>
  </si>
  <si>
    <t>Мазанаев Керим</t>
  </si>
  <si>
    <t>Открытая (28.02.1982)/40</t>
  </si>
  <si>
    <t>99,90</t>
  </si>
  <si>
    <t>255,0</t>
  </si>
  <si>
    <t>152,5</t>
  </si>
  <si>
    <t>155,0</t>
  </si>
  <si>
    <t xml:space="preserve">Ступников Р. </t>
  </si>
  <si>
    <t>Мастера 40-49 (28.02.1982)/40</t>
  </si>
  <si>
    <t>140,0</t>
  </si>
  <si>
    <t>Зайрагаев Салих</t>
  </si>
  <si>
    <t>Открытая (23.01.1991)/31</t>
  </si>
  <si>
    <t>88,40</t>
  </si>
  <si>
    <t>Сулейманов Багавдин</t>
  </si>
  <si>
    <t>Открытая (30.01.1997)/25</t>
  </si>
  <si>
    <t>88,30</t>
  </si>
  <si>
    <t>167,5</t>
  </si>
  <si>
    <t>172,5</t>
  </si>
  <si>
    <t>120,0</t>
  </si>
  <si>
    <t>127,5</t>
  </si>
  <si>
    <t>130,0</t>
  </si>
  <si>
    <t>195,0</t>
  </si>
  <si>
    <t>Ильясов Шапи</t>
  </si>
  <si>
    <t>Открытая (03.08.1987)/35</t>
  </si>
  <si>
    <t>89,50</t>
  </si>
  <si>
    <t>135,0</t>
  </si>
  <si>
    <t>165,0</t>
  </si>
  <si>
    <t>190,0</t>
  </si>
  <si>
    <t>Абдуллаев Абдулла</t>
  </si>
  <si>
    <t>Открытая (19.06.1990)/32</t>
  </si>
  <si>
    <t>98,60</t>
  </si>
  <si>
    <t>200,0</t>
  </si>
  <si>
    <t>ВЕСОВАЯ КАТЕГОРИЯ   125</t>
  </si>
  <si>
    <t>Омаров Руслан</t>
  </si>
  <si>
    <t>Открытая (07.07.1983)/39</t>
  </si>
  <si>
    <t>125,00</t>
  </si>
  <si>
    <t>270,0</t>
  </si>
  <si>
    <t>285,0</t>
  </si>
  <si>
    <t>222,5</t>
  </si>
  <si>
    <t>320,0</t>
  </si>
  <si>
    <t>340,0</t>
  </si>
  <si>
    <t>Идармачев Абдулагид</t>
  </si>
  <si>
    <t>Открытая (23.11.1976)/45</t>
  </si>
  <si>
    <t>123,50</t>
  </si>
  <si>
    <t>232,5</t>
  </si>
  <si>
    <t xml:space="preserve">Гусейнов Г. </t>
  </si>
  <si>
    <t>125</t>
  </si>
  <si>
    <t>2</t>
  </si>
  <si>
    <t>3</t>
  </si>
  <si>
    <t>Сулейманова Разия</t>
  </si>
  <si>
    <t>Открытая (31.08.1995)/27</t>
  </si>
  <si>
    <t>59,90</t>
  </si>
  <si>
    <t>110,0</t>
  </si>
  <si>
    <t xml:space="preserve">Мирзоев А. </t>
  </si>
  <si>
    <t>ВЕСОВАЯ КАТЕГОРИЯ   75</t>
  </si>
  <si>
    <t>Байрамова Эльмира</t>
  </si>
  <si>
    <t>Открытая (02.07.1993)/29</t>
  </si>
  <si>
    <t>71,50</t>
  </si>
  <si>
    <t>60,0</t>
  </si>
  <si>
    <t>67,5</t>
  </si>
  <si>
    <t>72,5</t>
  </si>
  <si>
    <t>ВЕСОВАЯ КАТЕГОРИЯ   67.5</t>
  </si>
  <si>
    <t>Бабаев Марат</t>
  </si>
  <si>
    <t>Открытая (02.07.2007)/15</t>
  </si>
  <si>
    <t>66,80</t>
  </si>
  <si>
    <t>100,0</t>
  </si>
  <si>
    <t>75,0</t>
  </si>
  <si>
    <t>82,5</t>
  </si>
  <si>
    <t>85,0</t>
  </si>
  <si>
    <t>Мирзабеков Абубакар</t>
  </si>
  <si>
    <t>Юноши 14-16 (25.07.2006)/16</t>
  </si>
  <si>
    <t>72,60</t>
  </si>
  <si>
    <t>145,0</t>
  </si>
  <si>
    <t>70,0</t>
  </si>
  <si>
    <t xml:space="preserve">Рамазанов Ислам </t>
  </si>
  <si>
    <t>Алиев Исламутдин</t>
  </si>
  <si>
    <t>Открытая (06.08.2002)/20</t>
  </si>
  <si>
    <t>74,80</t>
  </si>
  <si>
    <t>137,5</t>
  </si>
  <si>
    <t>147,5</t>
  </si>
  <si>
    <t>107,5</t>
  </si>
  <si>
    <t>175,0</t>
  </si>
  <si>
    <t>182,5</t>
  </si>
  <si>
    <t>ВЕСОВАЯ КАТЕГОРИЯ   82.5</t>
  </si>
  <si>
    <t>Сулайманов Сайгид</t>
  </si>
  <si>
    <t>Открытая (19.04.1998)/24</t>
  </si>
  <si>
    <t>81,40</t>
  </si>
  <si>
    <t xml:space="preserve">Магомедов М. </t>
  </si>
  <si>
    <t>Лебедь Илья</t>
  </si>
  <si>
    <t>Открытая (29.09.1997)/25</t>
  </si>
  <si>
    <t>79,90</t>
  </si>
  <si>
    <t xml:space="preserve">Хабаровск/Хабаровский край </t>
  </si>
  <si>
    <t>162,5</t>
  </si>
  <si>
    <t>ВЕСОВАЯ КАТЕГОРИЯ   110</t>
  </si>
  <si>
    <t>Саламатов Яков</t>
  </si>
  <si>
    <t>Открытая (10.07.1993)/29</t>
  </si>
  <si>
    <t>110,00</t>
  </si>
  <si>
    <t xml:space="preserve">Москва </t>
  </si>
  <si>
    <t>212,5</t>
  </si>
  <si>
    <t>75</t>
  </si>
  <si>
    <t>110</t>
  </si>
  <si>
    <t>82.5</t>
  </si>
  <si>
    <t>-</t>
  </si>
  <si>
    <t>Результат</t>
  </si>
  <si>
    <t>Насрулаев Сакрат</t>
  </si>
  <si>
    <t>Открытая (22.06.1989)/33</t>
  </si>
  <si>
    <t>89,00</t>
  </si>
  <si>
    <t>157,5</t>
  </si>
  <si>
    <t xml:space="preserve">Результат </t>
  </si>
  <si>
    <t>ВЕСОВАЯ КАТЕГОРИЯ   56</t>
  </si>
  <si>
    <t>Исрапилов Ахмад</t>
  </si>
  <si>
    <t>Юноши 14-16 (01.07.2006)/16</t>
  </si>
  <si>
    <t>56,00</t>
  </si>
  <si>
    <t>25,0</t>
  </si>
  <si>
    <t>35,0</t>
  </si>
  <si>
    <t>50,0</t>
  </si>
  <si>
    <t>Открытая (01.07.2006)/16</t>
  </si>
  <si>
    <t>Исрапилов Мухаммад</t>
  </si>
  <si>
    <t>Юниоры (31.12.2000)/21</t>
  </si>
  <si>
    <t>73,00</t>
  </si>
  <si>
    <t>Открытая (31.12.2000)/21</t>
  </si>
  <si>
    <t>Гусейнов Гусейн</t>
  </si>
  <si>
    <t>Мастера 50-59 (04.01.1966)/56</t>
  </si>
  <si>
    <t>94,00</t>
  </si>
  <si>
    <t>Кучур Евгений</t>
  </si>
  <si>
    <t>Открытая (22.01.1982)/40</t>
  </si>
  <si>
    <t>124,90</t>
  </si>
  <si>
    <t xml:space="preserve">Ставрополь/Ставропольский край </t>
  </si>
  <si>
    <t>205,0</t>
  </si>
  <si>
    <t>ВЕСОВАЯ КАТЕГОРИЯ   140</t>
  </si>
  <si>
    <t>Халилов Ринат</t>
  </si>
  <si>
    <t>Открытая (28.08.1987)/35</t>
  </si>
  <si>
    <t>127,50</t>
  </si>
  <si>
    <t>217,5</t>
  </si>
  <si>
    <t>140</t>
  </si>
  <si>
    <t>Ибрагимова Эльвира</t>
  </si>
  <si>
    <t>Открытая (02.01.1991)/31</t>
  </si>
  <si>
    <t>45,0</t>
  </si>
  <si>
    <t>52,5</t>
  </si>
  <si>
    <t xml:space="preserve">Магомедов Р. </t>
  </si>
  <si>
    <t>ВЕСОВАЯ КАТЕГОРИЯ   52</t>
  </si>
  <si>
    <t>Магомедов Гаджимурад</t>
  </si>
  <si>
    <t>Юноши 14-16 (24.11.2008)/13</t>
  </si>
  <si>
    <t>52,00</t>
  </si>
  <si>
    <t>83,5</t>
  </si>
  <si>
    <t>84,0</t>
  </si>
  <si>
    <t>Магомедов Абдулатип</t>
  </si>
  <si>
    <t>55,20</t>
  </si>
  <si>
    <t>88,0</t>
  </si>
  <si>
    <t>92,5</t>
  </si>
  <si>
    <t>Омаров Муртуз</t>
  </si>
  <si>
    <t>Юноши 14-16 (01.07.2007)/15</t>
  </si>
  <si>
    <t>82,40</t>
  </si>
  <si>
    <t>Ильясов Магомед</t>
  </si>
  <si>
    <t>Мастера 40-49 (19.06.1978)/44</t>
  </si>
  <si>
    <t>81,00</t>
  </si>
  <si>
    <t>Бочаров Александр</t>
  </si>
  <si>
    <t>Открытая (02.01.1994)/28</t>
  </si>
  <si>
    <t>87,90</t>
  </si>
  <si>
    <t xml:space="preserve">Барнаул/Алтайский край </t>
  </si>
  <si>
    <t>132,5</t>
  </si>
  <si>
    <t>142,5</t>
  </si>
  <si>
    <t>Гаджахмедов Сейдали</t>
  </si>
  <si>
    <t>Мастера 50-59 (28.04.1972)/50</t>
  </si>
  <si>
    <t>Мусаев Шамиль</t>
  </si>
  <si>
    <t>Открытая (18.08.1988)/34</t>
  </si>
  <si>
    <t>100,00</t>
  </si>
  <si>
    <t>Алибеков Шамиль</t>
  </si>
  <si>
    <t>Открытая (11.07.1996)/26</t>
  </si>
  <si>
    <t>99,10</t>
  </si>
  <si>
    <t>Цахилов Шамиль</t>
  </si>
  <si>
    <t>Открытая (08.05.1981)/41</t>
  </si>
  <si>
    <t>98,20</t>
  </si>
  <si>
    <t>Пашаев Зелимхан</t>
  </si>
  <si>
    <t>Открытая (29.03.2001)/21</t>
  </si>
  <si>
    <t>102,50</t>
  </si>
  <si>
    <t>Магомедов Рамазан</t>
  </si>
  <si>
    <t>Открытая (20.01.1988)/34</t>
  </si>
  <si>
    <t>108,30</t>
  </si>
  <si>
    <t>Косимов Мирзаолим</t>
  </si>
  <si>
    <t>Открытая (01.01.1984)/38</t>
  </si>
  <si>
    <t>237,5</t>
  </si>
  <si>
    <t>Гамзаев Хаджимурад</t>
  </si>
  <si>
    <t>Открытая (27.12.1993)/28</t>
  </si>
  <si>
    <t>Ханахмедов Абдулла</t>
  </si>
  <si>
    <t>Юноши 14-16 (28.09.2007)/15</t>
  </si>
  <si>
    <t>Алиев Наби</t>
  </si>
  <si>
    <t>Открытая (03.12.1985)/36</t>
  </si>
  <si>
    <t>67,00</t>
  </si>
  <si>
    <t>Ахмедов Джамал</t>
  </si>
  <si>
    <t>Открытая (30.11.1996)/25</t>
  </si>
  <si>
    <t>71,70</t>
  </si>
  <si>
    <t>57,5</t>
  </si>
  <si>
    <t>125,0</t>
  </si>
  <si>
    <t>Хасбулатов Магомед</t>
  </si>
  <si>
    <t>Открытая (20.03.1989)/33</t>
  </si>
  <si>
    <t>94,80</t>
  </si>
  <si>
    <t>Подъем на бицепс</t>
  </si>
  <si>
    <t>65,0</t>
  </si>
  <si>
    <t>Гитиновасов Арсен</t>
  </si>
  <si>
    <t>Открытая (17.08.1987)/35</t>
  </si>
  <si>
    <t>73,60</t>
  </si>
  <si>
    <t xml:space="preserve">Хунзах/Республика Дагестан </t>
  </si>
  <si>
    <t>40,0</t>
  </si>
  <si>
    <t>77,5</t>
  </si>
  <si>
    <t>Открытый мастерский турнир «Сила гор»
WRPF Пауэрлифтинг без экипировки ДК
Махачкала/Дагестан, 19-20 ноября 2022 года</t>
  </si>
  <si>
    <t>Открытый мастерский турнир «Сила гор»
WRPF Пауэрлифтинг без экипировки
Махачкала/Дагестан, 19-20 ноября 2022 года</t>
  </si>
  <si>
    <t>Открытый мастерский турнир «Сила гор»
WRPF Пауэрлифтинг классический в бинтах ДК
Махачкала/Дагестан, 19-20 ноября 2022 года</t>
  </si>
  <si>
    <t>Открытый мастерский турнир «Сила гор»
WRPF Пауэрлифтинг классический в бинтах
Махачкала/Дагестан, 19-20 ноября 2022 года</t>
  </si>
  <si>
    <t>Открытый мастерский турнир «Сила гор»
WRPF Силовое двоеборье без экипировки ДК
Махачкала/Дагестан, 19-20 ноября 2022 года</t>
  </si>
  <si>
    <t>Открытый мастерский турнир «Сила гор»
WRPF Силовое двоеборье без экипировки
Махачкала/Дагестан, 19-20 ноября 2022 года</t>
  </si>
  <si>
    <t>Открытый мастерский турнир «Сила гор»
WRPF Жим лежа без экипировки ДК
Махачкала/Дагестан, 19-20 ноября 2022 года</t>
  </si>
  <si>
    <t>Открытый мастерский турнир «Сила гор»
WRPF Жим лежа без экипировки
Махачкала/Дагестан, 19-20 ноября 2022 года</t>
  </si>
  <si>
    <t>Открытый мастерский турнир «Сила гор»
WEPF Жим лежа в многопетельной софт экипировке
Махачкала/Дагестан, 19-20 ноября 2022 года</t>
  </si>
  <si>
    <t>Открытый мастерский турнир «Сила гор»
WRPF Военный жим лежа
Махачкала/Дагестан, 19-20 ноября 2022 года</t>
  </si>
  <si>
    <t>Открытый мастерский турнир «Сила гор»
WRPF Становая тяга без экипировки ДК
Махачкала/Дагестан, 19-20 ноября 2022 года</t>
  </si>
  <si>
    <t>Открытый мастерский турнир «Сила гор»
WRPF Становая тяга без экипировки
Махачкала/Дагестан, 19-20 ноября 2022 года</t>
  </si>
  <si>
    <t>Открытый мастерский турнир «Сила гор»
WRPF Строгий подъем штанги на бицепс ДК
Махачкала/Дагестан, 19-20 ноября 2022 года</t>
  </si>
  <si>
    <t>Открытый мастерский турнир «Сила гор»
WRPF Строгий подъем штанги на бицепс
Махачкала/Дагестан, 19-20 ноября 2022 года</t>
  </si>
  <si>
    <t xml:space="preserve">Махачкала/Республика Дагестан </t>
  </si>
  <si>
    <t xml:space="preserve">Дербент/Республика Дагестан </t>
  </si>
  <si>
    <t xml:space="preserve">Дагестанские Огни/Республика Дагестан </t>
  </si>
  <si>
    <t xml:space="preserve">Кизляр/Республика Дагестан </t>
  </si>
  <si>
    <t xml:space="preserve">/Республика Дагестан </t>
  </si>
  <si>
    <t>Весовая категория</t>
  </si>
  <si>
    <t>Самостоятельно</t>
  </si>
  <si>
    <t>Грозный/Чеченская Республика</t>
  </si>
  <si>
    <t xml:space="preserve">Колтышев В. </t>
  </si>
  <si>
    <t>Юноши 13-19 (01.07.2007)/15</t>
  </si>
  <si>
    <t>Мужчины</t>
  </si>
  <si>
    <t>Жим</t>
  </si>
  <si>
    <t>№</t>
  </si>
  <si>
    <t xml:space="preserve">
Дата рождения/Возраст</t>
  </si>
  <si>
    <t>Возрастная группа</t>
  </si>
  <si>
    <t>O</t>
  </si>
  <si>
    <t>T1</t>
  </si>
  <si>
    <t>J</t>
  </si>
  <si>
    <t>M1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</si>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</sst>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5C514-4A3F-44C2-AAA5-FCA04155CD31}">
  <sheetPr codeName="Лист14"/>
  <dimension ref="A1:U34"/>
  <sheetViews>
    <sheetView workbookViewId="0">
      <selection activeCell="E24" sqref="E24"/>
    </sheetView>
  </sheetViews>
  <sheetFormatPr baseColWidth="10" defaultColWidth="9.1640625" defaultRowHeight="13"/>
  <cols>
    <col min="1" max="1" width="7.1640625" style="5" bestFit="1" customWidth="1"/>
    <col min="2" max="2" width="20" style="5" bestFit="1" customWidth="1"/>
    <col min="3" max="3" width="26" style="5" bestFit="1" customWidth="1"/>
    <col min="4" max="4" width="21" style="5" bestFit="1" customWidth="1"/>
    <col min="5" max="5" width="10.1640625" style="10" bestFit="1" customWidth="1"/>
    <col min="6" max="6" width="34" style="5" bestFit="1" customWidth="1"/>
    <col min="7" max="7" width="5.5" style="19" customWidth="1"/>
    <col min="8" max="9" width="5.33203125" style="19" customWidth="1"/>
    <col min="10" max="10" width="4.6640625" style="19" customWidth="1"/>
    <col min="11" max="13" width="5.33203125" style="19" customWidth="1"/>
    <col min="14" max="14" width="4.6640625" style="19" customWidth="1"/>
    <col min="15" max="17" width="5.33203125" style="19" customWidth="1"/>
    <col min="18" max="18" width="4.6640625" style="19" customWidth="1"/>
    <col min="19" max="19" width="7.6640625" style="20" bestFit="1" customWidth="1"/>
    <col min="20" max="20" width="8.33203125" style="6" bestFit="1" customWidth="1"/>
    <col min="21" max="21" width="17.1640625" style="5" bestFit="1" customWidth="1"/>
    <col min="22" max="16384" width="9.1640625" style="3"/>
  </cols>
  <sheetData>
    <row r="1" spans="1:21" s="2" customFormat="1" ht="29" customHeight="1">
      <c r="A1" s="56" t="s">
        <v>256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7</v>
      </c>
      <c r="H3" s="70"/>
      <c r="I3" s="70"/>
      <c r="J3" s="70"/>
      <c r="K3" s="70" t="s">
        <v>8</v>
      </c>
      <c r="L3" s="70"/>
      <c r="M3" s="70"/>
      <c r="N3" s="70"/>
      <c r="O3" s="70" t="s">
        <v>9</v>
      </c>
      <c r="P3" s="70"/>
      <c r="Q3" s="70"/>
      <c r="R3" s="70"/>
      <c r="S3" s="73" t="s">
        <v>1</v>
      </c>
      <c r="T3" s="68" t="s">
        <v>3</v>
      </c>
      <c r="U3" s="75" t="s">
        <v>2</v>
      </c>
    </row>
    <row r="4" spans="1:21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4"/>
      <c r="T4" s="69"/>
      <c r="U4" s="76"/>
    </row>
    <row r="5" spans="1:21" ht="16">
      <c r="A5" s="79" t="s">
        <v>39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1">
      <c r="A6" s="23" t="s">
        <v>153</v>
      </c>
      <c r="B6" s="7" t="s">
        <v>100</v>
      </c>
      <c r="C6" s="7" t="s">
        <v>101</v>
      </c>
      <c r="D6" s="7" t="s">
        <v>102</v>
      </c>
      <c r="E6" s="8" t="s">
        <v>285</v>
      </c>
      <c r="F6" s="7" t="s">
        <v>270</v>
      </c>
      <c r="G6" s="22" t="s">
        <v>103</v>
      </c>
      <c r="H6" s="22" t="s">
        <v>51</v>
      </c>
      <c r="I6" s="22" t="s">
        <v>51</v>
      </c>
      <c r="J6" s="23"/>
      <c r="K6" s="22"/>
      <c r="L6" s="23"/>
      <c r="M6" s="23"/>
      <c r="N6" s="23"/>
      <c r="O6" s="22"/>
      <c r="P6" s="23"/>
      <c r="Q6" s="23"/>
      <c r="R6" s="23"/>
      <c r="S6" s="53">
        <v>0</v>
      </c>
      <c r="T6" s="9" t="str">
        <f>"0,0000"</f>
        <v>0,0000</v>
      </c>
      <c r="U6" s="7" t="s">
        <v>104</v>
      </c>
    </row>
    <row r="8" spans="1:21" ht="16">
      <c r="A8" s="77" t="s">
        <v>105</v>
      </c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1:21">
      <c r="A9" s="23" t="s">
        <v>38</v>
      </c>
      <c r="B9" s="7" t="s">
        <v>106</v>
      </c>
      <c r="C9" s="7" t="s">
        <v>107</v>
      </c>
      <c r="D9" s="7" t="s">
        <v>108</v>
      </c>
      <c r="E9" s="8" t="s">
        <v>285</v>
      </c>
      <c r="F9" s="7" t="s">
        <v>270</v>
      </c>
      <c r="G9" s="21" t="s">
        <v>103</v>
      </c>
      <c r="H9" s="21" t="s">
        <v>69</v>
      </c>
      <c r="I9" s="21" t="s">
        <v>71</v>
      </c>
      <c r="J9" s="23"/>
      <c r="K9" s="21" t="s">
        <v>109</v>
      </c>
      <c r="L9" s="21" t="s">
        <v>110</v>
      </c>
      <c r="M9" s="22" t="s">
        <v>111</v>
      </c>
      <c r="N9" s="23"/>
      <c r="O9" s="21" t="s">
        <v>60</v>
      </c>
      <c r="P9" s="21" t="s">
        <v>17</v>
      </c>
      <c r="Q9" s="21" t="s">
        <v>18</v>
      </c>
      <c r="R9" s="23"/>
      <c r="S9" s="53" t="str">
        <f>"357,5"</f>
        <v>357,5</v>
      </c>
      <c r="T9" s="9" t="str">
        <f>"350,5645"</f>
        <v>350,5645</v>
      </c>
      <c r="U9" s="7"/>
    </row>
    <row r="11" spans="1:21" ht="16">
      <c r="A11" s="77" t="s">
        <v>112</v>
      </c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</row>
    <row r="12" spans="1:21">
      <c r="A12" s="23" t="s">
        <v>38</v>
      </c>
      <c r="B12" s="7" t="s">
        <v>113</v>
      </c>
      <c r="C12" s="7" t="s">
        <v>114</v>
      </c>
      <c r="D12" s="7" t="s">
        <v>115</v>
      </c>
      <c r="E12" s="8" t="s">
        <v>285</v>
      </c>
      <c r="F12" s="7" t="s">
        <v>271</v>
      </c>
      <c r="G12" s="21" t="s">
        <v>116</v>
      </c>
      <c r="H12" s="21" t="s">
        <v>103</v>
      </c>
      <c r="I12" s="21" t="s">
        <v>51</v>
      </c>
      <c r="J12" s="23"/>
      <c r="K12" s="21" t="s">
        <v>117</v>
      </c>
      <c r="L12" s="21" t="s">
        <v>118</v>
      </c>
      <c r="M12" s="21" t="s">
        <v>119</v>
      </c>
      <c r="N12" s="23"/>
      <c r="O12" s="21" t="s">
        <v>103</v>
      </c>
      <c r="P12" s="21" t="s">
        <v>69</v>
      </c>
      <c r="Q12" s="21" t="s">
        <v>71</v>
      </c>
      <c r="R12" s="23"/>
      <c r="S12" s="53" t="str">
        <f>"330,0"</f>
        <v>330,0</v>
      </c>
      <c r="T12" s="9" t="str">
        <f>"256,5750"</f>
        <v>256,5750</v>
      </c>
      <c r="U12" s="7" t="s">
        <v>104</v>
      </c>
    </row>
    <row r="14" spans="1:21" ht="16">
      <c r="A14" s="77" t="s">
        <v>105</v>
      </c>
      <c r="B14" s="77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21">
      <c r="A15" s="31" t="s">
        <v>38</v>
      </c>
      <c r="B15" s="24" t="s">
        <v>120</v>
      </c>
      <c r="C15" s="24" t="s">
        <v>121</v>
      </c>
      <c r="D15" s="24" t="s">
        <v>122</v>
      </c>
      <c r="E15" s="25" t="s">
        <v>286</v>
      </c>
      <c r="F15" s="24" t="s">
        <v>272</v>
      </c>
      <c r="G15" s="30" t="s">
        <v>76</v>
      </c>
      <c r="H15" s="30" t="s">
        <v>60</v>
      </c>
      <c r="I15" s="32" t="s">
        <v>123</v>
      </c>
      <c r="J15" s="31"/>
      <c r="K15" s="30" t="s">
        <v>124</v>
      </c>
      <c r="L15" s="30" t="s">
        <v>117</v>
      </c>
      <c r="M15" s="30" t="s">
        <v>118</v>
      </c>
      <c r="N15" s="31"/>
      <c r="O15" s="30" t="s">
        <v>60</v>
      </c>
      <c r="P15" s="30" t="s">
        <v>56</v>
      </c>
      <c r="Q15" s="30" t="s">
        <v>57</v>
      </c>
      <c r="R15" s="31"/>
      <c r="S15" s="54" t="str">
        <f>"377,5"</f>
        <v>377,5</v>
      </c>
      <c r="T15" s="26" t="str">
        <f>"275,3108"</f>
        <v>275,3108</v>
      </c>
      <c r="U15" s="24" t="s">
        <v>125</v>
      </c>
    </row>
    <row r="16" spans="1:21">
      <c r="A16" s="34" t="s">
        <v>38</v>
      </c>
      <c r="B16" s="27" t="s">
        <v>126</v>
      </c>
      <c r="C16" s="27" t="s">
        <v>127</v>
      </c>
      <c r="D16" s="27" t="s">
        <v>128</v>
      </c>
      <c r="E16" s="28" t="s">
        <v>285</v>
      </c>
      <c r="F16" s="27" t="s">
        <v>270</v>
      </c>
      <c r="G16" s="33" t="s">
        <v>129</v>
      </c>
      <c r="H16" s="35" t="s">
        <v>123</v>
      </c>
      <c r="I16" s="33" t="s">
        <v>130</v>
      </c>
      <c r="J16" s="34"/>
      <c r="K16" s="33" t="s">
        <v>131</v>
      </c>
      <c r="L16" s="33" t="s">
        <v>51</v>
      </c>
      <c r="M16" s="35" t="s">
        <v>69</v>
      </c>
      <c r="N16" s="34"/>
      <c r="O16" s="33" t="s">
        <v>77</v>
      </c>
      <c r="P16" s="33" t="s">
        <v>132</v>
      </c>
      <c r="Q16" s="33" t="s">
        <v>133</v>
      </c>
      <c r="R16" s="34"/>
      <c r="S16" s="55" t="str">
        <f>"445,0"</f>
        <v>445,0</v>
      </c>
      <c r="T16" s="29" t="str">
        <f>"317,6855"</f>
        <v>317,6855</v>
      </c>
      <c r="U16" s="27"/>
    </row>
    <row r="18" spans="1:21" ht="16">
      <c r="A18" s="77" t="s">
        <v>134</v>
      </c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</row>
    <row r="19" spans="1:21">
      <c r="A19" s="31" t="s">
        <v>38</v>
      </c>
      <c r="B19" s="24" t="s">
        <v>135</v>
      </c>
      <c r="C19" s="24" t="s">
        <v>136</v>
      </c>
      <c r="D19" s="24" t="s">
        <v>137</v>
      </c>
      <c r="E19" s="25" t="s">
        <v>285</v>
      </c>
      <c r="F19" s="24" t="s">
        <v>270</v>
      </c>
      <c r="G19" s="30" t="s">
        <v>18</v>
      </c>
      <c r="H19" s="30" t="s">
        <v>19</v>
      </c>
      <c r="I19" s="30" t="s">
        <v>28</v>
      </c>
      <c r="J19" s="31"/>
      <c r="K19" s="32" t="s">
        <v>131</v>
      </c>
      <c r="L19" s="30" t="s">
        <v>131</v>
      </c>
      <c r="M19" s="32" t="s">
        <v>69</v>
      </c>
      <c r="N19" s="31"/>
      <c r="O19" s="32" t="s">
        <v>68</v>
      </c>
      <c r="P19" s="30" t="s">
        <v>28</v>
      </c>
      <c r="Q19" s="30" t="s">
        <v>78</v>
      </c>
      <c r="R19" s="31"/>
      <c r="S19" s="54" t="str">
        <f>"477,5"</f>
        <v>477,5</v>
      </c>
      <c r="T19" s="26" t="str">
        <f>"322,5035"</f>
        <v>322,5035</v>
      </c>
      <c r="U19" s="24" t="s">
        <v>138</v>
      </c>
    </row>
    <row r="20" spans="1:21">
      <c r="A20" s="34" t="s">
        <v>98</v>
      </c>
      <c r="B20" s="27" t="s">
        <v>139</v>
      </c>
      <c r="C20" s="27" t="s">
        <v>140</v>
      </c>
      <c r="D20" s="27" t="s">
        <v>141</v>
      </c>
      <c r="E20" s="28" t="s">
        <v>285</v>
      </c>
      <c r="F20" s="27" t="s">
        <v>142</v>
      </c>
      <c r="G20" s="35" t="s">
        <v>18</v>
      </c>
      <c r="H20" s="33" t="s">
        <v>18</v>
      </c>
      <c r="I20" s="33" t="s">
        <v>143</v>
      </c>
      <c r="J20" s="34"/>
      <c r="K20" s="33" t="s">
        <v>116</v>
      </c>
      <c r="L20" s="33" t="s">
        <v>103</v>
      </c>
      <c r="M20" s="35" t="s">
        <v>51</v>
      </c>
      <c r="N20" s="34"/>
      <c r="O20" s="33" t="s">
        <v>77</v>
      </c>
      <c r="P20" s="33" t="s">
        <v>132</v>
      </c>
      <c r="Q20" s="33" t="s">
        <v>78</v>
      </c>
      <c r="R20" s="34"/>
      <c r="S20" s="55" t="str">
        <f>"462,5"</f>
        <v>462,5</v>
      </c>
      <c r="T20" s="29" t="str">
        <f>"315,9800"</f>
        <v>315,9800</v>
      </c>
      <c r="U20" s="27" t="s">
        <v>278</v>
      </c>
    </row>
    <row r="22" spans="1:21" ht="16">
      <c r="A22" s="77" t="s">
        <v>144</v>
      </c>
      <c r="B22" s="77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1:21">
      <c r="A23" s="23" t="s">
        <v>38</v>
      </c>
      <c r="B23" s="7" t="s">
        <v>145</v>
      </c>
      <c r="C23" s="7" t="s">
        <v>146</v>
      </c>
      <c r="D23" s="7" t="s">
        <v>147</v>
      </c>
      <c r="E23" s="8" t="s">
        <v>285</v>
      </c>
      <c r="F23" s="7" t="s">
        <v>148</v>
      </c>
      <c r="G23" s="21" t="s">
        <v>82</v>
      </c>
      <c r="H23" s="21" t="s">
        <v>149</v>
      </c>
      <c r="I23" s="21" t="s">
        <v>15</v>
      </c>
      <c r="J23" s="23"/>
      <c r="K23" s="21" t="s">
        <v>60</v>
      </c>
      <c r="L23" s="21" t="s">
        <v>17</v>
      </c>
      <c r="M23" s="21" t="s">
        <v>56</v>
      </c>
      <c r="N23" s="23"/>
      <c r="O23" s="21" t="s">
        <v>15</v>
      </c>
      <c r="P23" s="21" t="s">
        <v>27</v>
      </c>
      <c r="Q23" s="21" t="s">
        <v>20</v>
      </c>
      <c r="R23" s="23"/>
      <c r="S23" s="53" t="str">
        <f>"607,5"</f>
        <v>607,5</v>
      </c>
      <c r="T23" s="9" t="str">
        <f>"357,5138"</f>
        <v>357,5138</v>
      </c>
      <c r="U23" s="7"/>
    </row>
    <row r="25" spans="1:21" ht="16">
      <c r="F25" s="11"/>
      <c r="G25" s="5"/>
    </row>
    <row r="26" spans="1:21">
      <c r="G26" s="5"/>
    </row>
    <row r="27" spans="1:21" ht="18">
      <c r="B27" s="12" t="s">
        <v>29</v>
      </c>
      <c r="C27" s="12"/>
      <c r="G27" s="3"/>
    </row>
    <row r="28" spans="1:21" ht="18">
      <c r="B28" s="42" t="s">
        <v>280</v>
      </c>
      <c r="C28" s="12"/>
      <c r="G28" s="3"/>
    </row>
    <row r="29" spans="1:21" ht="14">
      <c r="B29" s="14"/>
      <c r="C29" s="15" t="s">
        <v>31</v>
      </c>
      <c r="G29" s="3"/>
    </row>
    <row r="30" spans="1:21" ht="14">
      <c r="B30" s="16" t="s">
        <v>32</v>
      </c>
      <c r="C30" s="16" t="s">
        <v>33</v>
      </c>
      <c r="D30" s="16" t="s">
        <v>275</v>
      </c>
      <c r="E30" s="17" t="s">
        <v>34</v>
      </c>
      <c r="F30" s="16" t="s">
        <v>35</v>
      </c>
      <c r="G30" s="3"/>
    </row>
    <row r="31" spans="1:21">
      <c r="B31" s="5" t="s">
        <v>145</v>
      </c>
      <c r="C31" s="5" t="s">
        <v>31</v>
      </c>
      <c r="D31" s="19" t="s">
        <v>151</v>
      </c>
      <c r="E31" s="20">
        <v>607.5</v>
      </c>
      <c r="F31" s="18">
        <v>357.51376390457199</v>
      </c>
      <c r="G31" s="3"/>
    </row>
    <row r="32" spans="1:21">
      <c r="B32" s="5" t="s">
        <v>135</v>
      </c>
      <c r="C32" s="5" t="s">
        <v>31</v>
      </c>
      <c r="D32" s="19" t="s">
        <v>152</v>
      </c>
      <c r="E32" s="20">
        <v>477.5</v>
      </c>
      <c r="F32" s="18">
        <v>322.50350892543798</v>
      </c>
      <c r="G32" s="3"/>
    </row>
    <row r="33" spans="2:7">
      <c r="B33" s="5" t="s">
        <v>126</v>
      </c>
      <c r="C33" s="5" t="s">
        <v>31</v>
      </c>
      <c r="D33" s="19" t="s">
        <v>150</v>
      </c>
      <c r="E33" s="20">
        <v>445</v>
      </c>
      <c r="F33" s="18">
        <v>317.68551319837599</v>
      </c>
      <c r="G33" s="3"/>
    </row>
    <row r="34" spans="2:7">
      <c r="E34" s="5"/>
      <c r="F34" s="10"/>
      <c r="G34" s="5"/>
    </row>
  </sheetData>
  <mergeCells count="19">
    <mergeCell ref="A22:R22"/>
    <mergeCell ref="A5:R5"/>
    <mergeCell ref="A8:R8"/>
    <mergeCell ref="A11:R11"/>
    <mergeCell ref="A14:R14"/>
    <mergeCell ref="A18:R18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31E8-92CA-4F83-9CA8-5D82C8D47646}">
  <sheetPr codeName="Лист13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.6640625" style="5" customWidth="1"/>
    <col min="3" max="3" width="25.33203125" style="5" bestFit="1" customWidth="1"/>
    <col min="4" max="4" width="21" style="5" bestFit="1" customWidth="1"/>
    <col min="5" max="5" width="10.1640625" style="10" bestFit="1" customWidth="1"/>
    <col min="6" max="6" width="27.6640625" style="5" bestFit="1" customWidth="1"/>
    <col min="7" max="9" width="5.33203125" style="19" customWidth="1"/>
    <col min="10" max="10" width="4.6640625" style="19" customWidth="1"/>
    <col min="11" max="11" width="10.5" style="6" bestFit="1" customWidth="1"/>
    <col min="12" max="12" width="8.3320312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6" t="s">
        <v>265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8</v>
      </c>
      <c r="H3" s="70"/>
      <c r="I3" s="70"/>
      <c r="J3" s="70"/>
      <c r="K3" s="68" t="s">
        <v>154</v>
      </c>
      <c r="L3" s="68" t="s">
        <v>3</v>
      </c>
      <c r="M3" s="75" t="s">
        <v>2</v>
      </c>
    </row>
    <row r="4" spans="1:13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69"/>
      <c r="L4" s="69"/>
      <c r="M4" s="76"/>
    </row>
    <row r="5" spans="1:13" ht="16">
      <c r="A5" s="79" t="s">
        <v>10</v>
      </c>
      <c r="B5" s="79"/>
      <c r="C5" s="80"/>
      <c r="D5" s="80"/>
      <c r="E5" s="80"/>
      <c r="F5" s="80"/>
      <c r="G5" s="80"/>
      <c r="H5" s="80"/>
      <c r="I5" s="80"/>
      <c r="J5" s="80"/>
    </row>
    <row r="6" spans="1:13">
      <c r="A6" s="23" t="s">
        <v>38</v>
      </c>
      <c r="B6" s="7" t="s">
        <v>155</v>
      </c>
      <c r="C6" s="7" t="s">
        <v>156</v>
      </c>
      <c r="D6" s="7" t="s">
        <v>157</v>
      </c>
      <c r="E6" s="8" t="s">
        <v>285</v>
      </c>
      <c r="F6" s="7" t="s">
        <v>270</v>
      </c>
      <c r="G6" s="21" t="s">
        <v>76</v>
      </c>
      <c r="H6" s="21" t="s">
        <v>123</v>
      </c>
      <c r="I6" s="21" t="s">
        <v>158</v>
      </c>
      <c r="J6" s="23"/>
      <c r="K6" s="9" t="str">
        <f>"157,5"</f>
        <v>157,5</v>
      </c>
      <c r="L6" s="9" t="str">
        <f>"101,1307"</f>
        <v>101,1307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93B0-A696-410F-B0F5-01064CFD0598}">
  <sheetPr codeName="Лист8"/>
  <dimension ref="A1:M19"/>
  <sheetViews>
    <sheetView workbookViewId="0">
      <selection activeCell="E20" sqref="E20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6" style="5" bestFit="1" customWidth="1"/>
    <col min="4" max="4" width="21" style="5" bestFit="1" customWidth="1"/>
    <col min="5" max="5" width="10.1640625" style="10" bestFit="1" customWidth="1"/>
    <col min="6" max="6" width="29.6640625" style="5" bestFit="1" customWidth="1"/>
    <col min="7" max="9" width="5.33203125" style="19" customWidth="1"/>
    <col min="10" max="10" width="4.6640625" style="19" customWidth="1"/>
    <col min="11" max="11" width="10.5" style="6" bestFit="1" customWidth="1"/>
    <col min="12" max="12" width="8.3320312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56" t="s">
        <v>266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9</v>
      </c>
      <c r="H3" s="70"/>
      <c r="I3" s="70"/>
      <c r="J3" s="70"/>
      <c r="K3" s="68" t="s">
        <v>154</v>
      </c>
      <c r="L3" s="68" t="s">
        <v>3</v>
      </c>
      <c r="M3" s="75" t="s">
        <v>2</v>
      </c>
    </row>
    <row r="4" spans="1:13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69"/>
      <c r="L4" s="69"/>
      <c r="M4" s="76"/>
    </row>
    <row r="5" spans="1:13" ht="16">
      <c r="A5" s="79" t="s">
        <v>39</v>
      </c>
      <c r="B5" s="79"/>
      <c r="C5" s="80"/>
      <c r="D5" s="80"/>
      <c r="E5" s="80"/>
      <c r="F5" s="80"/>
      <c r="G5" s="80"/>
      <c r="H5" s="80"/>
      <c r="I5" s="80"/>
      <c r="J5" s="80"/>
    </row>
    <row r="6" spans="1:13">
      <c r="A6" s="23" t="s">
        <v>38</v>
      </c>
      <c r="B6" s="7" t="s">
        <v>186</v>
      </c>
      <c r="C6" s="7" t="s">
        <v>187</v>
      </c>
      <c r="D6" s="7" t="s">
        <v>102</v>
      </c>
      <c r="E6" s="8" t="s">
        <v>285</v>
      </c>
      <c r="F6" s="7" t="s">
        <v>270</v>
      </c>
      <c r="G6" s="21" t="s">
        <v>103</v>
      </c>
      <c r="H6" s="21" t="s">
        <v>69</v>
      </c>
      <c r="I6" s="22" t="s">
        <v>211</v>
      </c>
      <c r="J6" s="23"/>
      <c r="K6" s="9" t="str">
        <f>"120,0"</f>
        <v>120,0</v>
      </c>
      <c r="L6" s="9" t="str">
        <f>"133,9560"</f>
        <v>133,9560</v>
      </c>
      <c r="M6" s="7" t="s">
        <v>190</v>
      </c>
    </row>
    <row r="8" spans="1:13" ht="16">
      <c r="A8" s="77" t="s">
        <v>105</v>
      </c>
      <c r="B8" s="77"/>
      <c r="C8" s="78"/>
      <c r="D8" s="78"/>
      <c r="E8" s="78"/>
      <c r="F8" s="78"/>
      <c r="G8" s="78"/>
      <c r="H8" s="78"/>
      <c r="I8" s="78"/>
      <c r="J8" s="78"/>
    </row>
    <row r="9" spans="1:13">
      <c r="A9" s="23" t="s">
        <v>38</v>
      </c>
      <c r="B9" s="7" t="s">
        <v>106</v>
      </c>
      <c r="C9" s="7" t="s">
        <v>107</v>
      </c>
      <c r="D9" s="7" t="s">
        <v>108</v>
      </c>
      <c r="E9" s="8" t="s">
        <v>285</v>
      </c>
      <c r="F9" s="7" t="s">
        <v>270</v>
      </c>
      <c r="G9" s="21" t="s">
        <v>60</v>
      </c>
      <c r="H9" s="21" t="s">
        <v>17</v>
      </c>
      <c r="I9" s="21" t="s">
        <v>18</v>
      </c>
      <c r="J9" s="23"/>
      <c r="K9" s="9" t="str">
        <f>"160,0"</f>
        <v>160,0</v>
      </c>
      <c r="L9" s="9" t="str">
        <f>"156,8960"</f>
        <v>156,8960</v>
      </c>
      <c r="M9" s="7"/>
    </row>
    <row r="11" spans="1:13" ht="16">
      <c r="A11" s="77" t="s">
        <v>112</v>
      </c>
      <c r="B11" s="77"/>
      <c r="C11" s="78"/>
      <c r="D11" s="78"/>
      <c r="E11" s="78"/>
      <c r="F11" s="78"/>
      <c r="G11" s="78"/>
      <c r="H11" s="78"/>
      <c r="I11" s="78"/>
      <c r="J11" s="78"/>
    </row>
    <row r="12" spans="1:13">
      <c r="A12" s="23" t="s">
        <v>38</v>
      </c>
      <c r="B12" s="7" t="s">
        <v>237</v>
      </c>
      <c r="C12" s="7" t="s">
        <v>238</v>
      </c>
      <c r="D12" s="7" t="s">
        <v>239</v>
      </c>
      <c r="E12" s="8" t="s">
        <v>285</v>
      </c>
      <c r="F12" s="7" t="s">
        <v>270</v>
      </c>
      <c r="G12" s="21" t="s">
        <v>60</v>
      </c>
      <c r="H12" s="21" t="s">
        <v>17</v>
      </c>
      <c r="I12" s="23"/>
      <c r="J12" s="23"/>
      <c r="K12" s="9" t="str">
        <f>"150,0"</f>
        <v>150,0</v>
      </c>
      <c r="L12" s="9" t="str">
        <f>"116,3400"</f>
        <v>116,3400</v>
      </c>
      <c r="M12" s="7" t="s">
        <v>96</v>
      </c>
    </row>
    <row r="14" spans="1:13" ht="16">
      <c r="A14" s="77" t="s">
        <v>105</v>
      </c>
      <c r="B14" s="77"/>
      <c r="C14" s="78"/>
      <c r="D14" s="78"/>
      <c r="E14" s="78"/>
      <c r="F14" s="78"/>
      <c r="G14" s="78"/>
      <c r="H14" s="78"/>
      <c r="I14" s="78"/>
      <c r="J14" s="78"/>
    </row>
    <row r="15" spans="1:13">
      <c r="A15" s="23" t="s">
        <v>38</v>
      </c>
      <c r="B15" s="7" t="s">
        <v>240</v>
      </c>
      <c r="C15" s="7" t="s">
        <v>241</v>
      </c>
      <c r="D15" s="7" t="s">
        <v>242</v>
      </c>
      <c r="E15" s="8" t="s">
        <v>285</v>
      </c>
      <c r="F15" s="7" t="s">
        <v>270</v>
      </c>
      <c r="G15" s="21" t="s">
        <v>71</v>
      </c>
      <c r="H15" s="21" t="s">
        <v>60</v>
      </c>
      <c r="I15" s="22" t="s">
        <v>17</v>
      </c>
      <c r="J15" s="23"/>
      <c r="K15" s="9" t="str">
        <f>"140,0"</f>
        <v>140,0</v>
      </c>
      <c r="L15" s="9" t="str">
        <f>"103,0400"</f>
        <v>103,0400</v>
      </c>
      <c r="M15" s="7"/>
    </row>
    <row r="17" spans="1:13" ht="16">
      <c r="A17" s="77" t="s">
        <v>134</v>
      </c>
      <c r="B17" s="77"/>
      <c r="C17" s="78"/>
      <c r="D17" s="78"/>
      <c r="E17" s="78"/>
      <c r="F17" s="78"/>
      <c r="G17" s="78"/>
      <c r="H17" s="78"/>
      <c r="I17" s="78"/>
      <c r="J17" s="78"/>
    </row>
    <row r="18" spans="1:13">
      <c r="A18" s="31" t="s">
        <v>38</v>
      </c>
      <c r="B18" s="24" t="s">
        <v>201</v>
      </c>
      <c r="C18" s="24" t="s">
        <v>202</v>
      </c>
      <c r="D18" s="24" t="s">
        <v>203</v>
      </c>
      <c r="E18" s="25" t="s">
        <v>286</v>
      </c>
      <c r="F18" s="24" t="s">
        <v>273</v>
      </c>
      <c r="G18" s="30" t="s">
        <v>69</v>
      </c>
      <c r="H18" s="30" t="s">
        <v>76</v>
      </c>
      <c r="I18" s="30" t="s">
        <v>123</v>
      </c>
      <c r="J18" s="31"/>
      <c r="K18" s="26" t="str">
        <f>"145,0"</f>
        <v>145,0</v>
      </c>
      <c r="L18" s="26" t="str">
        <f>"97,2080"</f>
        <v>97,2080</v>
      </c>
      <c r="M18" s="24"/>
    </row>
    <row r="19" spans="1:13">
      <c r="A19" s="34" t="s">
        <v>38</v>
      </c>
      <c r="B19" s="27" t="s">
        <v>139</v>
      </c>
      <c r="C19" s="27" t="s">
        <v>140</v>
      </c>
      <c r="D19" s="27" t="s">
        <v>141</v>
      </c>
      <c r="E19" s="28" t="s">
        <v>285</v>
      </c>
      <c r="F19" s="27" t="s">
        <v>142</v>
      </c>
      <c r="G19" s="33" t="s">
        <v>77</v>
      </c>
      <c r="H19" s="33" t="s">
        <v>132</v>
      </c>
      <c r="I19" s="33" t="s">
        <v>78</v>
      </c>
      <c r="J19" s="34"/>
      <c r="K19" s="29" t="str">
        <f>"190,0"</f>
        <v>190,0</v>
      </c>
      <c r="L19" s="29" t="str">
        <f>"129,8080"</f>
        <v>129,8080</v>
      </c>
      <c r="M19" s="27" t="s">
        <v>278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902A-B4F5-423C-9821-2031B2D99EEC}">
  <sheetPr codeName="Лист9"/>
  <dimension ref="A1:M20"/>
  <sheetViews>
    <sheetView workbookViewId="0">
      <selection activeCell="E19" sqref="E19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6" style="5" bestFit="1" customWidth="1"/>
    <col min="4" max="4" width="21" style="5" bestFit="1" customWidth="1"/>
    <col min="5" max="5" width="10.1640625" style="10" bestFit="1" customWidth="1"/>
    <col min="6" max="6" width="29.6640625" style="5" customWidth="1"/>
    <col min="7" max="9" width="5.33203125" style="19" customWidth="1"/>
    <col min="10" max="10" width="4.6640625" style="19" customWidth="1"/>
    <col min="11" max="11" width="10.5" style="6" bestFit="1" customWidth="1"/>
    <col min="12" max="12" width="8.3320312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56" t="s">
        <v>267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9</v>
      </c>
      <c r="H3" s="70"/>
      <c r="I3" s="70"/>
      <c r="J3" s="70"/>
      <c r="K3" s="68" t="s">
        <v>154</v>
      </c>
      <c r="L3" s="68" t="s">
        <v>3</v>
      </c>
      <c r="M3" s="75" t="s">
        <v>2</v>
      </c>
    </row>
    <row r="4" spans="1:13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69"/>
      <c r="L4" s="69"/>
      <c r="M4" s="76"/>
    </row>
    <row r="5" spans="1:13" ht="16">
      <c r="A5" s="79" t="s">
        <v>160</v>
      </c>
      <c r="B5" s="79"/>
      <c r="C5" s="80"/>
      <c r="D5" s="80"/>
      <c r="E5" s="80"/>
      <c r="F5" s="80"/>
      <c r="G5" s="80"/>
      <c r="H5" s="80"/>
      <c r="I5" s="80"/>
      <c r="J5" s="80"/>
    </row>
    <row r="6" spans="1:13">
      <c r="A6" s="31" t="s">
        <v>38</v>
      </c>
      <c r="B6" s="24" t="s">
        <v>161</v>
      </c>
      <c r="C6" s="24" t="s">
        <v>162</v>
      </c>
      <c r="D6" s="24" t="s">
        <v>163</v>
      </c>
      <c r="E6" s="25" t="s">
        <v>286</v>
      </c>
      <c r="F6" s="24" t="s">
        <v>270</v>
      </c>
      <c r="G6" s="30" t="s">
        <v>124</v>
      </c>
      <c r="H6" s="30" t="s">
        <v>116</v>
      </c>
      <c r="I6" s="30" t="s">
        <v>103</v>
      </c>
      <c r="J6" s="31"/>
      <c r="K6" s="26" t="str">
        <f>"110,0"</f>
        <v>110,0</v>
      </c>
      <c r="L6" s="26" t="str">
        <f>"100,1330"</f>
        <v>100,1330</v>
      </c>
      <c r="M6" s="24"/>
    </row>
    <row r="7" spans="1:13">
      <c r="A7" s="34" t="s">
        <v>38</v>
      </c>
      <c r="B7" s="27" t="s">
        <v>161</v>
      </c>
      <c r="C7" s="27" t="s">
        <v>167</v>
      </c>
      <c r="D7" s="27" t="s">
        <v>163</v>
      </c>
      <c r="E7" s="28" t="s">
        <v>285</v>
      </c>
      <c r="F7" s="27" t="s">
        <v>270</v>
      </c>
      <c r="G7" s="33" t="s">
        <v>124</v>
      </c>
      <c r="H7" s="33" t="s">
        <v>116</v>
      </c>
      <c r="I7" s="33" t="s">
        <v>103</v>
      </c>
      <c r="J7" s="34"/>
      <c r="K7" s="29" t="str">
        <f>"110,0"</f>
        <v>110,0</v>
      </c>
      <c r="L7" s="29" t="str">
        <f>"100,1330"</f>
        <v>100,1330</v>
      </c>
      <c r="M7" s="27"/>
    </row>
    <row r="9" spans="1:13" ht="16">
      <c r="A9" s="77" t="s">
        <v>105</v>
      </c>
      <c r="B9" s="77"/>
      <c r="C9" s="78"/>
      <c r="D9" s="78"/>
      <c r="E9" s="78"/>
      <c r="F9" s="78"/>
      <c r="G9" s="78"/>
      <c r="H9" s="78"/>
      <c r="I9" s="78"/>
      <c r="J9" s="78"/>
    </row>
    <row r="10" spans="1:13">
      <c r="A10" s="31" t="s">
        <v>38</v>
      </c>
      <c r="B10" s="24" t="s">
        <v>168</v>
      </c>
      <c r="C10" s="24" t="s">
        <v>169</v>
      </c>
      <c r="D10" s="24" t="s">
        <v>170</v>
      </c>
      <c r="E10" s="25" t="s">
        <v>287</v>
      </c>
      <c r="F10" s="24" t="s">
        <v>270</v>
      </c>
      <c r="G10" s="30" t="s">
        <v>116</v>
      </c>
      <c r="H10" s="30" t="s">
        <v>103</v>
      </c>
      <c r="I10" s="32" t="s">
        <v>60</v>
      </c>
      <c r="J10" s="31"/>
      <c r="K10" s="26" t="str">
        <f>"110,0"</f>
        <v>110,0</v>
      </c>
      <c r="L10" s="26" t="str">
        <f>"79,9040"</f>
        <v>79,9040</v>
      </c>
      <c r="M10" s="24"/>
    </row>
    <row r="11" spans="1:13">
      <c r="A11" s="40" t="s">
        <v>38</v>
      </c>
      <c r="B11" s="36" t="s">
        <v>230</v>
      </c>
      <c r="C11" s="36" t="s">
        <v>231</v>
      </c>
      <c r="D11" s="36" t="s">
        <v>128</v>
      </c>
      <c r="E11" s="37" t="s">
        <v>285</v>
      </c>
      <c r="F11" s="36" t="s">
        <v>270</v>
      </c>
      <c r="G11" s="39" t="s">
        <v>15</v>
      </c>
      <c r="H11" s="39" t="s">
        <v>27</v>
      </c>
      <c r="I11" s="39" t="s">
        <v>232</v>
      </c>
      <c r="J11" s="40"/>
      <c r="K11" s="38" t="str">
        <f>"237,5"</f>
        <v>237,5</v>
      </c>
      <c r="L11" s="38" t="str">
        <f>"169,5513"</f>
        <v>169,5513</v>
      </c>
      <c r="M11" s="36"/>
    </row>
    <row r="12" spans="1:13">
      <c r="A12" s="34" t="s">
        <v>98</v>
      </c>
      <c r="B12" s="27" t="s">
        <v>168</v>
      </c>
      <c r="C12" s="27" t="s">
        <v>171</v>
      </c>
      <c r="D12" s="27" t="s">
        <v>170</v>
      </c>
      <c r="E12" s="28" t="s">
        <v>285</v>
      </c>
      <c r="F12" s="27" t="s">
        <v>270</v>
      </c>
      <c r="G12" s="33" t="s">
        <v>116</v>
      </c>
      <c r="H12" s="33" t="s">
        <v>103</v>
      </c>
      <c r="I12" s="35" t="s">
        <v>60</v>
      </c>
      <c r="J12" s="34"/>
      <c r="K12" s="29" t="str">
        <f>"110,0"</f>
        <v>110,0</v>
      </c>
      <c r="L12" s="29" t="str">
        <f>"79,9040"</f>
        <v>79,9040</v>
      </c>
      <c r="M12" s="27"/>
    </row>
    <row r="14" spans="1:13" ht="16">
      <c r="A14" s="77" t="s">
        <v>10</v>
      </c>
      <c r="B14" s="77"/>
      <c r="C14" s="78"/>
      <c r="D14" s="78"/>
      <c r="E14" s="78"/>
      <c r="F14" s="78"/>
      <c r="G14" s="78"/>
      <c r="H14" s="78"/>
      <c r="I14" s="78"/>
      <c r="J14" s="78"/>
    </row>
    <row r="15" spans="1:13">
      <c r="A15" s="23" t="s">
        <v>38</v>
      </c>
      <c r="B15" s="7" t="s">
        <v>233</v>
      </c>
      <c r="C15" s="7" t="s">
        <v>234</v>
      </c>
      <c r="D15" s="7" t="s">
        <v>13</v>
      </c>
      <c r="E15" s="8" t="s">
        <v>285</v>
      </c>
      <c r="F15" s="7" t="s">
        <v>270</v>
      </c>
      <c r="G15" s="22" t="s">
        <v>19</v>
      </c>
      <c r="H15" s="21" t="s">
        <v>19</v>
      </c>
      <c r="I15" s="21" t="s">
        <v>78</v>
      </c>
      <c r="J15" s="23"/>
      <c r="K15" s="9" t="str">
        <f>"190,0"</f>
        <v>190,0</v>
      </c>
      <c r="L15" s="9" t="str">
        <f>"121,2960"</f>
        <v>121,2960</v>
      </c>
      <c r="M15" s="7"/>
    </row>
    <row r="17" spans="1:13" ht="16">
      <c r="A17" s="77" t="s">
        <v>23</v>
      </c>
      <c r="B17" s="77"/>
      <c r="C17" s="78"/>
      <c r="D17" s="78"/>
      <c r="E17" s="78"/>
      <c r="F17" s="78"/>
      <c r="G17" s="78"/>
      <c r="H17" s="78"/>
      <c r="I17" s="78"/>
      <c r="J17" s="78"/>
    </row>
    <row r="18" spans="1:13">
      <c r="A18" s="23" t="s">
        <v>38</v>
      </c>
      <c r="B18" s="7" t="s">
        <v>235</v>
      </c>
      <c r="C18" s="7" t="s">
        <v>236</v>
      </c>
      <c r="D18" s="7" t="s">
        <v>217</v>
      </c>
      <c r="E18" s="8" t="s">
        <v>286</v>
      </c>
      <c r="F18" s="7" t="s">
        <v>270</v>
      </c>
      <c r="G18" s="21" t="s">
        <v>116</v>
      </c>
      <c r="H18" s="21" t="s">
        <v>103</v>
      </c>
      <c r="I18" s="21" t="s">
        <v>69</v>
      </c>
      <c r="J18" s="23"/>
      <c r="K18" s="9" t="str">
        <f>"120,0"</f>
        <v>120,0</v>
      </c>
      <c r="L18" s="9" t="str">
        <f>"73,0320"</f>
        <v>73,0320</v>
      </c>
      <c r="M18" s="7"/>
    </row>
    <row r="20" spans="1:13">
      <c r="G20" s="5"/>
      <c r="K20" s="19"/>
      <c r="M20" s="6"/>
    </row>
  </sheetData>
  <mergeCells count="15">
    <mergeCell ref="A9:J9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F285A-C974-489C-B2E4-F862D03E07EA}">
  <sheetPr codeName="Лист3"/>
  <dimension ref="A1:M14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17.6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29.6640625" style="5" bestFit="1" customWidth="1"/>
    <col min="7" max="9" width="5.5" style="19" customWidth="1"/>
    <col min="10" max="10" width="4.6640625" style="19" customWidth="1"/>
    <col min="11" max="11" width="10.5" style="6" bestFit="1" customWidth="1"/>
    <col min="12" max="12" width="9.1640625" style="6" customWidth="1"/>
    <col min="13" max="13" width="18.33203125" style="5" customWidth="1"/>
    <col min="14" max="16384" width="9.1640625" style="3"/>
  </cols>
  <sheetData>
    <row r="1" spans="1:13" s="2" customFormat="1" ht="29" customHeight="1">
      <c r="A1" s="56" t="s">
        <v>268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248</v>
      </c>
      <c r="H3" s="70"/>
      <c r="I3" s="70"/>
      <c r="J3" s="70"/>
      <c r="K3" s="68" t="s">
        <v>154</v>
      </c>
      <c r="L3" s="68" t="s">
        <v>3</v>
      </c>
      <c r="M3" s="75" t="s">
        <v>2</v>
      </c>
    </row>
    <row r="4" spans="1:13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69"/>
      <c r="L4" s="69"/>
      <c r="M4" s="76"/>
    </row>
    <row r="5" spans="1:13" ht="16">
      <c r="A5" s="79" t="s">
        <v>105</v>
      </c>
      <c r="B5" s="79"/>
      <c r="C5" s="80"/>
      <c r="D5" s="80"/>
      <c r="E5" s="80"/>
      <c r="F5" s="80"/>
      <c r="G5" s="80"/>
      <c r="H5" s="80"/>
      <c r="I5" s="80"/>
      <c r="J5" s="80"/>
    </row>
    <row r="6" spans="1:13">
      <c r="A6" s="23" t="s">
        <v>38</v>
      </c>
      <c r="B6" s="7" t="s">
        <v>250</v>
      </c>
      <c r="C6" s="7" t="s">
        <v>251</v>
      </c>
      <c r="D6" s="7" t="s">
        <v>252</v>
      </c>
      <c r="E6" s="8" t="s">
        <v>285</v>
      </c>
      <c r="F6" s="7" t="s">
        <v>253</v>
      </c>
      <c r="G6" s="21" t="s">
        <v>243</v>
      </c>
      <c r="H6" s="21" t="s">
        <v>109</v>
      </c>
      <c r="I6" s="22" t="s">
        <v>249</v>
      </c>
      <c r="J6" s="23"/>
      <c r="K6" s="9" t="str">
        <f>"60,0"</f>
        <v>60,0</v>
      </c>
      <c r="L6" s="9" t="str">
        <f>"41,8980"</f>
        <v>41,8980</v>
      </c>
      <c r="M6" s="7"/>
    </row>
    <row r="8" spans="1:13" ht="16">
      <c r="A8" s="77" t="s">
        <v>134</v>
      </c>
      <c r="B8" s="77"/>
      <c r="C8" s="78"/>
      <c r="D8" s="78"/>
      <c r="E8" s="78"/>
      <c r="F8" s="78"/>
      <c r="G8" s="78"/>
      <c r="H8" s="78"/>
      <c r="I8" s="78"/>
      <c r="J8" s="78"/>
    </row>
    <row r="9" spans="1:13">
      <c r="A9" s="23" t="s">
        <v>38</v>
      </c>
      <c r="B9" s="7" t="s">
        <v>201</v>
      </c>
      <c r="C9" s="7" t="s">
        <v>279</v>
      </c>
      <c r="D9" s="7" t="s">
        <v>203</v>
      </c>
      <c r="E9" s="8" t="s">
        <v>290</v>
      </c>
      <c r="F9" s="7" t="s">
        <v>273</v>
      </c>
      <c r="G9" s="21" t="s">
        <v>165</v>
      </c>
      <c r="H9" s="21" t="s">
        <v>254</v>
      </c>
      <c r="I9" s="21" t="s">
        <v>188</v>
      </c>
      <c r="J9" s="23"/>
      <c r="K9" s="9" t="str">
        <f>"45,0"</f>
        <v>45,0</v>
      </c>
      <c r="L9" s="9" t="str">
        <f>"29,0295"</f>
        <v>29,0295</v>
      </c>
      <c r="M9" s="7"/>
    </row>
    <row r="11" spans="1:13" ht="16">
      <c r="A11" s="77" t="s">
        <v>23</v>
      </c>
      <c r="B11" s="77"/>
      <c r="C11" s="78"/>
      <c r="D11" s="78"/>
      <c r="E11" s="78"/>
      <c r="F11" s="78"/>
      <c r="G11" s="78"/>
      <c r="H11" s="78"/>
      <c r="I11" s="78"/>
      <c r="J11" s="78"/>
    </row>
    <row r="12" spans="1:13">
      <c r="A12" s="23" t="s">
        <v>38</v>
      </c>
      <c r="B12" s="7" t="s">
        <v>218</v>
      </c>
      <c r="C12" s="7" t="s">
        <v>219</v>
      </c>
      <c r="D12" s="7" t="s">
        <v>220</v>
      </c>
      <c r="E12" s="8" t="s">
        <v>285</v>
      </c>
      <c r="F12" s="7" t="s">
        <v>270</v>
      </c>
      <c r="G12" s="21" t="s">
        <v>124</v>
      </c>
      <c r="H12" s="21" t="s">
        <v>117</v>
      </c>
      <c r="I12" s="22" t="s">
        <v>255</v>
      </c>
      <c r="J12" s="23"/>
      <c r="K12" s="9" t="str">
        <f>"75,0"</f>
        <v>75,0</v>
      </c>
      <c r="L12" s="9" t="str">
        <f>"43,7662"</f>
        <v>43,7662</v>
      </c>
      <c r="M12" s="7"/>
    </row>
    <row r="14" spans="1:13">
      <c r="G14" s="5"/>
      <c r="K14" s="19"/>
      <c r="M14" s="6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8E9F5-865F-45B1-9ADE-CA0CCEE2CD1C}">
  <sheetPr codeName="Лист4"/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9.1640625" style="5" customWidth="1"/>
    <col min="3" max="3" width="25.33203125" style="5" bestFit="1" customWidth="1"/>
    <col min="4" max="4" width="21" style="5" bestFit="1" customWidth="1"/>
    <col min="5" max="5" width="10.1640625" style="10" bestFit="1" customWidth="1"/>
    <col min="6" max="6" width="27.6640625" style="5" bestFit="1" customWidth="1"/>
    <col min="7" max="9" width="5.5" style="19" customWidth="1"/>
    <col min="10" max="10" width="4.6640625" style="19" customWidth="1"/>
    <col min="11" max="11" width="10.5" style="6" bestFit="1" customWidth="1"/>
    <col min="12" max="12" width="7.664062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56" t="s">
        <v>269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281</v>
      </c>
      <c r="H3" s="70"/>
      <c r="I3" s="70"/>
      <c r="J3" s="70"/>
      <c r="K3" s="68" t="s">
        <v>154</v>
      </c>
      <c r="L3" s="68" t="s">
        <v>3</v>
      </c>
      <c r="M3" s="75" t="s">
        <v>2</v>
      </c>
    </row>
    <row r="4" spans="1:13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69"/>
      <c r="L4" s="69"/>
      <c r="M4" s="76"/>
    </row>
    <row r="5" spans="1:13" ht="16">
      <c r="A5" s="79" t="s">
        <v>10</v>
      </c>
      <c r="B5" s="79"/>
      <c r="C5" s="80"/>
      <c r="D5" s="80"/>
      <c r="E5" s="80"/>
      <c r="F5" s="80"/>
      <c r="G5" s="80"/>
      <c r="H5" s="80"/>
      <c r="I5" s="80"/>
      <c r="J5" s="80"/>
    </row>
    <row r="6" spans="1:13">
      <c r="A6" s="23" t="s">
        <v>38</v>
      </c>
      <c r="B6" s="7" t="s">
        <v>155</v>
      </c>
      <c r="C6" s="7" t="s">
        <v>156</v>
      </c>
      <c r="D6" s="7" t="s">
        <v>157</v>
      </c>
      <c r="E6" s="8" t="s">
        <v>285</v>
      </c>
      <c r="F6" s="7" t="s">
        <v>270</v>
      </c>
      <c r="G6" s="21" t="s">
        <v>166</v>
      </c>
      <c r="H6" s="21" t="s">
        <v>249</v>
      </c>
      <c r="I6" s="22" t="s">
        <v>117</v>
      </c>
      <c r="J6" s="23"/>
      <c r="K6" s="9" t="str">
        <f>"65,0"</f>
        <v>65,0</v>
      </c>
      <c r="L6" s="9" t="str">
        <f>"40,0205"</f>
        <v>40,0205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1D4E-4C57-4253-91B1-B4E10C4029AA}">
  <sheetPr codeName="Лист15"/>
  <dimension ref="A1:U25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20.33203125" style="5" bestFit="1" customWidth="1"/>
    <col min="3" max="3" width="25.33203125" style="5" bestFit="1" customWidth="1"/>
    <col min="4" max="4" width="21" style="5" bestFit="1" customWidth="1"/>
    <col min="5" max="5" width="10.1640625" style="10" bestFit="1" customWidth="1"/>
    <col min="6" max="6" width="29.6640625" style="5" bestFit="1" customWidth="1"/>
    <col min="7" max="7" width="5.5" style="19" customWidth="1"/>
    <col min="8" max="9" width="5.33203125" style="19" customWidth="1"/>
    <col min="10" max="10" width="4.6640625" style="19" customWidth="1"/>
    <col min="11" max="13" width="5.33203125" style="19" customWidth="1"/>
    <col min="14" max="14" width="4.6640625" style="19" customWidth="1"/>
    <col min="15" max="17" width="5.33203125" style="19" customWidth="1"/>
    <col min="18" max="18" width="4.6640625" style="19" customWidth="1"/>
    <col min="19" max="19" width="7.6640625" style="6" bestFit="1" customWidth="1"/>
    <col min="20" max="20" width="8.33203125" style="6" bestFit="1" customWidth="1"/>
    <col min="21" max="21" width="21.5" style="5" customWidth="1"/>
    <col min="22" max="16384" width="9.1640625" style="3"/>
  </cols>
  <sheetData>
    <row r="1" spans="1:21" s="2" customFormat="1" ht="29" customHeight="1">
      <c r="A1" s="56" t="s">
        <v>257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7</v>
      </c>
      <c r="H3" s="70"/>
      <c r="I3" s="70"/>
      <c r="J3" s="70"/>
      <c r="K3" s="70" t="s">
        <v>8</v>
      </c>
      <c r="L3" s="70"/>
      <c r="M3" s="70"/>
      <c r="N3" s="70"/>
      <c r="O3" s="70" t="s">
        <v>9</v>
      </c>
      <c r="P3" s="70"/>
      <c r="Q3" s="70"/>
      <c r="R3" s="70"/>
      <c r="S3" s="68" t="s">
        <v>1</v>
      </c>
      <c r="T3" s="68" t="s">
        <v>3</v>
      </c>
      <c r="U3" s="75" t="s">
        <v>2</v>
      </c>
    </row>
    <row r="4" spans="1:21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9"/>
      <c r="T4" s="69"/>
      <c r="U4" s="76"/>
    </row>
    <row r="5" spans="1:21" ht="16">
      <c r="A5" s="79" t="s">
        <v>10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1">
      <c r="A6" s="31" t="s">
        <v>38</v>
      </c>
      <c r="B6" s="24" t="s">
        <v>61</v>
      </c>
      <c r="C6" s="24" t="s">
        <v>62</v>
      </c>
      <c r="D6" s="24" t="s">
        <v>63</v>
      </c>
      <c r="E6" s="25" t="s">
        <v>285</v>
      </c>
      <c r="F6" s="24" t="s">
        <v>270</v>
      </c>
      <c r="G6" s="30" t="s">
        <v>15</v>
      </c>
      <c r="H6" s="31"/>
      <c r="I6" s="31"/>
      <c r="J6" s="31"/>
      <c r="K6" s="30" t="s">
        <v>28</v>
      </c>
      <c r="L6" s="31"/>
      <c r="M6" s="31"/>
      <c r="N6" s="31"/>
      <c r="O6" s="30" t="s">
        <v>15</v>
      </c>
      <c r="P6" s="31"/>
      <c r="Q6" s="31"/>
      <c r="R6" s="31"/>
      <c r="S6" s="26" t="str">
        <f>"620,0"</f>
        <v>620,0</v>
      </c>
      <c r="T6" s="26" t="str">
        <f>"399,5280"</f>
        <v>399,5280</v>
      </c>
      <c r="U6" s="24"/>
    </row>
    <row r="7" spans="1:21">
      <c r="A7" s="40" t="s">
        <v>98</v>
      </c>
      <c r="B7" s="36" t="s">
        <v>64</v>
      </c>
      <c r="C7" s="36" t="s">
        <v>65</v>
      </c>
      <c r="D7" s="36" t="s">
        <v>66</v>
      </c>
      <c r="E7" s="37" t="s">
        <v>285</v>
      </c>
      <c r="F7" s="36" t="s">
        <v>270</v>
      </c>
      <c r="G7" s="39" t="s">
        <v>18</v>
      </c>
      <c r="H7" s="39" t="s">
        <v>67</v>
      </c>
      <c r="I7" s="39" t="s">
        <v>68</v>
      </c>
      <c r="J7" s="40"/>
      <c r="K7" s="39" t="s">
        <v>69</v>
      </c>
      <c r="L7" s="39" t="s">
        <v>70</v>
      </c>
      <c r="M7" s="39" t="s">
        <v>71</v>
      </c>
      <c r="N7" s="40"/>
      <c r="O7" s="39" t="s">
        <v>72</v>
      </c>
      <c r="P7" s="39" t="s">
        <v>14</v>
      </c>
      <c r="Q7" s="39" t="s">
        <v>15</v>
      </c>
      <c r="R7" s="40"/>
      <c r="S7" s="38" t="str">
        <f>"522,5"</f>
        <v>522,5</v>
      </c>
      <c r="T7" s="38" t="str">
        <f>"336,8557"</f>
        <v>336,8557</v>
      </c>
      <c r="U7" s="36"/>
    </row>
    <row r="8" spans="1:21">
      <c r="A8" s="34" t="s">
        <v>99</v>
      </c>
      <c r="B8" s="27" t="s">
        <v>73</v>
      </c>
      <c r="C8" s="27" t="s">
        <v>74</v>
      </c>
      <c r="D8" s="27" t="s">
        <v>75</v>
      </c>
      <c r="E8" s="28" t="s">
        <v>285</v>
      </c>
      <c r="F8" s="27" t="s">
        <v>270</v>
      </c>
      <c r="G8" s="35" t="s">
        <v>17</v>
      </c>
      <c r="H8" s="35" t="s">
        <v>17</v>
      </c>
      <c r="I8" s="33" t="s">
        <v>17</v>
      </c>
      <c r="J8" s="34"/>
      <c r="K8" s="33" t="s">
        <v>69</v>
      </c>
      <c r="L8" s="33" t="s">
        <v>71</v>
      </c>
      <c r="M8" s="33" t="s">
        <v>76</v>
      </c>
      <c r="N8" s="34"/>
      <c r="O8" s="33" t="s">
        <v>77</v>
      </c>
      <c r="P8" s="33" t="s">
        <v>28</v>
      </c>
      <c r="Q8" s="33" t="s">
        <v>78</v>
      </c>
      <c r="R8" s="34"/>
      <c r="S8" s="29" t="str">
        <f>"475,0"</f>
        <v>475,0</v>
      </c>
      <c r="T8" s="29" t="str">
        <f>"304,0950"</f>
        <v>304,0950</v>
      </c>
      <c r="U8" s="27"/>
    </row>
    <row r="10" spans="1:21" ht="16">
      <c r="A10" s="77" t="s">
        <v>23</v>
      </c>
      <c r="B10" s="77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</row>
    <row r="11" spans="1:21">
      <c r="A11" s="23" t="s">
        <v>38</v>
      </c>
      <c r="B11" s="7" t="s">
        <v>79</v>
      </c>
      <c r="C11" s="7" t="s">
        <v>80</v>
      </c>
      <c r="D11" s="7" t="s">
        <v>81</v>
      </c>
      <c r="E11" s="8" t="s">
        <v>285</v>
      </c>
      <c r="F11" s="7" t="s">
        <v>270</v>
      </c>
      <c r="G11" s="21" t="s">
        <v>82</v>
      </c>
      <c r="H11" s="22" t="s">
        <v>14</v>
      </c>
      <c r="I11" s="22" t="s">
        <v>14</v>
      </c>
      <c r="J11" s="23"/>
      <c r="K11" s="21" t="s">
        <v>60</v>
      </c>
      <c r="L11" s="21" t="s">
        <v>17</v>
      </c>
      <c r="M11" s="21" t="s">
        <v>57</v>
      </c>
      <c r="N11" s="23"/>
      <c r="O11" s="21" t="s">
        <v>14</v>
      </c>
      <c r="P11" s="21" t="s">
        <v>15</v>
      </c>
      <c r="Q11" s="21" t="s">
        <v>27</v>
      </c>
      <c r="R11" s="23"/>
      <c r="S11" s="9" t="str">
        <f>"585,0"</f>
        <v>585,0</v>
      </c>
      <c r="T11" s="9" t="str">
        <f>"358,0785"</f>
        <v>358,0785</v>
      </c>
      <c r="U11" s="7"/>
    </row>
    <row r="13" spans="1:21" ht="16">
      <c r="A13" s="77" t="s">
        <v>83</v>
      </c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1:21">
      <c r="A14" s="31" t="s">
        <v>38</v>
      </c>
      <c r="B14" s="24" t="s">
        <v>84</v>
      </c>
      <c r="C14" s="24" t="s">
        <v>85</v>
      </c>
      <c r="D14" s="24" t="s">
        <v>86</v>
      </c>
      <c r="E14" s="25" t="s">
        <v>285</v>
      </c>
      <c r="F14" s="24" t="s">
        <v>270</v>
      </c>
      <c r="G14" s="30" t="s">
        <v>87</v>
      </c>
      <c r="H14" s="30" t="s">
        <v>88</v>
      </c>
      <c r="I14" s="31"/>
      <c r="J14" s="31"/>
      <c r="K14" s="30" t="s">
        <v>82</v>
      </c>
      <c r="L14" s="30" t="s">
        <v>14</v>
      </c>
      <c r="M14" s="30" t="s">
        <v>89</v>
      </c>
      <c r="N14" s="31"/>
      <c r="O14" s="30" t="s">
        <v>90</v>
      </c>
      <c r="P14" s="32" t="s">
        <v>91</v>
      </c>
      <c r="Q14" s="31"/>
      <c r="R14" s="31"/>
      <c r="S14" s="26" t="str">
        <f>"827,5"</f>
        <v>827,5</v>
      </c>
      <c r="T14" s="26" t="str">
        <f>"471,5095"</f>
        <v>471,5095</v>
      </c>
      <c r="U14" s="24" t="s">
        <v>58</v>
      </c>
    </row>
    <row r="15" spans="1:21">
      <c r="A15" s="34" t="s">
        <v>98</v>
      </c>
      <c r="B15" s="27" t="s">
        <v>92</v>
      </c>
      <c r="C15" s="27" t="s">
        <v>93</v>
      </c>
      <c r="D15" s="27" t="s">
        <v>94</v>
      </c>
      <c r="E15" s="28" t="s">
        <v>285</v>
      </c>
      <c r="F15" s="27" t="s">
        <v>270</v>
      </c>
      <c r="G15" s="33" t="s">
        <v>15</v>
      </c>
      <c r="H15" s="33" t="s">
        <v>27</v>
      </c>
      <c r="I15" s="35" t="s">
        <v>95</v>
      </c>
      <c r="J15" s="34"/>
      <c r="K15" s="33" t="s">
        <v>69</v>
      </c>
      <c r="L15" s="35" t="s">
        <v>71</v>
      </c>
      <c r="M15" s="33" t="s">
        <v>71</v>
      </c>
      <c r="N15" s="34"/>
      <c r="O15" s="33" t="s">
        <v>15</v>
      </c>
      <c r="P15" s="33" t="s">
        <v>27</v>
      </c>
      <c r="Q15" s="33" t="s">
        <v>21</v>
      </c>
      <c r="R15" s="34"/>
      <c r="S15" s="29" t="str">
        <f>"610,0"</f>
        <v>610,0</v>
      </c>
      <c r="T15" s="29" t="str">
        <f>"348,4930"</f>
        <v>348,4930</v>
      </c>
      <c r="U15" s="27" t="s">
        <v>96</v>
      </c>
    </row>
    <row r="17" spans="2:7">
      <c r="G17" s="5"/>
    </row>
    <row r="19" spans="2:7" ht="18">
      <c r="B19" s="12" t="s">
        <v>29</v>
      </c>
      <c r="C19" s="12"/>
    </row>
    <row r="20" spans="2:7" ht="16">
      <c r="B20" s="13" t="s">
        <v>30</v>
      </c>
      <c r="C20" s="13"/>
    </row>
    <row r="21" spans="2:7" ht="14">
      <c r="B21" s="14"/>
      <c r="C21" s="15" t="s">
        <v>31</v>
      </c>
    </row>
    <row r="22" spans="2:7" ht="14">
      <c r="B22" s="16" t="s">
        <v>32</v>
      </c>
      <c r="C22" s="16" t="s">
        <v>33</v>
      </c>
      <c r="D22" s="16" t="s">
        <v>275</v>
      </c>
      <c r="E22" s="17" t="s">
        <v>34</v>
      </c>
      <c r="F22" s="16" t="s">
        <v>35</v>
      </c>
    </row>
    <row r="23" spans="2:7">
      <c r="B23" s="5" t="s">
        <v>84</v>
      </c>
      <c r="C23" s="5" t="s">
        <v>31</v>
      </c>
      <c r="D23" s="19" t="s">
        <v>97</v>
      </c>
      <c r="E23" s="20">
        <v>827.5</v>
      </c>
      <c r="F23" s="18">
        <v>471.50951594114298</v>
      </c>
    </row>
    <row r="24" spans="2:7">
      <c r="B24" s="5" t="s">
        <v>61</v>
      </c>
      <c r="C24" s="5" t="s">
        <v>31</v>
      </c>
      <c r="D24" s="19" t="s">
        <v>36</v>
      </c>
      <c r="E24" s="20">
        <v>620</v>
      </c>
      <c r="F24" s="18">
        <v>399.52800035476702</v>
      </c>
    </row>
    <row r="25" spans="2:7">
      <c r="B25" s="5" t="s">
        <v>79</v>
      </c>
      <c r="C25" s="5" t="s">
        <v>31</v>
      </c>
      <c r="D25" s="19" t="s">
        <v>37</v>
      </c>
      <c r="E25" s="20">
        <v>585</v>
      </c>
      <c r="F25" s="18">
        <v>358.07850301265699</v>
      </c>
      <c r="G25" s="5"/>
    </row>
  </sheetData>
  <mergeCells count="16">
    <mergeCell ref="A10:R10"/>
    <mergeCell ref="A13:R13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4656-6DE0-46B3-A0BE-2354FE9DDD3B}">
  <sheetPr codeName="Лист16"/>
  <dimension ref="A1:U12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27.6640625" style="5" bestFit="1" customWidth="1"/>
    <col min="7" max="9" width="5.33203125" style="19" customWidth="1"/>
    <col min="10" max="10" width="4.6640625" style="19" customWidth="1"/>
    <col min="11" max="13" width="5.33203125" style="19" customWidth="1"/>
    <col min="14" max="14" width="4.6640625" style="19" customWidth="1"/>
    <col min="15" max="17" width="5.33203125" style="19" customWidth="1"/>
    <col min="18" max="18" width="4.6640625" style="19" customWidth="1"/>
    <col min="19" max="19" width="7.6640625" style="6" bestFit="1" customWidth="1"/>
    <col min="20" max="20" width="8.33203125" style="6" bestFit="1" customWidth="1"/>
    <col min="21" max="21" width="15.83203125" style="5" bestFit="1" customWidth="1"/>
    <col min="22" max="16384" width="9.1640625" style="3"/>
  </cols>
  <sheetData>
    <row r="1" spans="1:21" s="2" customFormat="1" ht="29" customHeight="1">
      <c r="A1" s="56" t="s">
        <v>258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7</v>
      </c>
      <c r="H3" s="70"/>
      <c r="I3" s="70"/>
      <c r="J3" s="70"/>
      <c r="K3" s="70" t="s">
        <v>8</v>
      </c>
      <c r="L3" s="70"/>
      <c r="M3" s="70"/>
      <c r="N3" s="70"/>
      <c r="O3" s="70" t="s">
        <v>9</v>
      </c>
      <c r="P3" s="70"/>
      <c r="Q3" s="70"/>
      <c r="R3" s="70"/>
      <c r="S3" s="68" t="s">
        <v>1</v>
      </c>
      <c r="T3" s="68" t="s">
        <v>3</v>
      </c>
      <c r="U3" s="75" t="s">
        <v>2</v>
      </c>
    </row>
    <row r="4" spans="1:21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9"/>
      <c r="T4" s="69"/>
      <c r="U4" s="76"/>
    </row>
    <row r="5" spans="1:21" ht="16">
      <c r="A5" s="79" t="s">
        <v>39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1">
      <c r="A6" s="23" t="s">
        <v>38</v>
      </c>
      <c r="B6" s="7" t="s">
        <v>40</v>
      </c>
      <c r="C6" s="7" t="s">
        <v>41</v>
      </c>
      <c r="D6" s="7" t="s">
        <v>42</v>
      </c>
      <c r="E6" s="8" t="s">
        <v>287</v>
      </c>
      <c r="F6" s="7" t="s">
        <v>270</v>
      </c>
      <c r="G6" s="21" t="s">
        <v>43</v>
      </c>
      <c r="H6" s="21" t="s">
        <v>44</v>
      </c>
      <c r="I6" s="21" t="s">
        <v>45</v>
      </c>
      <c r="J6" s="23"/>
      <c r="K6" s="21" t="s">
        <v>46</v>
      </c>
      <c r="L6" s="21" t="s">
        <v>47</v>
      </c>
      <c r="M6" s="22" t="s">
        <v>48</v>
      </c>
      <c r="N6" s="23"/>
      <c r="O6" s="21" t="s">
        <v>49</v>
      </c>
      <c r="P6" s="21" t="s">
        <v>50</v>
      </c>
      <c r="Q6" s="21" t="s">
        <v>51</v>
      </c>
      <c r="R6" s="23"/>
      <c r="S6" s="9" t="str">
        <f>"267,5"</f>
        <v>267,5</v>
      </c>
      <c r="T6" s="9" t="str">
        <f>"301,3655"</f>
        <v>301,3655</v>
      </c>
      <c r="U6" s="7"/>
    </row>
    <row r="8" spans="1:21" ht="16">
      <c r="A8" s="77" t="s">
        <v>23</v>
      </c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1:21">
      <c r="A9" s="31" t="s">
        <v>38</v>
      </c>
      <c r="B9" s="24" t="s">
        <v>52</v>
      </c>
      <c r="C9" s="24" t="s">
        <v>53</v>
      </c>
      <c r="D9" s="24" t="s">
        <v>54</v>
      </c>
      <c r="E9" s="25" t="s">
        <v>285</v>
      </c>
      <c r="F9" s="43" t="s">
        <v>270</v>
      </c>
      <c r="G9" s="47" t="s">
        <v>55</v>
      </c>
      <c r="H9" s="30" t="s">
        <v>16</v>
      </c>
      <c r="I9" s="48" t="s">
        <v>55</v>
      </c>
      <c r="J9" s="45"/>
      <c r="K9" s="30" t="s">
        <v>17</v>
      </c>
      <c r="L9" s="30" t="s">
        <v>56</v>
      </c>
      <c r="M9" s="30" t="s">
        <v>57</v>
      </c>
      <c r="N9" s="31"/>
      <c r="O9" s="30" t="s">
        <v>16</v>
      </c>
      <c r="P9" s="32" t="s">
        <v>21</v>
      </c>
      <c r="Q9" s="32" t="s">
        <v>21</v>
      </c>
      <c r="R9" s="31"/>
      <c r="S9" s="26" t="str">
        <f>"650,0"</f>
        <v>650,0</v>
      </c>
      <c r="T9" s="26" t="str">
        <f>"395,7200"</f>
        <v>395,7200</v>
      </c>
      <c r="U9" s="24" t="s">
        <v>58</v>
      </c>
    </row>
    <row r="10" spans="1:21">
      <c r="A10" s="34" t="s">
        <v>38</v>
      </c>
      <c r="B10" s="27" t="s">
        <v>52</v>
      </c>
      <c r="C10" s="27" t="s">
        <v>59</v>
      </c>
      <c r="D10" s="27" t="s">
        <v>54</v>
      </c>
      <c r="E10" s="28" t="s">
        <v>288</v>
      </c>
      <c r="F10" s="44" t="s">
        <v>270</v>
      </c>
      <c r="G10" s="49" t="s">
        <v>55</v>
      </c>
      <c r="H10" s="33" t="s">
        <v>16</v>
      </c>
      <c r="I10" s="50" t="s">
        <v>55</v>
      </c>
      <c r="J10" s="46"/>
      <c r="K10" s="33" t="s">
        <v>60</v>
      </c>
      <c r="L10" s="33" t="s">
        <v>56</v>
      </c>
      <c r="M10" s="33" t="s">
        <v>57</v>
      </c>
      <c r="N10" s="34"/>
      <c r="O10" s="33" t="s">
        <v>16</v>
      </c>
      <c r="P10" s="35" t="s">
        <v>21</v>
      </c>
      <c r="Q10" s="35" t="s">
        <v>21</v>
      </c>
      <c r="R10" s="34"/>
      <c r="S10" s="29" t="str">
        <f>"650,0"</f>
        <v>650,0</v>
      </c>
      <c r="T10" s="29" t="str">
        <f>"395,7200"</f>
        <v>395,7200</v>
      </c>
      <c r="U10" s="27" t="s">
        <v>58</v>
      </c>
    </row>
    <row r="12" spans="1:21">
      <c r="G12" s="5"/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5.33203125" style="5" bestFit="1" customWidth="1"/>
    <col min="4" max="4" width="21" style="5" bestFit="1" customWidth="1"/>
    <col min="5" max="5" width="10.1640625" style="10" bestFit="1" customWidth="1"/>
    <col min="6" max="6" width="27.6640625" style="5" bestFit="1" customWidth="1"/>
    <col min="7" max="9" width="5.33203125" style="19" customWidth="1"/>
    <col min="10" max="10" width="4.6640625" style="19" customWidth="1"/>
    <col min="11" max="13" width="5.33203125" style="19" customWidth="1"/>
    <col min="14" max="14" width="4.6640625" style="19" customWidth="1"/>
    <col min="15" max="17" width="5.33203125" style="19" customWidth="1"/>
    <col min="18" max="18" width="4.6640625" style="19" customWidth="1"/>
    <col min="19" max="19" width="7.6640625" style="6" bestFit="1" customWidth="1"/>
    <col min="20" max="20" width="8.33203125" style="6" bestFit="1" customWidth="1"/>
    <col min="21" max="21" width="15.83203125" style="5" bestFit="1" customWidth="1"/>
    <col min="22" max="16384" width="9.1640625" style="3"/>
  </cols>
  <sheetData>
    <row r="1" spans="1:21" s="2" customFormat="1" ht="29" customHeight="1">
      <c r="A1" s="56" t="s">
        <v>259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7</v>
      </c>
      <c r="H3" s="70"/>
      <c r="I3" s="70"/>
      <c r="J3" s="70"/>
      <c r="K3" s="70" t="s">
        <v>8</v>
      </c>
      <c r="L3" s="70"/>
      <c r="M3" s="70"/>
      <c r="N3" s="70"/>
      <c r="O3" s="70" t="s">
        <v>9</v>
      </c>
      <c r="P3" s="70"/>
      <c r="Q3" s="70"/>
      <c r="R3" s="70"/>
      <c r="S3" s="68" t="s">
        <v>1</v>
      </c>
      <c r="T3" s="68" t="s">
        <v>3</v>
      </c>
      <c r="U3" s="75" t="s">
        <v>2</v>
      </c>
    </row>
    <row r="4" spans="1:21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9"/>
      <c r="T4" s="69"/>
      <c r="U4" s="76"/>
    </row>
    <row r="5" spans="1:21" ht="16">
      <c r="A5" s="79" t="s">
        <v>10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1">
      <c r="A6" s="23" t="s">
        <v>38</v>
      </c>
      <c r="B6" s="7" t="s">
        <v>11</v>
      </c>
      <c r="C6" s="7" t="s">
        <v>12</v>
      </c>
      <c r="D6" s="7" t="s">
        <v>13</v>
      </c>
      <c r="E6" s="8" t="s">
        <v>285</v>
      </c>
      <c r="F6" s="7" t="s">
        <v>270</v>
      </c>
      <c r="G6" s="21" t="s">
        <v>14</v>
      </c>
      <c r="H6" s="21" t="s">
        <v>15</v>
      </c>
      <c r="I6" s="22" t="s">
        <v>16</v>
      </c>
      <c r="J6" s="23"/>
      <c r="K6" s="21" t="s">
        <v>17</v>
      </c>
      <c r="L6" s="21" t="s">
        <v>18</v>
      </c>
      <c r="M6" s="21" t="s">
        <v>19</v>
      </c>
      <c r="N6" s="23"/>
      <c r="O6" s="21" t="s">
        <v>15</v>
      </c>
      <c r="P6" s="21" t="s">
        <v>20</v>
      </c>
      <c r="Q6" s="22" t="s">
        <v>21</v>
      </c>
      <c r="R6" s="23"/>
      <c r="S6" s="9" t="str">
        <f>"625,0"</f>
        <v>625,0</v>
      </c>
      <c r="T6" s="9" t="str">
        <f>"399,0000"</f>
        <v>399,0000</v>
      </c>
      <c r="U6" s="7" t="s">
        <v>22</v>
      </c>
    </row>
    <row r="8" spans="1:21" ht="16">
      <c r="A8" s="77" t="s">
        <v>23</v>
      </c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1:21">
      <c r="A9" s="23" t="s">
        <v>38</v>
      </c>
      <c r="B9" s="7" t="s">
        <v>24</v>
      </c>
      <c r="C9" s="7" t="s">
        <v>25</v>
      </c>
      <c r="D9" s="7" t="s">
        <v>26</v>
      </c>
      <c r="E9" s="8" t="s">
        <v>285</v>
      </c>
      <c r="F9" s="7" t="s">
        <v>270</v>
      </c>
      <c r="G9" s="21" t="s">
        <v>14</v>
      </c>
      <c r="H9" s="21" t="s">
        <v>27</v>
      </c>
      <c r="I9" s="22" t="s">
        <v>16</v>
      </c>
      <c r="J9" s="23"/>
      <c r="K9" s="21" t="s">
        <v>19</v>
      </c>
      <c r="L9" s="22" t="s">
        <v>28</v>
      </c>
      <c r="M9" s="22" t="s">
        <v>28</v>
      </c>
      <c r="N9" s="23"/>
      <c r="O9" s="21" t="s">
        <v>14</v>
      </c>
      <c r="P9" s="21" t="s">
        <v>15</v>
      </c>
      <c r="Q9" s="21" t="s">
        <v>27</v>
      </c>
      <c r="R9" s="23"/>
      <c r="S9" s="9" t="str">
        <f>"630,0"</f>
        <v>630,0</v>
      </c>
      <c r="T9" s="9" t="str">
        <f>"385,4340"</f>
        <v>385,4340</v>
      </c>
      <c r="U9" s="7"/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74EC-3E2C-4DF6-BA57-6C7EB3841748}">
  <sheetPr codeName="Лист6"/>
  <dimension ref="A1:Q16"/>
  <sheetViews>
    <sheetView workbookViewId="0">
      <selection activeCell="E17" sqref="E17"/>
    </sheetView>
  </sheetViews>
  <sheetFormatPr baseColWidth="10" defaultColWidth="9.1640625" defaultRowHeight="13"/>
  <cols>
    <col min="1" max="1" width="7.1640625" style="5" bestFit="1" customWidth="1"/>
    <col min="2" max="2" width="19" style="5" bestFit="1" customWidth="1"/>
    <col min="3" max="3" width="26" style="5" bestFit="1" customWidth="1"/>
    <col min="4" max="4" width="21" style="5" bestFit="1" customWidth="1"/>
    <col min="5" max="5" width="10.1640625" style="10" bestFit="1" customWidth="1"/>
    <col min="6" max="6" width="27.6640625" style="5" bestFit="1" customWidth="1"/>
    <col min="7" max="9" width="5.33203125" style="19" customWidth="1"/>
    <col min="10" max="10" width="4.6640625" style="19" customWidth="1"/>
    <col min="11" max="13" width="5.33203125" style="19" customWidth="1"/>
    <col min="14" max="14" width="4.6640625" style="19" customWidth="1"/>
    <col min="15" max="15" width="7.6640625" style="6" bestFit="1" customWidth="1"/>
    <col min="16" max="16" width="8.3320312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56" t="s">
        <v>260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8</v>
      </c>
      <c r="H3" s="70"/>
      <c r="I3" s="70"/>
      <c r="J3" s="70"/>
      <c r="K3" s="70" t="s">
        <v>9</v>
      </c>
      <c r="L3" s="70"/>
      <c r="M3" s="70"/>
      <c r="N3" s="70"/>
      <c r="O3" s="68" t="s">
        <v>1</v>
      </c>
      <c r="P3" s="68" t="s">
        <v>3</v>
      </c>
      <c r="Q3" s="75" t="s">
        <v>2</v>
      </c>
    </row>
    <row r="4" spans="1:17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9"/>
      <c r="P4" s="69"/>
      <c r="Q4" s="76"/>
    </row>
    <row r="5" spans="1:17" ht="16">
      <c r="A5" s="79" t="s">
        <v>39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7">
      <c r="A6" s="23" t="s">
        <v>38</v>
      </c>
      <c r="B6" s="7" t="s">
        <v>100</v>
      </c>
      <c r="C6" s="7" t="s">
        <v>101</v>
      </c>
      <c r="D6" s="7" t="s">
        <v>102</v>
      </c>
      <c r="E6" s="8" t="s">
        <v>285</v>
      </c>
      <c r="F6" s="7" t="s">
        <v>270</v>
      </c>
      <c r="G6" s="21" t="s">
        <v>48</v>
      </c>
      <c r="H6" s="22" t="s">
        <v>243</v>
      </c>
      <c r="I6" s="22" t="s">
        <v>109</v>
      </c>
      <c r="J6" s="23"/>
      <c r="K6" s="21" t="s">
        <v>69</v>
      </c>
      <c r="L6" s="21" t="s">
        <v>244</v>
      </c>
      <c r="M6" s="21" t="s">
        <v>211</v>
      </c>
      <c r="N6" s="23"/>
      <c r="O6" s="9" t="str">
        <f>"187,5"</f>
        <v>187,5</v>
      </c>
      <c r="P6" s="9" t="str">
        <f>"209,3062"</f>
        <v>209,3062</v>
      </c>
      <c r="Q6" s="7" t="s">
        <v>104</v>
      </c>
    </row>
    <row r="8" spans="1:17" ht="16">
      <c r="A8" s="77" t="s">
        <v>105</v>
      </c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7">
      <c r="A9" s="23" t="s">
        <v>38</v>
      </c>
      <c r="B9" s="7" t="s">
        <v>106</v>
      </c>
      <c r="C9" s="7" t="s">
        <v>107</v>
      </c>
      <c r="D9" s="7" t="s">
        <v>108</v>
      </c>
      <c r="E9" s="8" t="s">
        <v>285</v>
      </c>
      <c r="F9" s="7" t="s">
        <v>270</v>
      </c>
      <c r="G9" s="21" t="s">
        <v>109</v>
      </c>
      <c r="H9" s="21" t="s">
        <v>110</v>
      </c>
      <c r="I9" s="22" t="s">
        <v>111</v>
      </c>
      <c r="J9" s="23"/>
      <c r="K9" s="21" t="s">
        <v>60</v>
      </c>
      <c r="L9" s="21" t="s">
        <v>17</v>
      </c>
      <c r="M9" s="21" t="s">
        <v>18</v>
      </c>
      <c r="N9" s="23"/>
      <c r="O9" s="9" t="str">
        <f>"227,5"</f>
        <v>227,5</v>
      </c>
      <c r="P9" s="9" t="str">
        <f>"223,0865"</f>
        <v>223,0865</v>
      </c>
      <c r="Q9" s="7"/>
    </row>
    <row r="11" spans="1:17" ht="16">
      <c r="A11" s="77" t="s">
        <v>134</v>
      </c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1:17">
      <c r="A12" s="23" t="s">
        <v>38</v>
      </c>
      <c r="B12" s="7" t="s">
        <v>201</v>
      </c>
      <c r="C12" s="7" t="s">
        <v>202</v>
      </c>
      <c r="D12" s="7" t="s">
        <v>203</v>
      </c>
      <c r="E12" s="8" t="s">
        <v>286</v>
      </c>
      <c r="F12" s="7" t="s">
        <v>273</v>
      </c>
      <c r="G12" s="21" t="s">
        <v>124</v>
      </c>
      <c r="H12" s="22" t="s">
        <v>43</v>
      </c>
      <c r="I12" s="21" t="s">
        <v>43</v>
      </c>
      <c r="J12" s="23"/>
      <c r="K12" s="21" t="s">
        <v>69</v>
      </c>
      <c r="L12" s="21" t="s">
        <v>76</v>
      </c>
      <c r="M12" s="21" t="s">
        <v>123</v>
      </c>
      <c r="N12" s="23"/>
      <c r="O12" s="9" t="str">
        <f>"225,0"</f>
        <v>225,0</v>
      </c>
      <c r="P12" s="9" t="str">
        <f>"150,8400"</f>
        <v>150,8400</v>
      </c>
      <c r="Q12" s="7" t="s">
        <v>276</v>
      </c>
    </row>
    <row r="14" spans="1:17" ht="16">
      <c r="A14" s="77" t="s">
        <v>23</v>
      </c>
      <c r="B14" s="77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17">
      <c r="A15" s="31" t="s">
        <v>38</v>
      </c>
      <c r="B15" s="24" t="s">
        <v>221</v>
      </c>
      <c r="C15" s="24" t="s">
        <v>222</v>
      </c>
      <c r="D15" s="24" t="s">
        <v>223</v>
      </c>
      <c r="E15" s="25" t="s">
        <v>285</v>
      </c>
      <c r="F15" s="24" t="s">
        <v>270</v>
      </c>
      <c r="G15" s="30" t="s">
        <v>71</v>
      </c>
      <c r="H15" s="30" t="s">
        <v>60</v>
      </c>
      <c r="I15" s="32" t="s">
        <v>123</v>
      </c>
      <c r="J15" s="31"/>
      <c r="K15" s="30" t="s">
        <v>82</v>
      </c>
      <c r="L15" s="30" t="s">
        <v>14</v>
      </c>
      <c r="M15" s="32" t="s">
        <v>15</v>
      </c>
      <c r="N15" s="31"/>
      <c r="O15" s="26" t="str">
        <f>"350,0"</f>
        <v>350,0</v>
      </c>
      <c r="P15" s="26" t="str">
        <f>"214,5850"</f>
        <v>214,5850</v>
      </c>
      <c r="Q15" s="24"/>
    </row>
    <row r="16" spans="1:17">
      <c r="A16" s="34" t="s">
        <v>98</v>
      </c>
      <c r="B16" s="27" t="s">
        <v>245</v>
      </c>
      <c r="C16" s="27" t="s">
        <v>246</v>
      </c>
      <c r="D16" s="27" t="s">
        <v>247</v>
      </c>
      <c r="E16" s="28" t="s">
        <v>285</v>
      </c>
      <c r="F16" s="27" t="s">
        <v>270</v>
      </c>
      <c r="G16" s="35" t="s">
        <v>103</v>
      </c>
      <c r="H16" s="35" t="s">
        <v>103</v>
      </c>
      <c r="I16" s="33" t="s">
        <v>103</v>
      </c>
      <c r="J16" s="34"/>
      <c r="K16" s="33" t="s">
        <v>60</v>
      </c>
      <c r="L16" s="33" t="s">
        <v>19</v>
      </c>
      <c r="M16" s="33" t="s">
        <v>82</v>
      </c>
      <c r="N16" s="34"/>
      <c r="O16" s="29" t="str">
        <f>"310,0"</f>
        <v>310,0</v>
      </c>
      <c r="P16" s="29" t="str">
        <f>"193,0060"</f>
        <v>193,0060</v>
      </c>
      <c r="Q16" s="27"/>
    </row>
  </sheetData>
  <mergeCells count="16">
    <mergeCell ref="A8:N8"/>
    <mergeCell ref="A11:N11"/>
    <mergeCell ref="A14:N14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4333-1D35-43E2-BD2F-1B7DC901FDD1}">
  <sheetPr codeName="Лист7"/>
  <dimension ref="A1:Q14"/>
  <sheetViews>
    <sheetView workbookViewId="0">
      <selection activeCell="E15" sqref="E15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6" style="5" bestFit="1" customWidth="1"/>
    <col min="4" max="4" width="21" style="5" bestFit="1" customWidth="1"/>
    <col min="5" max="5" width="10.1640625" style="10" bestFit="1" customWidth="1"/>
    <col min="6" max="6" width="27.6640625" style="5" bestFit="1" customWidth="1"/>
    <col min="7" max="9" width="5.33203125" style="19" customWidth="1"/>
    <col min="10" max="10" width="4.6640625" style="19" customWidth="1"/>
    <col min="11" max="13" width="5.33203125" style="19" customWidth="1"/>
    <col min="14" max="14" width="4.6640625" style="19" customWidth="1"/>
    <col min="15" max="15" width="7.6640625" style="6" bestFit="1" customWidth="1"/>
    <col min="16" max="16" width="8.33203125" style="6" bestFit="1" customWidth="1"/>
    <col min="17" max="17" width="18" style="5" customWidth="1"/>
    <col min="18" max="16384" width="9.1640625" style="3"/>
  </cols>
  <sheetData>
    <row r="1" spans="1:17" s="2" customFormat="1" ht="29" customHeight="1">
      <c r="A1" s="56" t="s">
        <v>261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8</v>
      </c>
      <c r="H3" s="70"/>
      <c r="I3" s="70"/>
      <c r="J3" s="70"/>
      <c r="K3" s="70" t="s">
        <v>9</v>
      </c>
      <c r="L3" s="70"/>
      <c r="M3" s="70"/>
      <c r="N3" s="70"/>
      <c r="O3" s="68" t="s">
        <v>1</v>
      </c>
      <c r="P3" s="68" t="s">
        <v>3</v>
      </c>
      <c r="Q3" s="75" t="s">
        <v>2</v>
      </c>
    </row>
    <row r="4" spans="1:17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9"/>
      <c r="P4" s="69"/>
      <c r="Q4" s="76"/>
    </row>
    <row r="5" spans="1:17" ht="16">
      <c r="A5" s="79" t="s">
        <v>160</v>
      </c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7">
      <c r="A6" s="31" t="s">
        <v>38</v>
      </c>
      <c r="B6" s="24" t="s">
        <v>161</v>
      </c>
      <c r="C6" s="24" t="s">
        <v>162</v>
      </c>
      <c r="D6" s="24" t="s">
        <v>163</v>
      </c>
      <c r="E6" s="25" t="s">
        <v>286</v>
      </c>
      <c r="F6" s="24" t="s">
        <v>270</v>
      </c>
      <c r="G6" s="30" t="s">
        <v>164</v>
      </c>
      <c r="H6" s="30" t="s">
        <v>165</v>
      </c>
      <c r="I6" s="32" t="s">
        <v>166</v>
      </c>
      <c r="J6" s="31"/>
      <c r="K6" s="30" t="s">
        <v>124</v>
      </c>
      <c r="L6" s="30" t="s">
        <v>116</v>
      </c>
      <c r="M6" s="30" t="s">
        <v>103</v>
      </c>
      <c r="N6" s="31"/>
      <c r="O6" s="26" t="str">
        <f>"145,0"</f>
        <v>145,0</v>
      </c>
      <c r="P6" s="26" t="str">
        <f>"131,9935"</f>
        <v>131,9935</v>
      </c>
      <c r="Q6" s="24"/>
    </row>
    <row r="7" spans="1:17">
      <c r="A7" s="34" t="s">
        <v>38</v>
      </c>
      <c r="B7" s="27" t="s">
        <v>161</v>
      </c>
      <c r="C7" s="27" t="s">
        <v>167</v>
      </c>
      <c r="D7" s="27" t="s">
        <v>163</v>
      </c>
      <c r="E7" s="28" t="s">
        <v>285</v>
      </c>
      <c r="F7" s="27" t="s">
        <v>270</v>
      </c>
      <c r="G7" s="33" t="s">
        <v>165</v>
      </c>
      <c r="H7" s="34"/>
      <c r="I7" s="34"/>
      <c r="J7" s="34"/>
      <c r="K7" s="33" t="s">
        <v>124</v>
      </c>
      <c r="L7" s="33" t="s">
        <v>116</v>
      </c>
      <c r="M7" s="33" t="s">
        <v>103</v>
      </c>
      <c r="N7" s="34"/>
      <c r="O7" s="29" t="str">
        <f>"145,0"</f>
        <v>145,0</v>
      </c>
      <c r="P7" s="29" t="str">
        <f>"131,9935"</f>
        <v>131,9935</v>
      </c>
      <c r="Q7" s="27"/>
    </row>
    <row r="9" spans="1:17" ht="16">
      <c r="A9" s="77" t="s">
        <v>105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7">
      <c r="A10" s="31" t="s">
        <v>38</v>
      </c>
      <c r="B10" s="24" t="s">
        <v>168</v>
      </c>
      <c r="C10" s="24" t="s">
        <v>169</v>
      </c>
      <c r="D10" s="24" t="s">
        <v>170</v>
      </c>
      <c r="E10" s="25" t="s">
        <v>287</v>
      </c>
      <c r="F10" s="24" t="s">
        <v>270</v>
      </c>
      <c r="G10" s="30" t="s">
        <v>124</v>
      </c>
      <c r="H10" s="32" t="s">
        <v>49</v>
      </c>
      <c r="I10" s="32" t="s">
        <v>49</v>
      </c>
      <c r="J10" s="31"/>
      <c r="K10" s="30" t="s">
        <v>116</v>
      </c>
      <c r="L10" s="30" t="s">
        <v>103</v>
      </c>
      <c r="M10" s="32" t="s">
        <v>60</v>
      </c>
      <c r="N10" s="31"/>
      <c r="O10" s="26" t="str">
        <f>"180,0"</f>
        <v>180,0</v>
      </c>
      <c r="P10" s="26" t="str">
        <f>"130,7520"</f>
        <v>130,7520</v>
      </c>
      <c r="Q10" s="24"/>
    </row>
    <row r="11" spans="1:17">
      <c r="A11" s="34" t="s">
        <v>38</v>
      </c>
      <c r="B11" s="27" t="s">
        <v>168</v>
      </c>
      <c r="C11" s="27" t="s">
        <v>171</v>
      </c>
      <c r="D11" s="27" t="s">
        <v>170</v>
      </c>
      <c r="E11" s="28" t="s">
        <v>285</v>
      </c>
      <c r="F11" s="27" t="s">
        <v>270</v>
      </c>
      <c r="G11" s="33" t="s">
        <v>124</v>
      </c>
      <c r="H11" s="34"/>
      <c r="I11" s="34"/>
      <c r="J11" s="34"/>
      <c r="K11" s="33" t="s">
        <v>116</v>
      </c>
      <c r="L11" s="33" t="s">
        <v>103</v>
      </c>
      <c r="M11" s="35" t="s">
        <v>60</v>
      </c>
      <c r="N11" s="34"/>
      <c r="O11" s="29" t="str">
        <f>"180,0"</f>
        <v>180,0</v>
      </c>
      <c r="P11" s="29" t="str">
        <f>"130,7520"</f>
        <v>130,7520</v>
      </c>
      <c r="Q11" s="27"/>
    </row>
    <row r="13" spans="1:17" ht="16">
      <c r="A13" s="77" t="s">
        <v>10</v>
      </c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</row>
    <row r="14" spans="1:17">
      <c r="A14" s="23" t="s">
        <v>38</v>
      </c>
      <c r="B14" s="7" t="s">
        <v>11</v>
      </c>
      <c r="C14" s="7" t="s">
        <v>12</v>
      </c>
      <c r="D14" s="7" t="s">
        <v>13</v>
      </c>
      <c r="E14" s="8" t="s">
        <v>285</v>
      </c>
      <c r="F14" s="7" t="s">
        <v>270</v>
      </c>
      <c r="G14" s="21" t="s">
        <v>17</v>
      </c>
      <c r="H14" s="21" t="s">
        <v>18</v>
      </c>
      <c r="I14" s="21" t="s">
        <v>19</v>
      </c>
      <c r="J14" s="23"/>
      <c r="K14" s="21" t="s">
        <v>15</v>
      </c>
      <c r="L14" s="21" t="s">
        <v>20</v>
      </c>
      <c r="M14" s="22" t="s">
        <v>21</v>
      </c>
      <c r="N14" s="23"/>
      <c r="O14" s="9" t="str">
        <f>"405,0"</f>
        <v>405,0</v>
      </c>
      <c r="P14" s="9" t="str">
        <f>"258,5520"</f>
        <v>258,5520</v>
      </c>
      <c r="Q14" s="7" t="s">
        <v>22</v>
      </c>
    </row>
  </sheetData>
  <mergeCells count="15">
    <mergeCell ref="A9:N9"/>
    <mergeCell ref="A13:N13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61EB-65CF-4FB3-8A8E-B855F662C60F}">
  <sheetPr codeName="Лист11"/>
  <dimension ref="A1:M30"/>
  <sheetViews>
    <sheetView workbookViewId="0">
      <selection activeCell="E29" sqref="E29"/>
    </sheetView>
  </sheetViews>
  <sheetFormatPr baseColWidth="10" defaultColWidth="9.1640625" defaultRowHeight="13"/>
  <cols>
    <col min="1" max="1" width="7.1640625" style="5" bestFit="1" customWidth="1"/>
    <col min="2" max="2" width="21.6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29.6640625" style="5" bestFit="1" customWidth="1"/>
    <col min="7" max="9" width="5.33203125" style="19" customWidth="1"/>
    <col min="10" max="10" width="4.6640625" style="19" customWidth="1"/>
    <col min="11" max="11" width="10.5" style="6" bestFit="1" customWidth="1"/>
    <col min="12" max="12" width="8.3320312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56" t="s">
        <v>262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8</v>
      </c>
      <c r="H3" s="70"/>
      <c r="I3" s="70"/>
      <c r="J3" s="70"/>
      <c r="K3" s="68" t="s">
        <v>154</v>
      </c>
      <c r="L3" s="68" t="s">
        <v>3</v>
      </c>
      <c r="M3" s="75" t="s">
        <v>2</v>
      </c>
    </row>
    <row r="4" spans="1:13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69"/>
      <c r="L4" s="69"/>
      <c r="M4" s="76"/>
    </row>
    <row r="5" spans="1:13" ht="16">
      <c r="A5" s="79" t="s">
        <v>39</v>
      </c>
      <c r="B5" s="79"/>
      <c r="C5" s="80"/>
      <c r="D5" s="80"/>
      <c r="E5" s="80"/>
      <c r="F5" s="80"/>
      <c r="G5" s="80"/>
      <c r="H5" s="80"/>
      <c r="I5" s="80"/>
      <c r="J5" s="80"/>
    </row>
    <row r="6" spans="1:13">
      <c r="A6" s="23" t="s">
        <v>38</v>
      </c>
      <c r="B6" s="7" t="s">
        <v>186</v>
      </c>
      <c r="C6" s="7" t="s">
        <v>187</v>
      </c>
      <c r="D6" s="7" t="s">
        <v>102</v>
      </c>
      <c r="E6" s="8" t="s">
        <v>285</v>
      </c>
      <c r="F6" s="7" t="s">
        <v>270</v>
      </c>
      <c r="G6" s="21" t="s">
        <v>188</v>
      </c>
      <c r="H6" s="21" t="s">
        <v>189</v>
      </c>
      <c r="I6" s="22" t="s">
        <v>48</v>
      </c>
      <c r="J6" s="23"/>
      <c r="K6" s="9" t="str">
        <f>"52,5"</f>
        <v>52,5</v>
      </c>
      <c r="L6" s="9" t="str">
        <f>"58,6057"</f>
        <v>58,6057</v>
      </c>
      <c r="M6" s="7" t="s">
        <v>190</v>
      </c>
    </row>
    <row r="8" spans="1:13" ht="16">
      <c r="A8" s="77" t="s">
        <v>191</v>
      </c>
      <c r="B8" s="77"/>
      <c r="C8" s="78"/>
      <c r="D8" s="78"/>
      <c r="E8" s="78"/>
      <c r="F8" s="78"/>
      <c r="G8" s="78"/>
      <c r="H8" s="78"/>
      <c r="I8" s="78"/>
      <c r="J8" s="78"/>
    </row>
    <row r="9" spans="1:13">
      <c r="A9" s="23" t="s">
        <v>38</v>
      </c>
      <c r="B9" s="7" t="s">
        <v>192</v>
      </c>
      <c r="C9" s="7" t="s">
        <v>193</v>
      </c>
      <c r="D9" s="7" t="s">
        <v>194</v>
      </c>
      <c r="E9" s="8" t="s">
        <v>286</v>
      </c>
      <c r="F9" s="7" t="s">
        <v>270</v>
      </c>
      <c r="G9" s="21" t="s">
        <v>43</v>
      </c>
      <c r="H9" s="21" t="s">
        <v>118</v>
      </c>
      <c r="I9" s="21" t="s">
        <v>195</v>
      </c>
      <c r="J9" s="21" t="s">
        <v>196</v>
      </c>
      <c r="K9" s="9" t="str">
        <f>"83,5"</f>
        <v>83,5</v>
      </c>
      <c r="L9" s="9" t="str">
        <f>"81,9385"</f>
        <v>81,9385</v>
      </c>
      <c r="M9" s="7"/>
    </row>
    <row r="11" spans="1:13" ht="16">
      <c r="A11" s="77" t="s">
        <v>160</v>
      </c>
      <c r="B11" s="77"/>
      <c r="C11" s="78"/>
      <c r="D11" s="78"/>
      <c r="E11" s="78"/>
      <c r="F11" s="78"/>
      <c r="G11" s="78"/>
      <c r="H11" s="78"/>
      <c r="I11" s="78"/>
      <c r="J11" s="78"/>
    </row>
    <row r="12" spans="1:13">
      <c r="A12" s="23" t="s">
        <v>38</v>
      </c>
      <c r="B12" s="7" t="s">
        <v>197</v>
      </c>
      <c r="C12" s="7" t="s">
        <v>193</v>
      </c>
      <c r="D12" s="7" t="s">
        <v>198</v>
      </c>
      <c r="E12" s="8" t="s">
        <v>286</v>
      </c>
      <c r="F12" s="7" t="s">
        <v>270</v>
      </c>
      <c r="G12" s="21" t="s">
        <v>199</v>
      </c>
      <c r="H12" s="21" t="s">
        <v>49</v>
      </c>
      <c r="I12" s="21" t="s">
        <v>200</v>
      </c>
      <c r="J12" s="22" t="s">
        <v>44</v>
      </c>
      <c r="K12" s="9" t="str">
        <f>"92,5"</f>
        <v>92,5</v>
      </c>
      <c r="L12" s="9" t="str">
        <f>"85,4053"</f>
        <v>85,4053</v>
      </c>
      <c r="M12" s="7"/>
    </row>
    <row r="14" spans="1:13" ht="16">
      <c r="A14" s="77" t="s">
        <v>134</v>
      </c>
      <c r="B14" s="77"/>
      <c r="C14" s="78"/>
      <c r="D14" s="78"/>
      <c r="E14" s="78"/>
      <c r="F14" s="78"/>
      <c r="G14" s="78"/>
      <c r="H14" s="78"/>
      <c r="I14" s="78"/>
      <c r="J14" s="78"/>
    </row>
    <row r="15" spans="1:13">
      <c r="A15" s="31" t="s">
        <v>38</v>
      </c>
      <c r="B15" s="24" t="s">
        <v>201</v>
      </c>
      <c r="C15" s="24" t="s">
        <v>202</v>
      </c>
      <c r="D15" s="24" t="s">
        <v>203</v>
      </c>
      <c r="E15" s="25" t="s">
        <v>286</v>
      </c>
      <c r="F15" s="24" t="s">
        <v>273</v>
      </c>
      <c r="G15" s="30" t="s">
        <v>124</v>
      </c>
      <c r="H15" s="32" t="s">
        <v>43</v>
      </c>
      <c r="I15" s="30" t="s">
        <v>43</v>
      </c>
      <c r="J15" s="31"/>
      <c r="K15" s="26" t="str">
        <f>"80,0"</f>
        <v>80,0</v>
      </c>
      <c r="L15" s="26" t="str">
        <f>"53,6320"</f>
        <v>53,6320</v>
      </c>
      <c r="M15" s="24"/>
    </row>
    <row r="16" spans="1:13">
      <c r="A16" s="34" t="s">
        <v>38</v>
      </c>
      <c r="B16" s="27" t="s">
        <v>204</v>
      </c>
      <c r="C16" s="27" t="s">
        <v>205</v>
      </c>
      <c r="D16" s="27" t="s">
        <v>206</v>
      </c>
      <c r="E16" s="28" t="s">
        <v>288</v>
      </c>
      <c r="F16" s="27" t="s">
        <v>270</v>
      </c>
      <c r="G16" s="33" t="s">
        <v>49</v>
      </c>
      <c r="H16" s="33" t="s">
        <v>116</v>
      </c>
      <c r="I16" s="35" t="s">
        <v>103</v>
      </c>
      <c r="J16" s="34"/>
      <c r="K16" s="29" t="str">
        <f>"100,0"</f>
        <v>100,0</v>
      </c>
      <c r="L16" s="29" t="str">
        <f>"70,7206"</f>
        <v>70,7206</v>
      </c>
      <c r="M16" s="27"/>
    </row>
    <row r="18" spans="1:13" ht="16">
      <c r="A18" s="77" t="s">
        <v>10</v>
      </c>
      <c r="B18" s="77"/>
      <c r="C18" s="78"/>
      <c r="D18" s="78"/>
      <c r="E18" s="78"/>
      <c r="F18" s="78"/>
      <c r="G18" s="78"/>
      <c r="H18" s="78"/>
      <c r="I18" s="78"/>
      <c r="J18" s="78"/>
    </row>
    <row r="19" spans="1:13">
      <c r="A19" s="31" t="s">
        <v>38</v>
      </c>
      <c r="B19" s="24" t="s">
        <v>207</v>
      </c>
      <c r="C19" s="24" t="s">
        <v>208</v>
      </c>
      <c r="D19" s="24" t="s">
        <v>209</v>
      </c>
      <c r="E19" s="25" t="s">
        <v>285</v>
      </c>
      <c r="F19" s="24" t="s">
        <v>210</v>
      </c>
      <c r="G19" s="30" t="s">
        <v>211</v>
      </c>
      <c r="H19" s="30" t="s">
        <v>212</v>
      </c>
      <c r="I19" s="30" t="s">
        <v>56</v>
      </c>
      <c r="J19" s="31"/>
      <c r="K19" s="26" t="str">
        <f>"152,5"</f>
        <v>152,5</v>
      </c>
      <c r="L19" s="26" t="str">
        <f>"98,5608"</f>
        <v>98,5608</v>
      </c>
      <c r="M19" s="24" t="s">
        <v>278</v>
      </c>
    </row>
    <row r="20" spans="1:13">
      <c r="A20" s="34" t="s">
        <v>38</v>
      </c>
      <c r="B20" s="27" t="s">
        <v>213</v>
      </c>
      <c r="C20" s="27" t="s">
        <v>214</v>
      </c>
      <c r="D20" s="27" t="s">
        <v>75</v>
      </c>
      <c r="E20" s="28" t="s">
        <v>289</v>
      </c>
      <c r="F20" s="27" t="s">
        <v>277</v>
      </c>
      <c r="G20" s="33" t="s">
        <v>56</v>
      </c>
      <c r="H20" s="33" t="s">
        <v>57</v>
      </c>
      <c r="I20" s="33" t="s">
        <v>158</v>
      </c>
      <c r="J20" s="34"/>
      <c r="K20" s="29" t="str">
        <f>"157,5"</f>
        <v>157,5</v>
      </c>
      <c r="L20" s="29" t="str">
        <f>"115,9562"</f>
        <v>115,9562</v>
      </c>
      <c r="M20" s="27"/>
    </row>
    <row r="22" spans="1:13" ht="16">
      <c r="A22" s="77" t="s">
        <v>23</v>
      </c>
      <c r="B22" s="77"/>
      <c r="C22" s="78"/>
      <c r="D22" s="78"/>
      <c r="E22" s="78"/>
      <c r="F22" s="78"/>
      <c r="G22" s="78"/>
      <c r="H22" s="78"/>
      <c r="I22" s="78"/>
      <c r="J22" s="78"/>
    </row>
    <row r="23" spans="1:13">
      <c r="A23" s="31" t="s">
        <v>38</v>
      </c>
      <c r="B23" s="24" t="s">
        <v>215</v>
      </c>
      <c r="C23" s="24" t="s">
        <v>216</v>
      </c>
      <c r="D23" s="24" t="s">
        <v>217</v>
      </c>
      <c r="E23" s="25" t="s">
        <v>285</v>
      </c>
      <c r="F23" s="24" t="s">
        <v>270</v>
      </c>
      <c r="G23" s="30" t="s">
        <v>123</v>
      </c>
      <c r="H23" s="30" t="s">
        <v>57</v>
      </c>
      <c r="I23" s="30" t="s">
        <v>18</v>
      </c>
      <c r="J23" s="31"/>
      <c r="K23" s="26" t="str">
        <f>"160,0"</f>
        <v>160,0</v>
      </c>
      <c r="L23" s="26" t="str">
        <f>"97,3760"</f>
        <v>97,3760</v>
      </c>
      <c r="M23" s="24"/>
    </row>
    <row r="24" spans="1:13">
      <c r="A24" s="40" t="s">
        <v>98</v>
      </c>
      <c r="B24" s="36" t="s">
        <v>218</v>
      </c>
      <c r="C24" s="36" t="s">
        <v>219</v>
      </c>
      <c r="D24" s="36" t="s">
        <v>220</v>
      </c>
      <c r="E24" s="37" t="s">
        <v>285</v>
      </c>
      <c r="F24" s="36" t="s">
        <v>274</v>
      </c>
      <c r="G24" s="39" t="s">
        <v>57</v>
      </c>
      <c r="H24" s="41" t="s">
        <v>143</v>
      </c>
      <c r="I24" s="41" t="s">
        <v>143</v>
      </c>
      <c r="J24" s="40"/>
      <c r="K24" s="38" t="str">
        <f>"155,0"</f>
        <v>155,0</v>
      </c>
      <c r="L24" s="38" t="str">
        <f>"94,6740"</f>
        <v>94,6740</v>
      </c>
      <c r="M24" s="36"/>
    </row>
    <row r="25" spans="1:13">
      <c r="A25" s="34" t="s">
        <v>99</v>
      </c>
      <c r="B25" s="27" t="s">
        <v>221</v>
      </c>
      <c r="C25" s="27" t="s">
        <v>222</v>
      </c>
      <c r="D25" s="27" t="s">
        <v>223</v>
      </c>
      <c r="E25" s="28" t="s">
        <v>285</v>
      </c>
      <c r="F25" s="27" t="s">
        <v>270</v>
      </c>
      <c r="G25" s="33" t="s">
        <v>71</v>
      </c>
      <c r="H25" s="33" t="s">
        <v>60</v>
      </c>
      <c r="I25" s="35" t="s">
        <v>123</v>
      </c>
      <c r="J25" s="34"/>
      <c r="K25" s="29" t="str">
        <f>"140,0"</f>
        <v>140,0</v>
      </c>
      <c r="L25" s="29" t="str">
        <f>"85,8340"</f>
        <v>85,8340</v>
      </c>
      <c r="M25" s="27"/>
    </row>
    <row r="27" spans="1:13" ht="16">
      <c r="A27" s="77" t="s">
        <v>144</v>
      </c>
      <c r="B27" s="77"/>
      <c r="C27" s="78"/>
      <c r="D27" s="78"/>
      <c r="E27" s="78"/>
      <c r="F27" s="78"/>
      <c r="G27" s="78"/>
      <c r="H27" s="78"/>
      <c r="I27" s="78"/>
      <c r="J27" s="78"/>
    </row>
    <row r="28" spans="1:13">
      <c r="A28" s="23" t="s">
        <v>38</v>
      </c>
      <c r="B28" s="7" t="s">
        <v>224</v>
      </c>
      <c r="C28" s="7" t="s">
        <v>225</v>
      </c>
      <c r="D28" s="7" t="s">
        <v>226</v>
      </c>
      <c r="E28" s="8" t="s">
        <v>285</v>
      </c>
      <c r="F28" s="7" t="s">
        <v>270</v>
      </c>
      <c r="G28" s="21" t="s">
        <v>19</v>
      </c>
      <c r="H28" s="21" t="s">
        <v>132</v>
      </c>
      <c r="I28" s="23"/>
      <c r="J28" s="23"/>
      <c r="K28" s="9" t="str">
        <f>"175,0"</f>
        <v>175,0</v>
      </c>
      <c r="L28" s="9" t="str">
        <f>"105,4900"</f>
        <v>105,4900</v>
      </c>
      <c r="M28" s="7"/>
    </row>
    <row r="30" spans="1:13">
      <c r="G30" s="5"/>
      <c r="K30" s="19"/>
      <c r="M30" s="6"/>
    </row>
  </sheetData>
  <mergeCells count="18">
    <mergeCell ref="A27:J27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2:J22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CBF1-8E01-45DF-82EC-DEE725FFE7EB}">
  <sheetPr codeName="Лист12"/>
  <dimension ref="A1:M35"/>
  <sheetViews>
    <sheetView workbookViewId="0">
      <selection activeCell="E25" sqref="E25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31.1640625" style="5" bestFit="1" customWidth="1"/>
    <col min="7" max="9" width="5.33203125" style="19" customWidth="1"/>
    <col min="10" max="10" width="4.6640625" style="19" customWidth="1"/>
    <col min="11" max="11" width="10.5" style="6" bestFit="1" customWidth="1"/>
    <col min="12" max="12" width="8.3320312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56" t="s">
        <v>263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8</v>
      </c>
      <c r="H3" s="70"/>
      <c r="I3" s="70"/>
      <c r="J3" s="70"/>
      <c r="K3" s="68" t="s">
        <v>154</v>
      </c>
      <c r="L3" s="68" t="s">
        <v>3</v>
      </c>
      <c r="M3" s="75" t="s">
        <v>2</v>
      </c>
    </row>
    <row r="4" spans="1:13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69"/>
      <c r="L4" s="69"/>
      <c r="M4" s="76"/>
    </row>
    <row r="5" spans="1:13" ht="16">
      <c r="A5" s="79" t="s">
        <v>160</v>
      </c>
      <c r="B5" s="79"/>
      <c r="C5" s="80"/>
      <c r="D5" s="80"/>
      <c r="E5" s="80"/>
      <c r="F5" s="80"/>
      <c r="G5" s="80"/>
      <c r="H5" s="80"/>
      <c r="I5" s="80"/>
      <c r="J5" s="80"/>
    </row>
    <row r="6" spans="1:13">
      <c r="A6" s="31" t="s">
        <v>38</v>
      </c>
      <c r="B6" s="24" t="s">
        <v>161</v>
      </c>
      <c r="C6" s="24" t="s">
        <v>162</v>
      </c>
      <c r="D6" s="24" t="s">
        <v>163</v>
      </c>
      <c r="E6" s="25" t="s">
        <v>286</v>
      </c>
      <c r="F6" s="43" t="s">
        <v>270</v>
      </c>
      <c r="G6" s="47" t="s">
        <v>164</v>
      </c>
      <c r="H6" s="30" t="s">
        <v>165</v>
      </c>
      <c r="I6" s="51" t="s">
        <v>166</v>
      </c>
      <c r="J6" s="45"/>
      <c r="K6" s="26" t="str">
        <f>"35,0"</f>
        <v>35,0</v>
      </c>
      <c r="L6" s="26" t="str">
        <f>"31,8605"</f>
        <v>31,8605</v>
      </c>
      <c r="M6" s="24"/>
    </row>
    <row r="7" spans="1:13">
      <c r="A7" s="34" t="s">
        <v>38</v>
      </c>
      <c r="B7" s="27" t="s">
        <v>161</v>
      </c>
      <c r="C7" s="27" t="s">
        <v>167</v>
      </c>
      <c r="D7" s="27" t="s">
        <v>163</v>
      </c>
      <c r="E7" s="28" t="s">
        <v>285</v>
      </c>
      <c r="F7" s="44" t="s">
        <v>270</v>
      </c>
      <c r="G7" s="49" t="s">
        <v>164</v>
      </c>
      <c r="H7" s="33" t="s">
        <v>165</v>
      </c>
      <c r="I7" s="52" t="s">
        <v>166</v>
      </c>
      <c r="J7" s="46"/>
      <c r="K7" s="29" t="str">
        <f>"35,0"</f>
        <v>35,0</v>
      </c>
      <c r="L7" s="29" t="str">
        <f>"31,8605"</f>
        <v>31,8605</v>
      </c>
      <c r="M7" s="27"/>
    </row>
    <row r="9" spans="1:13" ht="16">
      <c r="A9" s="77" t="s">
        <v>105</v>
      </c>
      <c r="B9" s="77"/>
      <c r="C9" s="78"/>
      <c r="D9" s="78"/>
      <c r="E9" s="78"/>
      <c r="F9" s="78"/>
      <c r="G9" s="78"/>
      <c r="H9" s="78"/>
      <c r="I9" s="78"/>
      <c r="J9" s="78"/>
    </row>
    <row r="10" spans="1:13">
      <c r="A10" s="31" t="s">
        <v>38</v>
      </c>
      <c r="B10" s="24" t="s">
        <v>168</v>
      </c>
      <c r="C10" s="24" t="s">
        <v>169</v>
      </c>
      <c r="D10" s="24" t="s">
        <v>170</v>
      </c>
      <c r="E10" s="25" t="s">
        <v>287</v>
      </c>
      <c r="F10" s="43" t="s">
        <v>270</v>
      </c>
      <c r="G10" s="47" t="s">
        <v>124</v>
      </c>
      <c r="H10" s="32" t="s">
        <v>49</v>
      </c>
      <c r="I10" s="51" t="s">
        <v>49</v>
      </c>
      <c r="J10" s="45"/>
      <c r="K10" s="26" t="str">
        <f>"70,0"</f>
        <v>70,0</v>
      </c>
      <c r="L10" s="26" t="str">
        <f>"50,8480"</f>
        <v>50,8480</v>
      </c>
      <c r="M10" s="24"/>
    </row>
    <row r="11" spans="1:13">
      <c r="A11" s="34" t="s">
        <v>38</v>
      </c>
      <c r="B11" s="27" t="s">
        <v>168</v>
      </c>
      <c r="C11" s="27" t="s">
        <v>171</v>
      </c>
      <c r="D11" s="27" t="s">
        <v>170</v>
      </c>
      <c r="E11" s="28" t="s">
        <v>285</v>
      </c>
      <c r="F11" s="44" t="s">
        <v>270</v>
      </c>
      <c r="G11" s="49" t="s">
        <v>124</v>
      </c>
      <c r="H11" s="35" t="s">
        <v>49</v>
      </c>
      <c r="I11" s="52" t="s">
        <v>49</v>
      </c>
      <c r="J11" s="46"/>
      <c r="K11" s="29" t="str">
        <f>"70,0"</f>
        <v>70,0</v>
      </c>
      <c r="L11" s="29" t="str">
        <f>"50,8480"</f>
        <v>50,8480</v>
      </c>
      <c r="M11" s="27"/>
    </row>
    <row r="13" spans="1:13" ht="16">
      <c r="A13" s="77" t="s">
        <v>10</v>
      </c>
      <c r="B13" s="77"/>
      <c r="C13" s="78"/>
      <c r="D13" s="78"/>
      <c r="E13" s="78"/>
      <c r="F13" s="78"/>
      <c r="G13" s="78"/>
      <c r="H13" s="78"/>
      <c r="I13" s="78"/>
      <c r="J13" s="78"/>
    </row>
    <row r="14" spans="1:13">
      <c r="A14" s="23" t="s">
        <v>38</v>
      </c>
      <c r="B14" s="7" t="s">
        <v>155</v>
      </c>
      <c r="C14" s="7" t="s">
        <v>156</v>
      </c>
      <c r="D14" s="7" t="s">
        <v>157</v>
      </c>
      <c r="E14" s="8" t="s">
        <v>285</v>
      </c>
      <c r="F14" s="7" t="s">
        <v>270</v>
      </c>
      <c r="G14" s="21" t="s">
        <v>77</v>
      </c>
      <c r="H14" s="21" t="s">
        <v>19</v>
      </c>
      <c r="I14" s="22" t="s">
        <v>132</v>
      </c>
      <c r="J14" s="23"/>
      <c r="K14" s="9" t="str">
        <f>"170,0"</f>
        <v>170,0</v>
      </c>
      <c r="L14" s="9" t="str">
        <f>"109,1570"</f>
        <v>109,1570</v>
      </c>
      <c r="M14" s="7"/>
    </row>
    <row r="16" spans="1:13" ht="16">
      <c r="A16" s="77" t="s">
        <v>23</v>
      </c>
      <c r="B16" s="77"/>
      <c r="C16" s="78"/>
      <c r="D16" s="78"/>
      <c r="E16" s="78"/>
      <c r="F16" s="78"/>
      <c r="G16" s="78"/>
      <c r="H16" s="78"/>
      <c r="I16" s="78"/>
      <c r="J16" s="78"/>
    </row>
    <row r="17" spans="1:13">
      <c r="A17" s="31" t="s">
        <v>38</v>
      </c>
      <c r="B17" s="24" t="s">
        <v>24</v>
      </c>
      <c r="C17" s="24" t="s">
        <v>25</v>
      </c>
      <c r="D17" s="24" t="s">
        <v>26</v>
      </c>
      <c r="E17" s="25" t="s">
        <v>285</v>
      </c>
      <c r="F17" s="24" t="s">
        <v>270</v>
      </c>
      <c r="G17" s="30" t="s">
        <v>19</v>
      </c>
      <c r="H17" s="32" t="s">
        <v>28</v>
      </c>
      <c r="I17" s="32" t="s">
        <v>28</v>
      </c>
      <c r="J17" s="31"/>
      <c r="K17" s="26" t="str">
        <f>"170,0"</f>
        <v>170,0</v>
      </c>
      <c r="L17" s="26" t="str">
        <f>"104,0060"</f>
        <v>104,0060</v>
      </c>
      <c r="M17" s="24"/>
    </row>
    <row r="18" spans="1:13">
      <c r="A18" s="34" t="s">
        <v>38</v>
      </c>
      <c r="B18" s="27" t="s">
        <v>172</v>
      </c>
      <c r="C18" s="27" t="s">
        <v>173</v>
      </c>
      <c r="D18" s="27" t="s">
        <v>174</v>
      </c>
      <c r="E18" s="28" t="s">
        <v>289</v>
      </c>
      <c r="F18" s="27" t="s">
        <v>270</v>
      </c>
      <c r="G18" s="33" t="s">
        <v>60</v>
      </c>
      <c r="H18" s="33" t="s">
        <v>17</v>
      </c>
      <c r="I18" s="35" t="s">
        <v>57</v>
      </c>
      <c r="J18" s="34"/>
      <c r="K18" s="29" t="str">
        <f>"150,0"</f>
        <v>150,0</v>
      </c>
      <c r="L18" s="29" t="str">
        <f>"119,3438"</f>
        <v>119,3438</v>
      </c>
      <c r="M18" s="27"/>
    </row>
    <row r="20" spans="1:13" ht="16">
      <c r="A20" s="77" t="s">
        <v>83</v>
      </c>
      <c r="B20" s="77"/>
      <c r="C20" s="78"/>
      <c r="D20" s="78"/>
      <c r="E20" s="78"/>
      <c r="F20" s="78"/>
      <c r="G20" s="78"/>
      <c r="H20" s="78"/>
      <c r="I20" s="78"/>
      <c r="J20" s="78"/>
    </row>
    <row r="21" spans="1:13">
      <c r="A21" s="23" t="s">
        <v>38</v>
      </c>
      <c r="B21" s="7" t="s">
        <v>175</v>
      </c>
      <c r="C21" s="7" t="s">
        <v>176</v>
      </c>
      <c r="D21" s="7" t="s">
        <v>177</v>
      </c>
      <c r="E21" s="8" t="s">
        <v>285</v>
      </c>
      <c r="F21" s="7" t="s">
        <v>178</v>
      </c>
      <c r="G21" s="21" t="s">
        <v>179</v>
      </c>
      <c r="H21" s="21" t="s">
        <v>14</v>
      </c>
      <c r="I21" s="21" t="s">
        <v>149</v>
      </c>
      <c r="J21" s="23"/>
      <c r="K21" s="9" t="str">
        <f>"212,5"</f>
        <v>212,5</v>
      </c>
      <c r="L21" s="9" t="str">
        <f>"121,1037"</f>
        <v>121,1037</v>
      </c>
      <c r="M21" s="7" t="s">
        <v>58</v>
      </c>
    </row>
    <row r="23" spans="1:13" ht="16">
      <c r="A23" s="77" t="s">
        <v>180</v>
      </c>
      <c r="B23" s="77"/>
      <c r="C23" s="78"/>
      <c r="D23" s="78"/>
      <c r="E23" s="78"/>
      <c r="F23" s="78"/>
      <c r="G23" s="78"/>
      <c r="H23" s="78"/>
      <c r="I23" s="78"/>
      <c r="J23" s="78"/>
    </row>
    <row r="24" spans="1:13">
      <c r="A24" s="23" t="s">
        <v>38</v>
      </c>
      <c r="B24" s="7" t="s">
        <v>181</v>
      </c>
      <c r="C24" s="7" t="s">
        <v>182</v>
      </c>
      <c r="D24" s="7" t="s">
        <v>183</v>
      </c>
      <c r="E24" s="8" t="s">
        <v>285</v>
      </c>
      <c r="F24" s="7" t="s">
        <v>270</v>
      </c>
      <c r="G24" s="21" t="s">
        <v>82</v>
      </c>
      <c r="H24" s="21" t="s">
        <v>14</v>
      </c>
      <c r="I24" s="22" t="s">
        <v>184</v>
      </c>
      <c r="J24" s="23"/>
      <c r="K24" s="9" t="str">
        <f>"210,0"</f>
        <v>210,0</v>
      </c>
      <c r="L24" s="9" t="str">
        <f>"119,1960"</f>
        <v>119,1960</v>
      </c>
      <c r="M24" s="7"/>
    </row>
    <row r="26" spans="1:13">
      <c r="G26" s="5"/>
      <c r="K26" s="19"/>
      <c r="M26" s="6"/>
    </row>
    <row r="27" spans="1:13">
      <c r="K27" s="19"/>
      <c r="M27" s="6"/>
    </row>
    <row r="28" spans="1:13" ht="18">
      <c r="B28" s="12" t="s">
        <v>29</v>
      </c>
      <c r="C28" s="12"/>
      <c r="K28" s="19"/>
      <c r="M28" s="6"/>
    </row>
    <row r="29" spans="1:13" ht="16">
      <c r="B29" s="13" t="s">
        <v>30</v>
      </c>
      <c r="C29" s="13"/>
      <c r="K29" s="19"/>
      <c r="M29" s="6"/>
    </row>
    <row r="30" spans="1:13">
      <c r="K30" s="19"/>
      <c r="M30" s="6"/>
    </row>
    <row r="31" spans="1:13" ht="14">
      <c r="B31" s="14"/>
      <c r="C31" s="15" t="s">
        <v>31</v>
      </c>
      <c r="K31" s="19"/>
      <c r="M31" s="6"/>
    </row>
    <row r="32" spans="1:13" ht="14">
      <c r="B32" s="16" t="s">
        <v>32</v>
      </c>
      <c r="C32" s="16" t="s">
        <v>33</v>
      </c>
      <c r="D32" s="16" t="s">
        <v>275</v>
      </c>
      <c r="E32" s="17" t="s">
        <v>159</v>
      </c>
      <c r="F32" s="16" t="s">
        <v>35</v>
      </c>
      <c r="K32" s="19"/>
      <c r="M32" s="6"/>
    </row>
    <row r="33" spans="2:13">
      <c r="B33" s="5" t="s">
        <v>175</v>
      </c>
      <c r="C33" s="5" t="s">
        <v>31</v>
      </c>
      <c r="D33" s="19" t="s">
        <v>97</v>
      </c>
      <c r="E33" s="20">
        <v>212.5</v>
      </c>
      <c r="F33" s="18">
        <v>121.103744953871</v>
      </c>
      <c r="K33" s="19"/>
      <c r="M33" s="6"/>
    </row>
    <row r="34" spans="2:13">
      <c r="B34" s="5" t="s">
        <v>181</v>
      </c>
      <c r="C34" s="5" t="s">
        <v>31</v>
      </c>
      <c r="D34" s="19" t="s">
        <v>185</v>
      </c>
      <c r="E34" s="20">
        <v>210</v>
      </c>
      <c r="F34" s="18">
        <v>119.19600248336801</v>
      </c>
      <c r="K34" s="19"/>
      <c r="M34" s="6"/>
    </row>
    <row r="35" spans="2:13">
      <c r="B35" s="5" t="s">
        <v>155</v>
      </c>
      <c r="C35" s="5" t="s">
        <v>31</v>
      </c>
      <c r="D35" s="19" t="s">
        <v>36</v>
      </c>
      <c r="E35" s="20">
        <v>170</v>
      </c>
      <c r="F35" s="18">
        <v>109.15699601173399</v>
      </c>
      <c r="G35" s="5"/>
      <c r="K35" s="19"/>
      <c r="M35" s="6"/>
    </row>
  </sheetData>
  <mergeCells count="17">
    <mergeCell ref="A23:J23"/>
    <mergeCell ref="A5:J5"/>
    <mergeCell ref="A9:J9"/>
    <mergeCell ref="A13:J13"/>
    <mergeCell ref="A16:J16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AE06-4DB8-412D-BB35-8EE446BE7AB3}">
  <sheetPr codeName="Лист10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.33203125" style="5" bestFit="1" customWidth="1"/>
    <col min="3" max="3" width="25.33203125" style="5" bestFit="1" customWidth="1"/>
    <col min="4" max="4" width="21" style="5" bestFit="1" customWidth="1"/>
    <col min="5" max="5" width="10.1640625" style="10" bestFit="1" customWidth="1"/>
    <col min="6" max="6" width="27.6640625" style="5" bestFit="1" customWidth="1"/>
    <col min="7" max="9" width="5.33203125" style="19" customWidth="1"/>
    <col min="10" max="10" width="4.6640625" style="19" customWidth="1"/>
    <col min="11" max="11" width="10.5" style="6" bestFit="1" customWidth="1"/>
    <col min="12" max="12" width="8.3320312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56" t="s">
        <v>264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282</v>
      </c>
      <c r="B3" s="71" t="s">
        <v>0</v>
      </c>
      <c r="C3" s="66" t="s">
        <v>283</v>
      </c>
      <c r="D3" s="66" t="s">
        <v>6</v>
      </c>
      <c r="E3" s="68" t="s">
        <v>284</v>
      </c>
      <c r="F3" s="70" t="s">
        <v>5</v>
      </c>
      <c r="G3" s="70" t="s">
        <v>8</v>
      </c>
      <c r="H3" s="70"/>
      <c r="I3" s="70"/>
      <c r="J3" s="70"/>
      <c r="K3" s="68" t="s">
        <v>154</v>
      </c>
      <c r="L3" s="68" t="s">
        <v>3</v>
      </c>
      <c r="M3" s="75" t="s">
        <v>2</v>
      </c>
    </row>
    <row r="4" spans="1:13" s="1" customFormat="1" ht="21" customHeight="1" thickBot="1">
      <c r="A4" s="65"/>
      <c r="B4" s="72"/>
      <c r="C4" s="67"/>
      <c r="D4" s="67"/>
      <c r="E4" s="69"/>
      <c r="F4" s="67"/>
      <c r="G4" s="4">
        <v>1</v>
      </c>
      <c r="H4" s="4">
        <v>2</v>
      </c>
      <c r="I4" s="4">
        <v>3</v>
      </c>
      <c r="J4" s="4" t="s">
        <v>4</v>
      </c>
      <c r="K4" s="69"/>
      <c r="L4" s="69"/>
      <c r="M4" s="76"/>
    </row>
    <row r="5" spans="1:13" ht="16">
      <c r="A5" s="79" t="s">
        <v>144</v>
      </c>
      <c r="B5" s="79"/>
      <c r="C5" s="80"/>
      <c r="D5" s="80"/>
      <c r="E5" s="80"/>
      <c r="F5" s="80"/>
      <c r="G5" s="80"/>
      <c r="H5" s="80"/>
      <c r="I5" s="80"/>
      <c r="J5" s="80"/>
    </row>
    <row r="6" spans="1:13">
      <c r="A6" s="23" t="s">
        <v>38</v>
      </c>
      <c r="B6" s="7" t="s">
        <v>227</v>
      </c>
      <c r="C6" s="7" t="s">
        <v>228</v>
      </c>
      <c r="D6" s="7" t="s">
        <v>229</v>
      </c>
      <c r="E6" s="8" t="s">
        <v>285</v>
      </c>
      <c r="F6" s="7" t="s">
        <v>270</v>
      </c>
      <c r="G6" s="21" t="s">
        <v>14</v>
      </c>
      <c r="H6" s="22" t="s">
        <v>149</v>
      </c>
      <c r="I6" s="22" t="s">
        <v>27</v>
      </c>
      <c r="J6" s="23"/>
      <c r="K6" s="9" t="str">
        <f>"210,0"</f>
        <v>210,0</v>
      </c>
      <c r="L6" s="9" t="str">
        <f>"118,6500"</f>
        <v>118,6500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многопетельная</vt:lpstr>
      <vt:lpstr>WRPF Военный жим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2022-12-01T16:54:14Z</dcterms:modified>
</cp:coreProperties>
</file>