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Ноябрь/"/>
    </mc:Choice>
  </mc:AlternateContent>
  <xr:revisionPtr revIDLastSave="0" documentId="13_ncr:1_{B1E9C3B5-A310-7F44-B4C8-38102C55FEC6}" xr6:coauthVersionLast="45" xr6:coauthVersionMax="45" xr10:uidLastSave="{00000000-0000-0000-0000-000000000000}"/>
  <bookViews>
    <workbookView xWindow="0" yWindow="460" windowWidth="28800" windowHeight="15340" firstSheet="4" activeTab="8" xr2:uid="{00000000-000D-0000-FFFF-FFFF00000000}"/>
  </bookViews>
  <sheets>
    <sheet name="IPL ПЛ без экипировки ДК" sheetId="6" r:id="rId1"/>
    <sheet name="IPL ПЛ без экипировки" sheetId="5" r:id="rId2"/>
    <sheet name="IPL Двоеборье без экип ДК" sheetId="12" r:id="rId3"/>
    <sheet name="IPL Жим без экипировки ДК" sheetId="8" r:id="rId4"/>
    <sheet name="IPL Жим без экипировки" sheetId="7" r:id="rId5"/>
    <sheet name="IPL Тяга без экипировки ДК" sheetId="10" r:id="rId6"/>
    <sheet name="IPL Тяга без экипировки" sheetId="9" r:id="rId7"/>
    <sheet name="СПР Подъем на бицепс ДК" sheetId="16" r:id="rId8"/>
    <sheet name="СПР Подъем на бицепс" sheetId="15" r:id="rId9"/>
    <sheet name="Судейская коллегия" sheetId="19" r:id="rId10"/>
  </sheets>
  <definedNames>
    <definedName name="_FilterDatabase" localSheetId="1" hidden="1">'IPL ПЛ без экипировки'!$A$1:$S$3</definedName>
  </definedNames>
  <calcPr calcId="191029" refMode="R1C1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6" i="16" l="1"/>
  <c r="K36" i="16"/>
  <c r="L33" i="16"/>
  <c r="K33" i="16"/>
  <c r="L32" i="16"/>
  <c r="K32" i="16"/>
  <c r="L31" i="16"/>
  <c r="K31" i="16"/>
  <c r="L28" i="16"/>
  <c r="K28" i="16"/>
  <c r="L27" i="16"/>
  <c r="K27" i="16"/>
  <c r="L24" i="16"/>
  <c r="K24" i="16"/>
  <c r="L23" i="16"/>
  <c r="K23" i="16"/>
  <c r="L22" i="16"/>
  <c r="K22" i="16"/>
  <c r="L21" i="16"/>
  <c r="K21" i="16"/>
  <c r="L20" i="16"/>
  <c r="K20" i="16"/>
  <c r="L19" i="16"/>
  <c r="K19" i="16"/>
  <c r="L16" i="16"/>
  <c r="K16" i="16"/>
  <c r="L13" i="16"/>
  <c r="K13" i="16"/>
  <c r="L12" i="16"/>
  <c r="K12" i="16"/>
  <c r="L9" i="16"/>
  <c r="K9" i="16"/>
  <c r="L6" i="16"/>
  <c r="K6" i="16"/>
  <c r="L6" i="15"/>
  <c r="K6" i="15"/>
  <c r="P19" i="12"/>
  <c r="O19" i="12"/>
  <c r="P16" i="12"/>
  <c r="O16" i="12"/>
  <c r="P13" i="12"/>
  <c r="O13" i="12"/>
  <c r="P10" i="12"/>
  <c r="O10" i="12"/>
  <c r="P9" i="12"/>
  <c r="O9" i="12"/>
  <c r="P6" i="12"/>
  <c r="O6" i="12"/>
  <c r="L35" i="10"/>
  <c r="K35" i="10"/>
  <c r="L32" i="10"/>
  <c r="K32" i="10"/>
  <c r="L29" i="10"/>
  <c r="K29" i="10"/>
  <c r="L26" i="10"/>
  <c r="K26" i="10"/>
  <c r="L23" i="10"/>
  <c r="K23" i="10"/>
  <c r="L20" i="10"/>
  <c r="K20" i="10"/>
  <c r="L17" i="10"/>
  <c r="K17" i="10"/>
  <c r="L14" i="10"/>
  <c r="K14" i="10"/>
  <c r="L13" i="10"/>
  <c r="K13" i="10"/>
  <c r="L10" i="10"/>
  <c r="K10" i="10"/>
  <c r="L9" i="10"/>
  <c r="K9" i="10"/>
  <c r="L6" i="10"/>
  <c r="K6" i="10"/>
  <c r="L6" i="9"/>
  <c r="K6" i="9"/>
  <c r="L38" i="8"/>
  <c r="K38" i="8"/>
  <c r="L35" i="8"/>
  <c r="K35" i="8"/>
  <c r="L34" i="8"/>
  <c r="K34" i="8"/>
  <c r="L33" i="8"/>
  <c r="K33" i="8"/>
  <c r="L32" i="8"/>
  <c r="K32" i="8"/>
  <c r="L31" i="8"/>
  <c r="K31" i="8"/>
  <c r="L28" i="8"/>
  <c r="K28" i="8"/>
  <c r="L27" i="8"/>
  <c r="K27" i="8"/>
  <c r="L26" i="8"/>
  <c r="K26" i="8"/>
  <c r="L23" i="8"/>
  <c r="K23" i="8"/>
  <c r="L22" i="8"/>
  <c r="K22" i="8"/>
  <c r="L21" i="8"/>
  <c r="K21" i="8"/>
  <c r="L18" i="8"/>
  <c r="K18" i="8"/>
  <c r="L17" i="8"/>
  <c r="K17" i="8"/>
  <c r="L16" i="8"/>
  <c r="K16" i="8"/>
  <c r="L15" i="8"/>
  <c r="K15" i="8"/>
  <c r="L12" i="8"/>
  <c r="K12" i="8"/>
  <c r="L9" i="8"/>
  <c r="K9" i="8"/>
  <c r="L6" i="8"/>
  <c r="K6" i="8"/>
  <c r="L6" i="7"/>
  <c r="K6" i="7"/>
  <c r="T15" i="6"/>
  <c r="S15" i="6"/>
  <c r="T12" i="6"/>
  <c r="S12" i="6"/>
  <c r="T9" i="6"/>
  <c r="S9" i="6"/>
  <c r="T6" i="6"/>
  <c r="S6" i="6"/>
  <c r="T6" i="5"/>
  <c r="S6" i="5"/>
</calcChain>
</file>

<file path=xl/sharedStrings.xml><?xml version="1.0" encoding="utf-8"?>
<sst xmlns="http://schemas.openxmlformats.org/spreadsheetml/2006/main" count="904" uniqueCount="294">
  <si>
    <t>ФИО</t>
  </si>
  <si>
    <t>Сумма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</si>
  <si>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</si>
  <si>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</si>
  <si>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</si>
  <si>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</si>
  <si>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</si>
  <si>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</si>
  <si>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</si>
  <si>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90</t>
  </si>
  <si>
    <t>Аверьянов Илья</t>
  </si>
  <si>
    <t>Открытая (27.05.1989)/33</t>
  </si>
  <si>
    <t>89,70</t>
  </si>
  <si>
    <t xml:space="preserve">Выборг/Ленинградская область </t>
  </si>
  <si>
    <t>200,0</t>
  </si>
  <si>
    <t>220,0</t>
  </si>
  <si>
    <t>140,0</t>
  </si>
  <si>
    <t>150,0</t>
  </si>
  <si>
    <t>235,0</t>
  </si>
  <si>
    <t xml:space="preserve"> </t>
  </si>
  <si>
    <t>Секретарь: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</si>
  <si>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</si>
  <si>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</si>
  <si>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</si>
  <si>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</si>
  <si>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</si>
  <si>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</si>
  <si>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90</t>
  </si>
  <si>
    <t>1</t>
  </si>
  <si>
    <t>ВЕСОВАЯ КАТЕГОРИЯ   60</t>
  </si>
  <si>
    <t>Гурьева Евгения</t>
  </si>
  <si>
    <t>Открытая (05.05.1995)/27</t>
  </si>
  <si>
    <t>59,20</t>
  </si>
  <si>
    <t>90,0</t>
  </si>
  <si>
    <t>100,0</t>
  </si>
  <si>
    <t>55,0</t>
  </si>
  <si>
    <t>62,5</t>
  </si>
  <si>
    <t>65,0</t>
  </si>
  <si>
    <t>110,0</t>
  </si>
  <si>
    <t>120,0</t>
  </si>
  <si>
    <t>130,0</t>
  </si>
  <si>
    <t>ВЕСОВАЯ КАТЕГОРИЯ   75</t>
  </si>
  <si>
    <t>Терехин Илья</t>
  </si>
  <si>
    <t>Открытая (14.11.1993)/28</t>
  </si>
  <si>
    <t>73,50</t>
  </si>
  <si>
    <t>160,0</t>
  </si>
  <si>
    <t>170,0</t>
  </si>
  <si>
    <t>95,0</t>
  </si>
  <si>
    <t>97,5</t>
  </si>
  <si>
    <t>180,0</t>
  </si>
  <si>
    <t>ВЕСОВАЯ КАТЕГОРИЯ   82.5</t>
  </si>
  <si>
    <t>Симианиди Юрий</t>
  </si>
  <si>
    <t>Открытая (12.01.1992)/30</t>
  </si>
  <si>
    <t>80,50</t>
  </si>
  <si>
    <t>112,5</t>
  </si>
  <si>
    <t>125,0</t>
  </si>
  <si>
    <t>135,0</t>
  </si>
  <si>
    <t>85,0</t>
  </si>
  <si>
    <t>165,0</t>
  </si>
  <si>
    <t>172,5</t>
  </si>
  <si>
    <t>ВЕСОВАЯ КАТЕГОРИЯ   110</t>
  </si>
  <si>
    <t>Семенихин Сергей</t>
  </si>
  <si>
    <t>Открытая (07.07.1994)/28</t>
  </si>
  <si>
    <t>105,40</t>
  </si>
  <si>
    <t>185,0</t>
  </si>
  <si>
    <t>210,0</t>
  </si>
  <si>
    <t>195,0</t>
  </si>
  <si>
    <t>60</t>
  </si>
  <si>
    <t>75</t>
  </si>
  <si>
    <t>82.5</t>
  </si>
  <si>
    <t>Ивановский Дмитрий</t>
  </si>
  <si>
    <t>Юноши 15-19 (05.01.2009)/13</t>
  </si>
  <si>
    <t>71,00</t>
  </si>
  <si>
    <t>37,5</t>
  </si>
  <si>
    <t>40,0</t>
  </si>
  <si>
    <t>42,5</t>
  </si>
  <si>
    <t xml:space="preserve">Юноши </t>
  </si>
  <si>
    <t xml:space="preserve">Результат </t>
  </si>
  <si>
    <t>Результат</t>
  </si>
  <si>
    <t>ВЕСОВАЯ КАТЕГОРИЯ   52</t>
  </si>
  <si>
    <t>Фадеева Ирина</t>
  </si>
  <si>
    <t>Девушки 15-19 (21.07.2006)/16</t>
  </si>
  <si>
    <t>51,90</t>
  </si>
  <si>
    <t>70,0</t>
  </si>
  <si>
    <t>Гоголева Мария</t>
  </si>
  <si>
    <t>59,90</t>
  </si>
  <si>
    <t>Матвеева Наталия</t>
  </si>
  <si>
    <t>74,70</t>
  </si>
  <si>
    <t>60,0</t>
  </si>
  <si>
    <t>Колесников Никита</t>
  </si>
  <si>
    <t>Юноши 15-19 (19.04.2007)/15</t>
  </si>
  <si>
    <t>71,20</t>
  </si>
  <si>
    <t>92,5</t>
  </si>
  <si>
    <t>105,0</t>
  </si>
  <si>
    <t>Лашков Никита</t>
  </si>
  <si>
    <t>Юноши 15-19 (31.01.2006)/16</t>
  </si>
  <si>
    <t>80,0</t>
  </si>
  <si>
    <t>Медведев Игорь</t>
  </si>
  <si>
    <t>Открытая (07.04.1993)/29</t>
  </si>
  <si>
    <t>73,90</t>
  </si>
  <si>
    <t xml:space="preserve">Тольятти/Самарская область </t>
  </si>
  <si>
    <t>107,5</t>
  </si>
  <si>
    <t>117,5</t>
  </si>
  <si>
    <t>Илюхин Александр</t>
  </si>
  <si>
    <t>73,60</t>
  </si>
  <si>
    <t>127,5</t>
  </si>
  <si>
    <t>Сайфиев Огабек</t>
  </si>
  <si>
    <t>Юноши 15-19 (27.02.2004)/18</t>
  </si>
  <si>
    <t>81,10</t>
  </si>
  <si>
    <t>155,0</t>
  </si>
  <si>
    <t>167,5</t>
  </si>
  <si>
    <t>Ан Сергей</t>
  </si>
  <si>
    <t>Открытая (09.11.1987)/34</t>
  </si>
  <si>
    <t>81,90</t>
  </si>
  <si>
    <t>142,5</t>
  </si>
  <si>
    <t>157,5</t>
  </si>
  <si>
    <t>230,0</t>
  </si>
  <si>
    <t>250,0</t>
  </si>
  <si>
    <t>Федоров Анатолий</t>
  </si>
  <si>
    <t>77,50</t>
  </si>
  <si>
    <t>Рязанов Александр</t>
  </si>
  <si>
    <t>Открытая (26.02.1991)/31</t>
  </si>
  <si>
    <t>88,90</t>
  </si>
  <si>
    <t>145,0</t>
  </si>
  <si>
    <t>152,5</t>
  </si>
  <si>
    <t>Андреев Андрей</t>
  </si>
  <si>
    <t>Открытая (04.09.1985)/37</t>
  </si>
  <si>
    <t>83,10</t>
  </si>
  <si>
    <t>137,5</t>
  </si>
  <si>
    <t>147,5</t>
  </si>
  <si>
    <t>Мишуткин Андрей</t>
  </si>
  <si>
    <t>Открытая (05.01.1995)/27</t>
  </si>
  <si>
    <t>89,90</t>
  </si>
  <si>
    <t>ВЕСОВАЯ КАТЕГОРИЯ   100</t>
  </si>
  <si>
    <t>Колесников Артём</t>
  </si>
  <si>
    <t>99,10</t>
  </si>
  <si>
    <t>175,0</t>
  </si>
  <si>
    <t>177,5</t>
  </si>
  <si>
    <t>Открытая (04.06.2002)/20</t>
  </si>
  <si>
    <t>Тетерин Валентин</t>
  </si>
  <si>
    <t>Открытая (25.02.1997)/25</t>
  </si>
  <si>
    <t>99,70</t>
  </si>
  <si>
    <t>260,0</t>
  </si>
  <si>
    <t>275,0</t>
  </si>
  <si>
    <t>Кириленко Максим</t>
  </si>
  <si>
    <t>Открытая (18.09.1992)/30</t>
  </si>
  <si>
    <t>96,50</t>
  </si>
  <si>
    <t>162,5</t>
  </si>
  <si>
    <t>Колесников Алексей</t>
  </si>
  <si>
    <t>98,60</t>
  </si>
  <si>
    <t>132,5</t>
  </si>
  <si>
    <t>Федоров Семен</t>
  </si>
  <si>
    <t>102,20</t>
  </si>
  <si>
    <t>100</t>
  </si>
  <si>
    <t>2</t>
  </si>
  <si>
    <t>3</t>
  </si>
  <si>
    <t>Патюпин Дмитрий</t>
  </si>
  <si>
    <t>Открытая (28.11.1991)/30</t>
  </si>
  <si>
    <t>100,00</t>
  </si>
  <si>
    <t>280,0</t>
  </si>
  <si>
    <t>290,0</t>
  </si>
  <si>
    <t>300,0</t>
  </si>
  <si>
    <t>ВЕСОВАЯ КАТЕГОРИЯ   48</t>
  </si>
  <si>
    <t>Трифонова Наталия</t>
  </si>
  <si>
    <t>Открытая (05.11.1992)/29</t>
  </si>
  <si>
    <t>47,45</t>
  </si>
  <si>
    <t>Диянкова Алина</t>
  </si>
  <si>
    <t>51,70</t>
  </si>
  <si>
    <t>75,0</t>
  </si>
  <si>
    <t>87,5</t>
  </si>
  <si>
    <t>Открытая (11.08.2002)/20</t>
  </si>
  <si>
    <t>ВЕСОВАЯ КАТЕГОРИЯ   56</t>
  </si>
  <si>
    <t>Максимова Екатерина</t>
  </si>
  <si>
    <t>Открытая (20.11.1981)/40</t>
  </si>
  <si>
    <t>55,10</t>
  </si>
  <si>
    <t>Смирнова Юлия</t>
  </si>
  <si>
    <t>Открытая (22.08.1991)/31</t>
  </si>
  <si>
    <t>72,70</t>
  </si>
  <si>
    <t>115,0</t>
  </si>
  <si>
    <t>Березовская Елена</t>
  </si>
  <si>
    <t>83,90</t>
  </si>
  <si>
    <t>Секирко Александр</t>
  </si>
  <si>
    <t>Открытая (01.10.2002)/20</t>
  </si>
  <si>
    <t>59,50</t>
  </si>
  <si>
    <t>77,5</t>
  </si>
  <si>
    <t>Григорьев Алексей</t>
  </si>
  <si>
    <t>70,20</t>
  </si>
  <si>
    <t xml:space="preserve">Санкт-Петербург </t>
  </si>
  <si>
    <t>Сальников Валентин</t>
  </si>
  <si>
    <t>88,30</t>
  </si>
  <si>
    <t>122,5</t>
  </si>
  <si>
    <t>190,0</t>
  </si>
  <si>
    <t>202,5</t>
  </si>
  <si>
    <t>207,5</t>
  </si>
  <si>
    <t>ВЕСОВАЯ КАТЕГОРИЯ   67.5</t>
  </si>
  <si>
    <t>Шапин Глеб</t>
  </si>
  <si>
    <t>Юноши 15-19 (24.06.2006)/16</t>
  </si>
  <si>
    <t>60,80</t>
  </si>
  <si>
    <t>67,5</t>
  </si>
  <si>
    <t>72,5</t>
  </si>
  <si>
    <t>Бачурин Владислав</t>
  </si>
  <si>
    <t>Открытая (04.03.1995)/27</t>
  </si>
  <si>
    <t>63,40</t>
  </si>
  <si>
    <t>Подъем на бицепс</t>
  </si>
  <si>
    <t xml:space="preserve">Gloss </t>
  </si>
  <si>
    <t>Долгашова Тамара</t>
  </si>
  <si>
    <t>55,50</t>
  </si>
  <si>
    <t>27,5</t>
  </si>
  <si>
    <t>30,0</t>
  </si>
  <si>
    <t>32,5</t>
  </si>
  <si>
    <t>45,0</t>
  </si>
  <si>
    <t>Казаков Владислав</t>
  </si>
  <si>
    <t>57,60</t>
  </si>
  <si>
    <t xml:space="preserve">Ухта/Коми </t>
  </si>
  <si>
    <t>47,5</t>
  </si>
  <si>
    <t>52,5</t>
  </si>
  <si>
    <t xml:space="preserve">Самостоятельно </t>
  </si>
  <si>
    <t>Буньков Денис</t>
  </si>
  <si>
    <t>60,00</t>
  </si>
  <si>
    <t>Сидин Павел</t>
  </si>
  <si>
    <t>Открытая (08.08.1994)/28</t>
  </si>
  <si>
    <t>66,25</t>
  </si>
  <si>
    <t>Бондарчук Артем</t>
  </si>
  <si>
    <t>68,30</t>
  </si>
  <si>
    <t>57,5</t>
  </si>
  <si>
    <t>Беркуцкий Яков</t>
  </si>
  <si>
    <t>71,70</t>
  </si>
  <si>
    <t xml:space="preserve">Пушкин/Санкт-Петербург </t>
  </si>
  <si>
    <t>50,0</t>
  </si>
  <si>
    <t>Докучаев Николай</t>
  </si>
  <si>
    <t>72,30</t>
  </si>
  <si>
    <t>Агеев Илья</t>
  </si>
  <si>
    <t>69,50</t>
  </si>
  <si>
    <t>Левицкий Игорь</t>
  </si>
  <si>
    <t>Открытая (26.10.1983)/39</t>
  </si>
  <si>
    <t>86,20</t>
  </si>
  <si>
    <t>Воробьев Сергей</t>
  </si>
  <si>
    <t>Открытая (15.11.1987)/34</t>
  </si>
  <si>
    <t>88,00</t>
  </si>
  <si>
    <t>99,65</t>
  </si>
  <si>
    <t>Открытый мастерский турнир «Кубок Выборга» 
IPL Пауэрлифтинг без экипировки ДК
Выборг/Ленинградская область, 05 ноября 2022 года</t>
  </si>
  <si>
    <t>Открытый мастерский турнир «Кубок Выборга» 
IPL Пауэрлифтинг без экипировки
Выборг/Ленинградская область, 05 ноября 2022 года</t>
  </si>
  <si>
    <t>Открытый мастерский турнир «Кубок Выборга» 
IPL Силовое двоеборье без экипировки ДК
Выборг/Ленинградская область, 05 ноября 2022 года</t>
  </si>
  <si>
    <t>Открытый мастерский турнир «Кубок Выборга» 
IPL Жим лежа без экипировки ДК
Выборг/Ленинградская область, 05 ноября 2022 года</t>
  </si>
  <si>
    <t>Открытый мастерский турнир «Кубок Выборга» 
IPL Жим лежа без экипировки
Выборг/Ленинградская область, 05 ноября 2022 года</t>
  </si>
  <si>
    <t>Открытый мастерский турнир «Кубок Выборга» 
IPL Становая тяга без экипировки ДК
Выборг/Ленинградская область, 05 ноября 2022 года</t>
  </si>
  <si>
    <t>Открытый мастерский турнир «Кубок Выборга» 
IPL Становая тяга без экипировки
Выборг/Ленинградская область, 05 ноября 2022 года</t>
  </si>
  <si>
    <t>Открытый мастерский турнир «Кубок Выборга» 
СПР Строгий подъем штанги на бицепс ДК
Выборг/Ленинградская область, 05 ноября 2022 года</t>
  </si>
  <si>
    <t>Открытый мастерский турнир «Кубок Выборга» 
СПР Строгий подъем штанги на бицепс
Выборг/Ленинградская область, 05 ноября 2022 года</t>
  </si>
  <si>
    <t xml:space="preserve">Самостоятельно  </t>
  </si>
  <si>
    <t xml:space="preserve"> Самостоятельно </t>
  </si>
  <si>
    <t>Юниоры 20-23 (01.10.2002)/20</t>
  </si>
  <si>
    <t>Мастера 40-44 (11.05.1978)/44</t>
  </si>
  <si>
    <t>Мастера 45-49 (08.11.1975)/46</t>
  </si>
  <si>
    <t>Мастера 60-64 (06.10.1961)/61</t>
  </si>
  <si>
    <t>Мастера 60-64 (03.10.1962)/60</t>
  </si>
  <si>
    <t>Мастера 40-44 (27.06.1981)/41</t>
  </si>
  <si>
    <t>Юниоры 20-23 (04.06.2002)/20</t>
  </si>
  <si>
    <t>Мастера 40-44 (28.11.1977)/44</t>
  </si>
  <si>
    <t>Юниоры 20-23 (03.10.2001)/21</t>
  </si>
  <si>
    <t>Юниорки 20-23 (11.08.2002)/20</t>
  </si>
  <si>
    <t>Мастера 40-44 (20.11.1981)/40</t>
  </si>
  <si>
    <t>Мастера 50-54 (09.03.1968)/54</t>
  </si>
  <si>
    <t>Юниоры 20-23 (08.06.2001)/21</t>
  </si>
  <si>
    <t>Мастера 50-59 (13.09.1967)/55</t>
  </si>
  <si>
    <t>Юноши 13-19 (19.01.2005)/17</t>
  </si>
  <si>
    <t>Юноши 13-19 (14.10.2005)/17</t>
  </si>
  <si>
    <t>Юноши 13-19 (29.12.2004)/17</t>
  </si>
  <si>
    <t>Юноши 13-19 (16.01.2003)/19</t>
  </si>
  <si>
    <t>Юноши 13-19 (31.01.2006)/16</t>
  </si>
  <si>
    <t>Юниоры 20-23 (04.06.2001)/21</t>
  </si>
  <si>
    <t>Юниоры 20-23 (01.03.2002)/20</t>
  </si>
  <si>
    <t>Юноши 13-19 (27.02.2004)/18</t>
  </si>
  <si>
    <t xml:space="preserve">Юноши 13-19 </t>
  </si>
  <si>
    <t>Весовая категория</t>
  </si>
  <si>
    <t>Самостоятельно</t>
  </si>
  <si>
    <t xml:space="preserve"> Самостоятельно</t>
  </si>
  <si>
    <t xml:space="preserve">Судейская коллегия Открытого мастерского турнира «Кубок Выборга» </t>
  </si>
  <si>
    <t>Главный судья соревнований:</t>
  </si>
  <si>
    <t>Главный секретарь соревнований:</t>
  </si>
  <si>
    <t>Судьи:</t>
  </si>
  <si>
    <t xml:space="preserve">Женщины </t>
  </si>
  <si>
    <t>48</t>
  </si>
  <si>
    <t>56</t>
  </si>
  <si>
    <t>№</t>
  </si>
  <si>
    <t xml:space="preserve">
Дата рождения/Возраст</t>
  </si>
  <si>
    <t>Возрастная группа</t>
  </si>
  <si>
    <t>O</t>
  </si>
  <si>
    <t>J</t>
  </si>
  <si>
    <t>T</t>
  </si>
  <si>
    <t>M1</t>
  </si>
  <si>
    <t>M2</t>
  </si>
  <si>
    <t>M5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</si>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</sst>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0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 indent="1"/>
    </xf>
    <xf numFmtId="49" fontId="7" fillId="0" borderId="0" xfId="0" applyNumberFormat="1" applyFont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B2D81-D32E-4A62-87E2-A25F835E96E3}">
  <dimension ref="A1:U15"/>
  <sheetViews>
    <sheetView workbookViewId="0">
      <selection activeCell="F19" sqref="F19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9.33203125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6" bestFit="1" customWidth="1"/>
    <col min="20" max="20" width="8.5" style="6" bestFit="1" customWidth="1"/>
    <col min="21" max="21" width="24.83203125" style="5" customWidth="1"/>
    <col min="22" max="16384" width="9.1640625" style="3"/>
  </cols>
  <sheetData>
    <row r="1" spans="1:21" s="2" customFormat="1" ht="29" customHeight="1">
      <c r="A1" s="53" t="s">
        <v>240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284</v>
      </c>
      <c r="B3" s="45" t="s">
        <v>0</v>
      </c>
      <c r="C3" s="63" t="s">
        <v>285</v>
      </c>
      <c r="D3" s="63" t="s">
        <v>5</v>
      </c>
      <c r="E3" s="47" t="s">
        <v>286</v>
      </c>
      <c r="F3" s="65" t="s">
        <v>4</v>
      </c>
      <c r="G3" s="65" t="s">
        <v>6</v>
      </c>
      <c r="H3" s="65"/>
      <c r="I3" s="65"/>
      <c r="J3" s="65"/>
      <c r="K3" s="65" t="s">
        <v>7</v>
      </c>
      <c r="L3" s="65"/>
      <c r="M3" s="65"/>
      <c r="N3" s="65"/>
      <c r="O3" s="65" t="s">
        <v>8</v>
      </c>
      <c r="P3" s="65"/>
      <c r="Q3" s="65"/>
      <c r="R3" s="65"/>
      <c r="S3" s="47" t="s">
        <v>1</v>
      </c>
      <c r="T3" s="47" t="s">
        <v>2</v>
      </c>
      <c r="U3" s="49"/>
    </row>
    <row r="4" spans="1:21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3</v>
      </c>
      <c r="K4" s="4">
        <v>1</v>
      </c>
      <c r="L4" s="4">
        <v>2</v>
      </c>
      <c r="M4" s="4">
        <v>3</v>
      </c>
      <c r="N4" s="4" t="s">
        <v>3</v>
      </c>
      <c r="O4" s="4">
        <v>1</v>
      </c>
      <c r="P4" s="4">
        <v>2</v>
      </c>
      <c r="Q4" s="4">
        <v>3</v>
      </c>
      <c r="R4" s="4" t="s">
        <v>3</v>
      </c>
      <c r="S4" s="48"/>
      <c r="T4" s="48"/>
      <c r="U4" s="50"/>
    </row>
    <row r="5" spans="1:21" ht="16">
      <c r="A5" s="51" t="s">
        <v>29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23" t="s">
        <v>28</v>
      </c>
      <c r="B6" s="7" t="s">
        <v>30</v>
      </c>
      <c r="C6" s="7" t="s">
        <v>31</v>
      </c>
      <c r="D6" s="7" t="s">
        <v>32</v>
      </c>
      <c r="E6" s="8" t="s">
        <v>287</v>
      </c>
      <c r="F6" s="7" t="s">
        <v>13</v>
      </c>
      <c r="G6" s="22" t="s">
        <v>33</v>
      </c>
      <c r="H6" s="21" t="s">
        <v>34</v>
      </c>
      <c r="I6" s="21" t="s">
        <v>34</v>
      </c>
      <c r="J6" s="23"/>
      <c r="K6" s="22" t="s">
        <v>35</v>
      </c>
      <c r="L6" s="22" t="s">
        <v>36</v>
      </c>
      <c r="M6" s="21" t="s">
        <v>37</v>
      </c>
      <c r="N6" s="23"/>
      <c r="O6" s="22" t="s">
        <v>38</v>
      </c>
      <c r="P6" s="22" t="s">
        <v>39</v>
      </c>
      <c r="Q6" s="22" t="s">
        <v>40</v>
      </c>
      <c r="R6" s="23"/>
      <c r="S6" s="9" t="str">
        <f>"282,5"</f>
        <v>282,5</v>
      </c>
      <c r="T6" s="9" t="str">
        <f>"318,2645"</f>
        <v>318,2645</v>
      </c>
      <c r="U6" s="7" t="s">
        <v>216</v>
      </c>
    </row>
    <row r="8" spans="1:21" ht="16">
      <c r="A8" s="43" t="s">
        <v>41</v>
      </c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21">
      <c r="A9" s="23" t="s">
        <v>28</v>
      </c>
      <c r="B9" s="7" t="s">
        <v>42</v>
      </c>
      <c r="C9" s="7" t="s">
        <v>43</v>
      </c>
      <c r="D9" s="7" t="s">
        <v>44</v>
      </c>
      <c r="E9" s="8" t="s">
        <v>287</v>
      </c>
      <c r="F9" s="7" t="s">
        <v>13</v>
      </c>
      <c r="G9" s="21" t="s">
        <v>45</v>
      </c>
      <c r="H9" s="22" t="s">
        <v>45</v>
      </c>
      <c r="I9" s="21" t="s">
        <v>46</v>
      </c>
      <c r="J9" s="23"/>
      <c r="K9" s="22" t="s">
        <v>33</v>
      </c>
      <c r="L9" s="22" t="s">
        <v>47</v>
      </c>
      <c r="M9" s="22" t="s">
        <v>48</v>
      </c>
      <c r="N9" s="23"/>
      <c r="O9" s="22" t="s">
        <v>45</v>
      </c>
      <c r="P9" s="22" t="s">
        <v>46</v>
      </c>
      <c r="Q9" s="22" t="s">
        <v>49</v>
      </c>
      <c r="R9" s="23"/>
      <c r="S9" s="9" t="str">
        <f>"437,5"</f>
        <v>437,5</v>
      </c>
      <c r="T9" s="9" t="str">
        <f>"316,2250"</f>
        <v>316,2250</v>
      </c>
      <c r="U9" s="7" t="s">
        <v>216</v>
      </c>
    </row>
    <row r="11" spans="1:21" ht="16">
      <c r="A11" s="43" t="s">
        <v>50</v>
      </c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</row>
    <row r="12" spans="1:21">
      <c r="A12" s="23" t="s">
        <v>28</v>
      </c>
      <c r="B12" s="7" t="s">
        <v>51</v>
      </c>
      <c r="C12" s="7" t="s">
        <v>52</v>
      </c>
      <c r="D12" s="7" t="s">
        <v>53</v>
      </c>
      <c r="E12" s="8" t="s">
        <v>287</v>
      </c>
      <c r="F12" s="7" t="s">
        <v>13</v>
      </c>
      <c r="G12" s="22" t="s">
        <v>54</v>
      </c>
      <c r="H12" s="22" t="s">
        <v>55</v>
      </c>
      <c r="I12" s="22" t="s">
        <v>56</v>
      </c>
      <c r="J12" s="23"/>
      <c r="K12" s="22" t="s">
        <v>57</v>
      </c>
      <c r="L12" s="21" t="s">
        <v>33</v>
      </c>
      <c r="M12" s="22" t="s">
        <v>33</v>
      </c>
      <c r="N12" s="23"/>
      <c r="O12" s="21" t="s">
        <v>45</v>
      </c>
      <c r="P12" s="22" t="s">
        <v>58</v>
      </c>
      <c r="Q12" s="21" t="s">
        <v>59</v>
      </c>
      <c r="R12" s="23"/>
      <c r="S12" s="9" t="str">
        <f>"390,0"</f>
        <v>390,0</v>
      </c>
      <c r="T12" s="9" t="str">
        <f>"265,2000"</f>
        <v>265,2000</v>
      </c>
      <c r="U12" s="7" t="s">
        <v>250</v>
      </c>
    </row>
    <row r="14" spans="1:21" ht="16">
      <c r="A14" s="43" t="s">
        <v>60</v>
      </c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spans="1:21">
      <c r="A15" s="23" t="s">
        <v>28</v>
      </c>
      <c r="B15" s="7" t="s">
        <v>61</v>
      </c>
      <c r="C15" s="7" t="s">
        <v>62</v>
      </c>
      <c r="D15" s="7" t="s">
        <v>63</v>
      </c>
      <c r="E15" s="8" t="s">
        <v>287</v>
      </c>
      <c r="F15" s="7" t="s">
        <v>13</v>
      </c>
      <c r="G15" s="22" t="s">
        <v>64</v>
      </c>
      <c r="H15" s="22" t="s">
        <v>14</v>
      </c>
      <c r="I15" s="22" t="s">
        <v>65</v>
      </c>
      <c r="J15" s="23"/>
      <c r="K15" s="22" t="s">
        <v>56</v>
      </c>
      <c r="L15" s="22" t="s">
        <v>17</v>
      </c>
      <c r="M15" s="22" t="s">
        <v>45</v>
      </c>
      <c r="N15" s="23"/>
      <c r="O15" s="22" t="s">
        <v>66</v>
      </c>
      <c r="P15" s="22" t="s">
        <v>65</v>
      </c>
      <c r="Q15" s="22" t="s">
        <v>15</v>
      </c>
      <c r="R15" s="23"/>
      <c r="S15" s="9" t="str">
        <f>"590,0"</f>
        <v>590,0</v>
      </c>
      <c r="T15" s="9" t="str">
        <f>"352,1120"</f>
        <v>352,1120</v>
      </c>
      <c r="U15" s="7" t="s">
        <v>249</v>
      </c>
    </row>
  </sheetData>
  <mergeCells count="17"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B3:B4"/>
    <mergeCell ref="S3:S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99714-1BF9-A449-B722-D6A9079AB224}">
  <dimension ref="A1:B7"/>
  <sheetViews>
    <sheetView workbookViewId="0">
      <selection sqref="A1:B2"/>
    </sheetView>
  </sheetViews>
  <sheetFormatPr baseColWidth="10" defaultRowHeight="13"/>
  <cols>
    <col min="1" max="1" width="29.1640625" customWidth="1"/>
    <col min="2" max="2" width="28.83203125" customWidth="1"/>
  </cols>
  <sheetData>
    <row r="1" spans="1:2" ht="44" customHeight="1">
      <c r="A1" s="66" t="s">
        <v>277</v>
      </c>
      <c r="B1" s="67"/>
    </row>
    <row r="2" spans="1:2" ht="52" customHeight="1">
      <c r="A2" s="68"/>
      <c r="B2" s="69"/>
    </row>
    <row r="4" spans="1:2">
      <c r="A4" t="s">
        <v>278</v>
      </c>
    </row>
    <row r="5" spans="1:2">
      <c r="A5" t="s">
        <v>279</v>
      </c>
    </row>
    <row r="6" spans="1:2">
      <c r="A6" t="s">
        <v>20</v>
      </c>
    </row>
    <row r="7" spans="1:2">
      <c r="A7" t="s">
        <v>280</v>
      </c>
    </row>
  </sheetData>
  <mergeCells count="1">
    <mergeCell ref="A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5.332031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9.33203125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6" bestFit="1" customWidth="1"/>
    <col min="20" max="20" width="8.5" style="6" bestFit="1" customWidth="1"/>
    <col min="21" max="21" width="20.33203125" style="5" customWidth="1"/>
    <col min="22" max="16384" width="9.1640625" style="3"/>
  </cols>
  <sheetData>
    <row r="1" spans="1:21" s="2" customFormat="1" ht="29" customHeight="1">
      <c r="A1" s="53" t="s">
        <v>241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284</v>
      </c>
      <c r="B3" s="45" t="s">
        <v>0</v>
      </c>
      <c r="C3" s="63" t="s">
        <v>285</v>
      </c>
      <c r="D3" s="63" t="s">
        <v>5</v>
      </c>
      <c r="E3" s="47" t="s">
        <v>286</v>
      </c>
      <c r="F3" s="65" t="s">
        <v>4</v>
      </c>
      <c r="G3" s="65" t="s">
        <v>6</v>
      </c>
      <c r="H3" s="65"/>
      <c r="I3" s="65"/>
      <c r="J3" s="65"/>
      <c r="K3" s="65" t="s">
        <v>7</v>
      </c>
      <c r="L3" s="65"/>
      <c r="M3" s="65"/>
      <c r="N3" s="65"/>
      <c r="O3" s="65" t="s">
        <v>8</v>
      </c>
      <c r="P3" s="65"/>
      <c r="Q3" s="65"/>
      <c r="R3" s="65"/>
      <c r="S3" s="47" t="s">
        <v>1</v>
      </c>
      <c r="T3" s="47" t="s">
        <v>2</v>
      </c>
      <c r="U3" s="49"/>
    </row>
    <row r="4" spans="1:21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3</v>
      </c>
      <c r="K4" s="4">
        <v>1</v>
      </c>
      <c r="L4" s="4">
        <v>2</v>
      </c>
      <c r="M4" s="4">
        <v>3</v>
      </c>
      <c r="N4" s="4" t="s">
        <v>3</v>
      </c>
      <c r="O4" s="4">
        <v>1</v>
      </c>
      <c r="P4" s="4">
        <v>2</v>
      </c>
      <c r="Q4" s="4">
        <v>3</v>
      </c>
      <c r="R4" s="4" t="s">
        <v>3</v>
      </c>
      <c r="S4" s="48"/>
      <c r="T4" s="48"/>
      <c r="U4" s="50"/>
    </row>
    <row r="5" spans="1:21" ht="16">
      <c r="A5" s="51" t="s">
        <v>9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23" t="s">
        <v>28</v>
      </c>
      <c r="B6" s="7" t="s">
        <v>10</v>
      </c>
      <c r="C6" s="7" t="s">
        <v>11</v>
      </c>
      <c r="D6" s="7" t="s">
        <v>12</v>
      </c>
      <c r="E6" s="8" t="s">
        <v>287</v>
      </c>
      <c r="F6" s="7" t="s">
        <v>13</v>
      </c>
      <c r="G6" s="21" t="s">
        <v>14</v>
      </c>
      <c r="H6" s="22" t="s">
        <v>14</v>
      </c>
      <c r="I6" s="21" t="s">
        <v>15</v>
      </c>
      <c r="J6" s="23"/>
      <c r="K6" s="22" t="s">
        <v>16</v>
      </c>
      <c r="L6" s="22" t="s">
        <v>17</v>
      </c>
      <c r="M6" s="23"/>
      <c r="N6" s="23"/>
      <c r="O6" s="22" t="s">
        <v>14</v>
      </c>
      <c r="P6" s="22" t="s">
        <v>15</v>
      </c>
      <c r="Q6" s="21" t="s">
        <v>18</v>
      </c>
      <c r="R6" s="23"/>
      <c r="S6" s="9" t="str">
        <f>"570,0"</f>
        <v>570,0</v>
      </c>
      <c r="T6" s="9" t="str">
        <f>"364,5150"</f>
        <v>364,5150</v>
      </c>
      <c r="U6" s="7" t="s">
        <v>250</v>
      </c>
    </row>
  </sheetData>
  <mergeCells count="14"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B3:B4"/>
    <mergeCell ref="E3:E4"/>
    <mergeCell ref="S3:S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53E3E-4081-4486-AADD-9102F56BEB9D}">
  <dimension ref="A1:Q19"/>
  <sheetViews>
    <sheetView workbookViewId="0">
      <selection activeCell="E20" sqref="E20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9.33203125" style="5" bestFit="1" customWidth="1"/>
    <col min="7" max="9" width="5.5" style="19" customWidth="1"/>
    <col min="10" max="10" width="4.83203125" style="19" customWidth="1"/>
    <col min="11" max="14" width="5.5" style="19" customWidth="1"/>
    <col min="15" max="15" width="7.83203125" style="6" bestFit="1" customWidth="1"/>
    <col min="16" max="16" width="8.5" style="6" bestFit="1" customWidth="1"/>
    <col min="17" max="17" width="22.83203125" style="5" customWidth="1"/>
    <col min="18" max="16384" width="9.1640625" style="3"/>
  </cols>
  <sheetData>
    <row r="1" spans="1:17" s="2" customFormat="1" ht="29" customHeight="1">
      <c r="A1" s="53" t="s">
        <v>242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s="1" customFormat="1" ht="12.75" customHeight="1">
      <c r="A3" s="61" t="s">
        <v>284</v>
      </c>
      <c r="B3" s="45" t="s">
        <v>0</v>
      </c>
      <c r="C3" s="63" t="s">
        <v>285</v>
      </c>
      <c r="D3" s="63" t="s">
        <v>5</v>
      </c>
      <c r="E3" s="47" t="s">
        <v>286</v>
      </c>
      <c r="F3" s="65" t="s">
        <v>4</v>
      </c>
      <c r="G3" s="65" t="s">
        <v>7</v>
      </c>
      <c r="H3" s="65"/>
      <c r="I3" s="65"/>
      <c r="J3" s="65"/>
      <c r="K3" s="65" t="s">
        <v>8</v>
      </c>
      <c r="L3" s="65"/>
      <c r="M3" s="65"/>
      <c r="N3" s="65"/>
      <c r="O3" s="47" t="s">
        <v>1</v>
      </c>
      <c r="P3" s="47" t="s">
        <v>2</v>
      </c>
      <c r="Q3" s="49"/>
    </row>
    <row r="4" spans="1:17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3</v>
      </c>
      <c r="K4" s="4">
        <v>1</v>
      </c>
      <c r="L4" s="4">
        <v>2</v>
      </c>
      <c r="M4" s="4">
        <v>3</v>
      </c>
      <c r="N4" s="4" t="s">
        <v>3</v>
      </c>
      <c r="O4" s="48"/>
      <c r="P4" s="48"/>
      <c r="Q4" s="50"/>
    </row>
    <row r="5" spans="1:17" ht="16">
      <c r="A5" s="51" t="s">
        <v>29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7">
      <c r="A6" s="23" t="s">
        <v>28</v>
      </c>
      <c r="B6" s="7" t="s">
        <v>181</v>
      </c>
      <c r="C6" s="7" t="s">
        <v>251</v>
      </c>
      <c r="D6" s="7" t="s">
        <v>183</v>
      </c>
      <c r="E6" s="8" t="s">
        <v>288</v>
      </c>
      <c r="F6" s="7" t="s">
        <v>13</v>
      </c>
      <c r="G6" s="22" t="s">
        <v>184</v>
      </c>
      <c r="H6" s="22" t="s">
        <v>57</v>
      </c>
      <c r="I6" s="21" t="s">
        <v>33</v>
      </c>
      <c r="J6" s="23"/>
      <c r="K6" s="22" t="s">
        <v>109</v>
      </c>
      <c r="L6" s="22" t="s">
        <v>110</v>
      </c>
      <c r="M6" s="22" t="s">
        <v>136</v>
      </c>
      <c r="N6" s="21" t="s">
        <v>49</v>
      </c>
      <c r="O6" s="9" t="str">
        <f>"260,0"</f>
        <v>260,0</v>
      </c>
      <c r="P6" s="9" t="str">
        <f>"223,4440"</f>
        <v>223,4440</v>
      </c>
      <c r="Q6" s="7" t="s">
        <v>249</v>
      </c>
    </row>
    <row r="8" spans="1:17" ht="16">
      <c r="A8" s="43" t="s">
        <v>194</v>
      </c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7">
      <c r="A9" s="33" t="s">
        <v>28</v>
      </c>
      <c r="B9" s="24" t="s">
        <v>195</v>
      </c>
      <c r="C9" s="24" t="s">
        <v>196</v>
      </c>
      <c r="D9" s="24" t="s">
        <v>197</v>
      </c>
      <c r="E9" s="25" t="s">
        <v>289</v>
      </c>
      <c r="F9" s="24" t="s">
        <v>13</v>
      </c>
      <c r="G9" s="34" t="s">
        <v>198</v>
      </c>
      <c r="H9" s="34" t="s">
        <v>83</v>
      </c>
      <c r="I9" s="35" t="s">
        <v>199</v>
      </c>
      <c r="J9" s="33"/>
      <c r="K9" s="34" t="s">
        <v>92</v>
      </c>
      <c r="L9" s="34" t="s">
        <v>47</v>
      </c>
      <c r="M9" s="34" t="s">
        <v>48</v>
      </c>
      <c r="N9" s="33"/>
      <c r="O9" s="26" t="str">
        <f>"167,5"</f>
        <v>167,5</v>
      </c>
      <c r="P9" s="26" t="str">
        <f>"141,1523"</f>
        <v>141,1523</v>
      </c>
      <c r="Q9" s="24" t="s">
        <v>216</v>
      </c>
    </row>
    <row r="10" spans="1:17">
      <c r="A10" s="39" t="s">
        <v>28</v>
      </c>
      <c r="B10" s="30" t="s">
        <v>200</v>
      </c>
      <c r="C10" s="30" t="s">
        <v>201</v>
      </c>
      <c r="D10" s="30" t="s">
        <v>202</v>
      </c>
      <c r="E10" s="31" t="s">
        <v>287</v>
      </c>
      <c r="F10" s="30" t="s">
        <v>13</v>
      </c>
      <c r="G10" s="40" t="s">
        <v>96</v>
      </c>
      <c r="H10" s="40" t="s">
        <v>33</v>
      </c>
      <c r="I10" s="41" t="s">
        <v>34</v>
      </c>
      <c r="J10" s="39"/>
      <c r="K10" s="40" t="s">
        <v>123</v>
      </c>
      <c r="L10" s="40" t="s">
        <v>45</v>
      </c>
      <c r="M10" s="40" t="s">
        <v>46</v>
      </c>
      <c r="N10" s="39"/>
      <c r="O10" s="32" t="str">
        <f>"260,0"</f>
        <v>260,0</v>
      </c>
      <c r="P10" s="32" t="str">
        <f>"211,1720"</f>
        <v>211,1720</v>
      </c>
      <c r="Q10" s="30" t="s">
        <v>216</v>
      </c>
    </row>
    <row r="12" spans="1:17" ht="16">
      <c r="A12" s="43" t="s">
        <v>50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7">
      <c r="A13" s="23" t="s">
        <v>28</v>
      </c>
      <c r="B13" s="7" t="s">
        <v>111</v>
      </c>
      <c r="C13" s="7" t="s">
        <v>112</v>
      </c>
      <c r="D13" s="7" t="s">
        <v>113</v>
      </c>
      <c r="E13" s="8" t="s">
        <v>287</v>
      </c>
      <c r="F13" s="7" t="s">
        <v>13</v>
      </c>
      <c r="G13" s="22" t="s">
        <v>114</v>
      </c>
      <c r="H13" s="22" t="s">
        <v>17</v>
      </c>
      <c r="I13" s="22" t="s">
        <v>115</v>
      </c>
      <c r="J13" s="23"/>
      <c r="K13" s="22" t="s">
        <v>15</v>
      </c>
      <c r="L13" s="22" t="s">
        <v>116</v>
      </c>
      <c r="M13" s="22" t="s">
        <v>117</v>
      </c>
      <c r="N13" s="23"/>
      <c r="O13" s="9" t="str">
        <f>"407,5"</f>
        <v>407,5</v>
      </c>
      <c r="P13" s="9" t="str">
        <f>"274,2068"</f>
        <v>274,2068</v>
      </c>
      <c r="Q13" s="7" t="s">
        <v>216</v>
      </c>
    </row>
    <row r="15" spans="1:17" ht="16">
      <c r="A15" s="43" t="s">
        <v>9</v>
      </c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7">
      <c r="A16" s="23" t="s">
        <v>28</v>
      </c>
      <c r="B16" s="7" t="s">
        <v>188</v>
      </c>
      <c r="C16" s="7" t="s">
        <v>252</v>
      </c>
      <c r="D16" s="7" t="s">
        <v>189</v>
      </c>
      <c r="E16" s="8" t="s">
        <v>290</v>
      </c>
      <c r="F16" s="7" t="s">
        <v>13</v>
      </c>
      <c r="G16" s="22" t="s">
        <v>178</v>
      </c>
      <c r="H16" s="22" t="s">
        <v>190</v>
      </c>
      <c r="I16" s="22" t="s">
        <v>105</v>
      </c>
      <c r="J16" s="23"/>
      <c r="K16" s="22" t="s">
        <v>191</v>
      </c>
      <c r="L16" s="22" t="s">
        <v>192</v>
      </c>
      <c r="M16" s="21" t="s">
        <v>193</v>
      </c>
      <c r="N16" s="23"/>
      <c r="O16" s="9" t="str">
        <f>"330,0"</f>
        <v>330,0</v>
      </c>
      <c r="P16" s="9" t="str">
        <f>"222,1120"</f>
        <v>222,1120</v>
      </c>
      <c r="Q16" s="7" t="s">
        <v>216</v>
      </c>
    </row>
    <row r="18" spans="1:17" ht="16">
      <c r="A18" s="43" t="s">
        <v>133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</row>
    <row r="19" spans="1:17">
      <c r="A19" s="23" t="s">
        <v>28</v>
      </c>
      <c r="B19" s="7" t="s">
        <v>139</v>
      </c>
      <c r="C19" s="7" t="s">
        <v>140</v>
      </c>
      <c r="D19" s="7" t="s">
        <v>141</v>
      </c>
      <c r="E19" s="8" t="s">
        <v>287</v>
      </c>
      <c r="F19" s="7" t="s">
        <v>13</v>
      </c>
      <c r="G19" s="22" t="s">
        <v>58</v>
      </c>
      <c r="H19" s="21" t="s">
        <v>59</v>
      </c>
      <c r="I19" s="21" t="s">
        <v>59</v>
      </c>
      <c r="J19" s="23"/>
      <c r="K19" s="22" t="s">
        <v>117</v>
      </c>
      <c r="L19" s="22" t="s">
        <v>142</v>
      </c>
      <c r="M19" s="22" t="s">
        <v>143</v>
      </c>
      <c r="N19" s="23"/>
      <c r="O19" s="9" t="str">
        <f>"440,0"</f>
        <v>440,0</v>
      </c>
      <c r="P19" s="9" t="str">
        <f>"268,0920"</f>
        <v>268,0920</v>
      </c>
      <c r="Q19" s="7" t="s">
        <v>216</v>
      </c>
    </row>
  </sheetData>
  <mergeCells count="17"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2:N12"/>
    <mergeCell ref="A15:N15"/>
    <mergeCell ref="A18:N18"/>
    <mergeCell ref="B3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FE561-7A61-4B74-A3F2-8E34B29FBB37}">
  <dimension ref="A1:M48"/>
  <sheetViews>
    <sheetView topLeftCell="A3" workbookViewId="0">
      <selection activeCell="E39" sqref="E39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9.332031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23.33203125" style="5" customWidth="1"/>
    <col min="14" max="16384" width="9.1640625" style="3"/>
  </cols>
  <sheetData>
    <row r="1" spans="1:13" s="2" customFormat="1" ht="29" customHeight="1">
      <c r="A1" s="53" t="s">
        <v>243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284</v>
      </c>
      <c r="B3" s="45" t="s">
        <v>0</v>
      </c>
      <c r="C3" s="63" t="s">
        <v>285</v>
      </c>
      <c r="D3" s="63" t="s">
        <v>5</v>
      </c>
      <c r="E3" s="47" t="s">
        <v>286</v>
      </c>
      <c r="F3" s="65" t="s">
        <v>4</v>
      </c>
      <c r="G3" s="65" t="s">
        <v>7</v>
      </c>
      <c r="H3" s="65"/>
      <c r="I3" s="65"/>
      <c r="J3" s="65"/>
      <c r="K3" s="47" t="s">
        <v>78</v>
      </c>
      <c r="L3" s="47" t="s">
        <v>2</v>
      </c>
      <c r="M3" s="49"/>
    </row>
    <row r="4" spans="1:13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3</v>
      </c>
      <c r="K4" s="48"/>
      <c r="L4" s="48"/>
      <c r="M4" s="50"/>
    </row>
    <row r="5" spans="1:13" ht="16">
      <c r="A5" s="51" t="s">
        <v>79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28</v>
      </c>
      <c r="B6" s="7" t="s">
        <v>80</v>
      </c>
      <c r="C6" s="7" t="s">
        <v>81</v>
      </c>
      <c r="D6" s="7" t="s">
        <v>82</v>
      </c>
      <c r="E6" s="8" t="s">
        <v>289</v>
      </c>
      <c r="F6" s="7" t="s">
        <v>13</v>
      </c>
      <c r="G6" s="22" t="s">
        <v>37</v>
      </c>
      <c r="H6" s="21" t="s">
        <v>83</v>
      </c>
      <c r="I6" s="21" t="s">
        <v>83</v>
      </c>
      <c r="J6" s="23"/>
      <c r="K6" s="9" t="str">
        <f>"65,0"</f>
        <v>65,0</v>
      </c>
      <c r="L6" s="9" t="str">
        <f>"81,1525"</f>
        <v>81,1525</v>
      </c>
      <c r="M6" s="7" t="s">
        <v>250</v>
      </c>
    </row>
    <row r="8" spans="1:13" ht="16">
      <c r="A8" s="43" t="s">
        <v>29</v>
      </c>
      <c r="B8" s="43"/>
      <c r="C8" s="44"/>
      <c r="D8" s="44"/>
      <c r="E8" s="44"/>
      <c r="F8" s="44"/>
      <c r="G8" s="44"/>
      <c r="H8" s="44"/>
      <c r="I8" s="44"/>
      <c r="J8" s="44"/>
    </row>
    <row r="9" spans="1:13">
      <c r="A9" s="23" t="s">
        <v>28</v>
      </c>
      <c r="B9" s="7" t="s">
        <v>84</v>
      </c>
      <c r="C9" s="7" t="s">
        <v>253</v>
      </c>
      <c r="D9" s="7" t="s">
        <v>85</v>
      </c>
      <c r="E9" s="8" t="s">
        <v>291</v>
      </c>
      <c r="F9" s="7" t="s">
        <v>13</v>
      </c>
      <c r="G9" s="22" t="s">
        <v>57</v>
      </c>
      <c r="H9" s="22" t="s">
        <v>33</v>
      </c>
      <c r="I9" s="22" t="s">
        <v>47</v>
      </c>
      <c r="J9" s="23"/>
      <c r="K9" s="9" t="str">
        <f>"95,0"</f>
        <v>95,0</v>
      </c>
      <c r="L9" s="9" t="str">
        <f>"114,3203"</f>
        <v>114,3203</v>
      </c>
      <c r="M9" s="7" t="s">
        <v>250</v>
      </c>
    </row>
    <row r="11" spans="1:13" ht="16">
      <c r="A11" s="43" t="s">
        <v>41</v>
      </c>
      <c r="B11" s="43"/>
      <c r="C11" s="44"/>
      <c r="D11" s="44"/>
      <c r="E11" s="44"/>
      <c r="F11" s="44"/>
      <c r="G11" s="44"/>
      <c r="H11" s="44"/>
      <c r="I11" s="44"/>
      <c r="J11" s="44"/>
    </row>
    <row r="12" spans="1:13">
      <c r="A12" s="23" t="s">
        <v>28</v>
      </c>
      <c r="B12" s="7" t="s">
        <v>86</v>
      </c>
      <c r="C12" s="7" t="s">
        <v>254</v>
      </c>
      <c r="D12" s="7" t="s">
        <v>87</v>
      </c>
      <c r="E12" s="8" t="s">
        <v>292</v>
      </c>
      <c r="F12" s="7" t="s">
        <v>13</v>
      </c>
      <c r="G12" s="22" t="s">
        <v>35</v>
      </c>
      <c r="H12" s="22" t="s">
        <v>88</v>
      </c>
      <c r="I12" s="22" t="s">
        <v>36</v>
      </c>
      <c r="J12" s="23"/>
      <c r="K12" s="9" t="str">
        <f>"62,5"</f>
        <v>62,5</v>
      </c>
      <c r="L12" s="9" t="str">
        <f>"83,9831"</f>
        <v>83,9831</v>
      </c>
      <c r="M12" s="7" t="s">
        <v>250</v>
      </c>
    </row>
    <row r="14" spans="1:13" ht="16">
      <c r="A14" s="43" t="s">
        <v>41</v>
      </c>
      <c r="B14" s="43"/>
      <c r="C14" s="44"/>
      <c r="D14" s="44"/>
      <c r="E14" s="44"/>
      <c r="F14" s="44"/>
      <c r="G14" s="44"/>
      <c r="H14" s="44"/>
      <c r="I14" s="44"/>
      <c r="J14" s="44"/>
    </row>
    <row r="15" spans="1:13">
      <c r="A15" s="33" t="s">
        <v>28</v>
      </c>
      <c r="B15" s="24" t="s">
        <v>89</v>
      </c>
      <c r="C15" s="24" t="s">
        <v>90</v>
      </c>
      <c r="D15" s="24" t="s">
        <v>91</v>
      </c>
      <c r="E15" s="25" t="s">
        <v>289</v>
      </c>
      <c r="F15" s="24" t="s">
        <v>13</v>
      </c>
      <c r="G15" s="34" t="s">
        <v>92</v>
      </c>
      <c r="H15" s="34" t="s">
        <v>34</v>
      </c>
      <c r="I15" s="35" t="s">
        <v>93</v>
      </c>
      <c r="J15" s="33"/>
      <c r="K15" s="26" t="str">
        <f>"100,0"</f>
        <v>100,0</v>
      </c>
      <c r="L15" s="26" t="str">
        <f>"73,9800"</f>
        <v>73,9800</v>
      </c>
      <c r="M15" s="24" t="s">
        <v>250</v>
      </c>
    </row>
    <row r="16" spans="1:13">
      <c r="A16" s="36" t="s">
        <v>154</v>
      </c>
      <c r="B16" s="27" t="s">
        <v>94</v>
      </c>
      <c r="C16" s="27" t="s">
        <v>95</v>
      </c>
      <c r="D16" s="27" t="s">
        <v>87</v>
      </c>
      <c r="E16" s="28" t="s">
        <v>289</v>
      </c>
      <c r="F16" s="27" t="s">
        <v>13</v>
      </c>
      <c r="G16" s="37" t="s">
        <v>96</v>
      </c>
      <c r="H16" s="37" t="s">
        <v>57</v>
      </c>
      <c r="I16" s="38" t="s">
        <v>33</v>
      </c>
      <c r="J16" s="36"/>
      <c r="K16" s="29" t="str">
        <f>"85,0"</f>
        <v>85,0</v>
      </c>
      <c r="L16" s="29" t="str">
        <f>"60,7410"</f>
        <v>60,7410</v>
      </c>
      <c r="M16" s="27" t="s">
        <v>250</v>
      </c>
    </row>
    <row r="17" spans="1:13">
      <c r="A17" s="36" t="s">
        <v>28</v>
      </c>
      <c r="B17" s="27" t="s">
        <v>97</v>
      </c>
      <c r="C17" s="27" t="s">
        <v>98</v>
      </c>
      <c r="D17" s="27" t="s">
        <v>99</v>
      </c>
      <c r="E17" s="28" t="s">
        <v>287</v>
      </c>
      <c r="F17" s="27" t="s">
        <v>100</v>
      </c>
      <c r="G17" s="38" t="s">
        <v>101</v>
      </c>
      <c r="H17" s="37" t="s">
        <v>54</v>
      </c>
      <c r="I17" s="38" t="s">
        <v>102</v>
      </c>
      <c r="J17" s="36"/>
      <c r="K17" s="29" t="str">
        <f>"112,5"</f>
        <v>112,5</v>
      </c>
      <c r="L17" s="29" t="str">
        <f>"81,0000"</f>
        <v>81,0000</v>
      </c>
      <c r="M17" s="27" t="s">
        <v>250</v>
      </c>
    </row>
    <row r="18" spans="1:13">
      <c r="A18" s="39" t="s">
        <v>28</v>
      </c>
      <c r="B18" s="30" t="s">
        <v>103</v>
      </c>
      <c r="C18" s="30" t="s">
        <v>255</v>
      </c>
      <c r="D18" s="30" t="s">
        <v>104</v>
      </c>
      <c r="E18" s="31" t="s">
        <v>292</v>
      </c>
      <c r="F18" s="30" t="s">
        <v>13</v>
      </c>
      <c r="G18" s="40" t="s">
        <v>39</v>
      </c>
      <c r="H18" s="40" t="s">
        <v>55</v>
      </c>
      <c r="I18" s="41" t="s">
        <v>105</v>
      </c>
      <c r="J18" s="39"/>
      <c r="K18" s="32" t="str">
        <f>"125,0"</f>
        <v>125,0</v>
      </c>
      <c r="L18" s="32" t="str">
        <f>"124,5623"</f>
        <v>124,5623</v>
      </c>
      <c r="M18" s="30" t="s">
        <v>250</v>
      </c>
    </row>
    <row r="20" spans="1:13" ht="16">
      <c r="A20" s="43" t="s">
        <v>50</v>
      </c>
      <c r="B20" s="43"/>
      <c r="C20" s="44"/>
      <c r="D20" s="44"/>
      <c r="E20" s="44"/>
      <c r="F20" s="44"/>
      <c r="G20" s="44"/>
      <c r="H20" s="44"/>
      <c r="I20" s="44"/>
      <c r="J20" s="44"/>
    </row>
    <row r="21" spans="1:13">
      <c r="A21" s="33" t="s">
        <v>28</v>
      </c>
      <c r="B21" s="24" t="s">
        <v>106</v>
      </c>
      <c r="C21" s="24" t="s">
        <v>107</v>
      </c>
      <c r="D21" s="24" t="s">
        <v>108</v>
      </c>
      <c r="E21" s="25" t="s">
        <v>289</v>
      </c>
      <c r="F21" s="24" t="s">
        <v>13</v>
      </c>
      <c r="G21" s="34" t="s">
        <v>109</v>
      </c>
      <c r="H21" s="34" t="s">
        <v>58</v>
      </c>
      <c r="I21" s="35" t="s">
        <v>110</v>
      </c>
      <c r="J21" s="33"/>
      <c r="K21" s="26" t="str">
        <f>"165,0"</f>
        <v>165,0</v>
      </c>
      <c r="L21" s="26" t="str">
        <f>"111,6885"</f>
        <v>111,6885</v>
      </c>
      <c r="M21" s="24" t="s">
        <v>250</v>
      </c>
    </row>
    <row r="22" spans="1:13">
      <c r="A22" s="36" t="s">
        <v>28</v>
      </c>
      <c r="B22" s="27" t="s">
        <v>111</v>
      </c>
      <c r="C22" s="27" t="s">
        <v>112</v>
      </c>
      <c r="D22" s="27" t="s">
        <v>113</v>
      </c>
      <c r="E22" s="28" t="s">
        <v>287</v>
      </c>
      <c r="F22" s="27" t="s">
        <v>13</v>
      </c>
      <c r="G22" s="37" t="s">
        <v>114</v>
      </c>
      <c r="H22" s="37" t="s">
        <v>17</v>
      </c>
      <c r="I22" s="37" t="s">
        <v>115</v>
      </c>
      <c r="J22" s="36"/>
      <c r="K22" s="29" t="str">
        <f>"157,5"</f>
        <v>157,5</v>
      </c>
      <c r="L22" s="29" t="str">
        <f>"105,9818"</f>
        <v>105,9818</v>
      </c>
      <c r="M22" s="27" t="s">
        <v>250</v>
      </c>
    </row>
    <row r="23" spans="1:13">
      <c r="A23" s="39" t="s">
        <v>28</v>
      </c>
      <c r="B23" s="30" t="s">
        <v>118</v>
      </c>
      <c r="C23" s="30" t="s">
        <v>256</v>
      </c>
      <c r="D23" s="30" t="s">
        <v>119</v>
      </c>
      <c r="E23" s="31" t="s">
        <v>290</v>
      </c>
      <c r="F23" s="30" t="s">
        <v>13</v>
      </c>
      <c r="G23" s="40" t="s">
        <v>57</v>
      </c>
      <c r="H23" s="40" t="s">
        <v>33</v>
      </c>
      <c r="I23" s="41" t="s">
        <v>47</v>
      </c>
      <c r="J23" s="39"/>
      <c r="K23" s="32" t="str">
        <f>"90,0"</f>
        <v>90,0</v>
      </c>
      <c r="L23" s="32" t="str">
        <f>"63,0346"</f>
        <v>63,0346</v>
      </c>
      <c r="M23" s="30" t="s">
        <v>250</v>
      </c>
    </row>
    <row r="25" spans="1:13" ht="16">
      <c r="A25" s="43" t="s">
        <v>9</v>
      </c>
      <c r="B25" s="43"/>
      <c r="C25" s="44"/>
      <c r="D25" s="44"/>
      <c r="E25" s="44"/>
      <c r="F25" s="44"/>
      <c r="G25" s="44"/>
      <c r="H25" s="44"/>
      <c r="I25" s="44"/>
      <c r="J25" s="44"/>
    </row>
    <row r="26" spans="1:13">
      <c r="A26" s="33" t="s">
        <v>28</v>
      </c>
      <c r="B26" s="24" t="s">
        <v>120</v>
      </c>
      <c r="C26" s="24" t="s">
        <v>121</v>
      </c>
      <c r="D26" s="24" t="s">
        <v>122</v>
      </c>
      <c r="E26" s="25" t="s">
        <v>287</v>
      </c>
      <c r="F26" s="24" t="s">
        <v>13</v>
      </c>
      <c r="G26" s="34" t="s">
        <v>123</v>
      </c>
      <c r="H26" s="35" t="s">
        <v>124</v>
      </c>
      <c r="I26" s="34" t="s">
        <v>124</v>
      </c>
      <c r="J26" s="33"/>
      <c r="K26" s="26" t="str">
        <f>"152,5"</f>
        <v>152,5</v>
      </c>
      <c r="L26" s="26" t="str">
        <f>"97,9660"</f>
        <v>97,9660</v>
      </c>
      <c r="M26" s="24" t="s">
        <v>250</v>
      </c>
    </row>
    <row r="27" spans="1:13">
      <c r="A27" s="36" t="s">
        <v>154</v>
      </c>
      <c r="B27" s="27" t="s">
        <v>125</v>
      </c>
      <c r="C27" s="27" t="s">
        <v>126</v>
      </c>
      <c r="D27" s="27" t="s">
        <v>127</v>
      </c>
      <c r="E27" s="28" t="s">
        <v>287</v>
      </c>
      <c r="F27" s="27" t="s">
        <v>13</v>
      </c>
      <c r="G27" s="37" t="s">
        <v>128</v>
      </c>
      <c r="H27" s="38" t="s">
        <v>129</v>
      </c>
      <c r="I27" s="37" t="s">
        <v>129</v>
      </c>
      <c r="J27" s="36"/>
      <c r="K27" s="29" t="str">
        <f>"147,5"</f>
        <v>147,5</v>
      </c>
      <c r="L27" s="29" t="str">
        <f>"98,3825"</f>
        <v>98,3825</v>
      </c>
      <c r="M27" s="27" t="s">
        <v>250</v>
      </c>
    </row>
    <row r="28" spans="1:13">
      <c r="A28" s="39" t="s">
        <v>155</v>
      </c>
      <c r="B28" s="30" t="s">
        <v>130</v>
      </c>
      <c r="C28" s="30" t="s">
        <v>131</v>
      </c>
      <c r="D28" s="30" t="s">
        <v>132</v>
      </c>
      <c r="E28" s="31" t="s">
        <v>287</v>
      </c>
      <c r="F28" s="30" t="s">
        <v>13</v>
      </c>
      <c r="G28" s="40" t="s">
        <v>39</v>
      </c>
      <c r="H28" s="41" t="s">
        <v>105</v>
      </c>
      <c r="I28" s="41" t="s">
        <v>105</v>
      </c>
      <c r="J28" s="39"/>
      <c r="K28" s="32" t="str">
        <f>"120,0"</f>
        <v>120,0</v>
      </c>
      <c r="L28" s="32" t="str">
        <f>"76,6560"</f>
        <v>76,6560</v>
      </c>
      <c r="M28" s="30" t="s">
        <v>250</v>
      </c>
    </row>
    <row r="30" spans="1:13" ht="16">
      <c r="A30" s="43" t="s">
        <v>133</v>
      </c>
      <c r="B30" s="43"/>
      <c r="C30" s="44"/>
      <c r="D30" s="44"/>
      <c r="E30" s="44"/>
      <c r="F30" s="44"/>
      <c r="G30" s="44"/>
      <c r="H30" s="44"/>
      <c r="I30" s="44"/>
      <c r="J30" s="44"/>
    </row>
    <row r="31" spans="1:13">
      <c r="A31" s="33" t="s">
        <v>28</v>
      </c>
      <c r="B31" s="24" t="s">
        <v>134</v>
      </c>
      <c r="C31" s="24" t="s">
        <v>257</v>
      </c>
      <c r="D31" s="24" t="s">
        <v>135</v>
      </c>
      <c r="E31" s="25" t="s">
        <v>288</v>
      </c>
      <c r="F31" s="24" t="s">
        <v>13</v>
      </c>
      <c r="G31" s="34" t="s">
        <v>58</v>
      </c>
      <c r="H31" s="34" t="s">
        <v>136</v>
      </c>
      <c r="I31" s="35" t="s">
        <v>137</v>
      </c>
      <c r="J31" s="33"/>
      <c r="K31" s="26" t="str">
        <f>"175,0"</f>
        <v>175,0</v>
      </c>
      <c r="L31" s="26" t="str">
        <f>"106,8900"</f>
        <v>106,8900</v>
      </c>
      <c r="M31" s="24" t="s">
        <v>250</v>
      </c>
    </row>
    <row r="32" spans="1:13">
      <c r="A32" s="36" t="s">
        <v>28</v>
      </c>
      <c r="B32" s="27" t="s">
        <v>134</v>
      </c>
      <c r="C32" s="27" t="s">
        <v>138</v>
      </c>
      <c r="D32" s="27" t="s">
        <v>135</v>
      </c>
      <c r="E32" s="28" t="s">
        <v>287</v>
      </c>
      <c r="F32" s="27" t="s">
        <v>13</v>
      </c>
      <c r="G32" s="37" t="s">
        <v>58</v>
      </c>
      <c r="H32" s="37" t="s">
        <v>136</v>
      </c>
      <c r="I32" s="38" t="s">
        <v>137</v>
      </c>
      <c r="J32" s="36"/>
      <c r="K32" s="29" t="str">
        <f>"175,0"</f>
        <v>175,0</v>
      </c>
      <c r="L32" s="29" t="str">
        <f>"106,8900"</f>
        <v>106,8900</v>
      </c>
      <c r="M32" s="27" t="s">
        <v>250</v>
      </c>
    </row>
    <row r="33" spans="1:13">
      <c r="A33" s="36" t="s">
        <v>154</v>
      </c>
      <c r="B33" s="27" t="s">
        <v>139</v>
      </c>
      <c r="C33" s="27" t="s">
        <v>140</v>
      </c>
      <c r="D33" s="27" t="s">
        <v>141</v>
      </c>
      <c r="E33" s="28" t="s">
        <v>287</v>
      </c>
      <c r="F33" s="27" t="s">
        <v>13</v>
      </c>
      <c r="G33" s="37" t="s">
        <v>58</v>
      </c>
      <c r="H33" s="38" t="s">
        <v>59</v>
      </c>
      <c r="I33" s="38" t="s">
        <v>59</v>
      </c>
      <c r="J33" s="36"/>
      <c r="K33" s="29" t="str">
        <f>"165,0"</f>
        <v>165,0</v>
      </c>
      <c r="L33" s="29" t="str">
        <f>"100,5345"</f>
        <v>100,5345</v>
      </c>
      <c r="M33" s="27" t="s">
        <v>250</v>
      </c>
    </row>
    <row r="34" spans="1:13">
      <c r="A34" s="36" t="s">
        <v>155</v>
      </c>
      <c r="B34" s="27" t="s">
        <v>144</v>
      </c>
      <c r="C34" s="27" t="s">
        <v>145</v>
      </c>
      <c r="D34" s="27" t="s">
        <v>146</v>
      </c>
      <c r="E34" s="28" t="s">
        <v>287</v>
      </c>
      <c r="F34" s="27" t="s">
        <v>13</v>
      </c>
      <c r="G34" s="37" t="s">
        <v>123</v>
      </c>
      <c r="H34" s="37" t="s">
        <v>109</v>
      </c>
      <c r="I34" s="38" t="s">
        <v>147</v>
      </c>
      <c r="J34" s="36"/>
      <c r="K34" s="29" t="str">
        <f>"155,0"</f>
        <v>155,0</v>
      </c>
      <c r="L34" s="29" t="str">
        <f>"95,7435"</f>
        <v>95,7435</v>
      </c>
      <c r="M34" s="27" t="s">
        <v>250</v>
      </c>
    </row>
    <row r="35" spans="1:13">
      <c r="A35" s="39" t="s">
        <v>28</v>
      </c>
      <c r="B35" s="30" t="s">
        <v>148</v>
      </c>
      <c r="C35" s="30" t="s">
        <v>258</v>
      </c>
      <c r="D35" s="30" t="s">
        <v>149</v>
      </c>
      <c r="E35" s="31" t="s">
        <v>290</v>
      </c>
      <c r="F35" s="30" t="s">
        <v>13</v>
      </c>
      <c r="G35" s="40" t="s">
        <v>39</v>
      </c>
      <c r="H35" s="40" t="s">
        <v>105</v>
      </c>
      <c r="I35" s="41" t="s">
        <v>150</v>
      </c>
      <c r="J35" s="39"/>
      <c r="K35" s="32" t="str">
        <f>"127,5"</f>
        <v>127,5</v>
      </c>
      <c r="L35" s="32" t="str">
        <f>"81,4766"</f>
        <v>81,4766</v>
      </c>
      <c r="M35" s="30" t="s">
        <v>250</v>
      </c>
    </row>
    <row r="37" spans="1:13" ht="16">
      <c r="A37" s="43" t="s">
        <v>60</v>
      </c>
      <c r="B37" s="43"/>
      <c r="C37" s="44"/>
      <c r="D37" s="44"/>
      <c r="E37" s="44"/>
      <c r="F37" s="44"/>
      <c r="G37" s="44"/>
      <c r="H37" s="44"/>
      <c r="I37" s="44"/>
      <c r="J37" s="44"/>
    </row>
    <row r="38" spans="1:13">
      <c r="A38" s="23" t="s">
        <v>28</v>
      </c>
      <c r="B38" s="7" t="s">
        <v>151</v>
      </c>
      <c r="C38" s="7" t="s">
        <v>259</v>
      </c>
      <c r="D38" s="7" t="s">
        <v>152</v>
      </c>
      <c r="E38" s="8" t="s">
        <v>288</v>
      </c>
      <c r="F38" s="7" t="s">
        <v>13</v>
      </c>
      <c r="G38" s="22" t="s">
        <v>16</v>
      </c>
      <c r="H38" s="22" t="s">
        <v>123</v>
      </c>
      <c r="I38" s="22" t="s">
        <v>17</v>
      </c>
      <c r="J38" s="23"/>
      <c r="K38" s="9" t="str">
        <f>"150,0"</f>
        <v>150,0</v>
      </c>
      <c r="L38" s="9" t="str">
        <f>"90,5250"</f>
        <v>90,5250</v>
      </c>
      <c r="M38" s="7" t="s">
        <v>250</v>
      </c>
    </row>
    <row r="40" spans="1:13" ht="16">
      <c r="F40" s="11"/>
      <c r="G40" s="5"/>
      <c r="K40" s="19"/>
      <c r="M40" s="6"/>
    </row>
    <row r="41" spans="1:13">
      <c r="G41" s="5"/>
      <c r="K41" s="19"/>
      <c r="M41" s="6"/>
    </row>
    <row r="42" spans="1:13" ht="18">
      <c r="B42" s="12" t="s">
        <v>21</v>
      </c>
      <c r="C42" s="12"/>
      <c r="G42" s="3"/>
      <c r="K42" s="19"/>
      <c r="M42" s="6"/>
    </row>
    <row r="43" spans="1:13" ht="16">
      <c r="B43" s="13" t="s">
        <v>22</v>
      </c>
      <c r="C43" s="13"/>
      <c r="G43" s="3"/>
      <c r="K43" s="19"/>
      <c r="M43" s="6"/>
    </row>
    <row r="44" spans="1:13" ht="14">
      <c r="B44" s="14"/>
      <c r="C44" s="15" t="s">
        <v>23</v>
      </c>
      <c r="G44" s="3"/>
      <c r="K44" s="19"/>
      <c r="M44" s="6"/>
    </row>
    <row r="45" spans="1:13" ht="14">
      <c r="B45" s="16" t="s">
        <v>24</v>
      </c>
      <c r="C45" s="16" t="s">
        <v>25</v>
      </c>
      <c r="D45" s="16" t="s">
        <v>274</v>
      </c>
      <c r="E45" s="17" t="s">
        <v>77</v>
      </c>
      <c r="F45" s="16" t="s">
        <v>26</v>
      </c>
      <c r="G45" s="3"/>
      <c r="K45" s="19"/>
      <c r="M45" s="6"/>
    </row>
    <row r="46" spans="1:13">
      <c r="B46" s="5" t="s">
        <v>134</v>
      </c>
      <c r="C46" s="5" t="s">
        <v>23</v>
      </c>
      <c r="D46" s="19" t="s">
        <v>153</v>
      </c>
      <c r="E46" s="20">
        <v>175</v>
      </c>
      <c r="F46" s="18">
        <v>106.890004873276</v>
      </c>
      <c r="G46" s="3"/>
      <c r="K46" s="19"/>
      <c r="M46" s="6"/>
    </row>
    <row r="47" spans="1:13">
      <c r="B47" s="5" t="s">
        <v>111</v>
      </c>
      <c r="C47" s="5" t="s">
        <v>23</v>
      </c>
      <c r="D47" s="19" t="s">
        <v>69</v>
      </c>
      <c r="E47" s="20">
        <v>157.5</v>
      </c>
      <c r="F47" s="18">
        <v>105.981753319502</v>
      </c>
      <c r="G47" s="3"/>
      <c r="K47" s="19"/>
      <c r="M47" s="6"/>
    </row>
    <row r="48" spans="1:13">
      <c r="B48" s="5" t="s">
        <v>139</v>
      </c>
      <c r="C48" s="5" t="s">
        <v>23</v>
      </c>
      <c r="D48" s="19" t="s">
        <v>153</v>
      </c>
      <c r="E48" s="20">
        <v>165</v>
      </c>
      <c r="F48" s="18">
        <v>100.534502863884</v>
      </c>
      <c r="G48" s="3"/>
      <c r="K48" s="19"/>
      <c r="M48" s="6"/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7:J37"/>
    <mergeCell ref="B3:B4"/>
    <mergeCell ref="A8:J8"/>
    <mergeCell ref="A11:J11"/>
    <mergeCell ref="A14:J14"/>
    <mergeCell ref="A20:J20"/>
    <mergeCell ref="A25:J25"/>
    <mergeCell ref="A30:J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5BBCE-4945-4786-AA6F-8FFB7F524E43}">
  <dimension ref="A1:M6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6.5" style="5" bestFit="1" customWidth="1"/>
    <col min="4" max="4" width="21.5" style="5" bestFit="1" customWidth="1"/>
    <col min="5" max="5" width="10.5" style="10" bestFit="1" customWidth="1"/>
    <col min="6" max="6" width="29.332031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7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53" t="s">
        <v>244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284</v>
      </c>
      <c r="B3" s="45" t="s">
        <v>0</v>
      </c>
      <c r="C3" s="63" t="s">
        <v>285</v>
      </c>
      <c r="D3" s="63" t="s">
        <v>5</v>
      </c>
      <c r="E3" s="47" t="s">
        <v>286</v>
      </c>
      <c r="F3" s="65" t="s">
        <v>4</v>
      </c>
      <c r="G3" s="65" t="s">
        <v>7</v>
      </c>
      <c r="H3" s="65"/>
      <c r="I3" s="65"/>
      <c r="J3" s="65"/>
      <c r="K3" s="47" t="s">
        <v>78</v>
      </c>
      <c r="L3" s="47" t="s">
        <v>2</v>
      </c>
      <c r="M3" s="49"/>
    </row>
    <row r="4" spans="1:13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3</v>
      </c>
      <c r="K4" s="48"/>
      <c r="L4" s="48"/>
      <c r="M4" s="50"/>
    </row>
    <row r="5" spans="1:13" ht="16">
      <c r="A5" s="51" t="s">
        <v>41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28</v>
      </c>
      <c r="B6" s="7" t="s">
        <v>70</v>
      </c>
      <c r="C6" s="7" t="s">
        <v>71</v>
      </c>
      <c r="D6" s="7" t="s">
        <v>72</v>
      </c>
      <c r="E6" s="8" t="s">
        <v>289</v>
      </c>
      <c r="F6" s="7" t="s">
        <v>13</v>
      </c>
      <c r="G6" s="22" t="s">
        <v>73</v>
      </c>
      <c r="H6" s="22" t="s">
        <v>74</v>
      </c>
      <c r="I6" s="21" t="s">
        <v>75</v>
      </c>
      <c r="J6" s="23"/>
      <c r="K6" s="9" t="str">
        <f>"40,0"</f>
        <v>40,0</v>
      </c>
      <c r="L6" s="9" t="str">
        <f>"29,6560"</f>
        <v>29,6560</v>
      </c>
      <c r="M6" s="7" t="s">
        <v>216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8503A-58C5-436A-B0D2-473609ECC6D5}">
  <dimension ref="A1:M52"/>
  <sheetViews>
    <sheetView topLeftCell="A9" workbookViewId="0">
      <selection activeCell="E36" sqref="E36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9" style="5" bestFit="1" customWidth="1"/>
    <col min="4" max="4" width="21.5" style="5" bestFit="1" customWidth="1"/>
    <col min="5" max="5" width="10.5" style="10" bestFit="1" customWidth="1"/>
    <col min="6" max="6" width="29.33203125" style="5" bestFit="1" customWidth="1"/>
    <col min="7" max="10" width="5.5" style="19" customWidth="1"/>
    <col min="11" max="11" width="10.5" style="6" bestFit="1" customWidth="1"/>
    <col min="12" max="12" width="8.5" style="6" bestFit="1" customWidth="1"/>
    <col min="13" max="13" width="22" style="5" customWidth="1"/>
    <col min="14" max="16384" width="9.1640625" style="3"/>
  </cols>
  <sheetData>
    <row r="1" spans="1:13" s="2" customFormat="1" ht="29" customHeight="1">
      <c r="A1" s="53" t="s">
        <v>245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284</v>
      </c>
      <c r="B3" s="45" t="s">
        <v>0</v>
      </c>
      <c r="C3" s="63" t="s">
        <v>285</v>
      </c>
      <c r="D3" s="63" t="s">
        <v>5</v>
      </c>
      <c r="E3" s="47" t="s">
        <v>286</v>
      </c>
      <c r="F3" s="65" t="s">
        <v>4</v>
      </c>
      <c r="G3" s="65" t="s">
        <v>8</v>
      </c>
      <c r="H3" s="65"/>
      <c r="I3" s="65"/>
      <c r="J3" s="65"/>
      <c r="K3" s="47" t="s">
        <v>78</v>
      </c>
      <c r="L3" s="47" t="s">
        <v>2</v>
      </c>
      <c r="M3" s="49"/>
    </row>
    <row r="4" spans="1:13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3</v>
      </c>
      <c r="K4" s="48"/>
      <c r="L4" s="48"/>
      <c r="M4" s="50"/>
    </row>
    <row r="5" spans="1:13" ht="16">
      <c r="A5" s="51" t="s">
        <v>162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28</v>
      </c>
      <c r="B6" s="7" t="s">
        <v>163</v>
      </c>
      <c r="C6" s="7" t="s">
        <v>164</v>
      </c>
      <c r="D6" s="7" t="s">
        <v>165</v>
      </c>
      <c r="E6" s="8" t="s">
        <v>287</v>
      </c>
      <c r="F6" s="7" t="s">
        <v>13</v>
      </c>
      <c r="G6" s="22" t="s">
        <v>48</v>
      </c>
      <c r="H6" s="21" t="s">
        <v>93</v>
      </c>
      <c r="I6" s="21" t="s">
        <v>93</v>
      </c>
      <c r="J6" s="23"/>
      <c r="K6" s="9" t="str">
        <f>"97,5"</f>
        <v>97,5</v>
      </c>
      <c r="L6" s="9" t="str">
        <f>"145,6260"</f>
        <v>145,6260</v>
      </c>
      <c r="M6" s="7" t="s">
        <v>249</v>
      </c>
    </row>
    <row r="8" spans="1:13" ht="16">
      <c r="A8" s="43" t="s">
        <v>79</v>
      </c>
      <c r="B8" s="43"/>
      <c r="C8" s="44"/>
      <c r="D8" s="44"/>
      <c r="E8" s="44"/>
      <c r="F8" s="44"/>
      <c r="G8" s="44"/>
      <c r="H8" s="44"/>
      <c r="I8" s="44"/>
      <c r="J8" s="44"/>
    </row>
    <row r="9" spans="1:13">
      <c r="A9" s="33" t="s">
        <v>28</v>
      </c>
      <c r="B9" s="24" t="s">
        <v>166</v>
      </c>
      <c r="C9" s="24" t="s">
        <v>260</v>
      </c>
      <c r="D9" s="24" t="s">
        <v>167</v>
      </c>
      <c r="E9" s="25" t="s">
        <v>288</v>
      </c>
      <c r="F9" s="24" t="s">
        <v>13</v>
      </c>
      <c r="G9" s="34" t="s">
        <v>168</v>
      </c>
      <c r="H9" s="34" t="s">
        <v>96</v>
      </c>
      <c r="I9" s="34" t="s">
        <v>169</v>
      </c>
      <c r="J9" s="33"/>
      <c r="K9" s="26" t="str">
        <f>"87,5"</f>
        <v>87,5</v>
      </c>
      <c r="L9" s="26" t="str">
        <f>"109,5675"</f>
        <v>109,5675</v>
      </c>
      <c r="M9" s="24" t="s">
        <v>275</v>
      </c>
    </row>
    <row r="10" spans="1:13">
      <c r="A10" s="39" t="s">
        <v>28</v>
      </c>
      <c r="B10" s="30" t="s">
        <v>166</v>
      </c>
      <c r="C10" s="30" t="s">
        <v>170</v>
      </c>
      <c r="D10" s="30" t="s">
        <v>167</v>
      </c>
      <c r="E10" s="31" t="s">
        <v>287</v>
      </c>
      <c r="F10" s="30" t="s">
        <v>13</v>
      </c>
      <c r="G10" s="40" t="s">
        <v>168</v>
      </c>
      <c r="H10" s="40" t="s">
        <v>96</v>
      </c>
      <c r="I10" s="40" t="s">
        <v>169</v>
      </c>
      <c r="J10" s="39"/>
      <c r="K10" s="32" t="str">
        <f>"87,5"</f>
        <v>87,5</v>
      </c>
      <c r="L10" s="32" t="str">
        <f>"109,5675"</f>
        <v>109,5675</v>
      </c>
      <c r="M10" s="30" t="s">
        <v>275</v>
      </c>
    </row>
    <row r="12" spans="1:13" ht="16">
      <c r="A12" s="43" t="s">
        <v>171</v>
      </c>
      <c r="B12" s="43"/>
      <c r="C12" s="44"/>
      <c r="D12" s="44"/>
      <c r="E12" s="44"/>
      <c r="F12" s="44"/>
      <c r="G12" s="44"/>
      <c r="H12" s="44"/>
      <c r="I12" s="44"/>
      <c r="J12" s="44"/>
    </row>
    <row r="13" spans="1:13">
      <c r="A13" s="33" t="s">
        <v>28</v>
      </c>
      <c r="B13" s="24" t="s">
        <v>172</v>
      </c>
      <c r="C13" s="24" t="s">
        <v>173</v>
      </c>
      <c r="D13" s="24" t="s">
        <v>174</v>
      </c>
      <c r="E13" s="25" t="s">
        <v>287</v>
      </c>
      <c r="F13" s="24" t="s">
        <v>13</v>
      </c>
      <c r="G13" s="34" t="s">
        <v>33</v>
      </c>
      <c r="H13" s="34" t="s">
        <v>34</v>
      </c>
      <c r="I13" s="34" t="s">
        <v>101</v>
      </c>
      <c r="J13" s="33"/>
      <c r="K13" s="26" t="str">
        <f>"107,5"</f>
        <v>107,5</v>
      </c>
      <c r="L13" s="26" t="str">
        <f>"128,0970"</f>
        <v>128,0970</v>
      </c>
      <c r="M13" s="24" t="s">
        <v>275</v>
      </c>
    </row>
    <row r="14" spans="1:13">
      <c r="A14" s="39" t="s">
        <v>28</v>
      </c>
      <c r="B14" s="30" t="s">
        <v>172</v>
      </c>
      <c r="C14" s="30" t="s">
        <v>261</v>
      </c>
      <c r="D14" s="30" t="s">
        <v>174</v>
      </c>
      <c r="E14" s="31" t="s">
        <v>290</v>
      </c>
      <c r="F14" s="30" t="s">
        <v>13</v>
      </c>
      <c r="G14" s="40" t="s">
        <v>33</v>
      </c>
      <c r="H14" s="40" t="s">
        <v>34</v>
      </c>
      <c r="I14" s="40" t="s">
        <v>101</v>
      </c>
      <c r="J14" s="39"/>
      <c r="K14" s="32" t="str">
        <f>"107,5"</f>
        <v>107,5</v>
      </c>
      <c r="L14" s="32" t="str">
        <f>"128,0970"</f>
        <v>128,0970</v>
      </c>
      <c r="M14" s="30" t="s">
        <v>275</v>
      </c>
    </row>
    <row r="16" spans="1:13" ht="16">
      <c r="A16" s="43" t="s">
        <v>41</v>
      </c>
      <c r="B16" s="43"/>
      <c r="C16" s="44"/>
      <c r="D16" s="44"/>
      <c r="E16" s="44"/>
      <c r="F16" s="44"/>
      <c r="G16" s="44"/>
      <c r="H16" s="44"/>
      <c r="I16" s="44"/>
      <c r="J16" s="44"/>
    </row>
    <row r="17" spans="1:13">
      <c r="A17" s="23" t="s">
        <v>28</v>
      </c>
      <c r="B17" s="7" t="s">
        <v>175</v>
      </c>
      <c r="C17" s="7" t="s">
        <v>176</v>
      </c>
      <c r="D17" s="7" t="s">
        <v>177</v>
      </c>
      <c r="E17" s="8" t="s">
        <v>287</v>
      </c>
      <c r="F17" s="7" t="s">
        <v>13</v>
      </c>
      <c r="G17" s="22" t="s">
        <v>93</v>
      </c>
      <c r="H17" s="22" t="s">
        <v>178</v>
      </c>
      <c r="I17" s="22" t="s">
        <v>39</v>
      </c>
      <c r="J17" s="23"/>
      <c r="K17" s="9" t="str">
        <f>"120,0"</f>
        <v>120,0</v>
      </c>
      <c r="L17" s="9" t="str">
        <f>"116,3760"</f>
        <v>116,3760</v>
      </c>
      <c r="M17" s="7" t="s">
        <v>276</v>
      </c>
    </row>
    <row r="19" spans="1:13" ht="16">
      <c r="A19" s="43" t="s">
        <v>9</v>
      </c>
      <c r="B19" s="43"/>
      <c r="C19" s="44"/>
      <c r="D19" s="44"/>
      <c r="E19" s="44"/>
      <c r="F19" s="44"/>
      <c r="G19" s="44"/>
      <c r="H19" s="44"/>
      <c r="I19" s="44"/>
      <c r="J19" s="44"/>
    </row>
    <row r="20" spans="1:13">
      <c r="A20" s="23" t="s">
        <v>28</v>
      </c>
      <c r="B20" s="7" t="s">
        <v>179</v>
      </c>
      <c r="C20" s="7" t="s">
        <v>262</v>
      </c>
      <c r="D20" s="7" t="s">
        <v>180</v>
      </c>
      <c r="E20" s="8" t="s">
        <v>293</v>
      </c>
      <c r="F20" s="7" t="s">
        <v>13</v>
      </c>
      <c r="G20" s="22" t="s">
        <v>34</v>
      </c>
      <c r="H20" s="22" t="s">
        <v>93</v>
      </c>
      <c r="I20" s="22" t="s">
        <v>38</v>
      </c>
      <c r="J20" s="23"/>
      <c r="K20" s="9" t="str">
        <f>"110,0"</f>
        <v>110,0</v>
      </c>
      <c r="L20" s="9" t="str">
        <f>"120,5319"</f>
        <v>120,5319</v>
      </c>
      <c r="M20" s="7" t="s">
        <v>216</v>
      </c>
    </row>
    <row r="22" spans="1:13" ht="16">
      <c r="A22" s="43" t="s">
        <v>29</v>
      </c>
      <c r="B22" s="43"/>
      <c r="C22" s="44"/>
      <c r="D22" s="44"/>
      <c r="E22" s="44"/>
      <c r="F22" s="44"/>
      <c r="G22" s="44"/>
      <c r="H22" s="44"/>
      <c r="I22" s="44"/>
      <c r="J22" s="44"/>
    </row>
    <row r="23" spans="1:13">
      <c r="A23" s="23" t="s">
        <v>28</v>
      </c>
      <c r="B23" s="7" t="s">
        <v>181</v>
      </c>
      <c r="C23" s="7" t="s">
        <v>182</v>
      </c>
      <c r="D23" s="7" t="s">
        <v>183</v>
      </c>
      <c r="E23" s="8" t="s">
        <v>287</v>
      </c>
      <c r="F23" s="7" t="s">
        <v>13</v>
      </c>
      <c r="G23" s="22" t="s">
        <v>109</v>
      </c>
      <c r="H23" s="22" t="s">
        <v>110</v>
      </c>
      <c r="I23" s="22" t="s">
        <v>136</v>
      </c>
      <c r="J23" s="21" t="s">
        <v>49</v>
      </c>
      <c r="K23" s="9" t="str">
        <f>"175,0"</f>
        <v>175,0</v>
      </c>
      <c r="L23" s="9" t="str">
        <f>"150,3950"</f>
        <v>150,3950</v>
      </c>
      <c r="M23" s="7" t="s">
        <v>275</v>
      </c>
    </row>
    <row r="25" spans="1:13" ht="16">
      <c r="A25" s="43" t="s">
        <v>41</v>
      </c>
      <c r="B25" s="43"/>
      <c r="C25" s="44"/>
      <c r="D25" s="44"/>
      <c r="E25" s="44"/>
      <c r="F25" s="44"/>
      <c r="G25" s="44"/>
      <c r="H25" s="44"/>
      <c r="I25" s="44"/>
      <c r="J25" s="44"/>
    </row>
    <row r="26" spans="1:13">
      <c r="A26" s="23" t="s">
        <v>28</v>
      </c>
      <c r="B26" s="7" t="s">
        <v>185</v>
      </c>
      <c r="C26" s="7" t="s">
        <v>263</v>
      </c>
      <c r="D26" s="7" t="s">
        <v>186</v>
      </c>
      <c r="E26" s="8" t="s">
        <v>288</v>
      </c>
      <c r="F26" s="7" t="s">
        <v>187</v>
      </c>
      <c r="G26" s="21" t="s">
        <v>38</v>
      </c>
      <c r="H26" s="22" t="s">
        <v>178</v>
      </c>
      <c r="I26" s="22" t="s">
        <v>39</v>
      </c>
      <c r="J26" s="23"/>
      <c r="K26" s="9" t="str">
        <f>"120,0"</f>
        <v>120,0</v>
      </c>
      <c r="L26" s="9" t="str">
        <f>"89,7360"</f>
        <v>89,7360</v>
      </c>
      <c r="M26" s="7" t="s">
        <v>275</v>
      </c>
    </row>
    <row r="28" spans="1:13" ht="16">
      <c r="A28" s="43" t="s">
        <v>50</v>
      </c>
      <c r="B28" s="43"/>
      <c r="C28" s="44"/>
      <c r="D28" s="44"/>
      <c r="E28" s="44"/>
      <c r="F28" s="44"/>
      <c r="G28" s="44"/>
      <c r="H28" s="44"/>
      <c r="I28" s="44"/>
      <c r="J28" s="44"/>
    </row>
    <row r="29" spans="1:13">
      <c r="A29" s="23" t="s">
        <v>28</v>
      </c>
      <c r="B29" s="7" t="s">
        <v>111</v>
      </c>
      <c r="C29" s="7" t="s">
        <v>112</v>
      </c>
      <c r="D29" s="7" t="s">
        <v>113</v>
      </c>
      <c r="E29" s="8" t="s">
        <v>287</v>
      </c>
      <c r="F29" s="7" t="s">
        <v>13</v>
      </c>
      <c r="G29" s="22" t="s">
        <v>15</v>
      </c>
      <c r="H29" s="22" t="s">
        <v>116</v>
      </c>
      <c r="I29" s="22" t="s">
        <v>117</v>
      </c>
      <c r="J29" s="23"/>
      <c r="K29" s="9" t="str">
        <f>"250,0"</f>
        <v>250,0</v>
      </c>
      <c r="L29" s="9" t="str">
        <f>"168,2250"</f>
        <v>168,2250</v>
      </c>
      <c r="M29" s="7" t="s">
        <v>275</v>
      </c>
    </row>
    <row r="31" spans="1:13" ht="16">
      <c r="A31" s="43" t="s">
        <v>9</v>
      </c>
      <c r="B31" s="43"/>
      <c r="C31" s="44"/>
      <c r="D31" s="44"/>
      <c r="E31" s="44"/>
      <c r="F31" s="44"/>
      <c r="G31" s="44"/>
      <c r="H31" s="44"/>
      <c r="I31" s="44"/>
      <c r="J31" s="44"/>
    </row>
    <row r="32" spans="1:13">
      <c r="A32" s="23" t="s">
        <v>28</v>
      </c>
      <c r="B32" s="7" t="s">
        <v>188</v>
      </c>
      <c r="C32" s="7" t="s">
        <v>252</v>
      </c>
      <c r="D32" s="7" t="s">
        <v>189</v>
      </c>
      <c r="E32" s="8" t="s">
        <v>290</v>
      </c>
      <c r="F32" s="7" t="s">
        <v>13</v>
      </c>
      <c r="G32" s="22" t="s">
        <v>191</v>
      </c>
      <c r="H32" s="22" t="s">
        <v>192</v>
      </c>
      <c r="I32" s="21" t="s">
        <v>193</v>
      </c>
      <c r="J32" s="23"/>
      <c r="K32" s="9" t="str">
        <f>"202,5"</f>
        <v>202,5</v>
      </c>
      <c r="L32" s="9" t="str">
        <f>"136,2960"</f>
        <v>136,2960</v>
      </c>
      <c r="M32" s="7" t="s">
        <v>275</v>
      </c>
    </row>
    <row r="34" spans="1:13" ht="16">
      <c r="A34" s="43" t="s">
        <v>133</v>
      </c>
      <c r="B34" s="43"/>
      <c r="C34" s="44"/>
      <c r="D34" s="44"/>
      <c r="E34" s="44"/>
      <c r="F34" s="44"/>
      <c r="G34" s="44"/>
      <c r="H34" s="44"/>
      <c r="I34" s="44"/>
      <c r="J34" s="44"/>
    </row>
    <row r="35" spans="1:13">
      <c r="A35" s="23" t="s">
        <v>28</v>
      </c>
      <c r="B35" s="7" t="s">
        <v>139</v>
      </c>
      <c r="C35" s="7" t="s">
        <v>140</v>
      </c>
      <c r="D35" s="7" t="s">
        <v>141</v>
      </c>
      <c r="E35" s="8" t="s">
        <v>287</v>
      </c>
      <c r="F35" s="7" t="s">
        <v>13</v>
      </c>
      <c r="G35" s="22" t="s">
        <v>117</v>
      </c>
      <c r="H35" s="22" t="s">
        <v>142</v>
      </c>
      <c r="I35" s="22" t="s">
        <v>143</v>
      </c>
      <c r="J35" s="23"/>
      <c r="K35" s="9" t="str">
        <f>"275,0"</f>
        <v>275,0</v>
      </c>
      <c r="L35" s="9" t="str">
        <f>"167,5575"</f>
        <v>167,5575</v>
      </c>
      <c r="M35" s="7" t="s">
        <v>275</v>
      </c>
    </row>
    <row r="39" spans="1:13" ht="18">
      <c r="B39" s="12" t="s">
        <v>21</v>
      </c>
      <c r="C39" s="12"/>
    </row>
    <row r="40" spans="1:13" ht="16">
      <c r="B40" s="42" t="s">
        <v>281</v>
      </c>
      <c r="C40" s="42"/>
    </row>
    <row r="41" spans="1:13" ht="14">
      <c r="B41" s="14"/>
      <c r="C41" s="15" t="s">
        <v>23</v>
      </c>
    </row>
    <row r="42" spans="1:13" ht="14">
      <c r="B42" s="16" t="s">
        <v>24</v>
      </c>
      <c r="C42" s="16" t="s">
        <v>25</v>
      </c>
      <c r="D42" s="16" t="s">
        <v>274</v>
      </c>
      <c r="E42" s="17" t="s">
        <v>77</v>
      </c>
      <c r="F42" s="16" t="s">
        <v>26</v>
      </c>
    </row>
    <row r="43" spans="1:13">
      <c r="B43" s="5" t="s">
        <v>163</v>
      </c>
      <c r="C43" s="5" t="s">
        <v>23</v>
      </c>
      <c r="D43" s="19" t="s">
        <v>282</v>
      </c>
      <c r="E43" s="20">
        <v>97.5</v>
      </c>
      <c r="F43" s="18">
        <v>145.626001060009</v>
      </c>
    </row>
    <row r="44" spans="1:13">
      <c r="B44" s="5" t="s">
        <v>172</v>
      </c>
      <c r="C44" s="5" t="s">
        <v>23</v>
      </c>
      <c r="D44" s="19" t="s">
        <v>283</v>
      </c>
      <c r="E44" s="20">
        <v>107.5</v>
      </c>
      <c r="F44" s="18">
        <v>128.096996247768</v>
      </c>
    </row>
    <row r="45" spans="1:13">
      <c r="B45" s="5" t="s">
        <v>175</v>
      </c>
      <c r="C45" s="5" t="s">
        <v>23</v>
      </c>
      <c r="D45" s="19" t="s">
        <v>68</v>
      </c>
      <c r="E45" s="20">
        <v>120</v>
      </c>
      <c r="F45" s="18">
        <v>116.37599945068401</v>
      </c>
    </row>
    <row r="47" spans="1:13" ht="16">
      <c r="B47" s="42" t="s">
        <v>22</v>
      </c>
      <c r="C47" s="42"/>
    </row>
    <row r="48" spans="1:13" ht="14">
      <c r="B48" s="14"/>
      <c r="C48" s="15" t="s">
        <v>23</v>
      </c>
    </row>
    <row r="49" spans="2:6" ht="14">
      <c r="B49" s="16" t="s">
        <v>24</v>
      </c>
      <c r="C49" s="16" t="s">
        <v>25</v>
      </c>
      <c r="D49" s="16" t="s">
        <v>274</v>
      </c>
      <c r="E49" s="17" t="s">
        <v>77</v>
      </c>
      <c r="F49" s="16" t="s">
        <v>26</v>
      </c>
    </row>
    <row r="50" spans="2:6">
      <c r="B50" s="5" t="s">
        <v>111</v>
      </c>
      <c r="C50" s="5" t="s">
        <v>23</v>
      </c>
      <c r="D50" s="19" t="s">
        <v>69</v>
      </c>
      <c r="E50" s="20">
        <v>250</v>
      </c>
      <c r="F50" s="18">
        <v>168.225005269051</v>
      </c>
    </row>
    <row r="51" spans="2:6">
      <c r="B51" s="5" t="s">
        <v>139</v>
      </c>
      <c r="C51" s="5" t="s">
        <v>23</v>
      </c>
      <c r="D51" s="19" t="s">
        <v>153</v>
      </c>
      <c r="E51" s="20">
        <v>275</v>
      </c>
      <c r="F51" s="18">
        <v>167.55750477314001</v>
      </c>
    </row>
    <row r="52" spans="2:6">
      <c r="B52" s="5" t="s">
        <v>181</v>
      </c>
      <c r="C52" s="5" t="s">
        <v>23</v>
      </c>
      <c r="D52" s="19" t="s">
        <v>67</v>
      </c>
      <c r="E52" s="20">
        <v>175</v>
      </c>
      <c r="F52" s="18">
        <v>150.39499551057801</v>
      </c>
    </row>
  </sheetData>
  <mergeCells count="21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8:J28"/>
    <mergeCell ref="A31:J31"/>
    <mergeCell ref="A34:J34"/>
    <mergeCell ref="B3:B4"/>
    <mergeCell ref="A8:J8"/>
    <mergeCell ref="A12:J12"/>
    <mergeCell ref="A16:J16"/>
    <mergeCell ref="A19:J19"/>
    <mergeCell ref="A22:J22"/>
    <mergeCell ref="A25:J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36CC1-89B3-4E01-8E47-E15FAF0D4B33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9.332031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26.5" style="5" customWidth="1"/>
    <col min="14" max="16384" width="9.1640625" style="3"/>
  </cols>
  <sheetData>
    <row r="1" spans="1:13" s="2" customFormat="1" ht="29" customHeight="1">
      <c r="A1" s="53" t="s">
        <v>246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284</v>
      </c>
      <c r="B3" s="45" t="s">
        <v>0</v>
      </c>
      <c r="C3" s="63" t="s">
        <v>285</v>
      </c>
      <c r="D3" s="63" t="s">
        <v>5</v>
      </c>
      <c r="E3" s="47" t="s">
        <v>286</v>
      </c>
      <c r="F3" s="65" t="s">
        <v>4</v>
      </c>
      <c r="G3" s="65" t="s">
        <v>8</v>
      </c>
      <c r="H3" s="65"/>
      <c r="I3" s="65"/>
      <c r="J3" s="65"/>
      <c r="K3" s="47" t="s">
        <v>78</v>
      </c>
      <c r="L3" s="47" t="s">
        <v>2</v>
      </c>
      <c r="M3" s="49"/>
    </row>
    <row r="4" spans="1:13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3</v>
      </c>
      <c r="K4" s="48"/>
      <c r="L4" s="48"/>
      <c r="M4" s="50"/>
    </row>
    <row r="5" spans="1:13" ht="16">
      <c r="A5" s="51" t="s">
        <v>133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28</v>
      </c>
      <c r="B6" s="7" t="s">
        <v>156</v>
      </c>
      <c r="C6" s="7" t="s">
        <v>157</v>
      </c>
      <c r="D6" s="7" t="s">
        <v>158</v>
      </c>
      <c r="E6" s="8" t="s">
        <v>287</v>
      </c>
      <c r="F6" s="7" t="s">
        <v>13</v>
      </c>
      <c r="G6" s="22" t="s">
        <v>159</v>
      </c>
      <c r="H6" s="22" t="s">
        <v>160</v>
      </c>
      <c r="I6" s="21" t="s">
        <v>161</v>
      </c>
      <c r="J6" s="23"/>
      <c r="K6" s="9" t="str">
        <f>"290,0"</f>
        <v>290,0</v>
      </c>
      <c r="L6" s="9" t="str">
        <f>"176,4940"</f>
        <v>176,4940</v>
      </c>
      <c r="M6" s="7" t="s">
        <v>275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FFCB-BE5F-4905-8D89-08112A104282}">
  <dimension ref="A1:M53"/>
  <sheetViews>
    <sheetView topLeftCell="A9" workbookViewId="0">
      <selection activeCell="E37" sqref="E37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9.332031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7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53" t="s">
        <v>247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284</v>
      </c>
      <c r="B3" s="45" t="s">
        <v>0</v>
      </c>
      <c r="C3" s="63" t="s">
        <v>285</v>
      </c>
      <c r="D3" s="63" t="s">
        <v>5</v>
      </c>
      <c r="E3" s="47" t="s">
        <v>286</v>
      </c>
      <c r="F3" s="65" t="s">
        <v>4</v>
      </c>
      <c r="G3" s="65" t="s">
        <v>203</v>
      </c>
      <c r="H3" s="65"/>
      <c r="I3" s="65"/>
      <c r="J3" s="65"/>
      <c r="K3" s="47" t="s">
        <v>78</v>
      </c>
      <c r="L3" s="47" t="s">
        <v>2</v>
      </c>
      <c r="M3" s="49"/>
    </row>
    <row r="4" spans="1:13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3</v>
      </c>
      <c r="K4" s="48"/>
      <c r="L4" s="48"/>
      <c r="M4" s="50"/>
    </row>
    <row r="5" spans="1:13" ht="16">
      <c r="A5" s="51" t="s">
        <v>171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28</v>
      </c>
      <c r="B6" s="7" t="s">
        <v>205</v>
      </c>
      <c r="C6" s="7" t="s">
        <v>264</v>
      </c>
      <c r="D6" s="7" t="s">
        <v>206</v>
      </c>
      <c r="E6" s="8" t="s">
        <v>291</v>
      </c>
      <c r="F6" s="7" t="s">
        <v>13</v>
      </c>
      <c r="G6" s="22" t="s">
        <v>207</v>
      </c>
      <c r="H6" s="22" t="s">
        <v>208</v>
      </c>
      <c r="I6" s="22" t="s">
        <v>209</v>
      </c>
      <c r="J6" s="23"/>
      <c r="K6" s="9" t="str">
        <f>"32,5"</f>
        <v>32,5</v>
      </c>
      <c r="L6" s="9" t="str">
        <f>"41,8589"</f>
        <v>41,8589</v>
      </c>
      <c r="M6" s="7" t="s">
        <v>216</v>
      </c>
    </row>
    <row r="8" spans="1:13" ht="16">
      <c r="A8" s="43" t="s">
        <v>41</v>
      </c>
      <c r="B8" s="43"/>
      <c r="C8" s="44"/>
      <c r="D8" s="44"/>
      <c r="E8" s="44"/>
      <c r="F8" s="44"/>
      <c r="G8" s="44"/>
      <c r="H8" s="44"/>
      <c r="I8" s="44"/>
      <c r="J8" s="44"/>
    </row>
    <row r="9" spans="1:13">
      <c r="A9" s="23" t="s">
        <v>28</v>
      </c>
      <c r="B9" s="7" t="s">
        <v>175</v>
      </c>
      <c r="C9" s="7" t="s">
        <v>176</v>
      </c>
      <c r="D9" s="7" t="s">
        <v>177</v>
      </c>
      <c r="E9" s="8" t="s">
        <v>287</v>
      </c>
      <c r="F9" s="7" t="s">
        <v>13</v>
      </c>
      <c r="G9" s="22" t="s">
        <v>73</v>
      </c>
      <c r="H9" s="22" t="s">
        <v>74</v>
      </c>
      <c r="I9" s="21" t="s">
        <v>210</v>
      </c>
      <c r="J9" s="23"/>
      <c r="K9" s="9" t="str">
        <f>"40,0"</f>
        <v>40,0</v>
      </c>
      <c r="L9" s="9" t="str">
        <f>"34,1540"</f>
        <v>34,1540</v>
      </c>
      <c r="M9" s="7" t="s">
        <v>216</v>
      </c>
    </row>
    <row r="11" spans="1:13" ht="16">
      <c r="A11" s="43" t="s">
        <v>29</v>
      </c>
      <c r="B11" s="43"/>
      <c r="C11" s="44"/>
      <c r="D11" s="44"/>
      <c r="E11" s="44"/>
      <c r="F11" s="44"/>
      <c r="G11" s="44"/>
      <c r="H11" s="44"/>
      <c r="I11" s="44"/>
      <c r="J11" s="44"/>
    </row>
    <row r="12" spans="1:13">
      <c r="A12" s="33" t="s">
        <v>28</v>
      </c>
      <c r="B12" s="24" t="s">
        <v>211</v>
      </c>
      <c r="C12" s="24" t="s">
        <v>265</v>
      </c>
      <c r="D12" s="24" t="s">
        <v>212</v>
      </c>
      <c r="E12" s="25" t="s">
        <v>289</v>
      </c>
      <c r="F12" s="24" t="s">
        <v>213</v>
      </c>
      <c r="G12" s="35" t="s">
        <v>74</v>
      </c>
      <c r="H12" s="34" t="s">
        <v>214</v>
      </c>
      <c r="I12" s="34" t="s">
        <v>215</v>
      </c>
      <c r="J12" s="33"/>
      <c r="K12" s="26" t="str">
        <f>"52,5"</f>
        <v>52,5</v>
      </c>
      <c r="L12" s="26" t="str">
        <f>"45,5254"</f>
        <v>45,5254</v>
      </c>
      <c r="M12" s="24" t="s">
        <v>216</v>
      </c>
    </row>
    <row r="13" spans="1:13">
      <c r="A13" s="39" t="s">
        <v>154</v>
      </c>
      <c r="B13" s="30" t="s">
        <v>217</v>
      </c>
      <c r="C13" s="30" t="s">
        <v>266</v>
      </c>
      <c r="D13" s="30" t="s">
        <v>218</v>
      </c>
      <c r="E13" s="31" t="s">
        <v>289</v>
      </c>
      <c r="F13" s="30" t="s">
        <v>213</v>
      </c>
      <c r="G13" s="40" t="s">
        <v>74</v>
      </c>
      <c r="H13" s="40" t="s">
        <v>214</v>
      </c>
      <c r="I13" s="41" t="s">
        <v>215</v>
      </c>
      <c r="J13" s="39"/>
      <c r="K13" s="32" t="str">
        <f>"47,5"</f>
        <v>47,5</v>
      </c>
      <c r="L13" s="32" t="str">
        <f>"39,5604"</f>
        <v>39,5604</v>
      </c>
      <c r="M13" s="30" t="s">
        <v>216</v>
      </c>
    </row>
    <row r="15" spans="1:13" ht="16">
      <c r="A15" s="43" t="s">
        <v>194</v>
      </c>
      <c r="B15" s="43"/>
      <c r="C15" s="44"/>
      <c r="D15" s="44"/>
      <c r="E15" s="44"/>
      <c r="F15" s="44"/>
      <c r="G15" s="44"/>
      <c r="H15" s="44"/>
      <c r="I15" s="44"/>
      <c r="J15" s="44"/>
    </row>
    <row r="16" spans="1:13">
      <c r="A16" s="23" t="s">
        <v>28</v>
      </c>
      <c r="B16" s="7" t="s">
        <v>219</v>
      </c>
      <c r="C16" s="7" t="s">
        <v>220</v>
      </c>
      <c r="D16" s="7" t="s">
        <v>221</v>
      </c>
      <c r="E16" s="8" t="s">
        <v>287</v>
      </c>
      <c r="F16" s="7" t="s">
        <v>13</v>
      </c>
      <c r="G16" s="22" t="s">
        <v>75</v>
      </c>
      <c r="H16" s="22" t="s">
        <v>210</v>
      </c>
      <c r="I16" s="22" t="s">
        <v>214</v>
      </c>
      <c r="J16" s="23"/>
      <c r="K16" s="9" t="str">
        <f>"47,5"</f>
        <v>47,5</v>
      </c>
      <c r="L16" s="9" t="str">
        <f>"36,1223"</f>
        <v>36,1223</v>
      </c>
      <c r="M16" s="7" t="s">
        <v>216</v>
      </c>
    </row>
    <row r="18" spans="1:13" ht="16">
      <c r="A18" s="43" t="s">
        <v>41</v>
      </c>
      <c r="B18" s="43"/>
      <c r="C18" s="44"/>
      <c r="D18" s="44"/>
      <c r="E18" s="44"/>
      <c r="F18" s="44"/>
      <c r="G18" s="44"/>
      <c r="H18" s="44"/>
      <c r="I18" s="44"/>
      <c r="J18" s="44"/>
    </row>
    <row r="19" spans="1:13">
      <c r="A19" s="33" t="s">
        <v>28</v>
      </c>
      <c r="B19" s="24" t="s">
        <v>222</v>
      </c>
      <c r="C19" s="24" t="s">
        <v>267</v>
      </c>
      <c r="D19" s="24" t="s">
        <v>223</v>
      </c>
      <c r="E19" s="25" t="s">
        <v>289</v>
      </c>
      <c r="F19" s="24" t="s">
        <v>213</v>
      </c>
      <c r="G19" s="35" t="s">
        <v>74</v>
      </c>
      <c r="H19" s="34" t="s">
        <v>215</v>
      </c>
      <c r="I19" s="34" t="s">
        <v>224</v>
      </c>
      <c r="J19" s="33"/>
      <c r="K19" s="26" t="str">
        <f>"57,5"</f>
        <v>57,5</v>
      </c>
      <c r="L19" s="26" t="str">
        <f>"42,6104"</f>
        <v>42,6104</v>
      </c>
      <c r="M19" s="24" t="s">
        <v>216</v>
      </c>
    </row>
    <row r="20" spans="1:13">
      <c r="A20" s="36" t="s">
        <v>154</v>
      </c>
      <c r="B20" s="27" t="s">
        <v>225</v>
      </c>
      <c r="C20" s="27" t="s">
        <v>268</v>
      </c>
      <c r="D20" s="27" t="s">
        <v>226</v>
      </c>
      <c r="E20" s="28" t="s">
        <v>289</v>
      </c>
      <c r="F20" s="27" t="s">
        <v>227</v>
      </c>
      <c r="G20" s="37" t="s">
        <v>228</v>
      </c>
      <c r="H20" s="37" t="s">
        <v>215</v>
      </c>
      <c r="I20" s="37" t="s">
        <v>35</v>
      </c>
      <c r="J20" s="36"/>
      <c r="K20" s="29" t="str">
        <f>"55,0"</f>
        <v>55,0</v>
      </c>
      <c r="L20" s="29" t="str">
        <f>"39,1875"</f>
        <v>39,1875</v>
      </c>
      <c r="M20" s="27" t="s">
        <v>216</v>
      </c>
    </row>
    <row r="21" spans="1:13">
      <c r="A21" s="36" t="s">
        <v>155</v>
      </c>
      <c r="B21" s="27" t="s">
        <v>94</v>
      </c>
      <c r="C21" s="27" t="s">
        <v>269</v>
      </c>
      <c r="D21" s="27" t="s">
        <v>87</v>
      </c>
      <c r="E21" s="28" t="s">
        <v>289</v>
      </c>
      <c r="F21" s="27" t="s">
        <v>13</v>
      </c>
      <c r="G21" s="37" t="s">
        <v>75</v>
      </c>
      <c r="H21" s="37" t="s">
        <v>214</v>
      </c>
      <c r="I21" s="37" t="s">
        <v>228</v>
      </c>
      <c r="J21" s="36"/>
      <c r="K21" s="29" t="str">
        <f>"50,0"</f>
        <v>50,0</v>
      </c>
      <c r="L21" s="29" t="str">
        <f>"34,5300"</f>
        <v>34,5300</v>
      </c>
      <c r="M21" s="27" t="s">
        <v>216</v>
      </c>
    </row>
    <row r="22" spans="1:13">
      <c r="A22" s="36" t="s">
        <v>28</v>
      </c>
      <c r="B22" s="27" t="s">
        <v>229</v>
      </c>
      <c r="C22" s="27" t="s">
        <v>270</v>
      </c>
      <c r="D22" s="27" t="s">
        <v>230</v>
      </c>
      <c r="E22" s="28" t="s">
        <v>288</v>
      </c>
      <c r="F22" s="27" t="s">
        <v>187</v>
      </c>
      <c r="G22" s="37" t="s">
        <v>35</v>
      </c>
      <c r="H22" s="37" t="s">
        <v>224</v>
      </c>
      <c r="I22" s="38" t="s">
        <v>88</v>
      </c>
      <c r="J22" s="36"/>
      <c r="K22" s="29" t="str">
        <f>"57,5"</f>
        <v>57,5</v>
      </c>
      <c r="L22" s="29" t="str">
        <f>"40,7042"</f>
        <v>40,7042</v>
      </c>
      <c r="M22" s="27" t="s">
        <v>216</v>
      </c>
    </row>
    <row r="23" spans="1:13">
      <c r="A23" s="36" t="s">
        <v>154</v>
      </c>
      <c r="B23" s="27" t="s">
        <v>231</v>
      </c>
      <c r="C23" s="27" t="s">
        <v>271</v>
      </c>
      <c r="D23" s="27" t="s">
        <v>232</v>
      </c>
      <c r="E23" s="28" t="s">
        <v>288</v>
      </c>
      <c r="F23" s="27" t="s">
        <v>13</v>
      </c>
      <c r="G23" s="37" t="s">
        <v>228</v>
      </c>
      <c r="H23" s="37" t="s">
        <v>215</v>
      </c>
      <c r="I23" s="37" t="s">
        <v>35</v>
      </c>
      <c r="J23" s="36"/>
      <c r="K23" s="29" t="str">
        <f>"55,0"</f>
        <v>55,0</v>
      </c>
      <c r="L23" s="29" t="str">
        <f>"40,1747"</f>
        <v>40,1747</v>
      </c>
      <c r="M23" s="27" t="s">
        <v>216</v>
      </c>
    </row>
    <row r="24" spans="1:13">
      <c r="A24" s="39" t="s">
        <v>28</v>
      </c>
      <c r="B24" s="30" t="s">
        <v>97</v>
      </c>
      <c r="C24" s="30" t="s">
        <v>98</v>
      </c>
      <c r="D24" s="30" t="s">
        <v>99</v>
      </c>
      <c r="E24" s="31" t="s">
        <v>287</v>
      </c>
      <c r="F24" s="30" t="s">
        <v>100</v>
      </c>
      <c r="G24" s="40" t="s">
        <v>215</v>
      </c>
      <c r="H24" s="40" t="s">
        <v>224</v>
      </c>
      <c r="I24" s="40" t="s">
        <v>36</v>
      </c>
      <c r="J24" s="39"/>
      <c r="K24" s="32" t="str">
        <f>"62,5"</f>
        <v>62,5</v>
      </c>
      <c r="L24" s="32" t="str">
        <f>"43,5094"</f>
        <v>43,5094</v>
      </c>
      <c r="M24" s="30" t="s">
        <v>216</v>
      </c>
    </row>
    <row r="26" spans="1:13" ht="16">
      <c r="A26" s="43" t="s">
        <v>50</v>
      </c>
      <c r="B26" s="43"/>
      <c r="C26" s="44"/>
      <c r="D26" s="44"/>
      <c r="E26" s="44"/>
      <c r="F26" s="44"/>
      <c r="G26" s="44"/>
      <c r="H26" s="44"/>
      <c r="I26" s="44"/>
      <c r="J26" s="44"/>
    </row>
    <row r="27" spans="1:13">
      <c r="A27" s="33" t="s">
        <v>28</v>
      </c>
      <c r="B27" s="24" t="s">
        <v>106</v>
      </c>
      <c r="C27" s="24" t="s">
        <v>272</v>
      </c>
      <c r="D27" s="24" t="s">
        <v>108</v>
      </c>
      <c r="E27" s="25" t="s">
        <v>289</v>
      </c>
      <c r="F27" s="24" t="s">
        <v>13</v>
      </c>
      <c r="G27" s="34" t="s">
        <v>88</v>
      </c>
      <c r="H27" s="34" t="s">
        <v>37</v>
      </c>
      <c r="I27" s="35" t="s">
        <v>83</v>
      </c>
      <c r="J27" s="33"/>
      <c r="K27" s="26" t="str">
        <f>"65,0"</f>
        <v>65,0</v>
      </c>
      <c r="L27" s="26" t="str">
        <f>"42,3702"</f>
        <v>42,3702</v>
      </c>
      <c r="M27" s="24" t="s">
        <v>216</v>
      </c>
    </row>
    <row r="28" spans="1:13">
      <c r="A28" s="39" t="s">
        <v>28</v>
      </c>
      <c r="B28" s="30" t="s">
        <v>111</v>
      </c>
      <c r="C28" s="30" t="s">
        <v>112</v>
      </c>
      <c r="D28" s="30" t="s">
        <v>113</v>
      </c>
      <c r="E28" s="31" t="s">
        <v>287</v>
      </c>
      <c r="F28" s="30" t="s">
        <v>13</v>
      </c>
      <c r="G28" s="40" t="s">
        <v>88</v>
      </c>
      <c r="H28" s="40" t="s">
        <v>37</v>
      </c>
      <c r="I28" s="40" t="s">
        <v>199</v>
      </c>
      <c r="J28" s="39"/>
      <c r="K28" s="32" t="str">
        <f>"72,5"</f>
        <v>72,5</v>
      </c>
      <c r="L28" s="32" t="str">
        <f>"46,9546"</f>
        <v>46,9546</v>
      </c>
      <c r="M28" s="30" t="s">
        <v>216</v>
      </c>
    </row>
    <row r="30" spans="1:13" ht="16">
      <c r="A30" s="43" t="s">
        <v>9</v>
      </c>
      <c r="B30" s="43"/>
      <c r="C30" s="44"/>
      <c r="D30" s="44"/>
      <c r="E30" s="44"/>
      <c r="F30" s="44"/>
      <c r="G30" s="44"/>
      <c r="H30" s="44"/>
      <c r="I30" s="44"/>
      <c r="J30" s="44"/>
    </row>
    <row r="31" spans="1:13">
      <c r="A31" s="33" t="s">
        <v>28</v>
      </c>
      <c r="B31" s="24" t="s">
        <v>233</v>
      </c>
      <c r="C31" s="24" t="s">
        <v>234</v>
      </c>
      <c r="D31" s="24" t="s">
        <v>235</v>
      </c>
      <c r="E31" s="25" t="s">
        <v>287</v>
      </c>
      <c r="F31" s="24" t="s">
        <v>13</v>
      </c>
      <c r="G31" s="34" t="s">
        <v>83</v>
      </c>
      <c r="H31" s="34" t="s">
        <v>199</v>
      </c>
      <c r="I31" s="34" t="s">
        <v>168</v>
      </c>
      <c r="J31" s="33"/>
      <c r="K31" s="26" t="str">
        <f>"75,0"</f>
        <v>75,0</v>
      </c>
      <c r="L31" s="26" t="str">
        <f>"47,0438"</f>
        <v>47,0438</v>
      </c>
      <c r="M31" s="24" t="s">
        <v>216</v>
      </c>
    </row>
    <row r="32" spans="1:13">
      <c r="A32" s="36" t="s">
        <v>154</v>
      </c>
      <c r="B32" s="27" t="s">
        <v>130</v>
      </c>
      <c r="C32" s="27" t="s">
        <v>131</v>
      </c>
      <c r="D32" s="27" t="s">
        <v>132</v>
      </c>
      <c r="E32" s="28" t="s">
        <v>287</v>
      </c>
      <c r="F32" s="27" t="s">
        <v>13</v>
      </c>
      <c r="G32" s="37" t="s">
        <v>88</v>
      </c>
      <c r="H32" s="37" t="s">
        <v>198</v>
      </c>
      <c r="I32" s="37" t="s">
        <v>83</v>
      </c>
      <c r="J32" s="36"/>
      <c r="K32" s="29" t="str">
        <f>"70,0"</f>
        <v>70,0</v>
      </c>
      <c r="L32" s="29" t="str">
        <f>"42,8575"</f>
        <v>42,8575</v>
      </c>
      <c r="M32" s="27" t="s">
        <v>216</v>
      </c>
    </row>
    <row r="33" spans="1:13">
      <c r="A33" s="39" t="s">
        <v>155</v>
      </c>
      <c r="B33" s="30" t="s">
        <v>236</v>
      </c>
      <c r="C33" s="30" t="s">
        <v>237</v>
      </c>
      <c r="D33" s="30" t="s">
        <v>238</v>
      </c>
      <c r="E33" s="31" t="s">
        <v>287</v>
      </c>
      <c r="F33" s="30" t="s">
        <v>13</v>
      </c>
      <c r="G33" s="40" t="s">
        <v>36</v>
      </c>
      <c r="H33" s="40" t="s">
        <v>37</v>
      </c>
      <c r="I33" s="40" t="s">
        <v>198</v>
      </c>
      <c r="J33" s="39"/>
      <c r="K33" s="32" t="str">
        <f>"67,5"</f>
        <v>67,5</v>
      </c>
      <c r="L33" s="32" t="str">
        <f>"41,8298"</f>
        <v>41,8298</v>
      </c>
      <c r="M33" s="30" t="s">
        <v>216</v>
      </c>
    </row>
    <row r="35" spans="1:13" ht="16">
      <c r="A35" s="43" t="s">
        <v>133</v>
      </c>
      <c r="B35" s="43"/>
      <c r="C35" s="44"/>
      <c r="D35" s="44"/>
      <c r="E35" s="44"/>
      <c r="F35" s="44"/>
      <c r="G35" s="44"/>
      <c r="H35" s="44"/>
      <c r="I35" s="44"/>
      <c r="J35" s="44"/>
    </row>
    <row r="36" spans="1:13">
      <c r="A36" s="23" t="s">
        <v>28</v>
      </c>
      <c r="B36" s="7" t="s">
        <v>139</v>
      </c>
      <c r="C36" s="7" t="s">
        <v>140</v>
      </c>
      <c r="D36" s="7" t="s">
        <v>239</v>
      </c>
      <c r="E36" s="8" t="s">
        <v>287</v>
      </c>
      <c r="F36" s="7" t="s">
        <v>13</v>
      </c>
      <c r="G36" s="22" t="s">
        <v>37</v>
      </c>
      <c r="H36" s="22" t="s">
        <v>168</v>
      </c>
      <c r="I36" s="21" t="s">
        <v>96</v>
      </c>
      <c r="J36" s="23"/>
      <c r="K36" s="9" t="str">
        <f>"75,0"</f>
        <v>75,0</v>
      </c>
      <c r="L36" s="9" t="str">
        <f>"43,6631"</f>
        <v>43,6631</v>
      </c>
      <c r="M36" s="7" t="s">
        <v>19</v>
      </c>
    </row>
    <row r="38" spans="1:13" ht="16">
      <c r="F38" s="11"/>
      <c r="G38" s="5"/>
      <c r="K38" s="19"/>
      <c r="M38" s="6"/>
    </row>
    <row r="39" spans="1:13">
      <c r="G39" s="5"/>
      <c r="K39" s="19"/>
      <c r="M39" s="6"/>
    </row>
    <row r="40" spans="1:13" ht="18">
      <c r="B40" s="12" t="s">
        <v>21</v>
      </c>
      <c r="C40" s="12"/>
      <c r="G40" s="3"/>
      <c r="K40" s="19"/>
      <c r="M40" s="6"/>
    </row>
    <row r="41" spans="1:13" ht="16">
      <c r="B41" s="13" t="s">
        <v>22</v>
      </c>
      <c r="C41" s="13"/>
      <c r="G41" s="3"/>
      <c r="K41" s="19"/>
      <c r="M41" s="6"/>
    </row>
    <row r="42" spans="1:13" ht="14">
      <c r="B42" s="14"/>
      <c r="C42" s="15" t="s">
        <v>76</v>
      </c>
      <c r="G42" s="3"/>
      <c r="K42" s="19"/>
      <c r="M42" s="6"/>
    </row>
    <row r="43" spans="1:13" ht="14">
      <c r="B43" s="16" t="s">
        <v>24</v>
      </c>
      <c r="C43" s="16" t="s">
        <v>25</v>
      </c>
      <c r="D43" s="16" t="s">
        <v>274</v>
      </c>
      <c r="E43" s="17" t="s">
        <v>77</v>
      </c>
      <c r="F43" s="16" t="s">
        <v>204</v>
      </c>
      <c r="G43" s="3"/>
      <c r="K43" s="19"/>
      <c r="M43" s="6"/>
    </row>
    <row r="44" spans="1:13">
      <c r="B44" s="5" t="s">
        <v>211</v>
      </c>
      <c r="C44" s="5" t="s">
        <v>273</v>
      </c>
      <c r="D44" s="19" t="s">
        <v>67</v>
      </c>
      <c r="E44" s="20">
        <v>52.5</v>
      </c>
      <c r="F44" s="18">
        <v>45.525375455617898</v>
      </c>
      <c r="G44" s="3"/>
      <c r="K44" s="19"/>
      <c r="M44" s="6"/>
    </row>
    <row r="45" spans="1:13">
      <c r="B45" s="5" t="s">
        <v>222</v>
      </c>
      <c r="C45" s="5" t="s">
        <v>273</v>
      </c>
      <c r="D45" s="19" t="s">
        <v>68</v>
      </c>
      <c r="E45" s="20">
        <v>57.5</v>
      </c>
      <c r="F45" s="18">
        <v>42.610375285148599</v>
      </c>
      <c r="G45" s="3"/>
      <c r="K45" s="19"/>
      <c r="M45" s="6"/>
    </row>
    <row r="46" spans="1:13">
      <c r="B46" s="5" t="s">
        <v>106</v>
      </c>
      <c r="C46" s="5" t="s">
        <v>273</v>
      </c>
      <c r="D46" s="19" t="s">
        <v>69</v>
      </c>
      <c r="E46" s="20">
        <v>65</v>
      </c>
      <c r="F46" s="18">
        <v>42.370249032974201</v>
      </c>
      <c r="G46" s="3"/>
      <c r="K46" s="19"/>
      <c r="M46" s="6"/>
    </row>
    <row r="47" spans="1:13">
      <c r="G47" s="3"/>
      <c r="K47" s="19"/>
      <c r="M47" s="6"/>
    </row>
    <row r="48" spans="1:13" ht="14">
      <c r="B48" s="14"/>
      <c r="C48" s="15" t="s">
        <v>23</v>
      </c>
      <c r="G48" s="3"/>
      <c r="K48" s="19"/>
      <c r="M48" s="6"/>
    </row>
    <row r="49" spans="2:13" ht="14">
      <c r="B49" s="16" t="s">
        <v>24</v>
      </c>
      <c r="C49" s="16" t="s">
        <v>25</v>
      </c>
      <c r="D49" s="16" t="s">
        <v>274</v>
      </c>
      <c r="E49" s="17" t="s">
        <v>77</v>
      </c>
      <c r="F49" s="16" t="s">
        <v>204</v>
      </c>
      <c r="G49" s="3"/>
      <c r="K49" s="19"/>
      <c r="M49" s="6"/>
    </row>
    <row r="50" spans="2:13">
      <c r="B50" s="5" t="s">
        <v>233</v>
      </c>
      <c r="C50" s="5" t="s">
        <v>23</v>
      </c>
      <c r="D50" s="19" t="s">
        <v>27</v>
      </c>
      <c r="E50" s="20">
        <v>75</v>
      </c>
      <c r="F50" s="18">
        <v>47.043751180172002</v>
      </c>
      <c r="G50" s="3"/>
      <c r="K50" s="19"/>
      <c r="M50" s="6"/>
    </row>
    <row r="51" spans="2:13">
      <c r="B51" s="5" t="s">
        <v>111</v>
      </c>
      <c r="C51" s="5" t="s">
        <v>23</v>
      </c>
      <c r="D51" s="19" t="s">
        <v>69</v>
      </c>
      <c r="E51" s="20">
        <v>72.5</v>
      </c>
      <c r="F51" s="18">
        <v>46.954625248908997</v>
      </c>
      <c r="G51" s="3"/>
      <c r="K51" s="19"/>
      <c r="M51" s="6"/>
    </row>
    <row r="52" spans="2:13">
      <c r="B52" s="5" t="s">
        <v>139</v>
      </c>
      <c r="C52" s="5" t="s">
        <v>23</v>
      </c>
      <c r="D52" s="19" t="s">
        <v>153</v>
      </c>
      <c r="E52" s="20">
        <v>75</v>
      </c>
      <c r="F52" s="18">
        <v>43.663126230239897</v>
      </c>
      <c r="G52" s="3"/>
      <c r="K52" s="19"/>
      <c r="M52" s="6"/>
    </row>
    <row r="53" spans="2:13">
      <c r="E53" s="5"/>
      <c r="F53" s="10"/>
      <c r="G53" s="5"/>
      <c r="K53" s="19"/>
      <c r="M53" s="6"/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5:J35"/>
    <mergeCell ref="B3:B4"/>
    <mergeCell ref="A8:J8"/>
    <mergeCell ref="A11:J11"/>
    <mergeCell ref="A15:J15"/>
    <mergeCell ref="A18:J18"/>
    <mergeCell ref="A26:J26"/>
    <mergeCell ref="A30:J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EB92E-54D2-451B-B09E-EDF1F211386B}">
  <dimension ref="A1:M6"/>
  <sheetViews>
    <sheetView tabSelected="1"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5.332031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9.332031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7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53" t="s">
        <v>248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284</v>
      </c>
      <c r="B3" s="45" t="s">
        <v>0</v>
      </c>
      <c r="C3" s="63" t="s">
        <v>285</v>
      </c>
      <c r="D3" s="63" t="s">
        <v>5</v>
      </c>
      <c r="E3" s="47" t="s">
        <v>286</v>
      </c>
      <c r="F3" s="65" t="s">
        <v>4</v>
      </c>
      <c r="G3" s="65" t="s">
        <v>203</v>
      </c>
      <c r="H3" s="65"/>
      <c r="I3" s="65"/>
      <c r="J3" s="65"/>
      <c r="K3" s="47" t="s">
        <v>78</v>
      </c>
      <c r="L3" s="47" t="s">
        <v>2</v>
      </c>
      <c r="M3" s="49"/>
    </row>
    <row r="4" spans="1:13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3</v>
      </c>
      <c r="K4" s="48"/>
      <c r="L4" s="48"/>
      <c r="M4" s="50"/>
    </row>
    <row r="5" spans="1:13" ht="16">
      <c r="A5" s="51" t="s">
        <v>9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28</v>
      </c>
      <c r="B6" s="7" t="s">
        <v>10</v>
      </c>
      <c r="C6" s="7" t="s">
        <v>11</v>
      </c>
      <c r="D6" s="7" t="s">
        <v>12</v>
      </c>
      <c r="E6" s="8" t="s">
        <v>287</v>
      </c>
      <c r="F6" s="7" t="s">
        <v>13</v>
      </c>
      <c r="G6" s="22" t="s">
        <v>37</v>
      </c>
      <c r="H6" s="22" t="s">
        <v>83</v>
      </c>
      <c r="I6" s="22" t="s">
        <v>168</v>
      </c>
      <c r="J6" s="23"/>
      <c r="K6" s="9" t="str">
        <f>"75,0"</f>
        <v>75,0</v>
      </c>
      <c r="L6" s="9" t="str">
        <f>"45,9750"</f>
        <v>45,9750</v>
      </c>
      <c r="M6" s="7" t="s">
        <v>275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IPL ПЛ без экипировки ДК</vt:lpstr>
      <vt:lpstr>IPL ПЛ без экипировки</vt:lpstr>
      <vt:lpstr>IPL Двоеборье без экип ДК</vt:lpstr>
      <vt:lpstr>IPL Жим без экипировки ДК</vt:lpstr>
      <vt:lpstr>IPL Жим без экипировки</vt:lpstr>
      <vt:lpstr>IPL Тяга без экипировки ДК</vt:lpstr>
      <vt:lpstr>IPL Тяга без экипировки</vt:lpstr>
      <vt:lpstr>СПР Подъем на бицепс ДК</vt:lpstr>
      <vt:lpstr>СПР Подъем на бицепс</vt:lpstr>
      <vt:lpstr>Судейская коллегия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2022-11-09T16:31:20Z</dcterms:modified>
</cp:coreProperties>
</file>