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2/Октябрь/"/>
    </mc:Choice>
  </mc:AlternateContent>
  <xr:revisionPtr revIDLastSave="0" documentId="13_ncr:1_{1411E590-FD4F-5A43-B7EA-DA3327D03A83}" xr6:coauthVersionLast="45" xr6:coauthVersionMax="45" xr10:uidLastSave="{00000000-0000-0000-0000-000000000000}"/>
  <bookViews>
    <workbookView xWindow="480" yWindow="460" windowWidth="27440" windowHeight="15600" firstSheet="8" activeTab="13" xr2:uid="{00000000-000D-0000-FFFF-FFFF00000000}"/>
  </bookViews>
  <sheets>
    <sheet name="IPL ПЛ без экипировки ДК" sheetId="6" r:id="rId1"/>
    <sheet name="IPL ПЛ без экипировки" sheetId="5" r:id="rId2"/>
    <sheet name="IPL Двоеборье без экип ДК" sheetId="14" r:id="rId3"/>
    <sheet name="IPL Двоеборье без экип" sheetId="13" r:id="rId4"/>
    <sheet name="IPL Жим без экипировки ДК" sheetId="10" r:id="rId5"/>
    <sheet name="IPL Жим без экипировки" sheetId="9" r:id="rId6"/>
    <sheet name="СПР Жим софт многопетельная" sheetId="17" r:id="rId7"/>
    <sheet name="WRPF Военный жим" sheetId="31" r:id="rId8"/>
    <sheet name="IPL Тяга без экипировки ДК" sheetId="12" r:id="rId9"/>
    <sheet name="IPL Тяга без экипировки" sheetId="11" r:id="rId10"/>
    <sheet name="СПР Подъем на бицепс ДК" sheetId="26" r:id="rId11"/>
    <sheet name="СПР Подъем на бицепс" sheetId="25" r:id="rId12"/>
    <sheet name="WRPF Подъем на бицепс ДК" sheetId="30" r:id="rId13"/>
    <sheet name="WRPF Подъем на бицепс" sheetId="29" r:id="rId14"/>
  </sheets>
  <definedNames>
    <definedName name="_FilterDatabase" localSheetId="1" hidden="1">'IPL ПЛ без экипировки'!$A$1:$S$3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9" i="25" l="1"/>
  <c r="K9" i="25"/>
  <c r="L6" i="25"/>
  <c r="K6" i="25"/>
  <c r="L9" i="26"/>
  <c r="K9" i="26"/>
  <c r="L6" i="31" l="1"/>
  <c r="K6" i="31"/>
  <c r="L12" i="30"/>
  <c r="K12" i="30"/>
  <c r="L9" i="30"/>
  <c r="K9" i="30"/>
  <c r="L6" i="30"/>
  <c r="K6" i="30"/>
  <c r="L15" i="29"/>
  <c r="K15" i="29"/>
  <c r="L12" i="29"/>
  <c r="K12" i="29"/>
  <c r="L9" i="29"/>
  <c r="K9" i="29"/>
  <c r="L6" i="29"/>
  <c r="K6" i="29"/>
  <c r="L6" i="26"/>
  <c r="K6" i="26"/>
  <c r="L6" i="17"/>
  <c r="K6" i="17"/>
  <c r="P9" i="14"/>
  <c r="O9" i="14"/>
  <c r="P6" i="14"/>
  <c r="O6" i="14"/>
  <c r="P7" i="13"/>
  <c r="O7" i="13"/>
  <c r="P6" i="13"/>
  <c r="O6" i="13"/>
  <c r="L25" i="12"/>
  <c r="K25" i="12"/>
  <c r="L24" i="12"/>
  <c r="K24" i="12"/>
  <c r="L21" i="12"/>
  <c r="K21" i="12"/>
  <c r="L20" i="12"/>
  <c r="K20" i="12"/>
  <c r="L19" i="12"/>
  <c r="K19" i="12"/>
  <c r="L18" i="12"/>
  <c r="K18" i="12"/>
  <c r="L15" i="12"/>
  <c r="K15" i="12"/>
  <c r="L12" i="12"/>
  <c r="K12" i="12"/>
  <c r="L9" i="12"/>
  <c r="K9" i="12"/>
  <c r="L6" i="12"/>
  <c r="K6" i="12"/>
  <c r="L25" i="11"/>
  <c r="K25" i="11"/>
  <c r="L22" i="11"/>
  <c r="K22" i="11"/>
  <c r="L19" i="11"/>
  <c r="K19" i="11"/>
  <c r="L18" i="11"/>
  <c r="K18" i="11"/>
  <c r="L17" i="11"/>
  <c r="K17" i="11"/>
  <c r="L16" i="11"/>
  <c r="K16" i="11"/>
  <c r="L13" i="11"/>
  <c r="K13" i="11"/>
  <c r="L10" i="11"/>
  <c r="K10" i="11"/>
  <c r="L9" i="11"/>
  <c r="K9" i="11"/>
  <c r="L6" i="11"/>
  <c r="K6" i="11"/>
  <c r="L41" i="10"/>
  <c r="K41" i="10"/>
  <c r="L38" i="10"/>
  <c r="K38" i="10"/>
  <c r="L35" i="10"/>
  <c r="K35" i="10"/>
  <c r="L32" i="10"/>
  <c r="K32" i="10"/>
  <c r="L31" i="10"/>
  <c r="K31" i="10"/>
  <c r="L30" i="10"/>
  <c r="K30" i="10"/>
  <c r="L27" i="10"/>
  <c r="K27" i="10"/>
  <c r="L26" i="10"/>
  <c r="K26" i="10"/>
  <c r="L25" i="10"/>
  <c r="K25" i="10"/>
  <c r="L22" i="10"/>
  <c r="K22" i="10"/>
  <c r="L19" i="10"/>
  <c r="L16" i="10"/>
  <c r="K16" i="10"/>
  <c r="L13" i="10"/>
  <c r="K13" i="10"/>
  <c r="L10" i="10"/>
  <c r="L9" i="10"/>
  <c r="K9" i="10"/>
  <c r="L6" i="10"/>
  <c r="K6" i="10"/>
  <c r="L57" i="9"/>
  <c r="K57" i="9"/>
  <c r="L56" i="9"/>
  <c r="K56" i="9"/>
  <c r="L55" i="9"/>
  <c r="K55" i="9"/>
  <c r="L54" i="9"/>
  <c r="K54" i="9"/>
  <c r="L53" i="9"/>
  <c r="K53" i="9"/>
  <c r="L50" i="9"/>
  <c r="K50" i="9"/>
  <c r="L47" i="9"/>
  <c r="K47" i="9"/>
  <c r="L46" i="9"/>
  <c r="K46" i="9"/>
  <c r="L45" i="9"/>
  <c r="K45" i="9"/>
  <c r="L44" i="9"/>
  <c r="K44" i="9"/>
  <c r="L43" i="9"/>
  <c r="K43" i="9"/>
  <c r="L42" i="9"/>
  <c r="K42" i="9"/>
  <c r="L41" i="9"/>
  <c r="K41" i="9"/>
  <c r="L38" i="9"/>
  <c r="K38" i="9"/>
  <c r="L37" i="9"/>
  <c r="K37" i="9"/>
  <c r="L36" i="9"/>
  <c r="K36" i="9"/>
  <c r="L35" i="9"/>
  <c r="K35" i="9"/>
  <c r="L34" i="9"/>
  <c r="K34" i="9"/>
  <c r="L33" i="9"/>
  <c r="K33" i="9"/>
  <c r="L32" i="9"/>
  <c r="K32" i="9"/>
  <c r="L31" i="9"/>
  <c r="K31" i="9"/>
  <c r="L30" i="9"/>
  <c r="K30" i="9"/>
  <c r="L27" i="9"/>
  <c r="K27" i="9"/>
  <c r="L26" i="9"/>
  <c r="K26" i="9"/>
  <c r="L25" i="9"/>
  <c r="K25" i="9"/>
  <c r="L24" i="9"/>
  <c r="K24" i="9"/>
  <c r="L23" i="9"/>
  <c r="K23" i="9"/>
  <c r="L20" i="9"/>
  <c r="K20" i="9"/>
  <c r="L17" i="9"/>
  <c r="K17" i="9"/>
  <c r="L16" i="9"/>
  <c r="K16" i="9"/>
  <c r="L13" i="9"/>
  <c r="K13" i="9"/>
  <c r="L10" i="9"/>
  <c r="K10" i="9"/>
  <c r="L9" i="9"/>
  <c r="K9" i="9"/>
  <c r="L6" i="9"/>
  <c r="K6" i="9"/>
  <c r="T19" i="6"/>
  <c r="S19" i="6"/>
  <c r="T18" i="6"/>
  <c r="S18" i="6"/>
  <c r="T15" i="6"/>
  <c r="S15" i="6"/>
  <c r="T12" i="6"/>
  <c r="S12" i="6"/>
  <c r="T9" i="6"/>
  <c r="S9" i="6"/>
  <c r="T6" i="6"/>
  <c r="S6" i="6"/>
  <c r="T33" i="5"/>
  <c r="S33" i="5"/>
  <c r="T30" i="5"/>
  <c r="S30" i="5"/>
  <c r="T29" i="5"/>
  <c r="S29" i="5"/>
  <c r="T26" i="5"/>
  <c r="S26" i="5"/>
  <c r="T25" i="5"/>
  <c r="S25" i="5"/>
  <c r="T22" i="5"/>
  <c r="S22" i="5"/>
  <c r="T21" i="5"/>
  <c r="S21" i="5"/>
  <c r="T20" i="5"/>
  <c r="S20" i="5"/>
  <c r="T19" i="5"/>
  <c r="S19" i="5"/>
  <c r="T18" i="5"/>
  <c r="S18" i="5"/>
  <c r="T15" i="5"/>
  <c r="S15" i="5"/>
  <c r="T12" i="5"/>
  <c r="S12" i="5"/>
  <c r="T9" i="5"/>
  <c r="S9" i="5"/>
  <c r="T6" i="5"/>
  <c r="S6" i="5"/>
</calcChain>
</file>

<file path=xl/sharedStrings.xml><?xml version="1.0" encoding="utf-8"?>
<sst xmlns="http://schemas.openxmlformats.org/spreadsheetml/2006/main" count="1462" uniqueCount="449">
  <si>
    <t>ФИО</t>
  </si>
  <si>
    <t>Сумма</t>
  </si>
  <si>
    <t>Тренер</t>
  </si>
  <si>
    <t>Очки</t>
  </si>
  <si>
    <t>Рек</t>
  </si>
  <si>
    <t>Город/Область</t>
  </si>
  <si>
    <t>Собственный 
вес</t>
  </si>
  <si>
    <t>Приседание</t>
  </si>
  <si>
    <t>Жим лёжа</t>
  </si>
  <si>
    <t>Становая тяга</t>
  </si>
  <si>
    <t>ВЕСОВАЯ КАТЕГОРИЯ   75</t>
  </si>
  <si>
    <t>Тюлькина Анастасия</t>
  </si>
  <si>
    <t>Открытая (21.07.1988)/34</t>
  </si>
  <si>
    <t>72,20</t>
  </si>
  <si>
    <t>140,0</t>
  </si>
  <si>
    <t>145,0</t>
  </si>
  <si>
    <t>150,0</t>
  </si>
  <si>
    <t>75,0</t>
  </si>
  <si>
    <t>80,0</t>
  </si>
  <si>
    <t>85,0</t>
  </si>
  <si>
    <t>172,5</t>
  </si>
  <si>
    <t>182,5</t>
  </si>
  <si>
    <t>192,5</t>
  </si>
  <si>
    <t>ВЕСОВАЯ КАТЕГОРИЯ   67.5</t>
  </si>
  <si>
    <t>Карпов Алексей</t>
  </si>
  <si>
    <t>Открытая (05.02.2005)/17</t>
  </si>
  <si>
    <t>61,30</t>
  </si>
  <si>
    <t>122,5</t>
  </si>
  <si>
    <t>132,5</t>
  </si>
  <si>
    <t>90,0</t>
  </si>
  <si>
    <t>130,0</t>
  </si>
  <si>
    <t>147,5</t>
  </si>
  <si>
    <t>Семенов Даниил</t>
  </si>
  <si>
    <t>Юноши 15-19 (12.08.2003)/19</t>
  </si>
  <si>
    <t>73,00</t>
  </si>
  <si>
    <t>190,0</t>
  </si>
  <si>
    <t>197,5</t>
  </si>
  <si>
    <t>205,0</t>
  </si>
  <si>
    <t>115,0</t>
  </si>
  <si>
    <t>127,5</t>
  </si>
  <si>
    <t>200,0</t>
  </si>
  <si>
    <t>210,0</t>
  </si>
  <si>
    <t xml:space="preserve">Никишин С. </t>
  </si>
  <si>
    <t>ВЕСОВАЯ КАТЕГОРИЯ   82.5</t>
  </si>
  <si>
    <t>Шкляев Роман</t>
  </si>
  <si>
    <t>Открытая (05.12.1994)/27</t>
  </si>
  <si>
    <t>82,40</t>
  </si>
  <si>
    <t>207,5</t>
  </si>
  <si>
    <t>137,5</t>
  </si>
  <si>
    <t>142,5</t>
  </si>
  <si>
    <t>ВЕСОВАЯ КАТЕГОРИЯ   90</t>
  </si>
  <si>
    <t>Шевнин Никита</t>
  </si>
  <si>
    <t>89,60</t>
  </si>
  <si>
    <t>180,0</t>
  </si>
  <si>
    <t>125,0</t>
  </si>
  <si>
    <t>135,0</t>
  </si>
  <si>
    <t>250,0</t>
  </si>
  <si>
    <t>260,0</t>
  </si>
  <si>
    <t>272,5</t>
  </si>
  <si>
    <t>Мацько Игорь</t>
  </si>
  <si>
    <t>Открытая (24.05.1993)/29</t>
  </si>
  <si>
    <t>87,80</t>
  </si>
  <si>
    <t xml:space="preserve">Тюмень/Тюменская область </t>
  </si>
  <si>
    <t>255,0</t>
  </si>
  <si>
    <t>265,0</t>
  </si>
  <si>
    <t>202,5</t>
  </si>
  <si>
    <t>212,5</t>
  </si>
  <si>
    <t>335,0</t>
  </si>
  <si>
    <t>350,0</t>
  </si>
  <si>
    <t xml:space="preserve">Никулин А. </t>
  </si>
  <si>
    <t>Аджикильдеев Виталий</t>
  </si>
  <si>
    <t>Открытая (28.07.1988)/34</t>
  </si>
  <si>
    <t>89,10</t>
  </si>
  <si>
    <t xml:space="preserve">Поселок Яйва/Пермский край </t>
  </si>
  <si>
    <t>240,0</t>
  </si>
  <si>
    <t>195,0</t>
  </si>
  <si>
    <t>267,5</t>
  </si>
  <si>
    <t>282,5</t>
  </si>
  <si>
    <t>Жеребенков Александр</t>
  </si>
  <si>
    <t>Открытая (06.04.1997)/25</t>
  </si>
  <si>
    <t>90,00</t>
  </si>
  <si>
    <t>225,0</t>
  </si>
  <si>
    <t>232,5</t>
  </si>
  <si>
    <t>237,5</t>
  </si>
  <si>
    <t>155,0</t>
  </si>
  <si>
    <t>160,0</t>
  </si>
  <si>
    <t>247,5</t>
  </si>
  <si>
    <t xml:space="preserve">Дыга В. </t>
  </si>
  <si>
    <t>Гамкрелидзе Илларион</t>
  </si>
  <si>
    <t>Открытая (03.03.1994)/28</t>
  </si>
  <si>
    <t>87,50</t>
  </si>
  <si>
    <t>220,0</t>
  </si>
  <si>
    <t>230,0</t>
  </si>
  <si>
    <t>235,0</t>
  </si>
  <si>
    <t>162,5</t>
  </si>
  <si>
    <t xml:space="preserve">Марфин Н. </t>
  </si>
  <si>
    <t>ВЕСОВАЯ КАТЕГОРИЯ   100</t>
  </si>
  <si>
    <t>Никишин Самир</t>
  </si>
  <si>
    <t>Открытая (14.04.1997)/25</t>
  </si>
  <si>
    <t>98,80</t>
  </si>
  <si>
    <t>170,0</t>
  </si>
  <si>
    <t>175,0</t>
  </si>
  <si>
    <t>290,0</t>
  </si>
  <si>
    <t>Борняков Дмитрий</t>
  </si>
  <si>
    <t>99,60</t>
  </si>
  <si>
    <t>ВЕСОВАЯ КАТЕГОРИЯ   125</t>
  </si>
  <si>
    <t>Стрежнев Сергей</t>
  </si>
  <si>
    <t>Открытая (19.09.1996)/26</t>
  </si>
  <si>
    <t>124,70</t>
  </si>
  <si>
    <t>270,0</t>
  </si>
  <si>
    <t>285,0</t>
  </si>
  <si>
    <t>300,0</t>
  </si>
  <si>
    <t>185,0</t>
  </si>
  <si>
    <t>275,0</t>
  </si>
  <si>
    <t>Вотинцев Олег</t>
  </si>
  <si>
    <t>117,10</t>
  </si>
  <si>
    <t>287,5</t>
  </si>
  <si>
    <t>ВЕСОВАЯ КАТЕГОРИЯ   140</t>
  </si>
  <si>
    <t>Обухов Филипп</t>
  </si>
  <si>
    <t>Открытая (09.11.1993)/28</t>
  </si>
  <si>
    <t>138,00</t>
  </si>
  <si>
    <t xml:space="preserve">Абсолютный зачёт </t>
  </si>
  <si>
    <t xml:space="preserve">Женщины </t>
  </si>
  <si>
    <t xml:space="preserve">Открытая </t>
  </si>
  <si>
    <t xml:space="preserve">ФИО </t>
  </si>
  <si>
    <t xml:space="preserve">Возрастная группа </t>
  </si>
  <si>
    <t xml:space="preserve">Сумма </t>
  </si>
  <si>
    <t xml:space="preserve">Wilks </t>
  </si>
  <si>
    <t xml:space="preserve">Мужчины </t>
  </si>
  <si>
    <t>90</t>
  </si>
  <si>
    <t>125</t>
  </si>
  <si>
    <t xml:space="preserve">Мастера </t>
  </si>
  <si>
    <t>100</t>
  </si>
  <si>
    <t>1</t>
  </si>
  <si>
    <t>2</t>
  </si>
  <si>
    <t>3</t>
  </si>
  <si>
    <t>4</t>
  </si>
  <si>
    <t>Место</t>
  </si>
  <si>
    <t>ВЕСОВАЯ КАТЕГОРИЯ   60</t>
  </si>
  <si>
    <t>Копотева Надежда</t>
  </si>
  <si>
    <t>Открытая (12.11.1994)/27</t>
  </si>
  <si>
    <t>59,00</t>
  </si>
  <si>
    <t>100,0</t>
  </si>
  <si>
    <t>105,0</t>
  </si>
  <si>
    <t>110,0</t>
  </si>
  <si>
    <t>60,0</t>
  </si>
  <si>
    <t>65,0</t>
  </si>
  <si>
    <t>Полещук Тимур</t>
  </si>
  <si>
    <t>66,40</t>
  </si>
  <si>
    <t>107,5</t>
  </si>
  <si>
    <t>177,5</t>
  </si>
  <si>
    <t>Шарафиев Наиль</t>
  </si>
  <si>
    <t>Открытая (27.08.1984)/38</t>
  </si>
  <si>
    <t>74,90</t>
  </si>
  <si>
    <t>187,5</t>
  </si>
  <si>
    <t>112,5</t>
  </si>
  <si>
    <t>117,5</t>
  </si>
  <si>
    <t>217,5</t>
  </si>
  <si>
    <t>Шутов Алексей</t>
  </si>
  <si>
    <t>Открытая (04.02.1985)/37</t>
  </si>
  <si>
    <t>79,90</t>
  </si>
  <si>
    <t>120,0</t>
  </si>
  <si>
    <t>87,5</t>
  </si>
  <si>
    <t>Вострокнутов Артем</t>
  </si>
  <si>
    <t>Открытая (10.09.1985)/37</t>
  </si>
  <si>
    <t>88,00</t>
  </si>
  <si>
    <t>Вебер Дмитрий</t>
  </si>
  <si>
    <t>Открытая (13.10.1986)/36</t>
  </si>
  <si>
    <t>87,40</t>
  </si>
  <si>
    <t>60</t>
  </si>
  <si>
    <t>Беляева Августа</t>
  </si>
  <si>
    <t>59,20</t>
  </si>
  <si>
    <t>22,5</t>
  </si>
  <si>
    <t>25,0</t>
  </si>
  <si>
    <t>30,0</t>
  </si>
  <si>
    <t xml:space="preserve">Фазуллин Р. </t>
  </si>
  <si>
    <t>Стулова Мария</t>
  </si>
  <si>
    <t>Открытая (20.10.1994)/27</t>
  </si>
  <si>
    <t>74,80</t>
  </si>
  <si>
    <t xml:space="preserve">Чайковский/Пермский край </t>
  </si>
  <si>
    <t>50,0</t>
  </si>
  <si>
    <t>55,0</t>
  </si>
  <si>
    <t>Закирова Назима</t>
  </si>
  <si>
    <t>Мастера 80+ (14.05.1941)/81</t>
  </si>
  <si>
    <t>74,30</t>
  </si>
  <si>
    <t>20,0</t>
  </si>
  <si>
    <t>Данилов Егор</t>
  </si>
  <si>
    <t>Юноши 15-19 (04.08.2006)/16</t>
  </si>
  <si>
    <t>66,00</t>
  </si>
  <si>
    <t>70,0</t>
  </si>
  <si>
    <t>Жаров Данил</t>
  </si>
  <si>
    <t>Юноши 15-19 (23.06.2008)/14</t>
  </si>
  <si>
    <t>71,70</t>
  </si>
  <si>
    <t>72,5</t>
  </si>
  <si>
    <t>Хадиков Таймураз</t>
  </si>
  <si>
    <t>Открытая (23.05.1992)/30</t>
  </si>
  <si>
    <t>73,40</t>
  </si>
  <si>
    <t>Лусников Иван</t>
  </si>
  <si>
    <t>Открытая (25.12.1985)/36</t>
  </si>
  <si>
    <t>82,50</t>
  </si>
  <si>
    <t>Хайрутдинов Айрат</t>
  </si>
  <si>
    <t>165,0</t>
  </si>
  <si>
    <t xml:space="preserve">Сагдиев Р. </t>
  </si>
  <si>
    <t>Баженов Валерий</t>
  </si>
  <si>
    <t>87,60</t>
  </si>
  <si>
    <t>Максютов Флорит</t>
  </si>
  <si>
    <t>89,70</t>
  </si>
  <si>
    <t>Холмогоров Алексей</t>
  </si>
  <si>
    <t>Открытая (28.08.1976)/46</t>
  </si>
  <si>
    <t>98,70</t>
  </si>
  <si>
    <t>Степанов Илья</t>
  </si>
  <si>
    <t>Открытая (27.08.1987)/35</t>
  </si>
  <si>
    <t>97,60</t>
  </si>
  <si>
    <t xml:space="preserve">Пермь/Пермский край </t>
  </si>
  <si>
    <t>Никитин Дмитрий</t>
  </si>
  <si>
    <t>Открытая (17.10.1985)/36</t>
  </si>
  <si>
    <t>99,70</t>
  </si>
  <si>
    <t>152,5</t>
  </si>
  <si>
    <t>Казанцев Александр</t>
  </si>
  <si>
    <t>99,30</t>
  </si>
  <si>
    <t>Фадеев Даниил</t>
  </si>
  <si>
    <t>98,90</t>
  </si>
  <si>
    <t>Лунёв Денис</t>
  </si>
  <si>
    <t>Сантьяго Игорь</t>
  </si>
  <si>
    <t>93,90</t>
  </si>
  <si>
    <t>Минин Сергей</t>
  </si>
  <si>
    <t>94,60</t>
  </si>
  <si>
    <t>ВЕСОВАЯ КАТЕГОРИЯ   110</t>
  </si>
  <si>
    <t>Сагдиев Рустем</t>
  </si>
  <si>
    <t>Открытая (21.10.1971)/50</t>
  </si>
  <si>
    <t>109,40</t>
  </si>
  <si>
    <t>Лихачев Михаил</t>
  </si>
  <si>
    <t>Открытая (29.05.1976)/46</t>
  </si>
  <si>
    <t>105,60</t>
  </si>
  <si>
    <t>Геворков Арам</t>
  </si>
  <si>
    <t>Открытая (19.05.1990)/32</t>
  </si>
  <si>
    <t>106,90</t>
  </si>
  <si>
    <t>Шайхаттаров Рамиль</t>
  </si>
  <si>
    <t>107,10</t>
  </si>
  <si>
    <t>Бердников Николай</t>
  </si>
  <si>
    <t>108,50</t>
  </si>
  <si>
    <t>Нуретдинов Фанис</t>
  </si>
  <si>
    <t>115,90</t>
  </si>
  <si>
    <t>Бронников Игорь</t>
  </si>
  <si>
    <t>Открытая (11.01.1975)/47</t>
  </si>
  <si>
    <t>134,10</t>
  </si>
  <si>
    <t xml:space="preserve">Киров/Кировская область </t>
  </si>
  <si>
    <t>215,0</t>
  </si>
  <si>
    <t>Леонов Павел</t>
  </si>
  <si>
    <t>Открытая (18.07.1968)/54</t>
  </si>
  <si>
    <t>128,80</t>
  </si>
  <si>
    <t xml:space="preserve">Результат </t>
  </si>
  <si>
    <t>110</t>
  </si>
  <si>
    <t>140</t>
  </si>
  <si>
    <t>Результат</t>
  </si>
  <si>
    <t>ВЕСОВАЯ КАТЕГОРИЯ   52</t>
  </si>
  <si>
    <t>Панова Вероника</t>
  </si>
  <si>
    <t>Открытая (09.03.1992)/30</t>
  </si>
  <si>
    <t>50,00</t>
  </si>
  <si>
    <t xml:space="preserve">Чернушка/Пермский край </t>
  </si>
  <si>
    <t>47,5</t>
  </si>
  <si>
    <t>52,5</t>
  </si>
  <si>
    <t>ВЕСОВАЯ КАТЕГОРИЯ   56</t>
  </si>
  <si>
    <t>Емельянова Ирина</t>
  </si>
  <si>
    <t>Открытая (20.03.1975)/47</t>
  </si>
  <si>
    <t>55,00</t>
  </si>
  <si>
    <t>62,5</t>
  </si>
  <si>
    <t>67,5</t>
  </si>
  <si>
    <t xml:space="preserve">Баландин С. </t>
  </si>
  <si>
    <t>Задиранова Елизавета</t>
  </si>
  <si>
    <t>Открытая (25.02.1990)/32</t>
  </si>
  <si>
    <t>54,50</t>
  </si>
  <si>
    <t xml:space="preserve">Волков А. </t>
  </si>
  <si>
    <t>Калягина Марина</t>
  </si>
  <si>
    <t>Открытая (07.01.1989)/33</t>
  </si>
  <si>
    <t>64,40</t>
  </si>
  <si>
    <t>57,5</t>
  </si>
  <si>
    <t>Лесникова Дарья</t>
  </si>
  <si>
    <t>Открытая (28.08.1997)/25</t>
  </si>
  <si>
    <t>58,00</t>
  </si>
  <si>
    <t>Вахрушев Даниил</t>
  </si>
  <si>
    <t>Юноши 15-19 (12.05.2003)/19</t>
  </si>
  <si>
    <t>67,50</t>
  </si>
  <si>
    <t>Мосягин Николай</t>
  </si>
  <si>
    <t>Юноши 15-19 (03.06.2008)/14</t>
  </si>
  <si>
    <t>71,20</t>
  </si>
  <si>
    <t>77,5</t>
  </si>
  <si>
    <t>82,5</t>
  </si>
  <si>
    <t xml:space="preserve">Тройников С. </t>
  </si>
  <si>
    <t>Котельников Илья</t>
  </si>
  <si>
    <t>75,00</t>
  </si>
  <si>
    <t>Наполов Александр</t>
  </si>
  <si>
    <t>Королёв Андрей</t>
  </si>
  <si>
    <t>Юноши 15-19 (06.05.2008)/14</t>
  </si>
  <si>
    <t>81,90</t>
  </si>
  <si>
    <t>Булдаков Даниил</t>
  </si>
  <si>
    <t>76,00</t>
  </si>
  <si>
    <t>95,0</t>
  </si>
  <si>
    <t>102,5</t>
  </si>
  <si>
    <t>Чернейкин Сергей</t>
  </si>
  <si>
    <t>78,10</t>
  </si>
  <si>
    <t>Ланге Алексей</t>
  </si>
  <si>
    <t>Юноши 15-19 (25.10.2007)/14</t>
  </si>
  <si>
    <t>97,20</t>
  </si>
  <si>
    <t>Сметанин Станислав</t>
  </si>
  <si>
    <t>Открытая (09.12.1986)/35</t>
  </si>
  <si>
    <t>107,50</t>
  </si>
  <si>
    <t>56</t>
  </si>
  <si>
    <t>52</t>
  </si>
  <si>
    <t>-</t>
  </si>
  <si>
    <t>Шахурин Василий</t>
  </si>
  <si>
    <t>Открытая (21.12.1985)/36</t>
  </si>
  <si>
    <t>81,60</t>
  </si>
  <si>
    <t xml:space="preserve">Москва </t>
  </si>
  <si>
    <t>Тройников Сергей</t>
  </si>
  <si>
    <t>108,80</t>
  </si>
  <si>
    <t>Пермяков Иван</t>
  </si>
  <si>
    <t>Юноши 15-19 (08.08.2006)/16</t>
  </si>
  <si>
    <t>59,80</t>
  </si>
  <si>
    <t>Самаков Михаил</t>
  </si>
  <si>
    <t>Открытая (19.11.1984)/37</t>
  </si>
  <si>
    <t>64,80</t>
  </si>
  <si>
    <t>Хлебалов Виталий</t>
  </si>
  <si>
    <t>70,50</t>
  </si>
  <si>
    <t>Тюлькин Данил</t>
  </si>
  <si>
    <t>Открытая (04.07.1996)/26</t>
  </si>
  <si>
    <t>69,90</t>
  </si>
  <si>
    <t>262,5</t>
  </si>
  <si>
    <t>Щипицин Алексей</t>
  </si>
  <si>
    <t>Открытая (21.03.1991)/31</t>
  </si>
  <si>
    <t>72,80</t>
  </si>
  <si>
    <t>Бекреев Александр</t>
  </si>
  <si>
    <t>Юноши 15-19 (07.11.2002)/19</t>
  </si>
  <si>
    <t>80,40</t>
  </si>
  <si>
    <t>Огнев Денис</t>
  </si>
  <si>
    <t>Открытая (12.06.1986)/36</t>
  </si>
  <si>
    <t>74,20</t>
  </si>
  <si>
    <t>Бурнин Артём</t>
  </si>
  <si>
    <t>Открытая (09.06.1988)/34</t>
  </si>
  <si>
    <t>Подъем на бицепс</t>
  </si>
  <si>
    <t>Мастера 60+ (16.08.1960)/62</t>
  </si>
  <si>
    <t>45,0</t>
  </si>
  <si>
    <t>Дулкарнаев Ралиф</t>
  </si>
  <si>
    <t>Фазуллин Ришат</t>
  </si>
  <si>
    <t>Мастера 60+ (02.10.1961)/61</t>
  </si>
  <si>
    <t>102,50</t>
  </si>
  <si>
    <t>40,0</t>
  </si>
  <si>
    <t>Белоусов Руслан</t>
  </si>
  <si>
    <t>Открытая (10.10.1993)/29</t>
  </si>
  <si>
    <t>59,60</t>
  </si>
  <si>
    <t>Фуреев Сергей</t>
  </si>
  <si>
    <t xml:space="preserve">Смирнов Д. </t>
  </si>
  <si>
    <t>Огнев Игорь</t>
  </si>
  <si>
    <t>Открытая (18.01.1994)/28</t>
  </si>
  <si>
    <t>84,20</t>
  </si>
  <si>
    <t>51,0</t>
  </si>
  <si>
    <t>Мастера 60+ (20.12.1961)/60</t>
  </si>
  <si>
    <t>108,45</t>
  </si>
  <si>
    <t>Ипеев Евгений</t>
  </si>
  <si>
    <t>81,70</t>
  </si>
  <si>
    <t>Килин Р.</t>
  </si>
  <si>
    <t>Фазуллин Р.</t>
  </si>
  <si>
    <t>Беловал Е.</t>
  </si>
  <si>
    <t>Марфин Н.</t>
  </si>
  <si>
    <t>Гибадуллин Р.</t>
  </si>
  <si>
    <t>Заитов Р.</t>
  </si>
  <si>
    <t>Щипицин А.</t>
  </si>
  <si>
    <t>Обухов Ф.</t>
  </si>
  <si>
    <t>Никулин А.</t>
  </si>
  <si>
    <t xml:space="preserve">Гибадуллин Р. </t>
  </si>
  <si>
    <t>Ижевкин А.</t>
  </si>
  <si>
    <t>Гребенкин Н.</t>
  </si>
  <si>
    <t>Валеев Е.</t>
  </si>
  <si>
    <t>Некрасов И.</t>
  </si>
  <si>
    <t>Степанов И.</t>
  </si>
  <si>
    <t>Казанцев А.</t>
  </si>
  <si>
    <t>Зарубин Д.</t>
  </si>
  <si>
    <t>Ижевск/Удмуртская Республика</t>
  </si>
  <si>
    <t>Всероссийский турнир «Ижевская Сталь»
WRPF Военный жим лежа
Ижевск/Удмуртская Республика, 15 октября 2022 года</t>
  </si>
  <si>
    <t>Всероссийский турнир «Ижевская Сталь»
WRPF Строгий подъем штанги на бицепс ДК
Ижевск/Удмуртская Республика, 15 октября 2022 года</t>
  </si>
  <si>
    <t>Всероссийский турнир «Ижевская Сталь»
WRPF Строгий подъем штанги на бицепс
Ижевск/Удмуртская Республика, 15 октября 2022 года</t>
  </si>
  <si>
    <t>Всероссийский турнир «Ижевская Сталь»
СПР Строгий подъем штанги на бицепс ДК
Ижевск/Удмуртская Республика, 15 октября 2022 года</t>
  </si>
  <si>
    <t>Всероссийский турнир «Ижевская Сталь»
СПР Строгий подъем штанги на бицепс
Ижевск/Удмуртская Республика, 15 октября 2022 года</t>
  </si>
  <si>
    <t>Всероссийский турнир «Ижевская Сталь»
СПР Жим лежа в многопетельной софт экипировке
Ижевск/Удмуртская Республика, 15 октября 2022 года</t>
  </si>
  <si>
    <t>Всероссийский турнир «Ижевская Сталь»
IPL Силовое двоеборье без экипировки ДК
Ижевск/Удмуртская Республика, 15 октября 2022 года</t>
  </si>
  <si>
    <t>Всероссийский турнир «Ижевская Сталь»
IPL Силовое двоеборье без экипировки
Ижевск/Удмуртская Республика, 15 октября 2022 года</t>
  </si>
  <si>
    <t>Всероссийский турнир «Ижевская Сталь»
IPL Становая тяга без экипировки ДК
Ижевск/Удмуртская Республика, 15 октября 2022 года</t>
  </si>
  <si>
    <t>Всероссийский турнир «Ижевская Сталь»
IPL Становая тяга без экипировки
Ижевск/Удмуртская Республика, 15 октября 2022 года</t>
  </si>
  <si>
    <t>Всероссийский турнир «Ижевская Сталь»
IPL Жим лежа без экипировки ДК
Ижевск/Удмуртская Республика, 15 октября 2022 года</t>
  </si>
  <si>
    <t>Всероссийский турнир «Ижевская Сталь»
IPL Жим лежа без экипировки
Ижевск/Удмуртская Республика, 15 октября 2022 года</t>
  </si>
  <si>
    <t>Всероссийский турнир «Ижевская Сталь»
IPL Пауэрлифтинг без экипировки ДК
Ижевск/Удмуртская Республика, 15 октября 2022 года</t>
  </si>
  <si>
    <t>Всероссийский турнир «Ижевская Сталь»
IPL Пауэрлифтинг без экипировки
Ижевск/Удмуртская Республика, 15 октября 2022 года</t>
  </si>
  <si>
    <t>Мастера 40-44 (03.05.1978)/44</t>
  </si>
  <si>
    <t>Мастера 40-49 (17.06.1973)/49</t>
  </si>
  <si>
    <t>Юноши 13-19 (11.12.2004)/17</t>
  </si>
  <si>
    <t>Мастера 40-49 (30.12.1976)/45</t>
  </si>
  <si>
    <t>Юниоры 20-23 (07.02.2001)/21</t>
  </si>
  <si>
    <t>Мастера 45-49 (19.05.1973)/49</t>
  </si>
  <si>
    <t>Мастера 65-69 (08.12.1954)/67</t>
  </si>
  <si>
    <t>Юниоры 20-23 (02.02.2000)/22</t>
  </si>
  <si>
    <t>Мастера 50-54 (26.09.1971)/51</t>
  </si>
  <si>
    <t>Мастера 70-74 (19.02.1952)/70</t>
  </si>
  <si>
    <t>Юниоры 20-23 (10.12.1999)/22</t>
  </si>
  <si>
    <t>Юниоры 20-23 (30.06.2002)/20</t>
  </si>
  <si>
    <t>Юниоры 20-23 (27.03.2000)/22</t>
  </si>
  <si>
    <t>Мастера 40-44 (20.02.1981)/41</t>
  </si>
  <si>
    <t>Мастера 60-64 (16.08.1960)/62</t>
  </si>
  <si>
    <t>Мастера 65-69 (12.08.1955)/67</t>
  </si>
  <si>
    <t>Мастера 40-44 (26.04.1982)/40</t>
  </si>
  <si>
    <t>Мастера 40-44 (29.12.1981)/40</t>
  </si>
  <si>
    <t>Мастера 45-49 (28.08.1976)/46</t>
  </si>
  <si>
    <t>Мастера 60-64 (21.04.1962)/60</t>
  </si>
  <si>
    <t>Мастера 65-69 (17.04.1955)/67</t>
  </si>
  <si>
    <t>Мастера 40-44 (03.04.1981)/41</t>
  </si>
  <si>
    <t>Мастера 45-49 (29.05.1976)/46</t>
  </si>
  <si>
    <t>Мастера 50-54 (21.10.1971)/50</t>
  </si>
  <si>
    <t>Мастера 60-64 (20.12.1961)/60</t>
  </si>
  <si>
    <t>Мастера 45-49 (11.01.1975)/47</t>
  </si>
  <si>
    <t>Мастера 50-54 (18.07.1968)/54</t>
  </si>
  <si>
    <t xml:space="preserve">Мастера 50-54 </t>
  </si>
  <si>
    <t xml:space="preserve">Мастера 45-49 </t>
  </si>
  <si>
    <t>Юниоры 20-23 (23.05.2002)/20</t>
  </si>
  <si>
    <t>Мастера 40-44 (12.08.1981)/41</t>
  </si>
  <si>
    <t>Мастера 50-54 (03.05.1969)/53</t>
  </si>
  <si>
    <t xml:space="preserve">Нижнекамск/Республика Татарстан </t>
  </si>
  <si>
    <t xml:space="preserve">Набережные Челны/Республика Татарстан </t>
  </si>
  <si>
    <t xml:space="preserve">Казань/Республика Татарстан </t>
  </si>
  <si>
    <t xml:space="preserve">сарманово/Республика Татарстан </t>
  </si>
  <si>
    <t>Глазов/Удмуртская Республика</t>
  </si>
  <si>
    <t xml:space="preserve">Глазов/Удмуртская Республика </t>
  </si>
  <si>
    <t>Сарапул/Удмуртская Республика</t>
  </si>
  <si>
    <t>Воткинск/Удмуртская Республика</t>
  </si>
  <si>
    <t xml:space="preserve">Яйва/Пермский край </t>
  </si>
  <si>
    <t>Весовая категория</t>
  </si>
  <si>
    <t>Мужчины</t>
  </si>
  <si>
    <t>Самостоятельно</t>
  </si>
  <si>
    <t>Набережные Челны/Республика Татарстан</t>
  </si>
  <si>
    <t xml:space="preserve">
Дата рождения/Возраст</t>
  </si>
  <si>
    <t>Возрастная группа</t>
  </si>
  <si>
    <t>O</t>
  </si>
  <si>
    <t>J</t>
  </si>
  <si>
    <t>T</t>
  </si>
  <si>
    <t>M1</t>
  </si>
  <si>
    <t>M3</t>
  </si>
  <si>
    <t>M2</t>
  </si>
  <si>
    <t>M6</t>
  </si>
  <si>
    <t>M9</t>
  </si>
  <si>
    <t>M5</t>
  </si>
  <si>
    <t>M7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</si>
</sst>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8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i/>
      <sz val="12"/>
      <name val="Arial Cyr"/>
      <charset val="204"/>
    </font>
    <font>
      <sz val="14"/>
      <name val="Arial Cyr"/>
      <charset val="204"/>
    </font>
    <font>
      <i/>
      <sz val="11"/>
      <name val="Arial Cyr"/>
      <charset val="204"/>
    </font>
    <font>
      <b/>
      <strike/>
      <sz val="10"/>
      <color theme="5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49" fontId="0" fillId="0" borderId="11" xfId="0" applyNumberFormat="1" applyFont="1" applyFill="1" applyBorder="1" applyAlignment="1">
      <alignment horizontal="center" vertical="center"/>
    </xf>
    <xf numFmtId="0" fontId="0" fillId="0" borderId="11" xfId="0" applyNumberFormat="1" applyFont="1" applyFill="1" applyBorder="1" applyAlignment="1">
      <alignment horizontal="center" vertical="center"/>
    </xf>
    <xf numFmtId="0" fontId="1" fillId="0" borderId="11" xfId="0" applyNumberFormat="1" applyFont="1" applyFill="1" applyBorder="1" applyAlignment="1">
      <alignment horizontal="center" vertical="center"/>
    </xf>
    <xf numFmtId="49" fontId="0" fillId="0" borderId="12" xfId="0" applyNumberFormat="1" applyFont="1" applyFill="1" applyBorder="1" applyAlignment="1">
      <alignment horizontal="center" vertical="center"/>
    </xf>
    <xf numFmtId="0" fontId="0" fillId="0" borderId="12" xfId="0" applyNumberFormat="1" applyFont="1" applyFill="1" applyBorder="1" applyAlignment="1">
      <alignment horizontal="center" vertical="center"/>
    </xf>
    <xf numFmtId="0" fontId="1" fillId="0" borderId="12" xfId="0" applyNumberFormat="1" applyFont="1" applyFill="1" applyBorder="1" applyAlignment="1">
      <alignment horizontal="center" vertical="center"/>
    </xf>
    <xf numFmtId="49" fontId="0" fillId="0" borderId="13" xfId="0" applyNumberFormat="1" applyFont="1" applyFill="1" applyBorder="1" applyAlignment="1">
      <alignment horizontal="center" vertical="center"/>
    </xf>
    <xf numFmtId="0" fontId="0" fillId="0" borderId="13" xfId="0" applyNumberFormat="1" applyFont="1" applyFill="1" applyBorder="1" applyAlignment="1">
      <alignment horizontal="center" vertical="center"/>
    </xf>
    <xf numFmtId="0" fontId="1" fillId="0" borderId="13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0" fontId="0" fillId="0" borderId="8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left" vertical="center" indent="1"/>
    </xf>
    <xf numFmtId="49" fontId="6" fillId="0" borderId="0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165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49" fontId="7" fillId="0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7" fillId="0" borderId="12" xfId="0" applyNumberFormat="1" applyFont="1" applyFill="1" applyBorder="1" applyAlignment="1">
      <alignment horizontal="center" vertical="center"/>
    </xf>
    <xf numFmtId="49" fontId="1" fillId="0" borderId="12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1" fillId="0" borderId="13" xfId="0" applyNumberFormat="1" applyFont="1" applyFill="1" applyBorder="1" applyAlignment="1">
      <alignment horizontal="center" vertical="center"/>
    </xf>
    <xf numFmtId="49" fontId="7" fillId="0" borderId="13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0" fillId="0" borderId="11" xfId="0" applyNumberFormat="1" applyFill="1" applyBorder="1" applyAlignment="1">
      <alignment horizontal="center" vertical="center"/>
    </xf>
    <xf numFmtId="49" fontId="0" fillId="0" borderId="12" xfId="0" applyNumberFormat="1" applyFill="1" applyBorder="1" applyAlignment="1">
      <alignment horizontal="center" vertical="center"/>
    </xf>
    <xf numFmtId="49" fontId="0" fillId="0" borderId="13" xfId="0" applyNumberFormat="1" applyFill="1" applyBorder="1" applyAlignment="1">
      <alignment horizontal="center" vertical="center"/>
    </xf>
    <xf numFmtId="49" fontId="0" fillId="0" borderId="8" xfId="0" applyNumberFormat="1" applyFill="1" applyBorder="1" applyAlignment="1">
      <alignment horizontal="center" vertical="center"/>
    </xf>
    <xf numFmtId="164" fontId="1" fillId="0" borderId="11" xfId="0" applyNumberFormat="1" applyFont="1" applyFill="1" applyBorder="1" applyAlignment="1">
      <alignment horizontal="center" vertical="center"/>
    </xf>
    <xf numFmtId="164" fontId="1" fillId="0" borderId="12" xfId="0" applyNumberFormat="1" applyFont="1" applyFill="1" applyBorder="1" applyAlignment="1">
      <alignment horizontal="center" vertical="center"/>
    </xf>
    <xf numFmtId="164" fontId="1" fillId="0" borderId="13" xfId="0" applyNumberFormat="1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2" fillId="0" borderId="16" xfId="0" applyNumberFormat="1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4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5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U19"/>
  <sheetViews>
    <sheetView workbookViewId="0">
      <selection activeCell="E20" sqref="E20"/>
    </sheetView>
  </sheetViews>
  <sheetFormatPr baseColWidth="10" defaultColWidth="9.1640625" defaultRowHeight="13"/>
  <cols>
    <col min="1" max="1" width="7.5" style="6" bestFit="1" customWidth="1"/>
    <col min="2" max="2" width="18.6640625" style="6" bestFit="1" customWidth="1"/>
    <col min="3" max="3" width="28.5" style="6" bestFit="1" customWidth="1"/>
    <col min="4" max="4" width="21.5" style="6" bestFit="1" customWidth="1"/>
    <col min="5" max="5" width="10.5" style="20" bestFit="1" customWidth="1"/>
    <col min="6" max="6" width="29" style="6" customWidth="1"/>
    <col min="7" max="9" width="5.5" style="28" customWidth="1"/>
    <col min="10" max="10" width="4.83203125" style="28" customWidth="1"/>
    <col min="11" max="13" width="5.5" style="28" customWidth="1"/>
    <col min="14" max="14" width="4.83203125" style="28" customWidth="1"/>
    <col min="15" max="17" width="5.5" style="28" customWidth="1"/>
    <col min="18" max="18" width="4.83203125" style="28" customWidth="1"/>
    <col min="19" max="19" width="7.83203125" style="7" bestFit="1" customWidth="1"/>
    <col min="20" max="20" width="8.5" style="7" bestFit="1" customWidth="1"/>
    <col min="21" max="21" width="27.1640625" style="6" bestFit="1" customWidth="1"/>
    <col min="22" max="16384" width="9.1640625" style="3"/>
  </cols>
  <sheetData>
    <row r="1" spans="1:21" s="2" customFormat="1" ht="29" customHeight="1">
      <c r="A1" s="61" t="s">
        <v>390</v>
      </c>
      <c r="B1" s="62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4"/>
    </row>
    <row r="2" spans="1:21" s="2" customFormat="1" ht="62" customHeight="1" thickBot="1">
      <c r="A2" s="65"/>
      <c r="B2" s="66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8"/>
    </row>
    <row r="3" spans="1:21" s="1" customFormat="1" ht="12.75" customHeight="1">
      <c r="A3" s="69" t="s">
        <v>137</v>
      </c>
      <c r="B3" s="53" t="s">
        <v>0</v>
      </c>
      <c r="C3" s="71" t="s">
        <v>437</v>
      </c>
      <c r="D3" s="71" t="s">
        <v>6</v>
      </c>
      <c r="E3" s="55" t="s">
        <v>438</v>
      </c>
      <c r="F3" s="73" t="s">
        <v>5</v>
      </c>
      <c r="G3" s="73" t="s">
        <v>7</v>
      </c>
      <c r="H3" s="73"/>
      <c r="I3" s="73"/>
      <c r="J3" s="73"/>
      <c r="K3" s="73" t="s">
        <v>8</v>
      </c>
      <c r="L3" s="73"/>
      <c r="M3" s="73"/>
      <c r="N3" s="73"/>
      <c r="O3" s="73" t="s">
        <v>9</v>
      </c>
      <c r="P3" s="73"/>
      <c r="Q3" s="73"/>
      <c r="R3" s="73"/>
      <c r="S3" s="55" t="s">
        <v>1</v>
      </c>
      <c r="T3" s="55" t="s">
        <v>3</v>
      </c>
      <c r="U3" s="57" t="s">
        <v>2</v>
      </c>
    </row>
    <row r="4" spans="1:21" s="1" customFormat="1" ht="21" customHeight="1" thickBot="1">
      <c r="A4" s="70"/>
      <c r="B4" s="54"/>
      <c r="C4" s="72"/>
      <c r="D4" s="72"/>
      <c r="E4" s="56"/>
      <c r="F4" s="72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56"/>
      <c r="T4" s="56"/>
      <c r="U4" s="58"/>
    </row>
    <row r="5" spans="1:21" ht="16">
      <c r="A5" s="59" t="s">
        <v>138</v>
      </c>
      <c r="B5" s="59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</row>
    <row r="6" spans="1:21">
      <c r="A6" s="31" t="s">
        <v>133</v>
      </c>
      <c r="B6" s="8" t="s">
        <v>139</v>
      </c>
      <c r="C6" s="8" t="s">
        <v>140</v>
      </c>
      <c r="D6" s="8" t="s">
        <v>141</v>
      </c>
      <c r="E6" s="9" t="s">
        <v>439</v>
      </c>
      <c r="F6" s="8" t="s">
        <v>377</v>
      </c>
      <c r="G6" s="30" t="s">
        <v>142</v>
      </c>
      <c r="H6" s="30" t="s">
        <v>143</v>
      </c>
      <c r="I6" s="32" t="s">
        <v>144</v>
      </c>
      <c r="J6" s="31"/>
      <c r="K6" s="30" t="s">
        <v>145</v>
      </c>
      <c r="L6" s="32" t="s">
        <v>146</v>
      </c>
      <c r="M6" s="32" t="s">
        <v>146</v>
      </c>
      <c r="N6" s="31"/>
      <c r="O6" s="30" t="s">
        <v>30</v>
      </c>
      <c r="P6" s="30" t="s">
        <v>14</v>
      </c>
      <c r="Q6" s="32" t="s">
        <v>16</v>
      </c>
      <c r="R6" s="31"/>
      <c r="S6" s="10" t="str">
        <f>"305,0"</f>
        <v>305,0</v>
      </c>
      <c r="T6" s="10" t="str">
        <f>"344,4975"</f>
        <v>344,4975</v>
      </c>
      <c r="U6" s="43" t="s">
        <v>363</v>
      </c>
    </row>
    <row r="8" spans="1:21" ht="16">
      <c r="A8" s="51" t="s">
        <v>23</v>
      </c>
      <c r="B8" s="51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</row>
    <row r="9" spans="1:21">
      <c r="A9" s="31" t="s">
        <v>133</v>
      </c>
      <c r="B9" s="8" t="s">
        <v>147</v>
      </c>
      <c r="C9" s="8" t="s">
        <v>421</v>
      </c>
      <c r="D9" s="8" t="s">
        <v>148</v>
      </c>
      <c r="E9" s="9" t="s">
        <v>440</v>
      </c>
      <c r="F9" s="8" t="s">
        <v>426</v>
      </c>
      <c r="G9" s="32" t="s">
        <v>16</v>
      </c>
      <c r="H9" s="30" t="s">
        <v>16</v>
      </c>
      <c r="I9" s="30" t="s">
        <v>84</v>
      </c>
      <c r="J9" s="31"/>
      <c r="K9" s="30" t="s">
        <v>143</v>
      </c>
      <c r="L9" s="30" t="s">
        <v>149</v>
      </c>
      <c r="M9" s="32" t="s">
        <v>144</v>
      </c>
      <c r="N9" s="31"/>
      <c r="O9" s="30" t="s">
        <v>100</v>
      </c>
      <c r="P9" s="30" t="s">
        <v>150</v>
      </c>
      <c r="Q9" s="30" t="s">
        <v>112</v>
      </c>
      <c r="R9" s="31"/>
      <c r="S9" s="10" t="str">
        <f>"447,5"</f>
        <v>447,5</v>
      </c>
      <c r="T9" s="10" t="str">
        <f>"349,6318"</f>
        <v>349,6318</v>
      </c>
      <c r="U9" s="43" t="s">
        <v>376</v>
      </c>
    </row>
    <row r="11" spans="1:21" ht="16">
      <c r="A11" s="51" t="s">
        <v>10</v>
      </c>
      <c r="B11" s="51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</row>
    <row r="12" spans="1:21">
      <c r="A12" s="31" t="s">
        <v>133</v>
      </c>
      <c r="B12" s="8" t="s">
        <v>151</v>
      </c>
      <c r="C12" s="8" t="s">
        <v>152</v>
      </c>
      <c r="D12" s="8" t="s">
        <v>153</v>
      </c>
      <c r="E12" s="9" t="s">
        <v>439</v>
      </c>
      <c r="F12" s="8" t="s">
        <v>426</v>
      </c>
      <c r="G12" s="30" t="s">
        <v>53</v>
      </c>
      <c r="H12" s="30" t="s">
        <v>154</v>
      </c>
      <c r="I12" s="32" t="s">
        <v>22</v>
      </c>
      <c r="J12" s="31"/>
      <c r="K12" s="30" t="s">
        <v>149</v>
      </c>
      <c r="L12" s="30" t="s">
        <v>155</v>
      </c>
      <c r="M12" s="32" t="s">
        <v>156</v>
      </c>
      <c r="N12" s="31"/>
      <c r="O12" s="30" t="s">
        <v>157</v>
      </c>
      <c r="P12" s="30" t="s">
        <v>93</v>
      </c>
      <c r="Q12" s="30" t="s">
        <v>86</v>
      </c>
      <c r="R12" s="31"/>
      <c r="S12" s="10" t="str">
        <f>"547,5"</f>
        <v>547,5</v>
      </c>
      <c r="T12" s="10" t="str">
        <f>"390,4770"</f>
        <v>390,4770</v>
      </c>
      <c r="U12" s="8"/>
    </row>
    <row r="14" spans="1:21" ht="16">
      <c r="A14" s="51" t="s">
        <v>43</v>
      </c>
      <c r="B14" s="51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</row>
    <row r="15" spans="1:21">
      <c r="A15" s="31" t="s">
        <v>133</v>
      </c>
      <c r="B15" s="8" t="s">
        <v>158</v>
      </c>
      <c r="C15" s="8" t="s">
        <v>159</v>
      </c>
      <c r="D15" s="8" t="s">
        <v>160</v>
      </c>
      <c r="E15" s="9" t="s">
        <v>439</v>
      </c>
      <c r="F15" s="8" t="s">
        <v>377</v>
      </c>
      <c r="G15" s="30" t="s">
        <v>38</v>
      </c>
      <c r="H15" s="32" t="s">
        <v>156</v>
      </c>
      <c r="I15" s="32" t="s">
        <v>161</v>
      </c>
      <c r="J15" s="31"/>
      <c r="K15" s="30" t="s">
        <v>162</v>
      </c>
      <c r="L15" s="32" t="s">
        <v>29</v>
      </c>
      <c r="M15" s="32" t="s">
        <v>29</v>
      </c>
      <c r="N15" s="31"/>
      <c r="O15" s="32" t="s">
        <v>31</v>
      </c>
      <c r="P15" s="32" t="s">
        <v>31</v>
      </c>
      <c r="Q15" s="30" t="s">
        <v>31</v>
      </c>
      <c r="R15" s="31"/>
      <c r="S15" s="10" t="str">
        <f>"350,0"</f>
        <v>350,0</v>
      </c>
      <c r="T15" s="10" t="str">
        <f>"239,1200"</f>
        <v>239,1200</v>
      </c>
      <c r="U15" s="8"/>
    </row>
    <row r="17" spans="1:21" ht="16">
      <c r="A17" s="51" t="s">
        <v>50</v>
      </c>
      <c r="B17" s="51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</row>
    <row r="18" spans="1:21">
      <c r="A18" s="35" t="s">
        <v>133</v>
      </c>
      <c r="B18" s="11" t="s">
        <v>163</v>
      </c>
      <c r="C18" s="11" t="s">
        <v>164</v>
      </c>
      <c r="D18" s="11" t="s">
        <v>165</v>
      </c>
      <c r="E18" s="12" t="s">
        <v>439</v>
      </c>
      <c r="F18" s="11" t="s">
        <v>377</v>
      </c>
      <c r="G18" s="33" t="s">
        <v>41</v>
      </c>
      <c r="H18" s="34" t="s">
        <v>92</v>
      </c>
      <c r="I18" s="34" t="s">
        <v>92</v>
      </c>
      <c r="J18" s="35"/>
      <c r="K18" s="33" t="s">
        <v>14</v>
      </c>
      <c r="L18" s="34" t="s">
        <v>85</v>
      </c>
      <c r="M18" s="34" t="s">
        <v>85</v>
      </c>
      <c r="N18" s="35"/>
      <c r="O18" s="33" t="s">
        <v>91</v>
      </c>
      <c r="P18" s="33" t="s">
        <v>74</v>
      </c>
      <c r="Q18" s="34" t="s">
        <v>57</v>
      </c>
      <c r="R18" s="35"/>
      <c r="S18" s="13" t="str">
        <f>"590,0"</f>
        <v>590,0</v>
      </c>
      <c r="T18" s="13" t="str">
        <f>"381,0810"</f>
        <v>381,0810</v>
      </c>
      <c r="U18" s="11"/>
    </row>
    <row r="19" spans="1:21">
      <c r="A19" s="41" t="s">
        <v>134</v>
      </c>
      <c r="B19" s="17" t="s">
        <v>166</v>
      </c>
      <c r="C19" s="17" t="s">
        <v>167</v>
      </c>
      <c r="D19" s="17" t="s">
        <v>168</v>
      </c>
      <c r="E19" s="18" t="s">
        <v>439</v>
      </c>
      <c r="F19" s="17" t="s">
        <v>377</v>
      </c>
      <c r="G19" s="39" t="s">
        <v>16</v>
      </c>
      <c r="H19" s="39" t="s">
        <v>85</v>
      </c>
      <c r="I19" s="39" t="s">
        <v>100</v>
      </c>
      <c r="J19" s="41"/>
      <c r="K19" s="39" t="s">
        <v>54</v>
      </c>
      <c r="L19" s="39" t="s">
        <v>30</v>
      </c>
      <c r="M19" s="40" t="s">
        <v>55</v>
      </c>
      <c r="N19" s="41"/>
      <c r="O19" s="39" t="s">
        <v>53</v>
      </c>
      <c r="P19" s="39" t="s">
        <v>35</v>
      </c>
      <c r="Q19" s="39" t="s">
        <v>40</v>
      </c>
      <c r="R19" s="41"/>
      <c r="S19" s="19" t="str">
        <f>"500,0"</f>
        <v>500,0</v>
      </c>
      <c r="T19" s="19" t="str">
        <f>"324,1500"</f>
        <v>324,1500</v>
      </c>
      <c r="U19" s="46" t="s">
        <v>376</v>
      </c>
    </row>
  </sheetData>
  <mergeCells count="18">
    <mergeCell ref="S3:S4"/>
    <mergeCell ref="T3:T4"/>
    <mergeCell ref="U3:U4"/>
    <mergeCell ref="A5:R5"/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A8:R8"/>
    <mergeCell ref="A11:R11"/>
    <mergeCell ref="A14:R14"/>
    <mergeCell ref="A17:R17"/>
    <mergeCell ref="B3:B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Лист5">
    <pageSetUpPr fitToPage="1"/>
  </sheetPr>
  <dimension ref="A1:U44"/>
  <sheetViews>
    <sheetView workbookViewId="0">
      <selection activeCell="E34" sqref="E34"/>
    </sheetView>
  </sheetViews>
  <sheetFormatPr baseColWidth="10" defaultColWidth="9.1640625" defaultRowHeight="13"/>
  <cols>
    <col min="1" max="1" width="7.5" style="6" bestFit="1" customWidth="1"/>
    <col min="2" max="2" width="21.6640625" style="6" bestFit="1" customWidth="1"/>
    <col min="3" max="3" width="28.5" style="6" bestFit="1" customWidth="1"/>
    <col min="4" max="4" width="21.5" style="6" bestFit="1" customWidth="1"/>
    <col min="5" max="5" width="10.5" style="20" bestFit="1" customWidth="1"/>
    <col min="6" max="6" width="36" style="6" bestFit="1" customWidth="1"/>
    <col min="7" max="7" width="5.6640625" style="28" bestFit="1" customWidth="1"/>
    <col min="8" max="9" width="5.5" style="28" customWidth="1"/>
    <col min="10" max="10" width="4.83203125" style="28" customWidth="1"/>
    <col min="11" max="13" width="5.5" style="28" customWidth="1"/>
    <col min="14" max="14" width="4.83203125" style="28" customWidth="1"/>
    <col min="15" max="17" width="5.5" style="28" customWidth="1"/>
    <col min="18" max="18" width="4.83203125" style="28" customWidth="1"/>
    <col min="19" max="19" width="7.83203125" style="7" bestFit="1" customWidth="1"/>
    <col min="20" max="20" width="8.5" style="7" bestFit="1" customWidth="1"/>
    <col min="21" max="21" width="20.6640625" style="6" customWidth="1"/>
    <col min="22" max="16384" width="9.1640625" style="3"/>
  </cols>
  <sheetData>
    <row r="1" spans="1:21" s="2" customFormat="1" ht="29" customHeight="1">
      <c r="A1" s="61" t="s">
        <v>391</v>
      </c>
      <c r="B1" s="62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4"/>
    </row>
    <row r="2" spans="1:21" s="2" customFormat="1" ht="62" customHeight="1" thickBot="1">
      <c r="A2" s="65"/>
      <c r="B2" s="66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8"/>
    </row>
    <row r="3" spans="1:21" s="1" customFormat="1" ht="12.75" customHeight="1">
      <c r="A3" s="69" t="s">
        <v>137</v>
      </c>
      <c r="B3" s="53" t="s">
        <v>0</v>
      </c>
      <c r="C3" s="71" t="s">
        <v>437</v>
      </c>
      <c r="D3" s="71" t="s">
        <v>6</v>
      </c>
      <c r="E3" s="55" t="s">
        <v>438</v>
      </c>
      <c r="F3" s="73" t="s">
        <v>5</v>
      </c>
      <c r="G3" s="73" t="s">
        <v>7</v>
      </c>
      <c r="H3" s="73"/>
      <c r="I3" s="73"/>
      <c r="J3" s="73"/>
      <c r="K3" s="73" t="s">
        <v>8</v>
      </c>
      <c r="L3" s="73"/>
      <c r="M3" s="73"/>
      <c r="N3" s="73"/>
      <c r="O3" s="73" t="s">
        <v>9</v>
      </c>
      <c r="P3" s="73"/>
      <c r="Q3" s="73"/>
      <c r="R3" s="73"/>
      <c r="S3" s="55" t="s">
        <v>1</v>
      </c>
      <c r="T3" s="55" t="s">
        <v>3</v>
      </c>
      <c r="U3" s="57" t="s">
        <v>2</v>
      </c>
    </row>
    <row r="4" spans="1:21" s="1" customFormat="1" ht="21" customHeight="1" thickBot="1">
      <c r="A4" s="70"/>
      <c r="B4" s="54"/>
      <c r="C4" s="72"/>
      <c r="D4" s="72"/>
      <c r="E4" s="56"/>
      <c r="F4" s="72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56"/>
      <c r="T4" s="56"/>
      <c r="U4" s="58"/>
    </row>
    <row r="5" spans="1:21" ht="16">
      <c r="A5" s="59" t="s">
        <v>10</v>
      </c>
      <c r="B5" s="59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</row>
    <row r="6" spans="1:21">
      <c r="A6" s="31" t="s">
        <v>133</v>
      </c>
      <c r="B6" s="8" t="s">
        <v>11</v>
      </c>
      <c r="C6" s="8" t="s">
        <v>12</v>
      </c>
      <c r="D6" s="8" t="s">
        <v>13</v>
      </c>
      <c r="E6" s="9" t="s">
        <v>439</v>
      </c>
      <c r="F6" s="43" t="s">
        <v>246</v>
      </c>
      <c r="G6" s="30" t="s">
        <v>14</v>
      </c>
      <c r="H6" s="30" t="s">
        <v>15</v>
      </c>
      <c r="I6" s="30" t="s">
        <v>16</v>
      </c>
      <c r="J6" s="31"/>
      <c r="K6" s="30" t="s">
        <v>17</v>
      </c>
      <c r="L6" s="30" t="s">
        <v>18</v>
      </c>
      <c r="M6" s="32" t="s">
        <v>19</v>
      </c>
      <c r="N6" s="31"/>
      <c r="O6" s="30" t="s">
        <v>20</v>
      </c>
      <c r="P6" s="30" t="s">
        <v>21</v>
      </c>
      <c r="Q6" s="30" t="s">
        <v>22</v>
      </c>
      <c r="R6" s="31"/>
      <c r="S6" s="10" t="str">
        <f>"422,5"</f>
        <v>422,5</v>
      </c>
      <c r="T6" s="10" t="str">
        <f>"411,5995"</f>
        <v>411,5995</v>
      </c>
      <c r="U6" s="43" t="s">
        <v>367</v>
      </c>
    </row>
    <row r="8" spans="1:21" ht="16">
      <c r="A8" s="51" t="s">
        <v>23</v>
      </c>
      <c r="B8" s="51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</row>
    <row r="9" spans="1:21">
      <c r="A9" s="31" t="s">
        <v>133</v>
      </c>
      <c r="B9" s="8" t="s">
        <v>24</v>
      </c>
      <c r="C9" s="8" t="s">
        <v>25</v>
      </c>
      <c r="D9" s="8" t="s">
        <v>26</v>
      </c>
      <c r="E9" s="9" t="s">
        <v>439</v>
      </c>
      <c r="F9" s="8" t="s">
        <v>430</v>
      </c>
      <c r="G9" s="30" t="s">
        <v>27</v>
      </c>
      <c r="H9" s="32" t="s">
        <v>28</v>
      </c>
      <c r="I9" s="32" t="s">
        <v>28</v>
      </c>
      <c r="J9" s="31"/>
      <c r="K9" s="32" t="s">
        <v>18</v>
      </c>
      <c r="L9" s="30" t="s">
        <v>19</v>
      </c>
      <c r="M9" s="32" t="s">
        <v>29</v>
      </c>
      <c r="N9" s="31"/>
      <c r="O9" s="30" t="s">
        <v>30</v>
      </c>
      <c r="P9" s="30" t="s">
        <v>14</v>
      </c>
      <c r="Q9" s="30" t="s">
        <v>31</v>
      </c>
      <c r="R9" s="31"/>
      <c r="S9" s="10" t="str">
        <f>"355,0"</f>
        <v>355,0</v>
      </c>
      <c r="T9" s="10" t="str">
        <f>"296,9575"</f>
        <v>296,9575</v>
      </c>
      <c r="U9" s="8"/>
    </row>
    <row r="11" spans="1:21" ht="16">
      <c r="A11" s="51" t="s">
        <v>10</v>
      </c>
      <c r="B11" s="51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</row>
    <row r="12" spans="1:21">
      <c r="A12" s="31" t="s">
        <v>133</v>
      </c>
      <c r="B12" s="8" t="s">
        <v>32</v>
      </c>
      <c r="C12" s="8" t="s">
        <v>33</v>
      </c>
      <c r="D12" s="8" t="s">
        <v>34</v>
      </c>
      <c r="E12" s="9" t="s">
        <v>441</v>
      </c>
      <c r="F12" s="8" t="s">
        <v>425</v>
      </c>
      <c r="G12" s="30" t="s">
        <v>35</v>
      </c>
      <c r="H12" s="30" t="s">
        <v>36</v>
      </c>
      <c r="I12" s="30" t="s">
        <v>37</v>
      </c>
      <c r="J12" s="31"/>
      <c r="K12" s="30" t="s">
        <v>38</v>
      </c>
      <c r="L12" s="30" t="s">
        <v>27</v>
      </c>
      <c r="M12" s="32" t="s">
        <v>39</v>
      </c>
      <c r="N12" s="31"/>
      <c r="O12" s="30" t="s">
        <v>40</v>
      </c>
      <c r="P12" s="32" t="s">
        <v>41</v>
      </c>
      <c r="Q12" s="32" t="s">
        <v>41</v>
      </c>
      <c r="R12" s="31"/>
      <c r="S12" s="10" t="str">
        <f>"527,5"</f>
        <v>527,5</v>
      </c>
      <c r="T12" s="10" t="str">
        <f>"383,1760"</f>
        <v>383,1760</v>
      </c>
      <c r="U12" s="8" t="s">
        <v>42</v>
      </c>
    </row>
    <row r="14" spans="1:21" ht="16">
      <c r="A14" s="51" t="s">
        <v>43</v>
      </c>
      <c r="B14" s="51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</row>
    <row r="15" spans="1:21">
      <c r="A15" s="31" t="s">
        <v>133</v>
      </c>
      <c r="B15" s="8" t="s">
        <v>44</v>
      </c>
      <c r="C15" s="8" t="s">
        <v>45</v>
      </c>
      <c r="D15" s="8" t="s">
        <v>46</v>
      </c>
      <c r="E15" s="9" t="s">
        <v>439</v>
      </c>
      <c r="F15" s="8" t="s">
        <v>377</v>
      </c>
      <c r="G15" s="30" t="s">
        <v>35</v>
      </c>
      <c r="H15" s="32" t="s">
        <v>37</v>
      </c>
      <c r="I15" s="32" t="s">
        <v>47</v>
      </c>
      <c r="J15" s="31"/>
      <c r="K15" s="30" t="s">
        <v>30</v>
      </c>
      <c r="L15" s="30" t="s">
        <v>48</v>
      </c>
      <c r="M15" s="32" t="s">
        <v>49</v>
      </c>
      <c r="N15" s="31"/>
      <c r="O15" s="30" t="s">
        <v>35</v>
      </c>
      <c r="P15" s="30" t="s">
        <v>40</v>
      </c>
      <c r="Q15" s="32" t="s">
        <v>47</v>
      </c>
      <c r="R15" s="31"/>
      <c r="S15" s="10" t="str">
        <f>"527,5"</f>
        <v>527,5</v>
      </c>
      <c r="T15" s="10" t="str">
        <f>"353,6360"</f>
        <v>353,6360</v>
      </c>
      <c r="U15" s="43" t="s">
        <v>363</v>
      </c>
    </row>
    <row r="17" spans="1:21" ht="16">
      <c r="A17" s="51" t="s">
        <v>50</v>
      </c>
      <c r="B17" s="51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</row>
    <row r="18" spans="1:21">
      <c r="A18" s="35" t="s">
        <v>133</v>
      </c>
      <c r="B18" s="11" t="s">
        <v>51</v>
      </c>
      <c r="C18" s="11" t="s">
        <v>399</v>
      </c>
      <c r="D18" s="11" t="s">
        <v>52</v>
      </c>
      <c r="E18" s="12" t="s">
        <v>440</v>
      </c>
      <c r="F18" s="44" t="s">
        <v>246</v>
      </c>
      <c r="G18" s="33" t="s">
        <v>53</v>
      </c>
      <c r="H18" s="33" t="s">
        <v>22</v>
      </c>
      <c r="I18" s="34" t="s">
        <v>41</v>
      </c>
      <c r="J18" s="35"/>
      <c r="K18" s="33" t="s">
        <v>54</v>
      </c>
      <c r="L18" s="33" t="s">
        <v>30</v>
      </c>
      <c r="M18" s="33" t="s">
        <v>55</v>
      </c>
      <c r="N18" s="35"/>
      <c r="O18" s="33" t="s">
        <v>56</v>
      </c>
      <c r="P18" s="33" t="s">
        <v>57</v>
      </c>
      <c r="Q18" s="33" t="s">
        <v>58</v>
      </c>
      <c r="R18" s="35"/>
      <c r="S18" s="13" t="str">
        <f>"600,0"</f>
        <v>600,0</v>
      </c>
      <c r="T18" s="13" t="str">
        <f>"383,8800"</f>
        <v>383,8800</v>
      </c>
      <c r="U18" s="44" t="s">
        <v>367</v>
      </c>
    </row>
    <row r="19" spans="1:21">
      <c r="A19" s="37" t="s">
        <v>133</v>
      </c>
      <c r="B19" s="14" t="s">
        <v>59</v>
      </c>
      <c r="C19" s="14" t="s">
        <v>60</v>
      </c>
      <c r="D19" s="14" t="s">
        <v>61</v>
      </c>
      <c r="E19" s="15" t="s">
        <v>439</v>
      </c>
      <c r="F19" s="14" t="s">
        <v>62</v>
      </c>
      <c r="G19" s="36" t="s">
        <v>63</v>
      </c>
      <c r="H19" s="36" t="s">
        <v>64</v>
      </c>
      <c r="I19" s="36" t="s">
        <v>58</v>
      </c>
      <c r="J19" s="37"/>
      <c r="K19" s="36" t="s">
        <v>65</v>
      </c>
      <c r="L19" s="36" t="s">
        <v>41</v>
      </c>
      <c r="M19" s="38" t="s">
        <v>66</v>
      </c>
      <c r="N19" s="37"/>
      <c r="O19" s="36" t="s">
        <v>67</v>
      </c>
      <c r="P19" s="38" t="s">
        <v>68</v>
      </c>
      <c r="Q19" s="38" t="s">
        <v>68</v>
      </c>
      <c r="R19" s="37"/>
      <c r="S19" s="16" t="str">
        <f>"817,5"</f>
        <v>817,5</v>
      </c>
      <c r="T19" s="16" t="str">
        <f>"528,6773"</f>
        <v>528,6773</v>
      </c>
      <c r="U19" s="14" t="s">
        <v>69</v>
      </c>
    </row>
    <row r="20" spans="1:21">
      <c r="A20" s="37" t="s">
        <v>134</v>
      </c>
      <c r="B20" s="14" t="s">
        <v>70</v>
      </c>
      <c r="C20" s="14" t="s">
        <v>71</v>
      </c>
      <c r="D20" s="14" t="s">
        <v>72</v>
      </c>
      <c r="E20" s="15" t="s">
        <v>439</v>
      </c>
      <c r="F20" s="14" t="s">
        <v>73</v>
      </c>
      <c r="G20" s="36" t="s">
        <v>74</v>
      </c>
      <c r="H20" s="36" t="s">
        <v>56</v>
      </c>
      <c r="I20" s="38" t="s">
        <v>57</v>
      </c>
      <c r="J20" s="37"/>
      <c r="K20" s="36" t="s">
        <v>75</v>
      </c>
      <c r="L20" s="36" t="s">
        <v>37</v>
      </c>
      <c r="M20" s="36" t="s">
        <v>41</v>
      </c>
      <c r="N20" s="37"/>
      <c r="O20" s="36" t="s">
        <v>76</v>
      </c>
      <c r="P20" s="38" t="s">
        <v>77</v>
      </c>
      <c r="Q20" s="36" t="s">
        <v>77</v>
      </c>
      <c r="R20" s="37"/>
      <c r="S20" s="16" t="str">
        <f>"742,5"</f>
        <v>742,5</v>
      </c>
      <c r="T20" s="16" t="str">
        <f>"476,4623"</f>
        <v>476,4623</v>
      </c>
      <c r="U20" s="45" t="s">
        <v>362</v>
      </c>
    </row>
    <row r="21" spans="1:21">
      <c r="A21" s="37" t="s">
        <v>135</v>
      </c>
      <c r="B21" s="14" t="s">
        <v>78</v>
      </c>
      <c r="C21" s="14" t="s">
        <v>79</v>
      </c>
      <c r="D21" s="14" t="s">
        <v>80</v>
      </c>
      <c r="E21" s="15" t="s">
        <v>439</v>
      </c>
      <c r="F21" s="14" t="s">
        <v>425</v>
      </c>
      <c r="G21" s="36" t="s">
        <v>81</v>
      </c>
      <c r="H21" s="36" t="s">
        <v>82</v>
      </c>
      <c r="I21" s="36" t="s">
        <v>83</v>
      </c>
      <c r="J21" s="37"/>
      <c r="K21" s="36" t="s">
        <v>15</v>
      </c>
      <c r="L21" s="36" t="s">
        <v>84</v>
      </c>
      <c r="M21" s="38" t="s">
        <v>85</v>
      </c>
      <c r="N21" s="37"/>
      <c r="O21" s="36" t="s">
        <v>86</v>
      </c>
      <c r="P21" s="36" t="s">
        <v>63</v>
      </c>
      <c r="Q21" s="38" t="s">
        <v>57</v>
      </c>
      <c r="R21" s="37"/>
      <c r="S21" s="16" t="str">
        <f>"647,5"</f>
        <v>647,5</v>
      </c>
      <c r="T21" s="16" t="str">
        <f>"413,3640"</f>
        <v>413,3640</v>
      </c>
      <c r="U21" s="14" t="s">
        <v>87</v>
      </c>
    </row>
    <row r="22" spans="1:21">
      <c r="A22" s="41" t="s">
        <v>136</v>
      </c>
      <c r="B22" s="17" t="s">
        <v>88</v>
      </c>
      <c r="C22" s="17" t="s">
        <v>89</v>
      </c>
      <c r="D22" s="17" t="s">
        <v>90</v>
      </c>
      <c r="E22" s="18" t="s">
        <v>439</v>
      </c>
      <c r="F22" s="17" t="s">
        <v>377</v>
      </c>
      <c r="G22" s="39" t="s">
        <v>91</v>
      </c>
      <c r="H22" s="39" t="s">
        <v>92</v>
      </c>
      <c r="I22" s="40" t="s">
        <v>93</v>
      </c>
      <c r="J22" s="41"/>
      <c r="K22" s="39" t="s">
        <v>16</v>
      </c>
      <c r="L22" s="40" t="s">
        <v>85</v>
      </c>
      <c r="M22" s="40" t="s">
        <v>94</v>
      </c>
      <c r="N22" s="41"/>
      <c r="O22" s="39" t="s">
        <v>56</v>
      </c>
      <c r="P22" s="39" t="s">
        <v>57</v>
      </c>
      <c r="Q22" s="40" t="s">
        <v>64</v>
      </c>
      <c r="R22" s="41"/>
      <c r="S22" s="19" t="str">
        <f>"640,0"</f>
        <v>640,0</v>
      </c>
      <c r="T22" s="19" t="str">
        <f>"414,6560"</f>
        <v>414,6560</v>
      </c>
      <c r="U22" s="17" t="s">
        <v>95</v>
      </c>
    </row>
    <row r="24" spans="1:21" ht="16">
      <c r="A24" s="51" t="s">
        <v>96</v>
      </c>
      <c r="B24" s="51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</row>
    <row r="25" spans="1:21">
      <c r="A25" s="35" t="s">
        <v>133</v>
      </c>
      <c r="B25" s="11" t="s">
        <v>97</v>
      </c>
      <c r="C25" s="11" t="s">
        <v>98</v>
      </c>
      <c r="D25" s="11" t="s">
        <v>99</v>
      </c>
      <c r="E25" s="12" t="s">
        <v>439</v>
      </c>
      <c r="F25" s="11" t="s">
        <v>430</v>
      </c>
      <c r="G25" s="33" t="s">
        <v>74</v>
      </c>
      <c r="H25" s="33" t="s">
        <v>56</v>
      </c>
      <c r="I25" s="34" t="s">
        <v>57</v>
      </c>
      <c r="J25" s="35"/>
      <c r="K25" s="33" t="s">
        <v>85</v>
      </c>
      <c r="L25" s="33" t="s">
        <v>100</v>
      </c>
      <c r="M25" s="34" t="s">
        <v>101</v>
      </c>
      <c r="N25" s="35"/>
      <c r="O25" s="34" t="s">
        <v>102</v>
      </c>
      <c r="P25" s="34" t="s">
        <v>102</v>
      </c>
      <c r="Q25" s="33" t="s">
        <v>102</v>
      </c>
      <c r="R25" s="35"/>
      <c r="S25" s="13" t="str">
        <f>"710,0"</f>
        <v>710,0</v>
      </c>
      <c r="T25" s="13" t="str">
        <f>"434,2360"</f>
        <v>434,2360</v>
      </c>
      <c r="U25" s="11"/>
    </row>
    <row r="26" spans="1:21">
      <c r="A26" s="41" t="s">
        <v>133</v>
      </c>
      <c r="B26" s="17" t="s">
        <v>103</v>
      </c>
      <c r="C26" s="17" t="s">
        <v>422</v>
      </c>
      <c r="D26" s="17" t="s">
        <v>104</v>
      </c>
      <c r="E26" s="18" t="s">
        <v>442</v>
      </c>
      <c r="F26" s="46" t="s">
        <v>246</v>
      </c>
      <c r="G26" s="39" t="s">
        <v>40</v>
      </c>
      <c r="H26" s="39" t="s">
        <v>41</v>
      </c>
      <c r="I26" s="39" t="s">
        <v>91</v>
      </c>
      <c r="J26" s="41"/>
      <c r="K26" s="39" t="s">
        <v>16</v>
      </c>
      <c r="L26" s="40" t="s">
        <v>85</v>
      </c>
      <c r="M26" s="39" t="s">
        <v>85</v>
      </c>
      <c r="N26" s="41"/>
      <c r="O26" s="39" t="s">
        <v>91</v>
      </c>
      <c r="P26" s="39" t="s">
        <v>92</v>
      </c>
      <c r="Q26" s="40" t="s">
        <v>74</v>
      </c>
      <c r="R26" s="41"/>
      <c r="S26" s="19" t="str">
        <f>"610,0"</f>
        <v>610,0</v>
      </c>
      <c r="T26" s="19" t="str">
        <f>"373,7153"</f>
        <v>373,7153</v>
      </c>
      <c r="U26" s="46" t="s">
        <v>367</v>
      </c>
    </row>
    <row r="28" spans="1:21" ht="16">
      <c r="A28" s="51" t="s">
        <v>105</v>
      </c>
      <c r="B28" s="51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</row>
    <row r="29" spans="1:21">
      <c r="A29" s="35" t="s">
        <v>133</v>
      </c>
      <c r="B29" s="11" t="s">
        <v>106</v>
      </c>
      <c r="C29" s="11" t="s">
        <v>107</v>
      </c>
      <c r="D29" s="11" t="s">
        <v>108</v>
      </c>
      <c r="E29" s="12" t="s">
        <v>439</v>
      </c>
      <c r="F29" s="11" t="s">
        <v>62</v>
      </c>
      <c r="G29" s="33" t="s">
        <v>109</v>
      </c>
      <c r="H29" s="33" t="s">
        <v>110</v>
      </c>
      <c r="I29" s="34" t="s">
        <v>111</v>
      </c>
      <c r="J29" s="35"/>
      <c r="K29" s="33" t="s">
        <v>112</v>
      </c>
      <c r="L29" s="33" t="s">
        <v>75</v>
      </c>
      <c r="M29" s="33" t="s">
        <v>40</v>
      </c>
      <c r="N29" s="35"/>
      <c r="O29" s="33" t="s">
        <v>113</v>
      </c>
      <c r="P29" s="33" t="s">
        <v>110</v>
      </c>
      <c r="Q29" s="34" t="s">
        <v>102</v>
      </c>
      <c r="R29" s="35"/>
      <c r="S29" s="13" t="str">
        <f>"770,0"</f>
        <v>770,0</v>
      </c>
      <c r="T29" s="13" t="str">
        <f>"438,9770"</f>
        <v>438,9770</v>
      </c>
      <c r="U29" s="44" t="s">
        <v>368</v>
      </c>
    </row>
    <row r="30" spans="1:21">
      <c r="A30" s="41" t="s">
        <v>133</v>
      </c>
      <c r="B30" s="17" t="s">
        <v>114</v>
      </c>
      <c r="C30" s="17" t="s">
        <v>423</v>
      </c>
      <c r="D30" s="17" t="s">
        <v>115</v>
      </c>
      <c r="E30" s="18" t="s">
        <v>443</v>
      </c>
      <c r="F30" s="17" t="s">
        <v>377</v>
      </c>
      <c r="G30" s="39" t="s">
        <v>35</v>
      </c>
      <c r="H30" s="39" t="s">
        <v>40</v>
      </c>
      <c r="I30" s="39" t="s">
        <v>66</v>
      </c>
      <c r="J30" s="41"/>
      <c r="K30" s="39" t="s">
        <v>30</v>
      </c>
      <c r="L30" s="39" t="s">
        <v>48</v>
      </c>
      <c r="M30" s="39" t="s">
        <v>49</v>
      </c>
      <c r="N30" s="41"/>
      <c r="O30" s="39" t="s">
        <v>74</v>
      </c>
      <c r="P30" s="39" t="s">
        <v>64</v>
      </c>
      <c r="Q30" s="39" t="s">
        <v>116</v>
      </c>
      <c r="R30" s="41"/>
      <c r="S30" s="19" t="str">
        <f>"642,5"</f>
        <v>642,5</v>
      </c>
      <c r="T30" s="19" t="str">
        <f>"448,4702"</f>
        <v>448,4702</v>
      </c>
      <c r="U30" s="17"/>
    </row>
    <row r="32" spans="1:21" ht="16">
      <c r="A32" s="51" t="s">
        <v>117</v>
      </c>
      <c r="B32" s="51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</row>
    <row r="33" spans="1:21">
      <c r="A33" s="31" t="s">
        <v>133</v>
      </c>
      <c r="B33" s="8" t="s">
        <v>118</v>
      </c>
      <c r="C33" s="8" t="s">
        <v>119</v>
      </c>
      <c r="D33" s="8" t="s">
        <v>120</v>
      </c>
      <c r="E33" s="9" t="s">
        <v>439</v>
      </c>
      <c r="F33" s="43" t="s">
        <v>246</v>
      </c>
      <c r="G33" s="30" t="s">
        <v>41</v>
      </c>
      <c r="H33" s="30" t="s">
        <v>92</v>
      </c>
      <c r="I33" s="30" t="s">
        <v>56</v>
      </c>
      <c r="J33" s="31"/>
      <c r="K33" s="30" t="s">
        <v>53</v>
      </c>
      <c r="L33" s="30" t="s">
        <v>35</v>
      </c>
      <c r="M33" s="32" t="s">
        <v>75</v>
      </c>
      <c r="N33" s="31"/>
      <c r="O33" s="30" t="s">
        <v>91</v>
      </c>
      <c r="P33" s="30" t="s">
        <v>74</v>
      </c>
      <c r="Q33" s="30" t="s">
        <v>57</v>
      </c>
      <c r="R33" s="31"/>
      <c r="S33" s="10" t="str">
        <f>"700,0"</f>
        <v>700,0</v>
      </c>
      <c r="T33" s="10" t="str">
        <f>"392,0000"</f>
        <v>392,0000</v>
      </c>
      <c r="U33" s="8"/>
    </row>
    <row r="35" spans="1:21">
      <c r="G35" s="6"/>
    </row>
    <row r="37" spans="1:21" ht="18">
      <c r="B37" s="21" t="s">
        <v>121</v>
      </c>
      <c r="C37" s="21"/>
      <c r="G37" s="3"/>
    </row>
    <row r="38" spans="1:21" ht="16">
      <c r="B38" s="22" t="s">
        <v>128</v>
      </c>
      <c r="C38" s="22"/>
      <c r="G38" s="3"/>
    </row>
    <row r="39" spans="1:21" ht="14">
      <c r="B39" s="23"/>
      <c r="C39" s="24" t="s">
        <v>123</v>
      </c>
      <c r="G39" s="3"/>
    </row>
    <row r="40" spans="1:21" ht="14">
      <c r="B40" s="25" t="s">
        <v>124</v>
      </c>
      <c r="C40" s="25" t="s">
        <v>125</v>
      </c>
      <c r="D40" s="25" t="s">
        <v>433</v>
      </c>
      <c r="E40" s="26" t="s">
        <v>126</v>
      </c>
      <c r="F40" s="25" t="s">
        <v>127</v>
      </c>
      <c r="G40" s="3"/>
    </row>
    <row r="41" spans="1:21">
      <c r="B41" s="6" t="s">
        <v>59</v>
      </c>
      <c r="C41" s="6" t="s">
        <v>123</v>
      </c>
      <c r="D41" s="28" t="s">
        <v>129</v>
      </c>
      <c r="E41" s="29">
        <v>817.5</v>
      </c>
      <c r="F41" s="27">
        <v>528.67727011442196</v>
      </c>
      <c r="G41" s="3"/>
    </row>
    <row r="42" spans="1:21">
      <c r="B42" s="6" t="s">
        <v>70</v>
      </c>
      <c r="C42" s="6" t="s">
        <v>123</v>
      </c>
      <c r="D42" s="28" t="s">
        <v>129</v>
      </c>
      <c r="E42" s="29">
        <v>742.5</v>
      </c>
      <c r="F42" s="27">
        <v>476.462271809578</v>
      </c>
      <c r="G42" s="3"/>
    </row>
    <row r="43" spans="1:21">
      <c r="B43" s="6" t="s">
        <v>106</v>
      </c>
      <c r="C43" s="6" t="s">
        <v>123</v>
      </c>
      <c r="D43" s="28" t="s">
        <v>130</v>
      </c>
      <c r="E43" s="29">
        <v>770</v>
      </c>
      <c r="F43" s="27">
        <v>438.97700726985897</v>
      </c>
      <c r="G43" s="6"/>
    </row>
    <row r="44" spans="1:21">
      <c r="E44" s="6"/>
      <c r="F44" s="20"/>
      <c r="G44" s="6"/>
    </row>
  </sheetData>
  <mergeCells count="21">
    <mergeCell ref="S3:S4"/>
    <mergeCell ref="T3:T4"/>
    <mergeCell ref="A1:U2"/>
    <mergeCell ref="G3:J3"/>
    <mergeCell ref="K3:N3"/>
    <mergeCell ref="O3:R3"/>
    <mergeCell ref="A3:A4"/>
    <mergeCell ref="C3:C4"/>
    <mergeCell ref="D3:D4"/>
    <mergeCell ref="U3:U4"/>
    <mergeCell ref="F3:F4"/>
    <mergeCell ref="A24:R24"/>
    <mergeCell ref="A28:R28"/>
    <mergeCell ref="A32:R32"/>
    <mergeCell ref="B3:B4"/>
    <mergeCell ref="A5:R5"/>
    <mergeCell ref="A8:R8"/>
    <mergeCell ref="A11:R11"/>
    <mergeCell ref="A14:R14"/>
    <mergeCell ref="A17:R17"/>
    <mergeCell ref="E3:E4"/>
  </mergeCells>
  <phoneticPr fontId="0" type="noConversion"/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Q9"/>
  <sheetViews>
    <sheetView workbookViewId="0">
      <selection activeCell="E10" sqref="E10"/>
    </sheetView>
  </sheetViews>
  <sheetFormatPr baseColWidth="10" defaultColWidth="9.1640625" defaultRowHeight="13"/>
  <cols>
    <col min="1" max="1" width="7.5" style="6" bestFit="1" customWidth="1"/>
    <col min="2" max="2" width="18.6640625" style="6" bestFit="1" customWidth="1"/>
    <col min="3" max="3" width="26.33203125" style="6" bestFit="1" customWidth="1"/>
    <col min="4" max="4" width="21.5" style="6" bestFit="1" customWidth="1"/>
    <col min="5" max="5" width="10.5" style="20" bestFit="1" customWidth="1"/>
    <col min="6" max="6" width="26.33203125" style="6" bestFit="1" customWidth="1"/>
    <col min="7" max="9" width="5.5" style="28" customWidth="1"/>
    <col min="10" max="10" width="4.83203125" style="28" customWidth="1"/>
    <col min="11" max="13" width="5.5" style="28" customWidth="1"/>
    <col min="14" max="14" width="4.83203125" style="28" customWidth="1"/>
    <col min="15" max="15" width="7.83203125" style="7" bestFit="1" customWidth="1"/>
    <col min="16" max="16" width="8.5" style="7" bestFit="1" customWidth="1"/>
    <col min="17" max="17" width="15.5" style="6" bestFit="1" customWidth="1"/>
    <col min="18" max="16384" width="9.1640625" style="3"/>
  </cols>
  <sheetData>
    <row r="1" spans="1:17" s="2" customFormat="1" ht="29" customHeight="1">
      <c r="A1" s="61" t="s">
        <v>384</v>
      </c>
      <c r="B1" s="62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4"/>
    </row>
    <row r="2" spans="1:17" s="2" customFormat="1" ht="62" customHeight="1" thickBot="1">
      <c r="A2" s="65"/>
      <c r="B2" s="66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8"/>
    </row>
    <row r="3" spans="1:17" s="1" customFormat="1" ht="12.75" customHeight="1">
      <c r="A3" s="69" t="s">
        <v>137</v>
      </c>
      <c r="B3" s="53" t="s">
        <v>0</v>
      </c>
      <c r="C3" s="71" t="s">
        <v>437</v>
      </c>
      <c r="D3" s="71" t="s">
        <v>6</v>
      </c>
      <c r="E3" s="55" t="s">
        <v>438</v>
      </c>
      <c r="F3" s="73" t="s">
        <v>5</v>
      </c>
      <c r="G3" s="73" t="s">
        <v>8</v>
      </c>
      <c r="H3" s="73"/>
      <c r="I3" s="73"/>
      <c r="J3" s="73"/>
      <c r="K3" s="73" t="s">
        <v>9</v>
      </c>
      <c r="L3" s="73"/>
      <c r="M3" s="73"/>
      <c r="N3" s="73"/>
      <c r="O3" s="55" t="s">
        <v>1</v>
      </c>
      <c r="P3" s="55" t="s">
        <v>3</v>
      </c>
      <c r="Q3" s="57" t="s">
        <v>2</v>
      </c>
    </row>
    <row r="4" spans="1:17" s="1" customFormat="1" ht="21" customHeight="1" thickBot="1">
      <c r="A4" s="70"/>
      <c r="B4" s="54"/>
      <c r="C4" s="72"/>
      <c r="D4" s="72"/>
      <c r="E4" s="56"/>
      <c r="F4" s="72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56"/>
      <c r="P4" s="56"/>
      <c r="Q4" s="58"/>
    </row>
    <row r="5" spans="1:17" ht="16">
      <c r="A5" s="59" t="s">
        <v>10</v>
      </c>
      <c r="B5" s="59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</row>
    <row r="6" spans="1:17">
      <c r="A6" s="31" t="s">
        <v>133</v>
      </c>
      <c r="B6" s="8" t="s">
        <v>334</v>
      </c>
      <c r="C6" s="8" t="s">
        <v>335</v>
      </c>
      <c r="D6" s="8" t="s">
        <v>336</v>
      </c>
      <c r="E6" s="9" t="s">
        <v>439</v>
      </c>
      <c r="F6" s="8" t="s">
        <v>377</v>
      </c>
      <c r="G6" s="30" t="s">
        <v>161</v>
      </c>
      <c r="H6" s="32" t="s">
        <v>39</v>
      </c>
      <c r="I6" s="32" t="s">
        <v>39</v>
      </c>
      <c r="J6" s="31"/>
      <c r="K6" s="30" t="s">
        <v>75</v>
      </c>
      <c r="L6" s="30" t="s">
        <v>40</v>
      </c>
      <c r="M6" s="30" t="s">
        <v>66</v>
      </c>
      <c r="N6" s="31"/>
      <c r="O6" s="10" t="str">
        <f>"332,5"</f>
        <v>332,5</v>
      </c>
      <c r="P6" s="10" t="str">
        <f>"238,7017"</f>
        <v>238,7017</v>
      </c>
      <c r="Q6" s="8"/>
    </row>
    <row r="8" spans="1:17" ht="16">
      <c r="A8" s="51" t="s">
        <v>50</v>
      </c>
      <c r="B8" s="51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</row>
    <row r="9" spans="1:17">
      <c r="A9" s="31" t="s">
        <v>133</v>
      </c>
      <c r="B9" s="8" t="s">
        <v>163</v>
      </c>
      <c r="C9" s="8" t="s">
        <v>164</v>
      </c>
      <c r="D9" s="8" t="s">
        <v>165</v>
      </c>
      <c r="E9" s="9" t="s">
        <v>439</v>
      </c>
      <c r="F9" s="8" t="s">
        <v>377</v>
      </c>
      <c r="G9" s="30" t="s">
        <v>14</v>
      </c>
      <c r="H9" s="32" t="s">
        <v>85</v>
      </c>
      <c r="I9" s="32" t="s">
        <v>85</v>
      </c>
      <c r="J9" s="31"/>
      <c r="K9" s="30" t="s">
        <v>91</v>
      </c>
      <c r="L9" s="30" t="s">
        <v>74</v>
      </c>
      <c r="M9" s="32" t="s">
        <v>57</v>
      </c>
      <c r="N9" s="31"/>
      <c r="O9" s="10" t="str">
        <f>"380,0"</f>
        <v>380,0</v>
      </c>
      <c r="P9" s="10" t="str">
        <f>"245,4420"</f>
        <v>245,4420</v>
      </c>
      <c r="Q9" s="8"/>
    </row>
  </sheetData>
  <mergeCells count="14">
    <mergeCell ref="A1:Q2"/>
    <mergeCell ref="A3:A4"/>
    <mergeCell ref="C3:C4"/>
    <mergeCell ref="D3:D4"/>
    <mergeCell ref="E3:E4"/>
    <mergeCell ref="F3:F4"/>
    <mergeCell ref="G3:J3"/>
    <mergeCell ref="K3:N3"/>
    <mergeCell ref="A8:N8"/>
    <mergeCell ref="B3:B4"/>
    <mergeCell ref="O3:O4"/>
    <mergeCell ref="P3:P4"/>
    <mergeCell ref="Q3:Q4"/>
    <mergeCell ref="A5:N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Q7"/>
  <sheetViews>
    <sheetView workbookViewId="0">
      <selection activeCell="E8" sqref="E8"/>
    </sheetView>
  </sheetViews>
  <sheetFormatPr baseColWidth="10" defaultColWidth="9.1640625" defaultRowHeight="13"/>
  <cols>
    <col min="1" max="1" width="7.5" style="6" bestFit="1" customWidth="1"/>
    <col min="2" max="2" width="21.6640625" style="6" bestFit="1" customWidth="1"/>
    <col min="3" max="3" width="26.33203125" style="6" bestFit="1" customWidth="1"/>
    <col min="4" max="4" width="21.5" style="6" bestFit="1" customWidth="1"/>
    <col min="5" max="5" width="10.5" style="20" bestFit="1" customWidth="1"/>
    <col min="6" max="6" width="27.5" style="6" bestFit="1" customWidth="1"/>
    <col min="7" max="9" width="5.5" style="28" customWidth="1"/>
    <col min="10" max="10" width="4.83203125" style="28" customWidth="1"/>
    <col min="11" max="13" width="5.5" style="28" customWidth="1"/>
    <col min="14" max="14" width="4.83203125" style="28" customWidth="1"/>
    <col min="15" max="15" width="7.83203125" style="7" bestFit="1" customWidth="1"/>
    <col min="16" max="16" width="8.5" style="7" bestFit="1" customWidth="1"/>
    <col min="17" max="17" width="18.6640625" style="6" customWidth="1"/>
    <col min="18" max="16384" width="9.1640625" style="3"/>
  </cols>
  <sheetData>
    <row r="1" spans="1:17" s="2" customFormat="1" ht="29" customHeight="1">
      <c r="A1" s="61" t="s">
        <v>385</v>
      </c>
      <c r="B1" s="62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4"/>
    </row>
    <row r="2" spans="1:17" s="2" customFormat="1" ht="62" customHeight="1" thickBot="1">
      <c r="A2" s="65"/>
      <c r="B2" s="66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8"/>
    </row>
    <row r="3" spans="1:17" s="1" customFormat="1" ht="12.75" customHeight="1">
      <c r="A3" s="69" t="s">
        <v>137</v>
      </c>
      <c r="B3" s="53" t="s">
        <v>0</v>
      </c>
      <c r="C3" s="71" t="s">
        <v>437</v>
      </c>
      <c r="D3" s="71" t="s">
        <v>6</v>
      </c>
      <c r="E3" s="55" t="s">
        <v>438</v>
      </c>
      <c r="F3" s="73" t="s">
        <v>5</v>
      </c>
      <c r="G3" s="73" t="s">
        <v>8</v>
      </c>
      <c r="H3" s="73"/>
      <c r="I3" s="73"/>
      <c r="J3" s="73"/>
      <c r="K3" s="73" t="s">
        <v>9</v>
      </c>
      <c r="L3" s="73"/>
      <c r="M3" s="73"/>
      <c r="N3" s="73"/>
      <c r="O3" s="55" t="s">
        <v>1</v>
      </c>
      <c r="P3" s="55" t="s">
        <v>3</v>
      </c>
      <c r="Q3" s="57" t="s">
        <v>2</v>
      </c>
    </row>
    <row r="4" spans="1:17" s="1" customFormat="1" ht="21" customHeight="1" thickBot="1">
      <c r="A4" s="70"/>
      <c r="B4" s="54"/>
      <c r="C4" s="72"/>
      <c r="D4" s="72"/>
      <c r="E4" s="56"/>
      <c r="F4" s="72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56"/>
      <c r="P4" s="56"/>
      <c r="Q4" s="58"/>
    </row>
    <row r="5" spans="1:17" ht="16">
      <c r="A5" s="59" t="s">
        <v>50</v>
      </c>
      <c r="B5" s="59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</row>
    <row r="6" spans="1:17">
      <c r="A6" s="35" t="s">
        <v>133</v>
      </c>
      <c r="B6" s="11" t="s">
        <v>70</v>
      </c>
      <c r="C6" s="11" t="s">
        <v>71</v>
      </c>
      <c r="D6" s="11" t="s">
        <v>72</v>
      </c>
      <c r="E6" s="12" t="s">
        <v>439</v>
      </c>
      <c r="F6" s="11" t="s">
        <v>432</v>
      </c>
      <c r="G6" s="33" t="s">
        <v>75</v>
      </c>
      <c r="H6" s="33" t="s">
        <v>37</v>
      </c>
      <c r="I6" s="33" t="s">
        <v>41</v>
      </c>
      <c r="J6" s="35"/>
      <c r="K6" s="33" t="s">
        <v>76</v>
      </c>
      <c r="L6" s="34" t="s">
        <v>77</v>
      </c>
      <c r="M6" s="33" t="s">
        <v>77</v>
      </c>
      <c r="N6" s="35"/>
      <c r="O6" s="13" t="str">
        <f>"492,5"</f>
        <v>492,5</v>
      </c>
      <c r="P6" s="13" t="str">
        <f>"316,0373"</f>
        <v>316,0373</v>
      </c>
      <c r="Q6" s="44" t="s">
        <v>362</v>
      </c>
    </row>
    <row r="7" spans="1:17">
      <c r="A7" s="41" t="s">
        <v>134</v>
      </c>
      <c r="B7" s="17" t="s">
        <v>88</v>
      </c>
      <c r="C7" s="17" t="s">
        <v>89</v>
      </c>
      <c r="D7" s="17" t="s">
        <v>90</v>
      </c>
      <c r="E7" s="18" t="s">
        <v>439</v>
      </c>
      <c r="F7" s="17" t="s">
        <v>377</v>
      </c>
      <c r="G7" s="39" t="s">
        <v>16</v>
      </c>
      <c r="H7" s="40" t="s">
        <v>85</v>
      </c>
      <c r="I7" s="40" t="s">
        <v>94</v>
      </c>
      <c r="J7" s="41"/>
      <c r="K7" s="39" t="s">
        <v>56</v>
      </c>
      <c r="L7" s="39" t="s">
        <v>57</v>
      </c>
      <c r="M7" s="40" t="s">
        <v>64</v>
      </c>
      <c r="N7" s="41"/>
      <c r="O7" s="19" t="str">
        <f>"410,0"</f>
        <v>410,0</v>
      </c>
      <c r="P7" s="19" t="str">
        <f>"265,6390"</f>
        <v>265,6390</v>
      </c>
      <c r="Q7" s="17" t="s">
        <v>95</v>
      </c>
    </row>
  </sheetData>
  <mergeCells count="13">
    <mergeCell ref="A5:N5"/>
    <mergeCell ref="B3:B4"/>
    <mergeCell ref="A1:Q2"/>
    <mergeCell ref="A3:A4"/>
    <mergeCell ref="C3:C4"/>
    <mergeCell ref="D3:D4"/>
    <mergeCell ref="E3:E4"/>
    <mergeCell ref="F3:F4"/>
    <mergeCell ref="G3:J3"/>
    <mergeCell ref="K3:N3"/>
    <mergeCell ref="O3:O4"/>
    <mergeCell ref="P3:P4"/>
    <mergeCell ref="Q3:Q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M52"/>
  <sheetViews>
    <sheetView topLeftCell="A7" workbookViewId="0">
      <selection activeCell="E42" sqref="E42"/>
    </sheetView>
  </sheetViews>
  <sheetFormatPr baseColWidth="10" defaultColWidth="9.1640625" defaultRowHeight="13"/>
  <cols>
    <col min="1" max="1" width="7.5" style="6" bestFit="1" customWidth="1"/>
    <col min="2" max="2" width="21" style="6" bestFit="1" customWidth="1"/>
    <col min="3" max="3" width="28.5" style="6" bestFit="1" customWidth="1"/>
    <col min="4" max="4" width="21.5" style="6" bestFit="1" customWidth="1"/>
    <col min="5" max="5" width="10.5" style="20" bestFit="1" customWidth="1"/>
    <col min="6" max="6" width="28.83203125" style="6" customWidth="1"/>
    <col min="7" max="9" width="5.5" style="28" customWidth="1"/>
    <col min="10" max="10" width="4.83203125" style="28" customWidth="1"/>
    <col min="11" max="11" width="10.5" style="29" bestFit="1" customWidth="1"/>
    <col min="12" max="12" width="7.5" style="7" bestFit="1" customWidth="1"/>
    <col min="13" max="13" width="27.33203125" style="6" bestFit="1" customWidth="1"/>
    <col min="14" max="16384" width="9.1640625" style="3"/>
  </cols>
  <sheetData>
    <row r="1" spans="1:13" s="2" customFormat="1" ht="29" customHeight="1">
      <c r="A1" s="61" t="s">
        <v>388</v>
      </c>
      <c r="B1" s="62"/>
      <c r="C1" s="63"/>
      <c r="D1" s="63"/>
      <c r="E1" s="63"/>
      <c r="F1" s="63"/>
      <c r="G1" s="63"/>
      <c r="H1" s="63"/>
      <c r="I1" s="63"/>
      <c r="J1" s="63"/>
      <c r="K1" s="63"/>
      <c r="L1" s="63"/>
      <c r="M1" s="64"/>
    </row>
    <row r="2" spans="1:13" s="2" customFormat="1" ht="62" customHeight="1" thickBot="1">
      <c r="A2" s="65"/>
      <c r="B2" s="66"/>
      <c r="C2" s="67"/>
      <c r="D2" s="67"/>
      <c r="E2" s="67"/>
      <c r="F2" s="67"/>
      <c r="G2" s="67"/>
      <c r="H2" s="67"/>
      <c r="I2" s="67"/>
      <c r="J2" s="67"/>
      <c r="K2" s="67"/>
      <c r="L2" s="67"/>
      <c r="M2" s="68"/>
    </row>
    <row r="3" spans="1:13" s="1" customFormat="1" ht="12.75" customHeight="1">
      <c r="A3" s="69" t="s">
        <v>137</v>
      </c>
      <c r="B3" s="53" t="s">
        <v>0</v>
      </c>
      <c r="C3" s="71" t="s">
        <v>437</v>
      </c>
      <c r="D3" s="71" t="s">
        <v>6</v>
      </c>
      <c r="E3" s="55" t="s">
        <v>438</v>
      </c>
      <c r="F3" s="73" t="s">
        <v>5</v>
      </c>
      <c r="G3" s="73" t="s">
        <v>8</v>
      </c>
      <c r="H3" s="73"/>
      <c r="I3" s="73"/>
      <c r="J3" s="73"/>
      <c r="K3" s="74" t="s">
        <v>254</v>
      </c>
      <c r="L3" s="55" t="s">
        <v>3</v>
      </c>
      <c r="M3" s="57" t="s">
        <v>2</v>
      </c>
    </row>
    <row r="4" spans="1:13" s="1" customFormat="1" ht="21" customHeight="1" thickBot="1">
      <c r="A4" s="70"/>
      <c r="B4" s="54"/>
      <c r="C4" s="72"/>
      <c r="D4" s="72"/>
      <c r="E4" s="56"/>
      <c r="F4" s="72"/>
      <c r="G4" s="4">
        <v>1</v>
      </c>
      <c r="H4" s="4">
        <v>2</v>
      </c>
      <c r="I4" s="4">
        <v>3</v>
      </c>
      <c r="J4" s="4" t="s">
        <v>4</v>
      </c>
      <c r="K4" s="75"/>
      <c r="L4" s="56"/>
      <c r="M4" s="58"/>
    </row>
    <row r="5" spans="1:13" ht="16">
      <c r="A5" s="59" t="s">
        <v>255</v>
      </c>
      <c r="B5" s="59"/>
      <c r="C5" s="60"/>
      <c r="D5" s="60"/>
      <c r="E5" s="60"/>
      <c r="F5" s="60"/>
      <c r="G5" s="60"/>
      <c r="H5" s="60"/>
      <c r="I5" s="60"/>
      <c r="J5" s="60"/>
    </row>
    <row r="6" spans="1:13">
      <c r="A6" s="31" t="s">
        <v>133</v>
      </c>
      <c r="B6" s="8" t="s">
        <v>256</v>
      </c>
      <c r="C6" s="8" t="s">
        <v>257</v>
      </c>
      <c r="D6" s="8" t="s">
        <v>258</v>
      </c>
      <c r="E6" s="9" t="s">
        <v>439</v>
      </c>
      <c r="F6" s="8" t="s">
        <v>259</v>
      </c>
      <c r="G6" s="30" t="s">
        <v>260</v>
      </c>
      <c r="H6" s="30" t="s">
        <v>261</v>
      </c>
      <c r="I6" s="32" t="s">
        <v>181</v>
      </c>
      <c r="J6" s="31"/>
      <c r="K6" s="47" t="str">
        <f>"52,5"</f>
        <v>52,5</v>
      </c>
      <c r="L6" s="10" t="str">
        <f>"67,4415"</f>
        <v>67,4415</v>
      </c>
      <c r="M6" s="43" t="s">
        <v>366</v>
      </c>
    </row>
    <row r="8" spans="1:13" ht="16">
      <c r="A8" s="51" t="s">
        <v>262</v>
      </c>
      <c r="B8" s="51"/>
      <c r="C8" s="52"/>
      <c r="D8" s="52"/>
      <c r="E8" s="52"/>
      <c r="F8" s="52"/>
      <c r="G8" s="52"/>
      <c r="H8" s="52"/>
      <c r="I8" s="52"/>
      <c r="J8" s="52"/>
    </row>
    <row r="9" spans="1:13">
      <c r="A9" s="35" t="s">
        <v>133</v>
      </c>
      <c r="B9" s="11" t="s">
        <v>263</v>
      </c>
      <c r="C9" s="11" t="s">
        <v>264</v>
      </c>
      <c r="D9" s="11" t="s">
        <v>265</v>
      </c>
      <c r="E9" s="12" t="s">
        <v>439</v>
      </c>
      <c r="F9" s="11" t="s">
        <v>213</v>
      </c>
      <c r="G9" s="33" t="s">
        <v>266</v>
      </c>
      <c r="H9" s="33" t="s">
        <v>267</v>
      </c>
      <c r="I9" s="34" t="s">
        <v>193</v>
      </c>
      <c r="J9" s="35"/>
      <c r="K9" s="48" t="str">
        <f>"67,5"</f>
        <v>67,5</v>
      </c>
      <c r="L9" s="13" t="str">
        <f>"80,5478"</f>
        <v>80,5478</v>
      </c>
      <c r="M9" s="11" t="s">
        <v>268</v>
      </c>
    </row>
    <row r="10" spans="1:13">
      <c r="A10" s="41" t="s">
        <v>309</v>
      </c>
      <c r="B10" s="17" t="s">
        <v>269</v>
      </c>
      <c r="C10" s="17" t="s">
        <v>270</v>
      </c>
      <c r="D10" s="17" t="s">
        <v>271</v>
      </c>
      <c r="E10" s="18" t="s">
        <v>439</v>
      </c>
      <c r="F10" s="17" t="s">
        <v>377</v>
      </c>
      <c r="G10" s="40" t="s">
        <v>145</v>
      </c>
      <c r="H10" s="40" t="s">
        <v>145</v>
      </c>
      <c r="I10" s="40" t="s">
        <v>145</v>
      </c>
      <c r="J10" s="41"/>
      <c r="K10" s="50">
        <v>0</v>
      </c>
      <c r="L10" s="19" t="str">
        <f>"0,0000"</f>
        <v>0,0000</v>
      </c>
      <c r="M10" s="17" t="s">
        <v>272</v>
      </c>
    </row>
    <row r="12" spans="1:13" ht="16">
      <c r="A12" s="51" t="s">
        <v>138</v>
      </c>
      <c r="B12" s="51"/>
      <c r="C12" s="52"/>
      <c r="D12" s="52"/>
      <c r="E12" s="52"/>
      <c r="F12" s="52"/>
      <c r="G12" s="52"/>
      <c r="H12" s="52"/>
      <c r="I12" s="52"/>
      <c r="J12" s="52"/>
    </row>
    <row r="13" spans="1:13">
      <c r="A13" s="31" t="s">
        <v>133</v>
      </c>
      <c r="B13" s="8" t="s">
        <v>139</v>
      </c>
      <c r="C13" s="8" t="s">
        <v>140</v>
      </c>
      <c r="D13" s="8" t="s">
        <v>141</v>
      </c>
      <c r="E13" s="9" t="s">
        <v>439</v>
      </c>
      <c r="F13" s="8" t="s">
        <v>377</v>
      </c>
      <c r="G13" s="30" t="s">
        <v>145</v>
      </c>
      <c r="H13" s="32" t="s">
        <v>146</v>
      </c>
      <c r="I13" s="32" t="s">
        <v>146</v>
      </c>
      <c r="J13" s="31"/>
      <c r="K13" s="47" t="str">
        <f>"60,0"</f>
        <v>60,0</v>
      </c>
      <c r="L13" s="10" t="str">
        <f>"67,7700"</f>
        <v>67,7700</v>
      </c>
      <c r="M13" s="43" t="s">
        <v>363</v>
      </c>
    </row>
    <row r="15" spans="1:13" ht="16">
      <c r="A15" s="51" t="s">
        <v>23</v>
      </c>
      <c r="B15" s="51"/>
      <c r="C15" s="52"/>
      <c r="D15" s="52"/>
      <c r="E15" s="52"/>
      <c r="F15" s="52"/>
      <c r="G15" s="52"/>
      <c r="H15" s="52"/>
      <c r="I15" s="52"/>
      <c r="J15" s="52"/>
    </row>
    <row r="16" spans="1:13">
      <c r="A16" s="31" t="s">
        <v>133</v>
      </c>
      <c r="B16" s="8" t="s">
        <v>273</v>
      </c>
      <c r="C16" s="8" t="s">
        <v>274</v>
      </c>
      <c r="D16" s="8" t="s">
        <v>275</v>
      </c>
      <c r="E16" s="9" t="s">
        <v>439</v>
      </c>
      <c r="F16" s="8" t="s">
        <v>377</v>
      </c>
      <c r="G16" s="30" t="s">
        <v>180</v>
      </c>
      <c r="H16" s="30" t="s">
        <v>181</v>
      </c>
      <c r="I16" s="32" t="s">
        <v>276</v>
      </c>
      <c r="J16" s="31"/>
      <c r="K16" s="47" t="str">
        <f>"55,0"</f>
        <v>55,0</v>
      </c>
      <c r="L16" s="10" t="str">
        <f>"58,1020"</f>
        <v>58,1020</v>
      </c>
      <c r="M16" s="43" t="s">
        <v>369</v>
      </c>
    </row>
    <row r="18" spans="1:13" ht="16">
      <c r="A18" s="51" t="s">
        <v>138</v>
      </c>
      <c r="B18" s="51"/>
      <c r="C18" s="52"/>
      <c r="D18" s="52"/>
      <c r="E18" s="52"/>
      <c r="F18" s="52"/>
      <c r="G18" s="52"/>
      <c r="H18" s="52"/>
      <c r="I18" s="52"/>
      <c r="J18" s="52"/>
    </row>
    <row r="19" spans="1:13">
      <c r="A19" s="31" t="s">
        <v>309</v>
      </c>
      <c r="B19" s="8" t="s">
        <v>277</v>
      </c>
      <c r="C19" s="8" t="s">
        <v>278</v>
      </c>
      <c r="D19" s="8" t="s">
        <v>279</v>
      </c>
      <c r="E19" s="9" t="s">
        <v>439</v>
      </c>
      <c r="F19" s="8" t="s">
        <v>377</v>
      </c>
      <c r="G19" s="32" t="s">
        <v>180</v>
      </c>
      <c r="H19" s="32" t="s">
        <v>181</v>
      </c>
      <c r="I19" s="32" t="s">
        <v>181</v>
      </c>
      <c r="J19" s="31"/>
      <c r="K19" s="47">
        <v>0</v>
      </c>
      <c r="L19" s="10" t="str">
        <f>"0,0000"</f>
        <v>0,0000</v>
      </c>
      <c r="M19" s="43" t="s">
        <v>370</v>
      </c>
    </row>
    <row r="21" spans="1:13" ht="16">
      <c r="A21" s="51" t="s">
        <v>23</v>
      </c>
      <c r="B21" s="51"/>
      <c r="C21" s="52"/>
      <c r="D21" s="52"/>
      <c r="E21" s="52"/>
      <c r="F21" s="52"/>
      <c r="G21" s="52"/>
      <c r="H21" s="52"/>
      <c r="I21" s="52"/>
      <c r="J21" s="52"/>
    </row>
    <row r="22" spans="1:13">
      <c r="A22" s="31" t="s">
        <v>133</v>
      </c>
      <c r="B22" s="8" t="s">
        <v>280</v>
      </c>
      <c r="C22" s="8" t="s">
        <v>281</v>
      </c>
      <c r="D22" s="8" t="s">
        <v>282</v>
      </c>
      <c r="E22" s="9" t="s">
        <v>441</v>
      </c>
      <c r="F22" s="8" t="s">
        <v>431</v>
      </c>
      <c r="G22" s="30" t="s">
        <v>142</v>
      </c>
      <c r="H22" s="30" t="s">
        <v>149</v>
      </c>
      <c r="I22" s="30" t="s">
        <v>38</v>
      </c>
      <c r="J22" s="31"/>
      <c r="K22" s="47" t="str">
        <f>"115,0"</f>
        <v>115,0</v>
      </c>
      <c r="L22" s="10" t="str">
        <f>"88,6650"</f>
        <v>88,6650</v>
      </c>
      <c r="M22" s="43" t="s">
        <v>360</v>
      </c>
    </row>
    <row r="24" spans="1:13" ht="16">
      <c r="A24" s="51" t="s">
        <v>10</v>
      </c>
      <c r="B24" s="51"/>
      <c r="C24" s="52"/>
      <c r="D24" s="52"/>
      <c r="E24" s="52"/>
      <c r="F24" s="52"/>
      <c r="G24" s="52"/>
      <c r="H24" s="52"/>
      <c r="I24" s="52"/>
      <c r="J24" s="52"/>
    </row>
    <row r="25" spans="1:13">
      <c r="A25" s="35" t="s">
        <v>133</v>
      </c>
      <c r="B25" s="11" t="s">
        <v>283</v>
      </c>
      <c r="C25" s="11" t="s">
        <v>284</v>
      </c>
      <c r="D25" s="11" t="s">
        <v>285</v>
      </c>
      <c r="E25" s="12" t="s">
        <v>441</v>
      </c>
      <c r="F25" s="11" t="s">
        <v>377</v>
      </c>
      <c r="G25" s="33" t="s">
        <v>193</v>
      </c>
      <c r="H25" s="33" t="s">
        <v>286</v>
      </c>
      <c r="I25" s="34" t="s">
        <v>287</v>
      </c>
      <c r="J25" s="35"/>
      <c r="K25" s="48" t="str">
        <f>"77,5"</f>
        <v>77,5</v>
      </c>
      <c r="L25" s="13" t="str">
        <f>"57,3345"</f>
        <v>57,3345</v>
      </c>
      <c r="M25" s="11" t="s">
        <v>288</v>
      </c>
    </row>
    <row r="26" spans="1:13">
      <c r="A26" s="37" t="s">
        <v>133</v>
      </c>
      <c r="B26" s="14" t="s">
        <v>289</v>
      </c>
      <c r="C26" s="14" t="s">
        <v>402</v>
      </c>
      <c r="D26" s="14" t="s">
        <v>290</v>
      </c>
      <c r="E26" s="15" t="s">
        <v>440</v>
      </c>
      <c r="F26" s="14" t="s">
        <v>259</v>
      </c>
      <c r="G26" s="36" t="s">
        <v>30</v>
      </c>
      <c r="H26" s="38" t="s">
        <v>55</v>
      </c>
      <c r="I26" s="38" t="s">
        <v>55</v>
      </c>
      <c r="J26" s="37"/>
      <c r="K26" s="49" t="str">
        <f>"130,0"</f>
        <v>130,0</v>
      </c>
      <c r="L26" s="16" t="str">
        <f>"92,6380"</f>
        <v>92,6380</v>
      </c>
      <c r="M26" s="45" t="s">
        <v>366</v>
      </c>
    </row>
    <row r="27" spans="1:13">
      <c r="A27" s="41" t="s">
        <v>134</v>
      </c>
      <c r="B27" s="17" t="s">
        <v>291</v>
      </c>
      <c r="C27" s="17" t="s">
        <v>403</v>
      </c>
      <c r="D27" s="17" t="s">
        <v>178</v>
      </c>
      <c r="E27" s="18" t="s">
        <v>440</v>
      </c>
      <c r="F27" s="17" t="s">
        <v>179</v>
      </c>
      <c r="G27" s="39" t="s">
        <v>161</v>
      </c>
      <c r="H27" s="39" t="s">
        <v>54</v>
      </c>
      <c r="I27" s="40" t="s">
        <v>30</v>
      </c>
      <c r="J27" s="41"/>
      <c r="K27" s="50" t="str">
        <f>"125,0"</f>
        <v>125,0</v>
      </c>
      <c r="L27" s="19" t="str">
        <f>"89,2375"</f>
        <v>89,2375</v>
      </c>
      <c r="M27" s="46" t="s">
        <v>360</v>
      </c>
    </row>
    <row r="29" spans="1:13" ht="16">
      <c r="A29" s="51" t="s">
        <v>43</v>
      </c>
      <c r="B29" s="51"/>
      <c r="C29" s="52"/>
      <c r="D29" s="52"/>
      <c r="E29" s="52"/>
      <c r="F29" s="52"/>
      <c r="G29" s="52"/>
      <c r="H29" s="52"/>
      <c r="I29" s="52"/>
      <c r="J29" s="52"/>
    </row>
    <row r="30" spans="1:13">
      <c r="A30" s="35" t="s">
        <v>133</v>
      </c>
      <c r="B30" s="11" t="s">
        <v>292</v>
      </c>
      <c r="C30" s="11" t="s">
        <v>293</v>
      </c>
      <c r="D30" s="11" t="s">
        <v>294</v>
      </c>
      <c r="E30" s="12" t="s">
        <v>441</v>
      </c>
      <c r="F30" s="11" t="s">
        <v>377</v>
      </c>
      <c r="G30" s="33" t="s">
        <v>17</v>
      </c>
      <c r="H30" s="33" t="s">
        <v>18</v>
      </c>
      <c r="I30" s="34" t="s">
        <v>19</v>
      </c>
      <c r="J30" s="35"/>
      <c r="K30" s="48" t="str">
        <f>"80,0"</f>
        <v>80,0</v>
      </c>
      <c r="L30" s="13" t="str">
        <f>"53,8320"</f>
        <v>53,8320</v>
      </c>
      <c r="M30" s="44" t="s">
        <v>371</v>
      </c>
    </row>
    <row r="31" spans="1:13">
      <c r="A31" s="37" t="s">
        <v>133</v>
      </c>
      <c r="B31" s="14" t="s">
        <v>295</v>
      </c>
      <c r="C31" s="14" t="s">
        <v>404</v>
      </c>
      <c r="D31" s="14" t="s">
        <v>296</v>
      </c>
      <c r="E31" s="15" t="s">
        <v>440</v>
      </c>
      <c r="F31" s="14" t="s">
        <v>377</v>
      </c>
      <c r="G31" s="36" t="s">
        <v>297</v>
      </c>
      <c r="H31" s="36" t="s">
        <v>298</v>
      </c>
      <c r="I31" s="38" t="s">
        <v>149</v>
      </c>
      <c r="J31" s="37"/>
      <c r="K31" s="49" t="str">
        <f>"102,5"</f>
        <v>102,5</v>
      </c>
      <c r="L31" s="16" t="str">
        <f>"72,3752"</f>
        <v>72,3752</v>
      </c>
      <c r="M31" s="45" t="s">
        <v>371</v>
      </c>
    </row>
    <row r="32" spans="1:13">
      <c r="A32" s="41" t="s">
        <v>133</v>
      </c>
      <c r="B32" s="17" t="s">
        <v>299</v>
      </c>
      <c r="C32" s="17" t="s">
        <v>397</v>
      </c>
      <c r="D32" s="17" t="s">
        <v>300</v>
      </c>
      <c r="E32" s="18" t="s">
        <v>444</v>
      </c>
      <c r="F32" s="17" t="s">
        <v>213</v>
      </c>
      <c r="G32" s="39" t="s">
        <v>161</v>
      </c>
      <c r="H32" s="40" t="s">
        <v>54</v>
      </c>
      <c r="I32" s="40" t="s">
        <v>54</v>
      </c>
      <c r="J32" s="41"/>
      <c r="K32" s="50" t="str">
        <f>"120,0"</f>
        <v>120,0</v>
      </c>
      <c r="L32" s="19" t="str">
        <f>"94,1779"</f>
        <v>94,1779</v>
      </c>
      <c r="M32" s="17"/>
    </row>
    <row r="34" spans="1:13" ht="16">
      <c r="A34" s="51" t="s">
        <v>50</v>
      </c>
      <c r="B34" s="51"/>
      <c r="C34" s="52"/>
      <c r="D34" s="52"/>
      <c r="E34" s="52"/>
      <c r="F34" s="52"/>
      <c r="G34" s="52"/>
      <c r="H34" s="52"/>
      <c r="I34" s="52"/>
      <c r="J34" s="52"/>
    </row>
    <row r="35" spans="1:13">
      <c r="A35" s="31" t="s">
        <v>133</v>
      </c>
      <c r="B35" s="8" t="s">
        <v>163</v>
      </c>
      <c r="C35" s="8" t="s">
        <v>164</v>
      </c>
      <c r="D35" s="8" t="s">
        <v>165</v>
      </c>
      <c r="E35" s="9" t="s">
        <v>439</v>
      </c>
      <c r="F35" s="8" t="s">
        <v>377</v>
      </c>
      <c r="G35" s="30" t="s">
        <v>14</v>
      </c>
      <c r="H35" s="32" t="s">
        <v>85</v>
      </c>
      <c r="I35" s="32" t="s">
        <v>85</v>
      </c>
      <c r="J35" s="31"/>
      <c r="K35" s="47" t="str">
        <f>"140,0"</f>
        <v>140,0</v>
      </c>
      <c r="L35" s="10" t="str">
        <f>"90,4260"</f>
        <v>90,4260</v>
      </c>
      <c r="M35" s="8"/>
    </row>
    <row r="37" spans="1:13" ht="16">
      <c r="A37" s="51" t="s">
        <v>96</v>
      </c>
      <c r="B37" s="51"/>
      <c r="C37" s="52"/>
      <c r="D37" s="52"/>
      <c r="E37" s="52"/>
      <c r="F37" s="52"/>
      <c r="G37" s="52"/>
      <c r="H37" s="52"/>
      <c r="I37" s="52"/>
      <c r="J37" s="52"/>
    </row>
    <row r="38" spans="1:13">
      <c r="A38" s="31" t="s">
        <v>133</v>
      </c>
      <c r="B38" s="8" t="s">
        <v>301</v>
      </c>
      <c r="C38" s="8" t="s">
        <v>302</v>
      </c>
      <c r="D38" s="8" t="s">
        <v>303</v>
      </c>
      <c r="E38" s="9" t="s">
        <v>441</v>
      </c>
      <c r="F38" s="8" t="s">
        <v>179</v>
      </c>
      <c r="G38" s="30" t="s">
        <v>297</v>
      </c>
      <c r="H38" s="30" t="s">
        <v>143</v>
      </c>
      <c r="I38" s="31"/>
      <c r="J38" s="31"/>
      <c r="K38" s="47" t="str">
        <f>"105,0"</f>
        <v>105,0</v>
      </c>
      <c r="L38" s="10" t="str">
        <f>"64,6590"</f>
        <v>64,6590</v>
      </c>
      <c r="M38" s="43" t="s">
        <v>360</v>
      </c>
    </row>
    <row r="40" spans="1:13" ht="16">
      <c r="A40" s="51" t="s">
        <v>227</v>
      </c>
      <c r="B40" s="51"/>
      <c r="C40" s="52"/>
      <c r="D40" s="52"/>
      <c r="E40" s="52"/>
      <c r="F40" s="52"/>
      <c r="G40" s="52"/>
      <c r="H40" s="52"/>
      <c r="I40" s="52"/>
      <c r="J40" s="52"/>
    </row>
    <row r="41" spans="1:13">
      <c r="A41" s="31" t="s">
        <v>133</v>
      </c>
      <c r="B41" s="8" t="s">
        <v>304</v>
      </c>
      <c r="C41" s="8" t="s">
        <v>305</v>
      </c>
      <c r="D41" s="8" t="s">
        <v>306</v>
      </c>
      <c r="E41" s="9" t="s">
        <v>439</v>
      </c>
      <c r="F41" s="8" t="s">
        <v>377</v>
      </c>
      <c r="G41" s="32" t="s">
        <v>54</v>
      </c>
      <c r="H41" s="32" t="s">
        <v>54</v>
      </c>
      <c r="I41" s="30" t="s">
        <v>39</v>
      </c>
      <c r="J41" s="31"/>
      <c r="K41" s="47" t="str">
        <f>"127,5"</f>
        <v>127,5</v>
      </c>
      <c r="L41" s="10" t="str">
        <f>"75,5820"</f>
        <v>75,5820</v>
      </c>
      <c r="M41" s="43" t="s">
        <v>372</v>
      </c>
    </row>
    <row r="43" spans="1:13">
      <c r="G43" s="6"/>
      <c r="M43" s="7"/>
    </row>
    <row r="44" spans="1:13">
      <c r="M44" s="7"/>
    </row>
    <row r="45" spans="1:13" ht="18">
      <c r="B45" s="21" t="s">
        <v>121</v>
      </c>
      <c r="C45" s="21"/>
      <c r="M45" s="7"/>
    </row>
    <row r="46" spans="1:13" ht="16">
      <c r="B46" s="22" t="s">
        <v>122</v>
      </c>
      <c r="C46" s="22"/>
      <c r="M46" s="7"/>
    </row>
    <row r="47" spans="1:13" ht="14">
      <c r="B47" s="23"/>
      <c r="C47" s="24" t="s">
        <v>123</v>
      </c>
      <c r="M47" s="7"/>
    </row>
    <row r="48" spans="1:13" ht="14">
      <c r="B48" s="25" t="s">
        <v>124</v>
      </c>
      <c r="C48" s="25" t="s">
        <v>125</v>
      </c>
      <c r="D48" s="25" t="s">
        <v>433</v>
      </c>
      <c r="E48" s="26" t="s">
        <v>251</v>
      </c>
      <c r="F48" s="25" t="s">
        <v>127</v>
      </c>
      <c r="M48" s="7"/>
    </row>
    <row r="49" spans="2:13">
      <c r="B49" s="6" t="s">
        <v>263</v>
      </c>
      <c r="C49" s="6" t="s">
        <v>123</v>
      </c>
      <c r="D49" s="28" t="s">
        <v>307</v>
      </c>
      <c r="E49" s="29">
        <v>67.5</v>
      </c>
      <c r="F49" s="27">
        <v>80.547750592231793</v>
      </c>
      <c r="M49" s="7"/>
    </row>
    <row r="50" spans="2:13">
      <c r="B50" s="6" t="s">
        <v>139</v>
      </c>
      <c r="C50" s="6" t="s">
        <v>123</v>
      </c>
      <c r="D50" s="28" t="s">
        <v>169</v>
      </c>
      <c r="E50" s="29">
        <v>60</v>
      </c>
      <c r="F50" s="27">
        <v>67.770001888275104</v>
      </c>
      <c r="M50" s="7"/>
    </row>
    <row r="51" spans="2:13">
      <c r="B51" s="6" t="s">
        <v>256</v>
      </c>
      <c r="C51" s="6" t="s">
        <v>123</v>
      </c>
      <c r="D51" s="28" t="s">
        <v>308</v>
      </c>
      <c r="E51" s="29">
        <v>52.5</v>
      </c>
      <c r="F51" s="27">
        <v>67.441501021385207</v>
      </c>
      <c r="G51" s="6"/>
      <c r="M51" s="7"/>
    </row>
    <row r="52" spans="2:13">
      <c r="E52" s="6"/>
      <c r="F52" s="20"/>
      <c r="G52" s="6"/>
      <c r="M52" s="7"/>
    </row>
  </sheetData>
  <mergeCells count="22"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29:J29"/>
    <mergeCell ref="A34:J34"/>
    <mergeCell ref="A37:J37"/>
    <mergeCell ref="A40:J40"/>
    <mergeCell ref="B3:B4"/>
    <mergeCell ref="A8:J8"/>
    <mergeCell ref="A12:J12"/>
    <mergeCell ref="A15:J15"/>
    <mergeCell ref="A18:J18"/>
    <mergeCell ref="A21:J21"/>
    <mergeCell ref="A24:J2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M73"/>
  <sheetViews>
    <sheetView topLeftCell="A19" workbookViewId="0">
      <selection activeCell="E58" sqref="E58"/>
    </sheetView>
  </sheetViews>
  <sheetFormatPr baseColWidth="10" defaultColWidth="9.1640625" defaultRowHeight="13"/>
  <cols>
    <col min="1" max="1" width="7.5" style="6" bestFit="1" customWidth="1"/>
    <col min="2" max="2" width="21.6640625" style="6" bestFit="1" customWidth="1"/>
    <col min="3" max="3" width="28.5" style="6" bestFit="1" customWidth="1"/>
    <col min="4" max="4" width="21.5" style="6" bestFit="1" customWidth="1"/>
    <col min="5" max="5" width="10.5" style="20" bestFit="1" customWidth="1"/>
    <col min="6" max="6" width="39" style="6" bestFit="1" customWidth="1"/>
    <col min="7" max="7" width="5.6640625" style="28" bestFit="1" customWidth="1"/>
    <col min="8" max="9" width="5.5" style="28" customWidth="1"/>
    <col min="10" max="10" width="4.83203125" style="28" customWidth="1"/>
    <col min="11" max="11" width="10.5" style="7" bestFit="1" customWidth="1"/>
    <col min="12" max="12" width="8.5" style="7" bestFit="1" customWidth="1"/>
    <col min="13" max="13" width="22.83203125" style="6" bestFit="1" customWidth="1"/>
    <col min="14" max="16384" width="9.1640625" style="3"/>
  </cols>
  <sheetData>
    <row r="1" spans="1:13" s="2" customFormat="1" ht="29" customHeight="1">
      <c r="A1" s="61" t="s">
        <v>389</v>
      </c>
      <c r="B1" s="62"/>
      <c r="C1" s="63"/>
      <c r="D1" s="63"/>
      <c r="E1" s="63"/>
      <c r="F1" s="63"/>
      <c r="G1" s="63"/>
      <c r="H1" s="63"/>
      <c r="I1" s="63"/>
      <c r="J1" s="63"/>
      <c r="K1" s="63"/>
      <c r="L1" s="63"/>
      <c r="M1" s="64"/>
    </row>
    <row r="2" spans="1:13" s="2" customFormat="1" ht="62" customHeight="1" thickBot="1">
      <c r="A2" s="65"/>
      <c r="B2" s="66"/>
      <c r="C2" s="67"/>
      <c r="D2" s="67"/>
      <c r="E2" s="67"/>
      <c r="F2" s="67"/>
      <c r="G2" s="67"/>
      <c r="H2" s="67"/>
      <c r="I2" s="67"/>
      <c r="J2" s="67"/>
      <c r="K2" s="67"/>
      <c r="L2" s="67"/>
      <c r="M2" s="68"/>
    </row>
    <row r="3" spans="1:13" s="1" customFormat="1" ht="12.75" customHeight="1">
      <c r="A3" s="69" t="s">
        <v>137</v>
      </c>
      <c r="B3" s="53" t="s">
        <v>0</v>
      </c>
      <c r="C3" s="71" t="s">
        <v>437</v>
      </c>
      <c r="D3" s="71" t="s">
        <v>6</v>
      </c>
      <c r="E3" s="55" t="s">
        <v>438</v>
      </c>
      <c r="F3" s="73" t="s">
        <v>5</v>
      </c>
      <c r="G3" s="73" t="s">
        <v>8</v>
      </c>
      <c r="H3" s="73"/>
      <c r="I3" s="73"/>
      <c r="J3" s="73"/>
      <c r="K3" s="55" t="s">
        <v>254</v>
      </c>
      <c r="L3" s="55" t="s">
        <v>3</v>
      </c>
      <c r="M3" s="57" t="s">
        <v>2</v>
      </c>
    </row>
    <row r="4" spans="1:13" s="1" customFormat="1" ht="21" customHeight="1" thickBot="1">
      <c r="A4" s="70"/>
      <c r="B4" s="54"/>
      <c r="C4" s="72"/>
      <c r="D4" s="72"/>
      <c r="E4" s="56"/>
      <c r="F4" s="72"/>
      <c r="G4" s="4">
        <v>1</v>
      </c>
      <c r="H4" s="4">
        <v>2</v>
      </c>
      <c r="I4" s="4">
        <v>3</v>
      </c>
      <c r="J4" s="4" t="s">
        <v>4</v>
      </c>
      <c r="K4" s="56"/>
      <c r="L4" s="56"/>
      <c r="M4" s="58"/>
    </row>
    <row r="5" spans="1:13" ht="16">
      <c r="A5" s="59" t="s">
        <v>138</v>
      </c>
      <c r="B5" s="59"/>
      <c r="C5" s="60"/>
      <c r="D5" s="60"/>
      <c r="E5" s="60"/>
      <c r="F5" s="60"/>
      <c r="G5" s="60"/>
      <c r="H5" s="60"/>
      <c r="I5" s="60"/>
      <c r="J5" s="60"/>
    </row>
    <row r="6" spans="1:13">
      <c r="A6" s="31" t="s">
        <v>133</v>
      </c>
      <c r="B6" s="8" t="s">
        <v>170</v>
      </c>
      <c r="C6" s="8" t="s">
        <v>398</v>
      </c>
      <c r="D6" s="8" t="s">
        <v>171</v>
      </c>
      <c r="E6" s="9" t="s">
        <v>445</v>
      </c>
      <c r="F6" s="8" t="s">
        <v>425</v>
      </c>
      <c r="G6" s="30" t="s">
        <v>172</v>
      </c>
      <c r="H6" s="30" t="s">
        <v>173</v>
      </c>
      <c r="I6" s="32" t="s">
        <v>174</v>
      </c>
      <c r="J6" s="31"/>
      <c r="K6" s="10" t="str">
        <f>"25,0"</f>
        <v>25,0</v>
      </c>
      <c r="L6" s="10" t="str">
        <f>"44,9795"</f>
        <v>44,9795</v>
      </c>
      <c r="M6" s="8" t="s">
        <v>175</v>
      </c>
    </row>
    <row r="8" spans="1:13" ht="16">
      <c r="A8" s="51" t="s">
        <v>10</v>
      </c>
      <c r="B8" s="51"/>
      <c r="C8" s="52"/>
      <c r="D8" s="52"/>
      <c r="E8" s="52"/>
      <c r="F8" s="52"/>
      <c r="G8" s="52"/>
      <c r="H8" s="52"/>
      <c r="I8" s="52"/>
      <c r="J8" s="52"/>
    </row>
    <row r="9" spans="1:13">
      <c r="A9" s="35" t="s">
        <v>133</v>
      </c>
      <c r="B9" s="11" t="s">
        <v>176</v>
      </c>
      <c r="C9" s="11" t="s">
        <v>177</v>
      </c>
      <c r="D9" s="11" t="s">
        <v>178</v>
      </c>
      <c r="E9" s="12" t="s">
        <v>439</v>
      </c>
      <c r="F9" s="11" t="s">
        <v>179</v>
      </c>
      <c r="G9" s="33" t="s">
        <v>180</v>
      </c>
      <c r="H9" s="33" t="s">
        <v>181</v>
      </c>
      <c r="I9" s="34" t="s">
        <v>145</v>
      </c>
      <c r="J9" s="35"/>
      <c r="K9" s="13" t="str">
        <f>"55,0"</f>
        <v>55,0</v>
      </c>
      <c r="L9" s="13" t="str">
        <f>"52,3710"</f>
        <v>52,3710</v>
      </c>
      <c r="M9" s="44" t="s">
        <v>360</v>
      </c>
    </row>
    <row r="10" spans="1:13">
      <c r="A10" s="41" t="s">
        <v>133</v>
      </c>
      <c r="B10" s="17" t="s">
        <v>182</v>
      </c>
      <c r="C10" s="17" t="s">
        <v>183</v>
      </c>
      <c r="D10" s="17" t="s">
        <v>184</v>
      </c>
      <c r="E10" s="18" t="s">
        <v>446</v>
      </c>
      <c r="F10" s="17" t="s">
        <v>425</v>
      </c>
      <c r="G10" s="39" t="s">
        <v>185</v>
      </c>
      <c r="H10" s="39" t="s">
        <v>173</v>
      </c>
      <c r="I10" s="40" t="s">
        <v>174</v>
      </c>
      <c r="J10" s="41"/>
      <c r="K10" s="19" t="str">
        <f>"25,0"</f>
        <v>25,0</v>
      </c>
      <c r="L10" s="19" t="str">
        <f>"49,2495"</f>
        <v>49,2495</v>
      </c>
      <c r="M10" s="17" t="s">
        <v>175</v>
      </c>
    </row>
    <row r="12" spans="1:13" ht="16">
      <c r="A12" s="51" t="s">
        <v>23</v>
      </c>
      <c r="B12" s="51"/>
      <c r="C12" s="52"/>
      <c r="D12" s="52"/>
      <c r="E12" s="52"/>
      <c r="F12" s="52"/>
      <c r="G12" s="52"/>
      <c r="H12" s="52"/>
      <c r="I12" s="52"/>
      <c r="J12" s="52"/>
    </row>
    <row r="13" spans="1:13">
      <c r="A13" s="31" t="s">
        <v>133</v>
      </c>
      <c r="B13" s="8" t="s">
        <v>186</v>
      </c>
      <c r="C13" s="8" t="s">
        <v>187</v>
      </c>
      <c r="D13" s="8" t="s">
        <v>188</v>
      </c>
      <c r="E13" s="9" t="s">
        <v>441</v>
      </c>
      <c r="F13" s="8" t="s">
        <v>430</v>
      </c>
      <c r="G13" s="32" t="s">
        <v>189</v>
      </c>
      <c r="H13" s="30" t="s">
        <v>17</v>
      </c>
      <c r="I13" s="30" t="s">
        <v>18</v>
      </c>
      <c r="J13" s="31"/>
      <c r="K13" s="10" t="str">
        <f>"80,0"</f>
        <v>80,0</v>
      </c>
      <c r="L13" s="10" t="str">
        <f>"62,8160"</f>
        <v>62,8160</v>
      </c>
      <c r="M13" s="43" t="s">
        <v>435</v>
      </c>
    </row>
    <row r="15" spans="1:13" ht="16">
      <c r="A15" s="51" t="s">
        <v>10</v>
      </c>
      <c r="B15" s="51"/>
      <c r="C15" s="52"/>
      <c r="D15" s="52"/>
      <c r="E15" s="52"/>
      <c r="F15" s="52"/>
      <c r="G15" s="52"/>
      <c r="H15" s="52"/>
      <c r="I15" s="52"/>
      <c r="J15" s="52"/>
    </row>
    <row r="16" spans="1:13">
      <c r="A16" s="35" t="s">
        <v>133</v>
      </c>
      <c r="B16" s="11" t="s">
        <v>190</v>
      </c>
      <c r="C16" s="11" t="s">
        <v>191</v>
      </c>
      <c r="D16" s="11" t="s">
        <v>192</v>
      </c>
      <c r="E16" s="12" t="s">
        <v>441</v>
      </c>
      <c r="F16" s="11" t="s">
        <v>430</v>
      </c>
      <c r="G16" s="33" t="s">
        <v>146</v>
      </c>
      <c r="H16" s="34" t="s">
        <v>193</v>
      </c>
      <c r="I16" s="34" t="s">
        <v>193</v>
      </c>
      <c r="J16" s="35"/>
      <c r="K16" s="13" t="str">
        <f>"65,0"</f>
        <v>65,0</v>
      </c>
      <c r="L16" s="13" t="str">
        <f>"47,8400"</f>
        <v>47,8400</v>
      </c>
      <c r="M16" s="11"/>
    </row>
    <row r="17" spans="1:13">
      <c r="A17" s="41" t="s">
        <v>133</v>
      </c>
      <c r="B17" s="17" t="s">
        <v>194</v>
      </c>
      <c r="C17" s="17" t="s">
        <v>195</v>
      </c>
      <c r="D17" s="17" t="s">
        <v>196</v>
      </c>
      <c r="E17" s="18" t="s">
        <v>439</v>
      </c>
      <c r="F17" s="17" t="s">
        <v>436</v>
      </c>
      <c r="G17" s="39" t="s">
        <v>146</v>
      </c>
      <c r="H17" s="39" t="s">
        <v>189</v>
      </c>
      <c r="I17" s="39" t="s">
        <v>17</v>
      </c>
      <c r="J17" s="41"/>
      <c r="K17" s="19" t="str">
        <f>"75,0"</f>
        <v>75,0</v>
      </c>
      <c r="L17" s="19" t="str">
        <f>"54,2625"</f>
        <v>54,2625</v>
      </c>
      <c r="M17" s="17" t="s">
        <v>175</v>
      </c>
    </row>
    <row r="19" spans="1:13" ht="16">
      <c r="A19" s="51" t="s">
        <v>43</v>
      </c>
      <c r="B19" s="51"/>
      <c r="C19" s="52"/>
      <c r="D19" s="52"/>
      <c r="E19" s="52"/>
      <c r="F19" s="52"/>
      <c r="G19" s="52"/>
      <c r="H19" s="52"/>
      <c r="I19" s="52"/>
      <c r="J19" s="52"/>
    </row>
    <row r="20" spans="1:13">
      <c r="A20" s="31" t="s">
        <v>133</v>
      </c>
      <c r="B20" s="8" t="s">
        <v>197</v>
      </c>
      <c r="C20" s="8" t="s">
        <v>198</v>
      </c>
      <c r="D20" s="8" t="s">
        <v>199</v>
      </c>
      <c r="E20" s="9" t="s">
        <v>439</v>
      </c>
      <c r="F20" s="8" t="s">
        <v>179</v>
      </c>
      <c r="G20" s="30" t="s">
        <v>100</v>
      </c>
      <c r="H20" s="30" t="s">
        <v>101</v>
      </c>
      <c r="I20" s="32" t="s">
        <v>150</v>
      </c>
      <c r="J20" s="31"/>
      <c r="K20" s="10" t="str">
        <f>"175,0"</f>
        <v>175,0</v>
      </c>
      <c r="L20" s="10" t="str">
        <f>"117,2325"</f>
        <v>117,2325</v>
      </c>
      <c r="M20" s="43" t="s">
        <v>360</v>
      </c>
    </row>
    <row r="22" spans="1:13" ht="16">
      <c r="A22" s="51" t="s">
        <v>50</v>
      </c>
      <c r="B22" s="51"/>
      <c r="C22" s="52"/>
      <c r="D22" s="52"/>
      <c r="E22" s="52"/>
      <c r="F22" s="52"/>
      <c r="G22" s="52"/>
      <c r="H22" s="52"/>
      <c r="I22" s="52"/>
      <c r="J22" s="52"/>
    </row>
    <row r="23" spans="1:13">
      <c r="A23" s="35" t="s">
        <v>133</v>
      </c>
      <c r="B23" s="11" t="s">
        <v>59</v>
      </c>
      <c r="C23" s="11" t="s">
        <v>60</v>
      </c>
      <c r="D23" s="11" t="s">
        <v>61</v>
      </c>
      <c r="E23" s="12" t="s">
        <v>439</v>
      </c>
      <c r="F23" s="11" t="s">
        <v>62</v>
      </c>
      <c r="G23" s="33" t="s">
        <v>65</v>
      </c>
      <c r="H23" s="33" t="s">
        <v>41</v>
      </c>
      <c r="I23" s="34" t="s">
        <v>66</v>
      </c>
      <c r="J23" s="35"/>
      <c r="K23" s="13" t="str">
        <f>"210,0"</f>
        <v>210,0</v>
      </c>
      <c r="L23" s="13" t="str">
        <f>"135,8070"</f>
        <v>135,8070</v>
      </c>
      <c r="M23" s="11" t="s">
        <v>69</v>
      </c>
    </row>
    <row r="24" spans="1:13">
      <c r="A24" s="37" t="s">
        <v>134</v>
      </c>
      <c r="B24" s="14" t="s">
        <v>70</v>
      </c>
      <c r="C24" s="14" t="s">
        <v>71</v>
      </c>
      <c r="D24" s="14" t="s">
        <v>72</v>
      </c>
      <c r="E24" s="15" t="s">
        <v>439</v>
      </c>
      <c r="F24" s="14" t="s">
        <v>73</v>
      </c>
      <c r="G24" s="36" t="s">
        <v>75</v>
      </c>
      <c r="H24" s="36" t="s">
        <v>37</v>
      </c>
      <c r="I24" s="36" t="s">
        <v>41</v>
      </c>
      <c r="J24" s="37"/>
      <c r="K24" s="16" t="str">
        <f>"210,0"</f>
        <v>210,0</v>
      </c>
      <c r="L24" s="16" t="str">
        <f>"134,7570"</f>
        <v>134,7570</v>
      </c>
      <c r="M24" s="45" t="s">
        <v>362</v>
      </c>
    </row>
    <row r="25" spans="1:13">
      <c r="A25" s="37" t="s">
        <v>133</v>
      </c>
      <c r="B25" s="14" t="s">
        <v>200</v>
      </c>
      <c r="C25" s="14" t="s">
        <v>405</v>
      </c>
      <c r="D25" s="14" t="s">
        <v>52</v>
      </c>
      <c r="E25" s="15" t="s">
        <v>442</v>
      </c>
      <c r="F25" s="14" t="s">
        <v>425</v>
      </c>
      <c r="G25" s="36" t="s">
        <v>201</v>
      </c>
      <c r="H25" s="36" t="s">
        <v>100</v>
      </c>
      <c r="I25" s="38" t="s">
        <v>101</v>
      </c>
      <c r="J25" s="37"/>
      <c r="K25" s="16" t="str">
        <f>"170,0"</f>
        <v>170,0</v>
      </c>
      <c r="L25" s="16" t="str">
        <f>"109,3098"</f>
        <v>109,3098</v>
      </c>
      <c r="M25" s="14" t="s">
        <v>202</v>
      </c>
    </row>
    <row r="26" spans="1:13">
      <c r="A26" s="37" t="s">
        <v>133</v>
      </c>
      <c r="B26" s="14" t="s">
        <v>203</v>
      </c>
      <c r="C26" s="14" t="s">
        <v>406</v>
      </c>
      <c r="D26" s="14" t="s">
        <v>204</v>
      </c>
      <c r="E26" s="15" t="s">
        <v>447</v>
      </c>
      <c r="F26" s="14" t="s">
        <v>428</v>
      </c>
      <c r="G26" s="36" t="s">
        <v>142</v>
      </c>
      <c r="H26" s="36" t="s">
        <v>143</v>
      </c>
      <c r="I26" s="36" t="s">
        <v>149</v>
      </c>
      <c r="J26" s="37"/>
      <c r="K26" s="16" t="str">
        <f>"107,5"</f>
        <v>107,5</v>
      </c>
      <c r="L26" s="16" t="str">
        <f>"100,2330"</f>
        <v>100,2330</v>
      </c>
      <c r="M26" s="14"/>
    </row>
    <row r="27" spans="1:13">
      <c r="A27" s="41" t="s">
        <v>133</v>
      </c>
      <c r="B27" s="17" t="s">
        <v>205</v>
      </c>
      <c r="C27" s="17" t="s">
        <v>407</v>
      </c>
      <c r="D27" s="17" t="s">
        <v>206</v>
      </c>
      <c r="E27" s="18" t="s">
        <v>445</v>
      </c>
      <c r="F27" s="17" t="s">
        <v>427</v>
      </c>
      <c r="G27" s="39" t="s">
        <v>142</v>
      </c>
      <c r="H27" s="40" t="s">
        <v>144</v>
      </c>
      <c r="I27" s="40" t="s">
        <v>144</v>
      </c>
      <c r="J27" s="41"/>
      <c r="K27" s="19" t="str">
        <f>"100,0"</f>
        <v>100,0</v>
      </c>
      <c r="L27" s="19" t="str">
        <f>"102,1282"</f>
        <v>102,1282</v>
      </c>
      <c r="M27" s="17"/>
    </row>
    <row r="29" spans="1:13" ht="16">
      <c r="A29" s="51" t="s">
        <v>96</v>
      </c>
      <c r="B29" s="51"/>
      <c r="C29" s="52"/>
      <c r="D29" s="52"/>
      <c r="E29" s="52"/>
      <c r="F29" s="52"/>
      <c r="G29" s="52"/>
      <c r="H29" s="52"/>
      <c r="I29" s="52"/>
      <c r="J29" s="52"/>
    </row>
    <row r="30" spans="1:13">
      <c r="A30" s="35" t="s">
        <v>133</v>
      </c>
      <c r="B30" s="11" t="s">
        <v>207</v>
      </c>
      <c r="C30" s="11" t="s">
        <v>208</v>
      </c>
      <c r="D30" s="11" t="s">
        <v>209</v>
      </c>
      <c r="E30" s="12" t="s">
        <v>439</v>
      </c>
      <c r="F30" s="11" t="s">
        <v>377</v>
      </c>
      <c r="G30" s="33" t="s">
        <v>40</v>
      </c>
      <c r="H30" s="33" t="s">
        <v>41</v>
      </c>
      <c r="I30" s="33" t="s">
        <v>91</v>
      </c>
      <c r="J30" s="35"/>
      <c r="K30" s="13" t="str">
        <f>"220,0"</f>
        <v>220,0</v>
      </c>
      <c r="L30" s="13" t="str">
        <f>"134,5960"</f>
        <v>134,5960</v>
      </c>
      <c r="M30" s="11"/>
    </row>
    <row r="31" spans="1:13">
      <c r="A31" s="37" t="s">
        <v>134</v>
      </c>
      <c r="B31" s="14" t="s">
        <v>210</v>
      </c>
      <c r="C31" s="14" t="s">
        <v>211</v>
      </c>
      <c r="D31" s="14" t="s">
        <v>212</v>
      </c>
      <c r="E31" s="15" t="s">
        <v>439</v>
      </c>
      <c r="F31" s="14" t="s">
        <v>213</v>
      </c>
      <c r="G31" s="36" t="s">
        <v>112</v>
      </c>
      <c r="H31" s="38" t="s">
        <v>22</v>
      </c>
      <c r="I31" s="36" t="s">
        <v>22</v>
      </c>
      <c r="J31" s="37"/>
      <c r="K31" s="16" t="str">
        <f>"192,5"</f>
        <v>192,5</v>
      </c>
      <c r="L31" s="16" t="str">
        <f>"118,3298"</f>
        <v>118,3298</v>
      </c>
      <c r="M31" s="45" t="s">
        <v>373</v>
      </c>
    </row>
    <row r="32" spans="1:13">
      <c r="A32" s="37" t="s">
        <v>135</v>
      </c>
      <c r="B32" s="14" t="s">
        <v>214</v>
      </c>
      <c r="C32" s="14" t="s">
        <v>215</v>
      </c>
      <c r="D32" s="14" t="s">
        <v>216</v>
      </c>
      <c r="E32" s="15" t="s">
        <v>439</v>
      </c>
      <c r="F32" s="14" t="s">
        <v>377</v>
      </c>
      <c r="G32" s="36" t="s">
        <v>15</v>
      </c>
      <c r="H32" s="36" t="s">
        <v>217</v>
      </c>
      <c r="I32" s="36" t="s">
        <v>85</v>
      </c>
      <c r="J32" s="37"/>
      <c r="K32" s="16" t="str">
        <f>"160,0"</f>
        <v>160,0</v>
      </c>
      <c r="L32" s="16" t="str">
        <f>"97,4880"</f>
        <v>97,4880</v>
      </c>
      <c r="M32" s="14"/>
    </row>
    <row r="33" spans="1:13">
      <c r="A33" s="37" t="s">
        <v>133</v>
      </c>
      <c r="B33" s="14" t="s">
        <v>218</v>
      </c>
      <c r="C33" s="14" t="s">
        <v>408</v>
      </c>
      <c r="D33" s="14" t="s">
        <v>219</v>
      </c>
      <c r="E33" s="15" t="s">
        <v>442</v>
      </c>
      <c r="F33" s="14" t="s">
        <v>377</v>
      </c>
      <c r="G33" s="36" t="s">
        <v>100</v>
      </c>
      <c r="H33" s="36" t="s">
        <v>53</v>
      </c>
      <c r="I33" s="36" t="s">
        <v>112</v>
      </c>
      <c r="J33" s="37"/>
      <c r="K33" s="16" t="str">
        <f>"185,0"</f>
        <v>185,0</v>
      </c>
      <c r="L33" s="16" t="str">
        <f>"112,9055"</f>
        <v>112,9055</v>
      </c>
      <c r="M33" s="14"/>
    </row>
    <row r="34" spans="1:13">
      <c r="A34" s="37" t="s">
        <v>134</v>
      </c>
      <c r="B34" s="14" t="s">
        <v>220</v>
      </c>
      <c r="C34" s="14" t="s">
        <v>392</v>
      </c>
      <c r="D34" s="14" t="s">
        <v>221</v>
      </c>
      <c r="E34" s="15" t="s">
        <v>442</v>
      </c>
      <c r="F34" s="14" t="s">
        <v>213</v>
      </c>
      <c r="G34" s="36" t="s">
        <v>100</v>
      </c>
      <c r="H34" s="36" t="s">
        <v>101</v>
      </c>
      <c r="I34" s="36" t="s">
        <v>21</v>
      </c>
      <c r="J34" s="37"/>
      <c r="K34" s="16" t="str">
        <f>"182,5"</f>
        <v>182,5</v>
      </c>
      <c r="L34" s="16" t="str">
        <f>"116,4710"</f>
        <v>116,4710</v>
      </c>
      <c r="M34" s="45" t="s">
        <v>374</v>
      </c>
    </row>
    <row r="35" spans="1:13">
      <c r="A35" s="37" t="s">
        <v>135</v>
      </c>
      <c r="B35" s="14" t="s">
        <v>222</v>
      </c>
      <c r="C35" s="14" t="s">
        <v>409</v>
      </c>
      <c r="D35" s="14" t="s">
        <v>219</v>
      </c>
      <c r="E35" s="15" t="s">
        <v>442</v>
      </c>
      <c r="F35" s="14" t="s">
        <v>425</v>
      </c>
      <c r="G35" s="36" t="s">
        <v>84</v>
      </c>
      <c r="H35" s="36" t="s">
        <v>85</v>
      </c>
      <c r="I35" s="36" t="s">
        <v>94</v>
      </c>
      <c r="J35" s="37"/>
      <c r="K35" s="16" t="str">
        <f>"162,5"</f>
        <v>162,5</v>
      </c>
      <c r="L35" s="16" t="str">
        <f>"99,1738"</f>
        <v>99,1738</v>
      </c>
      <c r="M35" s="14"/>
    </row>
    <row r="36" spans="1:13">
      <c r="A36" s="37" t="s">
        <v>133</v>
      </c>
      <c r="B36" s="14" t="s">
        <v>207</v>
      </c>
      <c r="C36" s="14" t="s">
        <v>410</v>
      </c>
      <c r="D36" s="14" t="s">
        <v>209</v>
      </c>
      <c r="E36" s="15" t="s">
        <v>444</v>
      </c>
      <c r="F36" s="14" t="s">
        <v>377</v>
      </c>
      <c r="G36" s="36" t="s">
        <v>40</v>
      </c>
      <c r="H36" s="36" t="s">
        <v>41</v>
      </c>
      <c r="I36" s="36" t="s">
        <v>91</v>
      </c>
      <c r="J36" s="37"/>
      <c r="K36" s="16" t="str">
        <f>"220,0"</f>
        <v>220,0</v>
      </c>
      <c r="L36" s="16" t="str">
        <f>"145,0945"</f>
        <v>145,0945</v>
      </c>
      <c r="M36" s="14"/>
    </row>
    <row r="37" spans="1:13">
      <c r="A37" s="37" t="s">
        <v>133</v>
      </c>
      <c r="B37" s="14" t="s">
        <v>223</v>
      </c>
      <c r="C37" s="14" t="s">
        <v>411</v>
      </c>
      <c r="D37" s="14" t="s">
        <v>224</v>
      </c>
      <c r="E37" s="15" t="s">
        <v>447</v>
      </c>
      <c r="F37" s="14" t="s">
        <v>377</v>
      </c>
      <c r="G37" s="36" t="s">
        <v>144</v>
      </c>
      <c r="H37" s="36" t="s">
        <v>161</v>
      </c>
      <c r="I37" s="38" t="s">
        <v>54</v>
      </c>
      <c r="J37" s="37"/>
      <c r="K37" s="16" t="str">
        <f>"120,0"</f>
        <v>120,0</v>
      </c>
      <c r="L37" s="16" t="str">
        <f>"103,5662"</f>
        <v>103,5662</v>
      </c>
      <c r="M37" s="14"/>
    </row>
    <row r="38" spans="1:13">
      <c r="A38" s="41" t="s">
        <v>133</v>
      </c>
      <c r="B38" s="17" t="s">
        <v>225</v>
      </c>
      <c r="C38" s="17" t="s">
        <v>412</v>
      </c>
      <c r="D38" s="17" t="s">
        <v>226</v>
      </c>
      <c r="E38" s="18" t="s">
        <v>445</v>
      </c>
      <c r="F38" s="17" t="s">
        <v>377</v>
      </c>
      <c r="G38" s="39" t="s">
        <v>38</v>
      </c>
      <c r="H38" s="39" t="s">
        <v>161</v>
      </c>
      <c r="I38" s="39" t="s">
        <v>54</v>
      </c>
      <c r="J38" s="41"/>
      <c r="K38" s="19" t="str">
        <f>"125,0"</f>
        <v>125,0</v>
      </c>
      <c r="L38" s="19" t="str">
        <f>"124,4063"</f>
        <v>124,4063</v>
      </c>
      <c r="M38" s="17"/>
    </row>
    <row r="40" spans="1:13" ht="16">
      <c r="A40" s="51" t="s">
        <v>227</v>
      </c>
      <c r="B40" s="51"/>
      <c r="C40" s="52"/>
      <c r="D40" s="52"/>
      <c r="E40" s="52"/>
      <c r="F40" s="52"/>
      <c r="G40" s="52"/>
      <c r="H40" s="52"/>
      <c r="I40" s="52"/>
      <c r="J40" s="52"/>
    </row>
    <row r="41" spans="1:13">
      <c r="A41" s="35" t="s">
        <v>133</v>
      </c>
      <c r="B41" s="11" t="s">
        <v>228</v>
      </c>
      <c r="C41" s="11" t="s">
        <v>229</v>
      </c>
      <c r="D41" s="11" t="s">
        <v>230</v>
      </c>
      <c r="E41" s="12" t="s">
        <v>439</v>
      </c>
      <c r="F41" s="11" t="s">
        <v>425</v>
      </c>
      <c r="G41" s="33" t="s">
        <v>40</v>
      </c>
      <c r="H41" s="34" t="s">
        <v>91</v>
      </c>
      <c r="I41" s="33" t="s">
        <v>91</v>
      </c>
      <c r="J41" s="35"/>
      <c r="K41" s="13" t="str">
        <f>"220,0"</f>
        <v>220,0</v>
      </c>
      <c r="L41" s="13" t="str">
        <f>"129,6900"</f>
        <v>129,6900</v>
      </c>
      <c r="M41" s="11"/>
    </row>
    <row r="42" spans="1:13">
      <c r="A42" s="37" t="s">
        <v>134</v>
      </c>
      <c r="B42" s="14" t="s">
        <v>231</v>
      </c>
      <c r="C42" s="14" t="s">
        <v>232</v>
      </c>
      <c r="D42" s="14" t="s">
        <v>233</v>
      </c>
      <c r="E42" s="15" t="s">
        <v>439</v>
      </c>
      <c r="F42" s="14" t="s">
        <v>377</v>
      </c>
      <c r="G42" s="36" t="s">
        <v>112</v>
      </c>
      <c r="H42" s="36" t="s">
        <v>22</v>
      </c>
      <c r="I42" s="38" t="s">
        <v>40</v>
      </c>
      <c r="J42" s="37"/>
      <c r="K42" s="16" t="str">
        <f>"192,5"</f>
        <v>192,5</v>
      </c>
      <c r="L42" s="16" t="str">
        <f>"114,8070"</f>
        <v>114,8070</v>
      </c>
      <c r="M42" s="14"/>
    </row>
    <row r="43" spans="1:13">
      <c r="A43" s="37" t="s">
        <v>135</v>
      </c>
      <c r="B43" s="14" t="s">
        <v>234</v>
      </c>
      <c r="C43" s="14" t="s">
        <v>235</v>
      </c>
      <c r="D43" s="14" t="s">
        <v>236</v>
      </c>
      <c r="E43" s="15" t="s">
        <v>439</v>
      </c>
      <c r="F43" s="14" t="s">
        <v>213</v>
      </c>
      <c r="G43" s="36" t="s">
        <v>101</v>
      </c>
      <c r="H43" s="36" t="s">
        <v>21</v>
      </c>
      <c r="I43" s="38" t="s">
        <v>22</v>
      </c>
      <c r="J43" s="37"/>
      <c r="K43" s="16" t="str">
        <f>"182,5"</f>
        <v>182,5</v>
      </c>
      <c r="L43" s="16" t="str">
        <f>"108,3868"</f>
        <v>108,3868</v>
      </c>
      <c r="M43" s="14"/>
    </row>
    <row r="44" spans="1:13">
      <c r="A44" s="37" t="s">
        <v>133</v>
      </c>
      <c r="B44" s="14" t="s">
        <v>237</v>
      </c>
      <c r="C44" s="14" t="s">
        <v>413</v>
      </c>
      <c r="D44" s="14" t="s">
        <v>238</v>
      </c>
      <c r="E44" s="15" t="s">
        <v>442</v>
      </c>
      <c r="F44" s="14" t="s">
        <v>377</v>
      </c>
      <c r="G44" s="36" t="s">
        <v>54</v>
      </c>
      <c r="H44" s="36" t="s">
        <v>28</v>
      </c>
      <c r="I44" s="36" t="s">
        <v>14</v>
      </c>
      <c r="J44" s="37"/>
      <c r="K44" s="16" t="str">
        <f>"140,0"</f>
        <v>140,0</v>
      </c>
      <c r="L44" s="16" t="str">
        <f>"83,5055"</f>
        <v>83,5055</v>
      </c>
      <c r="M44" s="45" t="s">
        <v>375</v>
      </c>
    </row>
    <row r="45" spans="1:13">
      <c r="A45" s="37" t="s">
        <v>133</v>
      </c>
      <c r="B45" s="14" t="s">
        <v>231</v>
      </c>
      <c r="C45" s="14" t="s">
        <v>414</v>
      </c>
      <c r="D45" s="14" t="s">
        <v>233</v>
      </c>
      <c r="E45" s="15" t="s">
        <v>444</v>
      </c>
      <c r="F45" s="14" t="s">
        <v>377</v>
      </c>
      <c r="G45" s="36" t="s">
        <v>112</v>
      </c>
      <c r="H45" s="36" t="s">
        <v>22</v>
      </c>
      <c r="I45" s="38" t="s">
        <v>40</v>
      </c>
      <c r="J45" s="37"/>
      <c r="K45" s="16" t="str">
        <f>"192,5"</f>
        <v>192,5</v>
      </c>
      <c r="L45" s="16" t="str">
        <f>"123,7620"</f>
        <v>123,7620</v>
      </c>
      <c r="M45" s="14"/>
    </row>
    <row r="46" spans="1:13">
      <c r="A46" s="37" t="s">
        <v>133</v>
      </c>
      <c r="B46" s="14" t="s">
        <v>228</v>
      </c>
      <c r="C46" s="14" t="s">
        <v>415</v>
      </c>
      <c r="D46" s="14" t="s">
        <v>230</v>
      </c>
      <c r="E46" s="15" t="s">
        <v>443</v>
      </c>
      <c r="F46" s="14" t="s">
        <v>425</v>
      </c>
      <c r="G46" s="36" t="s">
        <v>40</v>
      </c>
      <c r="H46" s="38" t="s">
        <v>91</v>
      </c>
      <c r="I46" s="36" t="s">
        <v>91</v>
      </c>
      <c r="J46" s="37"/>
      <c r="K46" s="16" t="str">
        <f>"220,0"</f>
        <v>220,0</v>
      </c>
      <c r="L46" s="16" t="str">
        <f>"149,1435"</f>
        <v>149,1435</v>
      </c>
      <c r="M46" s="14"/>
    </row>
    <row r="47" spans="1:13">
      <c r="A47" s="41" t="s">
        <v>133</v>
      </c>
      <c r="B47" s="17" t="s">
        <v>239</v>
      </c>
      <c r="C47" s="17" t="s">
        <v>416</v>
      </c>
      <c r="D47" s="17" t="s">
        <v>240</v>
      </c>
      <c r="E47" s="18" t="s">
        <v>447</v>
      </c>
      <c r="F47" s="17" t="s">
        <v>425</v>
      </c>
      <c r="G47" s="39" t="s">
        <v>18</v>
      </c>
      <c r="H47" s="39" t="s">
        <v>29</v>
      </c>
      <c r="I47" s="39" t="s">
        <v>142</v>
      </c>
      <c r="J47" s="41"/>
      <c r="K47" s="19" t="str">
        <f>"100,0"</f>
        <v>100,0</v>
      </c>
      <c r="L47" s="19" t="str">
        <f>"81,5580"</f>
        <v>81,5580</v>
      </c>
      <c r="M47" s="17" t="s">
        <v>175</v>
      </c>
    </row>
    <row r="49" spans="1:13" ht="16">
      <c r="A49" s="51" t="s">
        <v>105</v>
      </c>
      <c r="B49" s="51"/>
      <c r="C49" s="52"/>
      <c r="D49" s="52"/>
      <c r="E49" s="52"/>
      <c r="F49" s="52"/>
      <c r="G49" s="52"/>
      <c r="H49" s="52"/>
      <c r="I49" s="52"/>
      <c r="J49" s="52"/>
    </row>
    <row r="50" spans="1:13">
      <c r="A50" s="31" t="s">
        <v>133</v>
      </c>
      <c r="B50" s="8" t="s">
        <v>241</v>
      </c>
      <c r="C50" s="8" t="s">
        <v>401</v>
      </c>
      <c r="D50" s="8" t="s">
        <v>242</v>
      </c>
      <c r="E50" s="9" t="s">
        <v>448</v>
      </c>
      <c r="F50" s="8" t="s">
        <v>425</v>
      </c>
      <c r="G50" s="30" t="s">
        <v>18</v>
      </c>
      <c r="H50" s="30" t="s">
        <v>29</v>
      </c>
      <c r="I50" s="31"/>
      <c r="J50" s="31"/>
      <c r="K50" s="10" t="str">
        <f>"90,0"</f>
        <v>90,0</v>
      </c>
      <c r="L50" s="10" t="str">
        <f>"88,7247"</f>
        <v>88,7247</v>
      </c>
      <c r="M50" s="8" t="s">
        <v>175</v>
      </c>
    </row>
    <row r="52" spans="1:13" ht="16">
      <c r="A52" s="51" t="s">
        <v>117</v>
      </c>
      <c r="B52" s="51"/>
      <c r="C52" s="52"/>
      <c r="D52" s="52"/>
      <c r="E52" s="52"/>
      <c r="F52" s="52"/>
      <c r="G52" s="52"/>
      <c r="H52" s="52"/>
      <c r="I52" s="52"/>
      <c r="J52" s="52"/>
    </row>
    <row r="53" spans="1:13">
      <c r="A53" s="35" t="s">
        <v>133</v>
      </c>
      <c r="B53" s="11" t="s">
        <v>243</v>
      </c>
      <c r="C53" s="11" t="s">
        <v>244</v>
      </c>
      <c r="D53" s="11" t="s">
        <v>245</v>
      </c>
      <c r="E53" s="12" t="s">
        <v>439</v>
      </c>
      <c r="F53" s="11" t="s">
        <v>246</v>
      </c>
      <c r="G53" s="33" t="s">
        <v>37</v>
      </c>
      <c r="H53" s="33" t="s">
        <v>247</v>
      </c>
      <c r="I53" s="34" t="s">
        <v>91</v>
      </c>
      <c r="J53" s="35"/>
      <c r="K53" s="13" t="str">
        <f>"215,0"</f>
        <v>215,0</v>
      </c>
      <c r="L53" s="13" t="str">
        <f>"120,9590"</f>
        <v>120,9590</v>
      </c>
      <c r="M53" s="11"/>
    </row>
    <row r="54" spans="1:13">
      <c r="A54" s="37" t="s">
        <v>134</v>
      </c>
      <c r="B54" s="14" t="s">
        <v>118</v>
      </c>
      <c r="C54" s="14" t="s">
        <v>119</v>
      </c>
      <c r="D54" s="14" t="s">
        <v>120</v>
      </c>
      <c r="E54" s="15" t="s">
        <v>439</v>
      </c>
      <c r="F54" s="45" t="s">
        <v>246</v>
      </c>
      <c r="G54" s="36" t="s">
        <v>53</v>
      </c>
      <c r="H54" s="36" t="s">
        <v>35</v>
      </c>
      <c r="I54" s="38" t="s">
        <v>75</v>
      </c>
      <c r="J54" s="37"/>
      <c r="K54" s="16" t="str">
        <f>"190,0"</f>
        <v>190,0</v>
      </c>
      <c r="L54" s="16" t="str">
        <f>"106,4000"</f>
        <v>106,4000</v>
      </c>
      <c r="M54" s="14"/>
    </row>
    <row r="55" spans="1:13">
      <c r="A55" s="37" t="s">
        <v>135</v>
      </c>
      <c r="B55" s="14" t="s">
        <v>248</v>
      </c>
      <c r="C55" s="14" t="s">
        <v>249</v>
      </c>
      <c r="D55" s="14" t="s">
        <v>250</v>
      </c>
      <c r="E55" s="15" t="s">
        <v>439</v>
      </c>
      <c r="F55" s="14" t="s">
        <v>377</v>
      </c>
      <c r="G55" s="36" t="s">
        <v>84</v>
      </c>
      <c r="H55" s="36" t="s">
        <v>94</v>
      </c>
      <c r="I55" s="36" t="s">
        <v>201</v>
      </c>
      <c r="J55" s="37"/>
      <c r="K55" s="16" t="str">
        <f>"165,0"</f>
        <v>165,0</v>
      </c>
      <c r="L55" s="16" t="str">
        <f>"93,4725"</f>
        <v>93,4725</v>
      </c>
      <c r="M55" s="14"/>
    </row>
    <row r="56" spans="1:13">
      <c r="A56" s="37" t="s">
        <v>133</v>
      </c>
      <c r="B56" s="14" t="s">
        <v>243</v>
      </c>
      <c r="C56" s="14" t="s">
        <v>417</v>
      </c>
      <c r="D56" s="14" t="s">
        <v>245</v>
      </c>
      <c r="E56" s="15" t="s">
        <v>444</v>
      </c>
      <c r="F56" s="14" t="s">
        <v>246</v>
      </c>
      <c r="G56" s="36" t="s">
        <v>37</v>
      </c>
      <c r="H56" s="36" t="s">
        <v>247</v>
      </c>
      <c r="I56" s="38" t="s">
        <v>91</v>
      </c>
      <c r="J56" s="37"/>
      <c r="K56" s="16" t="str">
        <f>"215,0"</f>
        <v>215,0</v>
      </c>
      <c r="L56" s="16" t="str">
        <f>"132,5711"</f>
        <v>132,5711</v>
      </c>
      <c r="M56" s="14"/>
    </row>
    <row r="57" spans="1:13">
      <c r="A57" s="41" t="s">
        <v>133</v>
      </c>
      <c r="B57" s="17" t="s">
        <v>248</v>
      </c>
      <c r="C57" s="17" t="s">
        <v>418</v>
      </c>
      <c r="D57" s="17" t="s">
        <v>250</v>
      </c>
      <c r="E57" s="18" t="s">
        <v>443</v>
      </c>
      <c r="F57" s="17" t="s">
        <v>377</v>
      </c>
      <c r="G57" s="39" t="s">
        <v>84</v>
      </c>
      <c r="H57" s="39" t="s">
        <v>94</v>
      </c>
      <c r="I57" s="39" t="s">
        <v>201</v>
      </c>
      <c r="J57" s="41"/>
      <c r="K57" s="19" t="str">
        <f>"165,0"</f>
        <v>165,0</v>
      </c>
      <c r="L57" s="19" t="str">
        <f>"114,7842"</f>
        <v>114,7842</v>
      </c>
      <c r="M57" s="17"/>
    </row>
    <row r="59" spans="1:13">
      <c r="G59" s="6"/>
      <c r="K59" s="28"/>
      <c r="M59" s="7"/>
    </row>
    <row r="60" spans="1:13">
      <c r="K60" s="28"/>
      <c r="M60" s="7"/>
    </row>
    <row r="61" spans="1:13" ht="18">
      <c r="B61" s="21" t="s">
        <v>121</v>
      </c>
      <c r="C61" s="21"/>
      <c r="K61" s="28"/>
      <c r="M61" s="7"/>
    </row>
    <row r="62" spans="1:13" ht="16">
      <c r="B62" s="42" t="s">
        <v>434</v>
      </c>
      <c r="K62" s="28"/>
      <c r="M62" s="7"/>
    </row>
    <row r="63" spans="1:13" ht="14">
      <c r="B63" s="23"/>
      <c r="C63" s="24" t="s">
        <v>123</v>
      </c>
      <c r="K63" s="28"/>
      <c r="M63" s="7"/>
    </row>
    <row r="64" spans="1:13" ht="14">
      <c r="B64" s="25" t="s">
        <v>124</v>
      </c>
      <c r="C64" s="25" t="s">
        <v>125</v>
      </c>
      <c r="D64" s="25" t="s">
        <v>433</v>
      </c>
      <c r="E64" s="26" t="s">
        <v>251</v>
      </c>
      <c r="F64" s="25" t="s">
        <v>127</v>
      </c>
      <c r="K64" s="28"/>
      <c r="M64" s="7"/>
    </row>
    <row r="65" spans="2:13">
      <c r="B65" s="6" t="s">
        <v>59</v>
      </c>
      <c r="C65" s="6" t="s">
        <v>123</v>
      </c>
      <c r="D65" s="28" t="s">
        <v>129</v>
      </c>
      <c r="E65" s="29">
        <v>210</v>
      </c>
      <c r="F65" s="27">
        <v>135.80700516700699</v>
      </c>
      <c r="K65" s="28"/>
      <c r="M65" s="7"/>
    </row>
    <row r="66" spans="2:13">
      <c r="B66" s="6" t="s">
        <v>70</v>
      </c>
      <c r="C66" s="6" t="s">
        <v>123</v>
      </c>
      <c r="D66" s="28" t="s">
        <v>129</v>
      </c>
      <c r="E66" s="29">
        <v>210</v>
      </c>
      <c r="F66" s="27">
        <v>134.757006168365</v>
      </c>
      <c r="K66" s="28"/>
      <c r="M66" s="7"/>
    </row>
    <row r="67" spans="2:13">
      <c r="B67" s="6" t="s">
        <v>207</v>
      </c>
      <c r="C67" s="6" t="s">
        <v>123</v>
      </c>
      <c r="D67" s="28" t="s">
        <v>132</v>
      </c>
      <c r="E67" s="29">
        <v>220</v>
      </c>
      <c r="F67" s="27">
        <v>134.596003293991</v>
      </c>
      <c r="K67" s="28"/>
      <c r="M67" s="7"/>
    </row>
    <row r="68" spans="2:13">
      <c r="K68" s="28"/>
      <c r="M68" s="7"/>
    </row>
    <row r="69" spans="2:13" ht="14">
      <c r="B69" s="23"/>
      <c r="C69" s="24" t="s">
        <v>131</v>
      </c>
      <c r="K69" s="28"/>
      <c r="M69" s="7"/>
    </row>
    <row r="70" spans="2:13" ht="14">
      <c r="B70" s="25" t="s">
        <v>124</v>
      </c>
      <c r="C70" s="25" t="s">
        <v>125</v>
      </c>
      <c r="D70" s="25" t="s">
        <v>433</v>
      </c>
      <c r="E70" s="26" t="s">
        <v>251</v>
      </c>
      <c r="F70" s="25" t="s">
        <v>127</v>
      </c>
      <c r="K70" s="28"/>
      <c r="M70" s="7"/>
    </row>
    <row r="71" spans="2:13">
      <c r="B71" s="6" t="s">
        <v>228</v>
      </c>
      <c r="C71" s="6" t="s">
        <v>419</v>
      </c>
      <c r="D71" s="28" t="s">
        <v>252</v>
      </c>
      <c r="E71" s="29">
        <v>220</v>
      </c>
      <c r="F71" s="27">
        <v>149.14350253343599</v>
      </c>
      <c r="K71" s="28"/>
      <c r="M71" s="7"/>
    </row>
    <row r="72" spans="2:13">
      <c r="B72" s="6" t="s">
        <v>207</v>
      </c>
      <c r="C72" s="6" t="s">
        <v>420</v>
      </c>
      <c r="D72" s="28" t="s">
        <v>132</v>
      </c>
      <c r="E72" s="29">
        <v>220</v>
      </c>
      <c r="F72" s="27">
        <v>145.09449155092199</v>
      </c>
      <c r="K72" s="28"/>
      <c r="M72" s="7"/>
    </row>
    <row r="73" spans="2:13">
      <c r="B73" s="6" t="s">
        <v>243</v>
      </c>
      <c r="C73" s="6" t="s">
        <v>420</v>
      </c>
      <c r="D73" s="28" t="s">
        <v>253</v>
      </c>
      <c r="E73" s="29">
        <v>215</v>
      </c>
      <c r="F73" s="27">
        <v>132.57106791019399</v>
      </c>
      <c r="G73" s="6"/>
      <c r="K73" s="28"/>
      <c r="M73" s="7"/>
    </row>
  </sheetData>
  <mergeCells count="21"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40:J40"/>
    <mergeCell ref="A49:J49"/>
    <mergeCell ref="A52:J52"/>
    <mergeCell ref="B3:B4"/>
    <mergeCell ref="A8:J8"/>
    <mergeCell ref="A12:J12"/>
    <mergeCell ref="A15:J15"/>
    <mergeCell ref="A19:J19"/>
    <mergeCell ref="A22:J22"/>
    <mergeCell ref="A29:J2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6"/>
  <sheetViews>
    <sheetView workbookViewId="0">
      <selection activeCell="E7" sqref="E7"/>
    </sheetView>
  </sheetViews>
  <sheetFormatPr baseColWidth="10" defaultColWidth="9.1640625" defaultRowHeight="13"/>
  <cols>
    <col min="1" max="1" width="7.5" style="6" bestFit="1" customWidth="1"/>
    <col min="2" max="2" width="18.5" style="6" customWidth="1"/>
    <col min="3" max="3" width="26.33203125" style="6" bestFit="1" customWidth="1"/>
    <col min="4" max="4" width="21.5" style="6" bestFit="1" customWidth="1"/>
    <col min="5" max="5" width="10.5" style="20" bestFit="1" customWidth="1"/>
    <col min="6" max="6" width="29.6640625" style="6" bestFit="1" customWidth="1"/>
    <col min="7" max="9" width="5.5" style="28" customWidth="1"/>
    <col min="10" max="10" width="4.83203125" style="28" customWidth="1"/>
    <col min="11" max="11" width="10.5" style="7" bestFit="1" customWidth="1"/>
    <col min="12" max="12" width="8.5" style="7" bestFit="1" customWidth="1"/>
    <col min="13" max="13" width="15.5" style="6" bestFit="1" customWidth="1"/>
    <col min="14" max="16384" width="9.1640625" style="3"/>
  </cols>
  <sheetData>
    <row r="1" spans="1:13" s="2" customFormat="1" ht="29" customHeight="1">
      <c r="A1" s="61" t="s">
        <v>383</v>
      </c>
      <c r="B1" s="62"/>
      <c r="C1" s="63"/>
      <c r="D1" s="63"/>
      <c r="E1" s="63"/>
      <c r="F1" s="63"/>
      <c r="G1" s="63"/>
      <c r="H1" s="63"/>
      <c r="I1" s="63"/>
      <c r="J1" s="63"/>
      <c r="K1" s="63"/>
      <c r="L1" s="63"/>
      <c r="M1" s="64"/>
    </row>
    <row r="2" spans="1:13" s="2" customFormat="1" ht="62" customHeight="1" thickBot="1">
      <c r="A2" s="65"/>
      <c r="B2" s="66"/>
      <c r="C2" s="67"/>
      <c r="D2" s="67"/>
      <c r="E2" s="67"/>
      <c r="F2" s="67"/>
      <c r="G2" s="67"/>
      <c r="H2" s="67"/>
      <c r="I2" s="67"/>
      <c r="J2" s="67"/>
      <c r="K2" s="67"/>
      <c r="L2" s="67"/>
      <c r="M2" s="68"/>
    </row>
    <row r="3" spans="1:13" s="1" customFormat="1" ht="12.75" customHeight="1">
      <c r="A3" s="69" t="s">
        <v>137</v>
      </c>
      <c r="B3" s="53" t="s">
        <v>0</v>
      </c>
      <c r="C3" s="71" t="s">
        <v>437</v>
      </c>
      <c r="D3" s="71" t="s">
        <v>6</v>
      </c>
      <c r="E3" s="55" t="s">
        <v>438</v>
      </c>
      <c r="F3" s="73" t="s">
        <v>5</v>
      </c>
      <c r="G3" s="73" t="s">
        <v>8</v>
      </c>
      <c r="H3" s="73"/>
      <c r="I3" s="73"/>
      <c r="J3" s="73"/>
      <c r="K3" s="55" t="s">
        <v>254</v>
      </c>
      <c r="L3" s="55" t="s">
        <v>3</v>
      </c>
      <c r="M3" s="57" t="s">
        <v>2</v>
      </c>
    </row>
    <row r="4" spans="1:13" s="1" customFormat="1" ht="21" customHeight="1" thickBot="1">
      <c r="A4" s="70"/>
      <c r="B4" s="54"/>
      <c r="C4" s="72"/>
      <c r="D4" s="72"/>
      <c r="E4" s="56"/>
      <c r="F4" s="72"/>
      <c r="G4" s="4">
        <v>1</v>
      </c>
      <c r="H4" s="4">
        <v>2</v>
      </c>
      <c r="I4" s="4">
        <v>3</v>
      </c>
      <c r="J4" s="4" t="s">
        <v>4</v>
      </c>
      <c r="K4" s="56"/>
      <c r="L4" s="56"/>
      <c r="M4" s="58"/>
    </row>
    <row r="5" spans="1:13" ht="16">
      <c r="A5" s="59" t="s">
        <v>50</v>
      </c>
      <c r="B5" s="59"/>
      <c r="C5" s="60"/>
      <c r="D5" s="60"/>
      <c r="E5" s="60"/>
      <c r="F5" s="60"/>
      <c r="G5" s="60"/>
      <c r="H5" s="60"/>
      <c r="I5" s="60"/>
      <c r="J5" s="60"/>
    </row>
    <row r="6" spans="1:13">
      <c r="A6" s="31" t="s">
        <v>133</v>
      </c>
      <c r="B6" s="8" t="s">
        <v>337</v>
      </c>
      <c r="C6" s="8" t="s">
        <v>338</v>
      </c>
      <c r="D6" s="8" t="s">
        <v>80</v>
      </c>
      <c r="E6" s="9" t="s">
        <v>439</v>
      </c>
      <c r="F6" s="8" t="s">
        <v>424</v>
      </c>
      <c r="G6" s="32" t="s">
        <v>64</v>
      </c>
      <c r="H6" s="30" t="s">
        <v>64</v>
      </c>
      <c r="I6" s="32" t="s">
        <v>113</v>
      </c>
      <c r="J6" s="31"/>
      <c r="K6" s="10" t="str">
        <f>"265,0"</f>
        <v>265,0</v>
      </c>
      <c r="L6" s="10" t="str">
        <f>"162,1403"</f>
        <v>162,1403</v>
      </c>
      <c r="M6" s="8"/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6"/>
  <sheetViews>
    <sheetView workbookViewId="0">
      <selection activeCell="E8" sqref="E8"/>
    </sheetView>
  </sheetViews>
  <sheetFormatPr baseColWidth="10" defaultColWidth="9.1640625" defaultRowHeight="13"/>
  <cols>
    <col min="1" max="1" width="7.5" style="6" bestFit="1" customWidth="1"/>
    <col min="2" max="2" width="18.33203125" style="6" customWidth="1"/>
    <col min="3" max="3" width="26.33203125" style="6" bestFit="1" customWidth="1"/>
    <col min="4" max="4" width="21.5" style="6" bestFit="1" customWidth="1"/>
    <col min="5" max="5" width="10.5" style="20" bestFit="1" customWidth="1"/>
    <col min="6" max="6" width="29.6640625" style="6" bestFit="1" customWidth="1"/>
    <col min="7" max="9" width="5.5" style="28" customWidth="1"/>
    <col min="10" max="10" width="4.83203125" style="28" customWidth="1"/>
    <col min="11" max="11" width="10.5" style="7" bestFit="1" customWidth="1"/>
    <col min="12" max="12" width="8.6640625" style="7" bestFit="1" customWidth="1"/>
    <col min="13" max="13" width="15.5" style="6" bestFit="1" customWidth="1"/>
    <col min="14" max="16384" width="9.1640625" style="3"/>
  </cols>
  <sheetData>
    <row r="1" spans="1:13" s="2" customFormat="1" ht="29" customHeight="1">
      <c r="A1" s="61" t="s">
        <v>378</v>
      </c>
      <c r="B1" s="62"/>
      <c r="C1" s="63"/>
      <c r="D1" s="63"/>
      <c r="E1" s="63"/>
      <c r="F1" s="63"/>
      <c r="G1" s="63"/>
      <c r="H1" s="63"/>
      <c r="I1" s="63"/>
      <c r="J1" s="63"/>
      <c r="K1" s="63"/>
      <c r="L1" s="63"/>
      <c r="M1" s="64"/>
    </row>
    <row r="2" spans="1:13" s="2" customFormat="1" ht="62" customHeight="1" thickBot="1">
      <c r="A2" s="65"/>
      <c r="B2" s="66"/>
      <c r="C2" s="67"/>
      <c r="D2" s="67"/>
      <c r="E2" s="67"/>
      <c r="F2" s="67"/>
      <c r="G2" s="67"/>
      <c r="H2" s="67"/>
      <c r="I2" s="67"/>
      <c r="J2" s="67"/>
      <c r="K2" s="67"/>
      <c r="L2" s="67"/>
      <c r="M2" s="68"/>
    </row>
    <row r="3" spans="1:13" s="1" customFormat="1" ht="12.75" customHeight="1">
      <c r="A3" s="69" t="s">
        <v>137</v>
      </c>
      <c r="B3" s="53" t="s">
        <v>0</v>
      </c>
      <c r="C3" s="71" t="s">
        <v>437</v>
      </c>
      <c r="D3" s="71" t="s">
        <v>6</v>
      </c>
      <c r="E3" s="55" t="s">
        <v>438</v>
      </c>
      <c r="F3" s="73" t="s">
        <v>5</v>
      </c>
      <c r="G3" s="73" t="s">
        <v>8</v>
      </c>
      <c r="H3" s="73"/>
      <c r="I3" s="73"/>
      <c r="J3" s="73"/>
      <c r="K3" s="55" t="s">
        <v>254</v>
      </c>
      <c r="L3" s="55" t="s">
        <v>3</v>
      </c>
      <c r="M3" s="57" t="s">
        <v>2</v>
      </c>
    </row>
    <row r="4" spans="1:13" s="1" customFormat="1" ht="21" customHeight="1" thickBot="1">
      <c r="A4" s="70"/>
      <c r="B4" s="54"/>
      <c r="C4" s="72"/>
      <c r="D4" s="72"/>
      <c r="E4" s="56"/>
      <c r="F4" s="72"/>
      <c r="G4" s="4">
        <v>1</v>
      </c>
      <c r="H4" s="4">
        <v>2</v>
      </c>
      <c r="I4" s="4">
        <v>3</v>
      </c>
      <c r="J4" s="4" t="s">
        <v>4</v>
      </c>
      <c r="K4" s="56"/>
      <c r="L4" s="56"/>
      <c r="M4" s="58"/>
    </row>
    <row r="5" spans="1:13" ht="16">
      <c r="A5" s="59" t="s">
        <v>50</v>
      </c>
      <c r="B5" s="59"/>
      <c r="C5" s="60"/>
      <c r="D5" s="60"/>
      <c r="E5" s="60"/>
      <c r="F5" s="60"/>
      <c r="G5" s="60"/>
      <c r="H5" s="60"/>
      <c r="I5" s="60"/>
      <c r="J5" s="60"/>
    </row>
    <row r="6" spans="1:13">
      <c r="A6" s="31" t="s">
        <v>133</v>
      </c>
      <c r="B6" s="8" t="s">
        <v>337</v>
      </c>
      <c r="C6" s="8" t="s">
        <v>338</v>
      </c>
      <c r="D6" s="8" t="s">
        <v>80</v>
      </c>
      <c r="E6" s="9" t="s">
        <v>439</v>
      </c>
      <c r="F6" s="8" t="s">
        <v>424</v>
      </c>
      <c r="G6" s="30" t="s">
        <v>100</v>
      </c>
      <c r="H6" s="30" t="s">
        <v>101</v>
      </c>
      <c r="I6" s="32" t="s">
        <v>53</v>
      </c>
      <c r="J6" s="31"/>
      <c r="K6" s="10" t="str">
        <f>"175,0"</f>
        <v>175,0</v>
      </c>
      <c r="L6" s="10" t="str">
        <f>"111,7200"</f>
        <v>111,7200</v>
      </c>
      <c r="M6" s="8"/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25"/>
  <sheetViews>
    <sheetView workbookViewId="0">
      <selection activeCell="E26" sqref="E26"/>
    </sheetView>
  </sheetViews>
  <sheetFormatPr baseColWidth="10" defaultColWidth="9.1640625" defaultRowHeight="13"/>
  <cols>
    <col min="1" max="1" width="7.5" style="6" bestFit="1" customWidth="1"/>
    <col min="2" max="2" width="18.33203125" style="6" bestFit="1" customWidth="1"/>
    <col min="3" max="3" width="28.5" style="6" bestFit="1" customWidth="1"/>
    <col min="4" max="4" width="21.5" style="6" bestFit="1" customWidth="1"/>
    <col min="5" max="5" width="10.5" style="20" bestFit="1" customWidth="1"/>
    <col min="6" max="6" width="30.33203125" style="6" customWidth="1"/>
    <col min="7" max="9" width="5.5" style="28" customWidth="1"/>
    <col min="10" max="10" width="4.83203125" style="28" customWidth="1"/>
    <col min="11" max="11" width="10.5" style="7" bestFit="1" customWidth="1"/>
    <col min="12" max="12" width="8.5" style="7" bestFit="1" customWidth="1"/>
    <col min="13" max="13" width="27.1640625" style="6" bestFit="1" customWidth="1"/>
    <col min="14" max="16384" width="9.1640625" style="3"/>
  </cols>
  <sheetData>
    <row r="1" spans="1:13" s="2" customFormat="1" ht="29" customHeight="1">
      <c r="A1" s="61" t="s">
        <v>386</v>
      </c>
      <c r="B1" s="62"/>
      <c r="C1" s="63"/>
      <c r="D1" s="63"/>
      <c r="E1" s="63"/>
      <c r="F1" s="63"/>
      <c r="G1" s="63"/>
      <c r="H1" s="63"/>
      <c r="I1" s="63"/>
      <c r="J1" s="63"/>
      <c r="K1" s="63"/>
      <c r="L1" s="63"/>
      <c r="M1" s="64"/>
    </row>
    <row r="2" spans="1:13" s="2" customFormat="1" ht="62" customHeight="1" thickBot="1">
      <c r="A2" s="65"/>
      <c r="B2" s="66"/>
      <c r="C2" s="67"/>
      <c r="D2" s="67"/>
      <c r="E2" s="67"/>
      <c r="F2" s="67"/>
      <c r="G2" s="67"/>
      <c r="H2" s="67"/>
      <c r="I2" s="67"/>
      <c r="J2" s="67"/>
      <c r="K2" s="67"/>
      <c r="L2" s="67"/>
      <c r="M2" s="68"/>
    </row>
    <row r="3" spans="1:13" s="1" customFormat="1" ht="12.75" customHeight="1">
      <c r="A3" s="69" t="s">
        <v>137</v>
      </c>
      <c r="B3" s="53" t="s">
        <v>0</v>
      </c>
      <c r="C3" s="71" t="s">
        <v>437</v>
      </c>
      <c r="D3" s="71" t="s">
        <v>6</v>
      </c>
      <c r="E3" s="55" t="s">
        <v>438</v>
      </c>
      <c r="F3" s="73" t="s">
        <v>5</v>
      </c>
      <c r="G3" s="73" t="s">
        <v>9</v>
      </c>
      <c r="H3" s="73"/>
      <c r="I3" s="73"/>
      <c r="J3" s="73"/>
      <c r="K3" s="55" t="s">
        <v>254</v>
      </c>
      <c r="L3" s="55" t="s">
        <v>3</v>
      </c>
      <c r="M3" s="57" t="s">
        <v>2</v>
      </c>
    </row>
    <row r="4" spans="1:13" s="1" customFormat="1" ht="21" customHeight="1" thickBot="1">
      <c r="A4" s="70"/>
      <c r="B4" s="54"/>
      <c r="C4" s="72"/>
      <c r="D4" s="72"/>
      <c r="E4" s="56"/>
      <c r="F4" s="72"/>
      <c r="G4" s="4">
        <v>1</v>
      </c>
      <c r="H4" s="4">
        <v>2</v>
      </c>
      <c r="I4" s="4">
        <v>3</v>
      </c>
      <c r="J4" s="4" t="s">
        <v>4</v>
      </c>
      <c r="K4" s="56"/>
      <c r="L4" s="56"/>
      <c r="M4" s="58"/>
    </row>
    <row r="5" spans="1:13" ht="16">
      <c r="A5" s="59" t="s">
        <v>138</v>
      </c>
      <c r="B5" s="59"/>
      <c r="C5" s="60"/>
      <c r="D5" s="60"/>
      <c r="E5" s="60"/>
      <c r="F5" s="60"/>
      <c r="G5" s="60"/>
      <c r="H5" s="60"/>
      <c r="I5" s="60"/>
      <c r="J5" s="60"/>
    </row>
    <row r="6" spans="1:13">
      <c r="A6" s="31" t="s">
        <v>133</v>
      </c>
      <c r="B6" s="8" t="s">
        <v>139</v>
      </c>
      <c r="C6" s="8" t="s">
        <v>140</v>
      </c>
      <c r="D6" s="8" t="s">
        <v>141</v>
      </c>
      <c r="E6" s="9" t="s">
        <v>439</v>
      </c>
      <c r="F6" s="8" t="s">
        <v>377</v>
      </c>
      <c r="G6" s="30" t="s">
        <v>30</v>
      </c>
      <c r="H6" s="30" t="s">
        <v>14</v>
      </c>
      <c r="I6" s="32" t="s">
        <v>16</v>
      </c>
      <c r="J6" s="31"/>
      <c r="K6" s="10" t="str">
        <f>"140,0"</f>
        <v>140,0</v>
      </c>
      <c r="L6" s="10" t="str">
        <f>"158,1300"</f>
        <v>158,1300</v>
      </c>
      <c r="M6" s="43" t="s">
        <v>363</v>
      </c>
    </row>
    <row r="8" spans="1:13" ht="16">
      <c r="A8" s="51" t="s">
        <v>23</v>
      </c>
      <c r="B8" s="51"/>
      <c r="C8" s="52"/>
      <c r="D8" s="52"/>
      <c r="E8" s="52"/>
      <c r="F8" s="52"/>
      <c r="G8" s="52"/>
      <c r="H8" s="52"/>
      <c r="I8" s="52"/>
      <c r="J8" s="52"/>
    </row>
    <row r="9" spans="1:13">
      <c r="A9" s="31" t="s">
        <v>133</v>
      </c>
      <c r="B9" s="8" t="s">
        <v>273</v>
      </c>
      <c r="C9" s="8" t="s">
        <v>274</v>
      </c>
      <c r="D9" s="8" t="s">
        <v>275</v>
      </c>
      <c r="E9" s="9" t="s">
        <v>439</v>
      </c>
      <c r="F9" s="8" t="s">
        <v>377</v>
      </c>
      <c r="G9" s="30" t="s">
        <v>29</v>
      </c>
      <c r="H9" s="30" t="s">
        <v>142</v>
      </c>
      <c r="I9" s="32" t="s">
        <v>143</v>
      </c>
      <c r="J9" s="31"/>
      <c r="K9" s="10" t="str">
        <f>"100,0"</f>
        <v>100,0</v>
      </c>
      <c r="L9" s="10" t="str">
        <f>"105,6400"</f>
        <v>105,6400</v>
      </c>
      <c r="M9" s="43" t="s">
        <v>364</v>
      </c>
    </row>
    <row r="11" spans="1:13" ht="16">
      <c r="A11" s="51" t="s">
        <v>138</v>
      </c>
      <c r="B11" s="51"/>
      <c r="C11" s="52"/>
      <c r="D11" s="52"/>
      <c r="E11" s="52"/>
      <c r="F11" s="52"/>
      <c r="G11" s="52"/>
      <c r="H11" s="52"/>
      <c r="I11" s="52"/>
      <c r="J11" s="52"/>
    </row>
    <row r="12" spans="1:13">
      <c r="A12" s="31" t="s">
        <v>133</v>
      </c>
      <c r="B12" s="8" t="s">
        <v>316</v>
      </c>
      <c r="C12" s="8" t="s">
        <v>317</v>
      </c>
      <c r="D12" s="8" t="s">
        <v>318</v>
      </c>
      <c r="E12" s="9" t="s">
        <v>441</v>
      </c>
      <c r="F12" s="8" t="s">
        <v>179</v>
      </c>
      <c r="G12" s="30" t="s">
        <v>144</v>
      </c>
      <c r="H12" s="30" t="s">
        <v>161</v>
      </c>
      <c r="I12" s="30" t="s">
        <v>27</v>
      </c>
      <c r="J12" s="31"/>
      <c r="K12" s="10" t="str">
        <f>"122,5"</f>
        <v>122,5</v>
      </c>
      <c r="L12" s="10" t="str">
        <f>"104,7987"</f>
        <v>104,7987</v>
      </c>
      <c r="M12" s="43" t="s">
        <v>365</v>
      </c>
    </row>
    <row r="14" spans="1:13" ht="16">
      <c r="A14" s="51" t="s">
        <v>23</v>
      </c>
      <c r="B14" s="51"/>
      <c r="C14" s="52"/>
      <c r="D14" s="52"/>
      <c r="E14" s="52"/>
      <c r="F14" s="52"/>
      <c r="G14" s="52"/>
      <c r="H14" s="52"/>
      <c r="I14" s="52"/>
      <c r="J14" s="52"/>
    </row>
    <row r="15" spans="1:13">
      <c r="A15" s="31" t="s">
        <v>133</v>
      </c>
      <c r="B15" s="8" t="s">
        <v>319</v>
      </c>
      <c r="C15" s="8" t="s">
        <v>320</v>
      </c>
      <c r="D15" s="8" t="s">
        <v>321</v>
      </c>
      <c r="E15" s="9" t="s">
        <v>439</v>
      </c>
      <c r="F15" s="8" t="s">
        <v>179</v>
      </c>
      <c r="G15" s="30" t="s">
        <v>30</v>
      </c>
      <c r="H15" s="32" t="s">
        <v>48</v>
      </c>
      <c r="I15" s="30" t="s">
        <v>48</v>
      </c>
      <c r="J15" s="31"/>
      <c r="K15" s="10" t="str">
        <f>"137,5"</f>
        <v>137,5</v>
      </c>
      <c r="L15" s="10" t="str">
        <f>"109,6287"</f>
        <v>109,6287</v>
      </c>
      <c r="M15" s="8"/>
    </row>
    <row r="17" spans="1:13" ht="16">
      <c r="A17" s="51" t="s">
        <v>10</v>
      </c>
      <c r="B17" s="51"/>
      <c r="C17" s="52"/>
      <c r="D17" s="52"/>
      <c r="E17" s="52"/>
      <c r="F17" s="52"/>
      <c r="G17" s="52"/>
      <c r="H17" s="52"/>
      <c r="I17" s="52"/>
      <c r="J17" s="52"/>
    </row>
    <row r="18" spans="1:13">
      <c r="A18" s="35" t="s">
        <v>133</v>
      </c>
      <c r="B18" s="11" t="s">
        <v>322</v>
      </c>
      <c r="C18" s="11" t="s">
        <v>396</v>
      </c>
      <c r="D18" s="11" t="s">
        <v>323</v>
      </c>
      <c r="E18" s="12" t="s">
        <v>440</v>
      </c>
      <c r="F18" s="11" t="s">
        <v>259</v>
      </c>
      <c r="G18" s="33" t="s">
        <v>54</v>
      </c>
      <c r="H18" s="33" t="s">
        <v>14</v>
      </c>
      <c r="I18" s="34" t="s">
        <v>85</v>
      </c>
      <c r="J18" s="35"/>
      <c r="K18" s="13" t="str">
        <f>"140,0"</f>
        <v>140,0</v>
      </c>
      <c r="L18" s="13" t="str">
        <f>"104,3420"</f>
        <v>104,3420</v>
      </c>
      <c r="M18" s="44" t="s">
        <v>366</v>
      </c>
    </row>
    <row r="19" spans="1:13">
      <c r="A19" s="37" t="s">
        <v>133</v>
      </c>
      <c r="B19" s="14" t="s">
        <v>324</v>
      </c>
      <c r="C19" s="14" t="s">
        <v>325</v>
      </c>
      <c r="D19" s="14" t="s">
        <v>326</v>
      </c>
      <c r="E19" s="15" t="s">
        <v>439</v>
      </c>
      <c r="F19" s="14" t="s">
        <v>213</v>
      </c>
      <c r="G19" s="38" t="s">
        <v>74</v>
      </c>
      <c r="H19" s="36" t="s">
        <v>56</v>
      </c>
      <c r="I19" s="36" t="s">
        <v>327</v>
      </c>
      <c r="J19" s="37"/>
      <c r="K19" s="16" t="str">
        <f>"262,5"</f>
        <v>262,5</v>
      </c>
      <c r="L19" s="16" t="str">
        <f>"196,9275"</f>
        <v>196,9275</v>
      </c>
      <c r="M19" s="14"/>
    </row>
    <row r="20" spans="1:13">
      <c r="A20" s="37" t="s">
        <v>134</v>
      </c>
      <c r="B20" s="14" t="s">
        <v>151</v>
      </c>
      <c r="C20" s="14" t="s">
        <v>152</v>
      </c>
      <c r="D20" s="14" t="s">
        <v>153</v>
      </c>
      <c r="E20" s="15" t="s">
        <v>439</v>
      </c>
      <c r="F20" s="14" t="s">
        <v>426</v>
      </c>
      <c r="G20" s="36" t="s">
        <v>157</v>
      </c>
      <c r="H20" s="36" t="s">
        <v>93</v>
      </c>
      <c r="I20" s="36" t="s">
        <v>86</v>
      </c>
      <c r="J20" s="37"/>
      <c r="K20" s="16" t="str">
        <f>"247,5"</f>
        <v>247,5</v>
      </c>
      <c r="L20" s="16" t="str">
        <f>"176,5170"</f>
        <v>176,5170</v>
      </c>
      <c r="M20" s="14"/>
    </row>
    <row r="21" spans="1:13">
      <c r="A21" s="41" t="s">
        <v>135</v>
      </c>
      <c r="B21" s="17" t="s">
        <v>328</v>
      </c>
      <c r="C21" s="17" t="s">
        <v>329</v>
      </c>
      <c r="D21" s="17" t="s">
        <v>330</v>
      </c>
      <c r="E21" s="18" t="s">
        <v>439</v>
      </c>
      <c r="F21" s="17" t="s">
        <v>259</v>
      </c>
      <c r="G21" s="40" t="s">
        <v>40</v>
      </c>
      <c r="H21" s="39" t="s">
        <v>40</v>
      </c>
      <c r="I21" s="39" t="s">
        <v>41</v>
      </c>
      <c r="J21" s="41"/>
      <c r="K21" s="19" t="str">
        <f>"210,0"</f>
        <v>210,0</v>
      </c>
      <c r="L21" s="19" t="str">
        <f>"152,8380"</f>
        <v>152,8380</v>
      </c>
      <c r="M21" s="17"/>
    </row>
    <row r="23" spans="1:13" ht="16">
      <c r="A23" s="51" t="s">
        <v>43</v>
      </c>
      <c r="B23" s="51"/>
      <c r="C23" s="52"/>
      <c r="D23" s="52"/>
      <c r="E23" s="52"/>
      <c r="F23" s="52"/>
      <c r="G23" s="52"/>
      <c r="H23" s="52"/>
      <c r="I23" s="52"/>
      <c r="J23" s="52"/>
    </row>
    <row r="24" spans="1:13">
      <c r="A24" s="35" t="s">
        <v>133</v>
      </c>
      <c r="B24" s="11" t="s">
        <v>331</v>
      </c>
      <c r="C24" s="11" t="s">
        <v>332</v>
      </c>
      <c r="D24" s="11" t="s">
        <v>333</v>
      </c>
      <c r="E24" s="12" t="s">
        <v>441</v>
      </c>
      <c r="F24" s="11" t="s">
        <v>179</v>
      </c>
      <c r="G24" s="33" t="s">
        <v>40</v>
      </c>
      <c r="H24" s="33" t="s">
        <v>37</v>
      </c>
      <c r="I24" s="33" t="s">
        <v>41</v>
      </c>
      <c r="J24" s="35"/>
      <c r="K24" s="13" t="str">
        <f>"210,0"</f>
        <v>210,0</v>
      </c>
      <c r="L24" s="13" t="str">
        <f>"142,9260"</f>
        <v>142,9260</v>
      </c>
      <c r="M24" s="44" t="s">
        <v>360</v>
      </c>
    </row>
    <row r="25" spans="1:13">
      <c r="A25" s="41" t="s">
        <v>133</v>
      </c>
      <c r="B25" s="17" t="s">
        <v>299</v>
      </c>
      <c r="C25" s="17" t="s">
        <v>397</v>
      </c>
      <c r="D25" s="17" t="s">
        <v>300</v>
      </c>
      <c r="E25" s="18" t="s">
        <v>444</v>
      </c>
      <c r="F25" s="17" t="s">
        <v>213</v>
      </c>
      <c r="G25" s="39" t="s">
        <v>85</v>
      </c>
      <c r="H25" s="39" t="s">
        <v>20</v>
      </c>
      <c r="I25" s="39" t="s">
        <v>112</v>
      </c>
      <c r="J25" s="41"/>
      <c r="K25" s="19" t="str">
        <f>"185,0"</f>
        <v>185,0</v>
      </c>
      <c r="L25" s="19" t="str">
        <f>"145,1909"</f>
        <v>145,1909</v>
      </c>
      <c r="M25" s="17"/>
    </row>
  </sheetData>
  <mergeCells count="17">
    <mergeCell ref="A1:M2"/>
    <mergeCell ref="A3:A4"/>
    <mergeCell ref="C3:C4"/>
    <mergeCell ref="D3:D4"/>
    <mergeCell ref="E3:E4"/>
    <mergeCell ref="F3:F4"/>
    <mergeCell ref="G3:J3"/>
    <mergeCell ref="B3:B4"/>
    <mergeCell ref="K3:K4"/>
    <mergeCell ref="L3:L4"/>
    <mergeCell ref="M3:M4"/>
    <mergeCell ref="A23:J23"/>
    <mergeCell ref="A5:J5"/>
    <mergeCell ref="A8:J8"/>
    <mergeCell ref="A11:J11"/>
    <mergeCell ref="A14:J14"/>
    <mergeCell ref="A17:J1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M27"/>
  <sheetViews>
    <sheetView workbookViewId="0">
      <selection activeCell="E26" sqref="E26"/>
    </sheetView>
  </sheetViews>
  <sheetFormatPr baseColWidth="10" defaultColWidth="9.1640625" defaultRowHeight="13"/>
  <cols>
    <col min="1" max="1" width="7.5" style="6" bestFit="1" customWidth="1"/>
    <col min="2" max="2" width="21.6640625" style="6" bestFit="1" customWidth="1"/>
    <col min="3" max="3" width="28.5" style="6" bestFit="1" customWidth="1"/>
    <col min="4" max="4" width="21.5" style="6" bestFit="1" customWidth="1"/>
    <col min="5" max="5" width="10.5" style="20" bestFit="1" customWidth="1"/>
    <col min="6" max="6" width="36" style="6" bestFit="1" customWidth="1"/>
    <col min="7" max="9" width="5.5" style="28" customWidth="1"/>
    <col min="10" max="10" width="4.83203125" style="28" customWidth="1"/>
    <col min="11" max="11" width="10.5" style="7" bestFit="1" customWidth="1"/>
    <col min="12" max="12" width="8.5" style="7" bestFit="1" customWidth="1"/>
    <col min="13" max="13" width="16.5" style="6" bestFit="1" customWidth="1"/>
    <col min="14" max="16384" width="9.1640625" style="3"/>
  </cols>
  <sheetData>
    <row r="1" spans="1:13" s="2" customFormat="1" ht="29" customHeight="1">
      <c r="A1" s="61" t="s">
        <v>387</v>
      </c>
      <c r="B1" s="62"/>
      <c r="C1" s="63"/>
      <c r="D1" s="63"/>
      <c r="E1" s="63"/>
      <c r="F1" s="63"/>
      <c r="G1" s="63"/>
      <c r="H1" s="63"/>
      <c r="I1" s="63"/>
      <c r="J1" s="63"/>
      <c r="K1" s="63"/>
      <c r="L1" s="63"/>
      <c r="M1" s="64"/>
    </row>
    <row r="2" spans="1:13" s="2" customFormat="1" ht="62" customHeight="1" thickBot="1">
      <c r="A2" s="65"/>
      <c r="B2" s="66"/>
      <c r="C2" s="67"/>
      <c r="D2" s="67"/>
      <c r="E2" s="67"/>
      <c r="F2" s="67"/>
      <c r="G2" s="67"/>
      <c r="H2" s="67"/>
      <c r="I2" s="67"/>
      <c r="J2" s="67"/>
      <c r="K2" s="67"/>
      <c r="L2" s="67"/>
      <c r="M2" s="68"/>
    </row>
    <row r="3" spans="1:13" s="1" customFormat="1" ht="12.75" customHeight="1">
      <c r="A3" s="69" t="s">
        <v>137</v>
      </c>
      <c r="B3" s="53" t="s">
        <v>0</v>
      </c>
      <c r="C3" s="71" t="s">
        <v>437</v>
      </c>
      <c r="D3" s="71" t="s">
        <v>6</v>
      </c>
      <c r="E3" s="55" t="s">
        <v>438</v>
      </c>
      <c r="F3" s="73" t="s">
        <v>5</v>
      </c>
      <c r="G3" s="73" t="s">
        <v>9</v>
      </c>
      <c r="H3" s="73"/>
      <c r="I3" s="73"/>
      <c r="J3" s="73"/>
      <c r="K3" s="55" t="s">
        <v>254</v>
      </c>
      <c r="L3" s="55" t="s">
        <v>3</v>
      </c>
      <c r="M3" s="57" t="s">
        <v>2</v>
      </c>
    </row>
    <row r="4" spans="1:13" s="1" customFormat="1" ht="21" customHeight="1" thickBot="1">
      <c r="A4" s="70"/>
      <c r="B4" s="54"/>
      <c r="C4" s="72"/>
      <c r="D4" s="72"/>
      <c r="E4" s="56"/>
      <c r="F4" s="72"/>
      <c r="G4" s="4">
        <v>1</v>
      </c>
      <c r="H4" s="4">
        <v>2</v>
      </c>
      <c r="I4" s="4">
        <v>3</v>
      </c>
      <c r="J4" s="4" t="s">
        <v>4</v>
      </c>
      <c r="K4" s="56"/>
      <c r="L4" s="56"/>
      <c r="M4" s="58"/>
    </row>
    <row r="5" spans="1:13" ht="16">
      <c r="A5" s="59" t="s">
        <v>138</v>
      </c>
      <c r="B5" s="59"/>
      <c r="C5" s="60"/>
      <c r="D5" s="60"/>
      <c r="E5" s="60"/>
      <c r="F5" s="60"/>
      <c r="G5" s="60"/>
      <c r="H5" s="60"/>
      <c r="I5" s="60"/>
      <c r="J5" s="60"/>
    </row>
    <row r="6" spans="1:13">
      <c r="A6" s="31" t="s">
        <v>133</v>
      </c>
      <c r="B6" s="8" t="s">
        <v>170</v>
      </c>
      <c r="C6" s="8" t="s">
        <v>398</v>
      </c>
      <c r="D6" s="8" t="s">
        <v>171</v>
      </c>
      <c r="E6" s="9" t="s">
        <v>445</v>
      </c>
      <c r="F6" s="8" t="s">
        <v>425</v>
      </c>
      <c r="G6" s="30" t="s">
        <v>180</v>
      </c>
      <c r="H6" s="30" t="s">
        <v>181</v>
      </c>
      <c r="I6" s="30" t="s">
        <v>145</v>
      </c>
      <c r="J6" s="31"/>
      <c r="K6" s="10" t="str">
        <f>"60,0"</f>
        <v>60,0</v>
      </c>
      <c r="L6" s="10" t="str">
        <f>"107,9508"</f>
        <v>107,9508</v>
      </c>
      <c r="M6" s="8" t="s">
        <v>175</v>
      </c>
    </row>
    <row r="8" spans="1:13" ht="16">
      <c r="A8" s="51" t="s">
        <v>10</v>
      </c>
      <c r="B8" s="51"/>
      <c r="C8" s="52"/>
      <c r="D8" s="52"/>
      <c r="E8" s="52"/>
      <c r="F8" s="52"/>
      <c r="G8" s="52"/>
      <c r="H8" s="52"/>
      <c r="I8" s="52"/>
      <c r="J8" s="52"/>
    </row>
    <row r="9" spans="1:13">
      <c r="A9" s="35" t="s">
        <v>133</v>
      </c>
      <c r="B9" s="11" t="s">
        <v>11</v>
      </c>
      <c r="C9" s="11" t="s">
        <v>12</v>
      </c>
      <c r="D9" s="11" t="s">
        <v>13</v>
      </c>
      <c r="E9" s="12" t="s">
        <v>439</v>
      </c>
      <c r="F9" s="44" t="s">
        <v>246</v>
      </c>
      <c r="G9" s="33" t="s">
        <v>20</v>
      </c>
      <c r="H9" s="33" t="s">
        <v>21</v>
      </c>
      <c r="I9" s="33" t="s">
        <v>22</v>
      </c>
      <c r="J9" s="35"/>
      <c r="K9" s="13" t="str">
        <f>"192,5"</f>
        <v>192,5</v>
      </c>
      <c r="L9" s="13" t="str">
        <f>"187,5335"</f>
        <v>187,5335</v>
      </c>
      <c r="M9" s="44" t="s">
        <v>367</v>
      </c>
    </row>
    <row r="10" spans="1:13">
      <c r="A10" s="41" t="s">
        <v>133</v>
      </c>
      <c r="B10" s="17" t="s">
        <v>182</v>
      </c>
      <c r="C10" s="17" t="s">
        <v>183</v>
      </c>
      <c r="D10" s="17" t="s">
        <v>184</v>
      </c>
      <c r="E10" s="18" t="s">
        <v>446</v>
      </c>
      <c r="F10" s="17" t="s">
        <v>425</v>
      </c>
      <c r="G10" s="39" t="s">
        <v>180</v>
      </c>
      <c r="H10" s="39" t="s">
        <v>181</v>
      </c>
      <c r="I10" s="39" t="s">
        <v>145</v>
      </c>
      <c r="J10" s="41"/>
      <c r="K10" s="19" t="str">
        <f>"60,0"</f>
        <v>60,0</v>
      </c>
      <c r="L10" s="19" t="str">
        <f>"118,1987"</f>
        <v>118,1987</v>
      </c>
      <c r="M10" s="17" t="s">
        <v>175</v>
      </c>
    </row>
    <row r="12" spans="1:13" ht="16">
      <c r="A12" s="51" t="s">
        <v>43</v>
      </c>
      <c r="B12" s="51"/>
      <c r="C12" s="52"/>
      <c r="D12" s="52"/>
      <c r="E12" s="52"/>
      <c r="F12" s="52"/>
      <c r="G12" s="52"/>
      <c r="H12" s="52"/>
      <c r="I12" s="52"/>
      <c r="J12" s="52"/>
    </row>
    <row r="13" spans="1:13">
      <c r="A13" s="31" t="s">
        <v>133</v>
      </c>
      <c r="B13" s="8" t="s">
        <v>310</v>
      </c>
      <c r="C13" s="8" t="s">
        <v>311</v>
      </c>
      <c r="D13" s="8" t="s">
        <v>312</v>
      </c>
      <c r="E13" s="9" t="s">
        <v>439</v>
      </c>
      <c r="F13" s="8" t="s">
        <v>313</v>
      </c>
      <c r="G13" s="30" t="s">
        <v>91</v>
      </c>
      <c r="H13" s="30" t="s">
        <v>92</v>
      </c>
      <c r="I13" s="32" t="s">
        <v>93</v>
      </c>
      <c r="J13" s="31"/>
      <c r="K13" s="10" t="str">
        <f>"230,0"</f>
        <v>230,0</v>
      </c>
      <c r="L13" s="10" t="str">
        <f>"155,1120"</f>
        <v>155,1120</v>
      </c>
      <c r="M13" s="43" t="s">
        <v>368</v>
      </c>
    </row>
    <row r="15" spans="1:13" ht="16">
      <c r="A15" s="51" t="s">
        <v>50</v>
      </c>
      <c r="B15" s="51"/>
      <c r="C15" s="52"/>
      <c r="D15" s="52"/>
      <c r="E15" s="52"/>
      <c r="F15" s="52"/>
      <c r="G15" s="52"/>
      <c r="H15" s="52"/>
      <c r="I15" s="52"/>
      <c r="J15" s="52"/>
    </row>
    <row r="16" spans="1:13">
      <c r="A16" s="35" t="s">
        <v>133</v>
      </c>
      <c r="B16" s="11" t="s">
        <v>51</v>
      </c>
      <c r="C16" s="11" t="s">
        <v>399</v>
      </c>
      <c r="D16" s="11" t="s">
        <v>52</v>
      </c>
      <c r="E16" s="12" t="s">
        <v>440</v>
      </c>
      <c r="F16" s="44" t="s">
        <v>246</v>
      </c>
      <c r="G16" s="33" t="s">
        <v>56</v>
      </c>
      <c r="H16" s="33" t="s">
        <v>57</v>
      </c>
      <c r="I16" s="33" t="s">
        <v>58</v>
      </c>
      <c r="J16" s="35"/>
      <c r="K16" s="13" t="str">
        <f>"272,5"</f>
        <v>272,5</v>
      </c>
      <c r="L16" s="13" t="str">
        <f>"174,3455"</f>
        <v>174,3455</v>
      </c>
      <c r="M16" s="44" t="s">
        <v>367</v>
      </c>
    </row>
    <row r="17" spans="1:13">
      <c r="A17" s="37" t="s">
        <v>133</v>
      </c>
      <c r="B17" s="14" t="s">
        <v>59</v>
      </c>
      <c r="C17" s="14" t="s">
        <v>60</v>
      </c>
      <c r="D17" s="14" t="s">
        <v>61</v>
      </c>
      <c r="E17" s="15" t="s">
        <v>439</v>
      </c>
      <c r="F17" s="14" t="s">
        <v>62</v>
      </c>
      <c r="G17" s="36" t="s">
        <v>67</v>
      </c>
      <c r="H17" s="38" t="s">
        <v>68</v>
      </c>
      <c r="I17" s="38" t="s">
        <v>68</v>
      </c>
      <c r="J17" s="37"/>
      <c r="K17" s="16" t="str">
        <f>"335,0"</f>
        <v>335,0</v>
      </c>
      <c r="L17" s="16" t="str">
        <f>"216,6445"</f>
        <v>216,6445</v>
      </c>
      <c r="M17" s="14" t="s">
        <v>69</v>
      </c>
    </row>
    <row r="18" spans="1:13">
      <c r="A18" s="37" t="s">
        <v>134</v>
      </c>
      <c r="B18" s="14" t="s">
        <v>70</v>
      </c>
      <c r="C18" s="14" t="s">
        <v>71</v>
      </c>
      <c r="D18" s="14" t="s">
        <v>72</v>
      </c>
      <c r="E18" s="15" t="s">
        <v>439</v>
      </c>
      <c r="F18" s="14" t="s">
        <v>432</v>
      </c>
      <c r="G18" s="36" t="s">
        <v>76</v>
      </c>
      <c r="H18" s="38" t="s">
        <v>77</v>
      </c>
      <c r="I18" s="36" t="s">
        <v>77</v>
      </c>
      <c r="J18" s="37"/>
      <c r="K18" s="16" t="str">
        <f>"282,5"</f>
        <v>282,5</v>
      </c>
      <c r="L18" s="16" t="str">
        <f>"181,2803"</f>
        <v>181,2803</v>
      </c>
      <c r="M18" s="45" t="s">
        <v>362</v>
      </c>
    </row>
    <row r="19" spans="1:13">
      <c r="A19" s="41" t="s">
        <v>135</v>
      </c>
      <c r="B19" s="17" t="s">
        <v>88</v>
      </c>
      <c r="C19" s="17" t="s">
        <v>89</v>
      </c>
      <c r="D19" s="17" t="s">
        <v>90</v>
      </c>
      <c r="E19" s="18" t="s">
        <v>439</v>
      </c>
      <c r="F19" s="17" t="s">
        <v>377</v>
      </c>
      <c r="G19" s="39" t="s">
        <v>56</v>
      </c>
      <c r="H19" s="39" t="s">
        <v>57</v>
      </c>
      <c r="I19" s="40" t="s">
        <v>64</v>
      </c>
      <c r="J19" s="41"/>
      <c r="K19" s="19" t="str">
        <f>"260,0"</f>
        <v>260,0</v>
      </c>
      <c r="L19" s="19" t="str">
        <f>"168,4540"</f>
        <v>168,4540</v>
      </c>
      <c r="M19" s="17" t="s">
        <v>95</v>
      </c>
    </row>
    <row r="21" spans="1:13" ht="16">
      <c r="A21" s="51" t="s">
        <v>227</v>
      </c>
      <c r="B21" s="51"/>
      <c r="C21" s="52"/>
      <c r="D21" s="52"/>
      <c r="E21" s="52"/>
      <c r="F21" s="52"/>
      <c r="G21" s="52"/>
      <c r="H21" s="52"/>
      <c r="I21" s="52"/>
      <c r="J21" s="52"/>
    </row>
    <row r="22" spans="1:13">
      <c r="A22" s="31" t="s">
        <v>133</v>
      </c>
      <c r="B22" s="8" t="s">
        <v>314</v>
      </c>
      <c r="C22" s="8" t="s">
        <v>400</v>
      </c>
      <c r="D22" s="8" t="s">
        <v>315</v>
      </c>
      <c r="E22" s="9" t="s">
        <v>443</v>
      </c>
      <c r="F22" s="8" t="s">
        <v>377</v>
      </c>
      <c r="G22" s="30" t="s">
        <v>64</v>
      </c>
      <c r="H22" s="30" t="s">
        <v>77</v>
      </c>
      <c r="I22" s="30" t="s">
        <v>102</v>
      </c>
      <c r="J22" s="31"/>
      <c r="K22" s="10" t="str">
        <f>"290,0"</f>
        <v>290,0</v>
      </c>
      <c r="L22" s="10" t="str">
        <f>"200,0142"</f>
        <v>200,0142</v>
      </c>
      <c r="M22" s="8"/>
    </row>
    <row r="24" spans="1:13" ht="16">
      <c r="A24" s="51" t="s">
        <v>105</v>
      </c>
      <c r="B24" s="51"/>
      <c r="C24" s="52"/>
      <c r="D24" s="52"/>
      <c r="E24" s="52"/>
      <c r="F24" s="52"/>
      <c r="G24" s="52"/>
      <c r="H24" s="52"/>
      <c r="I24" s="52"/>
      <c r="J24" s="52"/>
    </row>
    <row r="25" spans="1:13">
      <c r="A25" s="31" t="s">
        <v>133</v>
      </c>
      <c r="B25" s="8" t="s">
        <v>241</v>
      </c>
      <c r="C25" s="8" t="s">
        <v>401</v>
      </c>
      <c r="D25" s="8" t="s">
        <v>242</v>
      </c>
      <c r="E25" s="9" t="s">
        <v>448</v>
      </c>
      <c r="F25" s="8" t="s">
        <v>425</v>
      </c>
      <c r="G25" s="30" t="s">
        <v>144</v>
      </c>
      <c r="H25" s="30" t="s">
        <v>161</v>
      </c>
      <c r="I25" s="30" t="s">
        <v>30</v>
      </c>
      <c r="J25" s="31"/>
      <c r="K25" s="10" t="str">
        <f>"130,0"</f>
        <v>130,0</v>
      </c>
      <c r="L25" s="10" t="str">
        <f>"128,1579"</f>
        <v>128,1579</v>
      </c>
      <c r="M25" s="8" t="s">
        <v>175</v>
      </c>
    </row>
    <row r="27" spans="1:13">
      <c r="E27" s="6"/>
      <c r="F27" s="20"/>
      <c r="G27" s="6"/>
      <c r="K27" s="28"/>
      <c r="M27" s="7"/>
    </row>
  </sheetData>
  <mergeCells count="17">
    <mergeCell ref="A1:M2"/>
    <mergeCell ref="A3:A4"/>
    <mergeCell ref="C3:C4"/>
    <mergeCell ref="D3:D4"/>
    <mergeCell ref="E3:E4"/>
    <mergeCell ref="F3:F4"/>
    <mergeCell ref="G3:J3"/>
    <mergeCell ref="B3:B4"/>
    <mergeCell ref="K3:K4"/>
    <mergeCell ref="L3:L4"/>
    <mergeCell ref="M3:M4"/>
    <mergeCell ref="A24:J24"/>
    <mergeCell ref="A5:J5"/>
    <mergeCell ref="A8:J8"/>
    <mergeCell ref="A12:J12"/>
    <mergeCell ref="A15:J15"/>
    <mergeCell ref="A21:J2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9"/>
  <sheetViews>
    <sheetView workbookViewId="0">
      <selection activeCell="E10" sqref="E10"/>
    </sheetView>
  </sheetViews>
  <sheetFormatPr baseColWidth="10" defaultColWidth="9.1640625" defaultRowHeight="13"/>
  <cols>
    <col min="1" max="1" width="7.5" style="6" bestFit="1" customWidth="1"/>
    <col min="2" max="2" width="15.83203125" style="6" bestFit="1" customWidth="1"/>
    <col min="3" max="3" width="27.6640625" style="6" customWidth="1"/>
    <col min="4" max="4" width="21.5" style="6" bestFit="1" customWidth="1"/>
    <col min="5" max="5" width="10.5" style="20" bestFit="1" customWidth="1"/>
    <col min="6" max="6" width="36" style="6" bestFit="1" customWidth="1"/>
    <col min="7" max="9" width="5.5" style="28" customWidth="1"/>
    <col min="10" max="10" width="4.83203125" style="28" customWidth="1"/>
    <col min="11" max="11" width="10.5" style="7" bestFit="1" customWidth="1"/>
    <col min="12" max="12" width="7.6640625" style="7" bestFit="1" customWidth="1"/>
    <col min="13" max="13" width="15.5" style="6" bestFit="1" customWidth="1"/>
    <col min="14" max="16384" width="9.1640625" style="3"/>
  </cols>
  <sheetData>
    <row r="1" spans="1:13" s="2" customFormat="1" ht="29" customHeight="1">
      <c r="A1" s="61" t="s">
        <v>381</v>
      </c>
      <c r="B1" s="62"/>
      <c r="C1" s="63"/>
      <c r="D1" s="63"/>
      <c r="E1" s="63"/>
      <c r="F1" s="63"/>
      <c r="G1" s="63"/>
      <c r="H1" s="63"/>
      <c r="I1" s="63"/>
      <c r="J1" s="63"/>
      <c r="K1" s="63"/>
      <c r="L1" s="63"/>
      <c r="M1" s="64"/>
    </row>
    <row r="2" spans="1:13" s="2" customFormat="1" ht="62" customHeight="1" thickBot="1">
      <c r="A2" s="65"/>
      <c r="B2" s="66"/>
      <c r="C2" s="67"/>
      <c r="D2" s="67"/>
      <c r="E2" s="67"/>
      <c r="F2" s="67"/>
      <c r="G2" s="67"/>
      <c r="H2" s="67"/>
      <c r="I2" s="67"/>
      <c r="J2" s="67"/>
      <c r="K2" s="67"/>
      <c r="L2" s="67"/>
      <c r="M2" s="68"/>
    </row>
    <row r="3" spans="1:13" s="1" customFormat="1" ht="12.75" customHeight="1">
      <c r="A3" s="69" t="s">
        <v>137</v>
      </c>
      <c r="B3" s="53" t="s">
        <v>0</v>
      </c>
      <c r="C3" s="71" t="s">
        <v>437</v>
      </c>
      <c r="D3" s="71" t="s">
        <v>6</v>
      </c>
      <c r="E3" s="55" t="s">
        <v>438</v>
      </c>
      <c r="F3" s="73" t="s">
        <v>5</v>
      </c>
      <c r="G3" s="73" t="s">
        <v>339</v>
      </c>
      <c r="H3" s="73"/>
      <c r="I3" s="73"/>
      <c r="J3" s="73"/>
      <c r="K3" s="55" t="s">
        <v>254</v>
      </c>
      <c r="L3" s="55" t="s">
        <v>3</v>
      </c>
      <c r="M3" s="57" t="s">
        <v>2</v>
      </c>
    </row>
    <row r="4" spans="1:13" s="1" customFormat="1" ht="21" customHeight="1" thickBot="1">
      <c r="A4" s="70"/>
      <c r="B4" s="54"/>
      <c r="C4" s="72"/>
      <c r="D4" s="72"/>
      <c r="E4" s="56"/>
      <c r="F4" s="72"/>
      <c r="G4" s="4">
        <v>1</v>
      </c>
      <c r="H4" s="4">
        <v>2</v>
      </c>
      <c r="I4" s="4">
        <v>3</v>
      </c>
      <c r="J4" s="4" t="s">
        <v>4</v>
      </c>
      <c r="K4" s="56"/>
      <c r="L4" s="56"/>
      <c r="M4" s="58"/>
    </row>
    <row r="5" spans="1:13" ht="16">
      <c r="A5" s="59" t="s">
        <v>10</v>
      </c>
      <c r="B5" s="59"/>
      <c r="C5" s="60"/>
      <c r="D5" s="60"/>
      <c r="E5" s="60"/>
      <c r="F5" s="60"/>
      <c r="G5" s="60"/>
      <c r="H5" s="60"/>
      <c r="I5" s="60"/>
      <c r="J5" s="60"/>
    </row>
    <row r="6" spans="1:13">
      <c r="A6" s="31" t="s">
        <v>133</v>
      </c>
      <c r="B6" s="8" t="s">
        <v>151</v>
      </c>
      <c r="C6" s="8" t="s">
        <v>152</v>
      </c>
      <c r="D6" s="8" t="s">
        <v>153</v>
      </c>
      <c r="E6" s="9" t="s">
        <v>439</v>
      </c>
      <c r="F6" s="8" t="s">
        <v>426</v>
      </c>
      <c r="G6" s="30" t="s">
        <v>276</v>
      </c>
      <c r="H6" s="32" t="s">
        <v>146</v>
      </c>
      <c r="I6" s="30" t="s">
        <v>146</v>
      </c>
      <c r="J6" s="31"/>
      <c r="K6" s="10" t="str">
        <f>"65,0"</f>
        <v>65,0</v>
      </c>
      <c r="L6" s="10" t="str">
        <f>"44,7980"</f>
        <v>44,7980</v>
      </c>
      <c r="M6" s="8"/>
    </row>
    <row r="8" spans="1:13" ht="16">
      <c r="A8" s="51" t="s">
        <v>43</v>
      </c>
      <c r="B8" s="51"/>
      <c r="C8" s="76"/>
      <c r="D8" s="76"/>
      <c r="E8" s="76"/>
      <c r="F8" s="76"/>
      <c r="G8" s="76"/>
      <c r="H8" s="76"/>
      <c r="I8" s="76"/>
      <c r="J8" s="76"/>
    </row>
    <row r="9" spans="1:13">
      <c r="A9" s="31" t="s">
        <v>133</v>
      </c>
      <c r="B9" s="8" t="s">
        <v>358</v>
      </c>
      <c r="C9" s="8" t="s">
        <v>395</v>
      </c>
      <c r="D9" s="8" t="s">
        <v>359</v>
      </c>
      <c r="E9" s="9" t="s">
        <v>442</v>
      </c>
      <c r="F9" s="8" t="s">
        <v>425</v>
      </c>
      <c r="G9" s="30" t="s">
        <v>346</v>
      </c>
      <c r="H9" s="30" t="s">
        <v>341</v>
      </c>
      <c r="I9" s="30" t="s">
        <v>180</v>
      </c>
      <c r="J9" s="31"/>
      <c r="K9" s="10" t="str">
        <f>"50,0"</f>
        <v>50,0</v>
      </c>
      <c r="L9" s="10" t="str">
        <f>"34,2189"</f>
        <v>34,2189</v>
      </c>
      <c r="M9" s="8" t="s">
        <v>175</v>
      </c>
    </row>
  </sheetData>
  <mergeCells count="13">
    <mergeCell ref="A8:J8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  <mergeCell ref="A5:J5"/>
    <mergeCell ref="B3:B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9"/>
  <sheetViews>
    <sheetView workbookViewId="0">
      <selection activeCell="E10" sqref="E10"/>
    </sheetView>
  </sheetViews>
  <sheetFormatPr baseColWidth="10" defaultColWidth="9.1640625" defaultRowHeight="13"/>
  <cols>
    <col min="1" max="1" width="7.5" style="6" bestFit="1" customWidth="1"/>
    <col min="2" max="2" width="18.33203125" style="6" bestFit="1" customWidth="1"/>
    <col min="3" max="3" width="26.33203125" style="6" bestFit="1" customWidth="1"/>
    <col min="4" max="4" width="21.5" style="6" bestFit="1" customWidth="1"/>
    <col min="5" max="5" width="10.5" style="20" bestFit="1" customWidth="1"/>
    <col min="6" max="6" width="37" style="6" customWidth="1"/>
    <col min="7" max="9" width="5.5" style="28" customWidth="1"/>
    <col min="10" max="10" width="4.83203125" style="28" customWidth="1"/>
    <col min="11" max="11" width="10.5" style="7" bestFit="1" customWidth="1"/>
    <col min="12" max="12" width="7.5" style="7" bestFit="1" customWidth="1"/>
    <col min="13" max="13" width="15.5" style="6" bestFit="1" customWidth="1"/>
    <col min="14" max="16384" width="9.1640625" style="3"/>
  </cols>
  <sheetData>
    <row r="1" spans="1:13" s="2" customFormat="1" ht="29" customHeight="1">
      <c r="A1" s="61" t="s">
        <v>382</v>
      </c>
      <c r="B1" s="62"/>
      <c r="C1" s="63"/>
      <c r="D1" s="63"/>
      <c r="E1" s="63"/>
      <c r="F1" s="63"/>
      <c r="G1" s="63"/>
      <c r="H1" s="63"/>
      <c r="I1" s="63"/>
      <c r="J1" s="63"/>
      <c r="K1" s="63"/>
      <c r="L1" s="63"/>
      <c r="M1" s="64"/>
    </row>
    <row r="2" spans="1:13" s="2" customFormat="1" ht="62" customHeight="1" thickBot="1">
      <c r="A2" s="65"/>
      <c r="B2" s="66"/>
      <c r="C2" s="67"/>
      <c r="D2" s="67"/>
      <c r="E2" s="67"/>
      <c r="F2" s="67"/>
      <c r="G2" s="67"/>
      <c r="H2" s="67"/>
      <c r="I2" s="67"/>
      <c r="J2" s="67"/>
      <c r="K2" s="67"/>
      <c r="L2" s="67"/>
      <c r="M2" s="68"/>
    </row>
    <row r="3" spans="1:13" s="1" customFormat="1" ht="12.75" customHeight="1">
      <c r="A3" s="69" t="s">
        <v>137</v>
      </c>
      <c r="B3" s="53" t="s">
        <v>0</v>
      </c>
      <c r="C3" s="71" t="s">
        <v>437</v>
      </c>
      <c r="D3" s="71" t="s">
        <v>6</v>
      </c>
      <c r="E3" s="55" t="s">
        <v>438</v>
      </c>
      <c r="F3" s="73" t="s">
        <v>5</v>
      </c>
      <c r="G3" s="73" t="s">
        <v>339</v>
      </c>
      <c r="H3" s="73"/>
      <c r="I3" s="73"/>
      <c r="J3" s="73"/>
      <c r="K3" s="55" t="s">
        <v>254</v>
      </c>
      <c r="L3" s="55" t="s">
        <v>3</v>
      </c>
      <c r="M3" s="57" t="s">
        <v>2</v>
      </c>
    </row>
    <row r="4" spans="1:13" s="1" customFormat="1" ht="21" customHeight="1" thickBot="1">
      <c r="A4" s="70"/>
      <c r="B4" s="54"/>
      <c r="C4" s="72"/>
      <c r="D4" s="72"/>
      <c r="E4" s="56"/>
      <c r="F4" s="72"/>
      <c r="G4" s="5">
        <v>1</v>
      </c>
      <c r="H4" s="5">
        <v>2</v>
      </c>
      <c r="I4" s="5">
        <v>3</v>
      </c>
      <c r="J4" s="5" t="s">
        <v>4</v>
      </c>
      <c r="K4" s="56"/>
      <c r="L4" s="56"/>
      <c r="M4" s="58"/>
    </row>
    <row r="5" spans="1:13" ht="16">
      <c r="A5" s="59" t="s">
        <v>50</v>
      </c>
      <c r="B5" s="59"/>
      <c r="C5" s="60"/>
      <c r="D5" s="60"/>
      <c r="E5" s="60"/>
      <c r="F5" s="60"/>
      <c r="G5" s="60"/>
      <c r="H5" s="60"/>
      <c r="I5" s="60"/>
      <c r="J5" s="60"/>
    </row>
    <row r="6" spans="1:13">
      <c r="A6" s="31" t="s">
        <v>133</v>
      </c>
      <c r="B6" s="8" t="s">
        <v>203</v>
      </c>
      <c r="C6" s="8" t="s">
        <v>340</v>
      </c>
      <c r="D6" s="8" t="s">
        <v>204</v>
      </c>
      <c r="E6" s="9" t="s">
        <v>443</v>
      </c>
      <c r="F6" s="8" t="s">
        <v>429</v>
      </c>
      <c r="G6" s="30" t="s">
        <v>341</v>
      </c>
      <c r="H6" s="30" t="s">
        <v>355</v>
      </c>
      <c r="I6" s="30" t="s">
        <v>261</v>
      </c>
      <c r="J6" s="31"/>
      <c r="K6" s="10" t="str">
        <f>"52,5"</f>
        <v>52,5</v>
      </c>
      <c r="L6" s="10" t="str">
        <f>"45,4409"</f>
        <v>45,4409</v>
      </c>
      <c r="M6" s="8"/>
    </row>
    <row r="8" spans="1:13" ht="16">
      <c r="A8" s="51" t="s">
        <v>227</v>
      </c>
      <c r="B8" s="51"/>
      <c r="C8" s="52"/>
      <c r="D8" s="52"/>
      <c r="E8" s="52"/>
      <c r="F8" s="52"/>
      <c r="G8" s="52"/>
      <c r="H8" s="52"/>
      <c r="I8" s="52"/>
      <c r="J8" s="52"/>
    </row>
    <row r="9" spans="1:13">
      <c r="A9" s="31" t="s">
        <v>133</v>
      </c>
      <c r="B9" s="8" t="s">
        <v>239</v>
      </c>
      <c r="C9" s="8" t="s">
        <v>356</v>
      </c>
      <c r="D9" s="8" t="s">
        <v>357</v>
      </c>
      <c r="E9" s="9" t="s">
        <v>443</v>
      </c>
      <c r="F9" s="8" t="s">
        <v>425</v>
      </c>
      <c r="G9" s="30" t="s">
        <v>346</v>
      </c>
      <c r="H9" s="30" t="s">
        <v>341</v>
      </c>
      <c r="I9" s="30" t="s">
        <v>180</v>
      </c>
      <c r="J9" s="31"/>
      <c r="K9" s="10" t="str">
        <f>"50,0"</f>
        <v>50,0</v>
      </c>
      <c r="L9" s="10" t="str">
        <f>"37,8399"</f>
        <v>37,8399</v>
      </c>
      <c r="M9" s="8" t="s">
        <v>175</v>
      </c>
    </row>
  </sheetData>
  <mergeCells count="13">
    <mergeCell ref="A5:J5"/>
    <mergeCell ref="A8:J8"/>
    <mergeCell ref="K3:K4"/>
    <mergeCell ref="L3:L4"/>
    <mergeCell ref="M3:M4"/>
    <mergeCell ref="B3:B4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4"/>
  <sheetViews>
    <sheetView workbookViewId="0">
      <selection activeCell="E13" sqref="E13"/>
    </sheetView>
  </sheetViews>
  <sheetFormatPr baseColWidth="10" defaultColWidth="9.1640625" defaultRowHeight="13"/>
  <cols>
    <col min="1" max="1" width="7.5" style="6" bestFit="1" customWidth="1"/>
    <col min="2" max="2" width="16.33203125" style="6" bestFit="1" customWidth="1"/>
    <col min="3" max="3" width="28.5" style="6" bestFit="1" customWidth="1"/>
    <col min="4" max="4" width="21.5" style="6" bestFit="1" customWidth="1"/>
    <col min="5" max="5" width="10.5" style="20" bestFit="1" customWidth="1"/>
    <col min="6" max="6" width="26.33203125" style="6" bestFit="1" customWidth="1"/>
    <col min="7" max="9" width="5.5" style="28" customWidth="1"/>
    <col min="10" max="10" width="4.83203125" style="28" customWidth="1"/>
    <col min="11" max="11" width="10.5" style="7" bestFit="1" customWidth="1"/>
    <col min="12" max="12" width="7.5" style="7" bestFit="1" customWidth="1"/>
    <col min="13" max="13" width="15.5" style="6" bestFit="1" customWidth="1"/>
    <col min="14" max="16384" width="9.1640625" style="3"/>
  </cols>
  <sheetData>
    <row r="1" spans="1:13" s="2" customFormat="1" ht="29" customHeight="1">
      <c r="A1" s="61" t="s">
        <v>379</v>
      </c>
      <c r="B1" s="62"/>
      <c r="C1" s="63"/>
      <c r="D1" s="63"/>
      <c r="E1" s="63"/>
      <c r="F1" s="63"/>
      <c r="G1" s="63"/>
      <c r="H1" s="63"/>
      <c r="I1" s="63"/>
      <c r="J1" s="63"/>
      <c r="K1" s="63"/>
      <c r="L1" s="63"/>
      <c r="M1" s="64"/>
    </row>
    <row r="2" spans="1:13" s="2" customFormat="1" ht="62" customHeight="1" thickBot="1">
      <c r="A2" s="65"/>
      <c r="B2" s="66"/>
      <c r="C2" s="67"/>
      <c r="D2" s="67"/>
      <c r="E2" s="67"/>
      <c r="F2" s="67"/>
      <c r="G2" s="67"/>
      <c r="H2" s="67"/>
      <c r="I2" s="67"/>
      <c r="J2" s="67"/>
      <c r="K2" s="67"/>
      <c r="L2" s="67"/>
      <c r="M2" s="68"/>
    </row>
    <row r="3" spans="1:13" s="1" customFormat="1" ht="12.75" customHeight="1">
      <c r="A3" s="69" t="s">
        <v>137</v>
      </c>
      <c r="B3" s="53" t="s">
        <v>0</v>
      </c>
      <c r="C3" s="71" t="s">
        <v>437</v>
      </c>
      <c r="D3" s="71" t="s">
        <v>6</v>
      </c>
      <c r="E3" s="55" t="s">
        <v>438</v>
      </c>
      <c r="F3" s="73" t="s">
        <v>5</v>
      </c>
      <c r="G3" s="73" t="s">
        <v>339</v>
      </c>
      <c r="H3" s="73"/>
      <c r="I3" s="73"/>
      <c r="J3" s="73"/>
      <c r="K3" s="55" t="s">
        <v>254</v>
      </c>
      <c r="L3" s="55" t="s">
        <v>3</v>
      </c>
      <c r="M3" s="57" t="s">
        <v>2</v>
      </c>
    </row>
    <row r="4" spans="1:13" s="1" customFormat="1" ht="21" customHeight="1" thickBot="1">
      <c r="A4" s="70"/>
      <c r="B4" s="54"/>
      <c r="C4" s="72"/>
      <c r="D4" s="72"/>
      <c r="E4" s="56"/>
      <c r="F4" s="72"/>
      <c r="G4" s="4">
        <v>1</v>
      </c>
      <c r="H4" s="4">
        <v>2</v>
      </c>
      <c r="I4" s="4">
        <v>3</v>
      </c>
      <c r="J4" s="4" t="s">
        <v>4</v>
      </c>
      <c r="K4" s="56"/>
      <c r="L4" s="56"/>
      <c r="M4" s="58"/>
    </row>
    <row r="5" spans="1:13" ht="16">
      <c r="A5" s="59" t="s">
        <v>138</v>
      </c>
      <c r="B5" s="59"/>
      <c r="C5" s="60"/>
      <c r="D5" s="60"/>
      <c r="E5" s="60"/>
      <c r="F5" s="60"/>
      <c r="G5" s="60"/>
      <c r="H5" s="60"/>
      <c r="I5" s="60"/>
      <c r="J5" s="60"/>
    </row>
    <row r="6" spans="1:13">
      <c r="A6" s="31" t="s">
        <v>133</v>
      </c>
      <c r="B6" s="8" t="s">
        <v>347</v>
      </c>
      <c r="C6" s="8" t="s">
        <v>348</v>
      </c>
      <c r="D6" s="8" t="s">
        <v>349</v>
      </c>
      <c r="E6" s="9" t="s">
        <v>439</v>
      </c>
      <c r="F6" s="8" t="s">
        <v>377</v>
      </c>
      <c r="G6" s="30" t="s">
        <v>346</v>
      </c>
      <c r="H6" s="32" t="s">
        <v>260</v>
      </c>
      <c r="I6" s="32" t="s">
        <v>260</v>
      </c>
      <c r="J6" s="31"/>
      <c r="K6" s="10" t="str">
        <f>"40,0"</f>
        <v>40,0</v>
      </c>
      <c r="L6" s="10" t="str">
        <f>"33,5320"</f>
        <v>33,5320</v>
      </c>
      <c r="M6" s="8"/>
    </row>
    <row r="8" spans="1:13" ht="16">
      <c r="A8" s="51" t="s">
        <v>10</v>
      </c>
      <c r="B8" s="51"/>
      <c r="C8" s="52"/>
      <c r="D8" s="52"/>
      <c r="E8" s="52"/>
      <c r="F8" s="52"/>
      <c r="G8" s="52"/>
      <c r="H8" s="52"/>
      <c r="I8" s="52"/>
      <c r="J8" s="52"/>
    </row>
    <row r="9" spans="1:13">
      <c r="A9" s="31" t="s">
        <v>133</v>
      </c>
      <c r="B9" s="8" t="s">
        <v>350</v>
      </c>
      <c r="C9" s="8" t="s">
        <v>393</v>
      </c>
      <c r="D9" s="8" t="s">
        <v>178</v>
      </c>
      <c r="E9" s="9" t="s">
        <v>442</v>
      </c>
      <c r="F9" s="8" t="s">
        <v>377</v>
      </c>
      <c r="G9" s="30" t="s">
        <v>260</v>
      </c>
      <c r="H9" s="32" t="s">
        <v>261</v>
      </c>
      <c r="I9" s="31"/>
      <c r="J9" s="31"/>
      <c r="K9" s="10" t="str">
        <f>"47,5"</f>
        <v>47,5</v>
      </c>
      <c r="L9" s="10" t="str">
        <f>"36,4733"</f>
        <v>36,4733</v>
      </c>
      <c r="M9" s="8" t="s">
        <v>351</v>
      </c>
    </row>
    <row r="11" spans="1:13" ht="16">
      <c r="A11" s="51" t="s">
        <v>50</v>
      </c>
      <c r="B11" s="51"/>
      <c r="C11" s="52"/>
      <c r="D11" s="52"/>
      <c r="E11" s="52"/>
      <c r="F11" s="52"/>
      <c r="G11" s="52"/>
      <c r="H11" s="52"/>
      <c r="I11" s="52"/>
      <c r="J11" s="52"/>
    </row>
    <row r="12" spans="1:13">
      <c r="A12" s="31" t="s">
        <v>133</v>
      </c>
      <c r="B12" s="8" t="s">
        <v>352</v>
      </c>
      <c r="C12" s="8" t="s">
        <v>353</v>
      </c>
      <c r="D12" s="8" t="s">
        <v>354</v>
      </c>
      <c r="E12" s="9" t="s">
        <v>439</v>
      </c>
      <c r="F12" s="8" t="s">
        <v>377</v>
      </c>
      <c r="G12" s="30" t="s">
        <v>181</v>
      </c>
      <c r="H12" s="30" t="s">
        <v>145</v>
      </c>
      <c r="I12" s="32" t="s">
        <v>146</v>
      </c>
      <c r="J12" s="31"/>
      <c r="K12" s="10" t="str">
        <f>"60,0"</f>
        <v>60,0</v>
      </c>
      <c r="L12" s="10" t="str">
        <f>"38,1780"</f>
        <v>38,1780</v>
      </c>
      <c r="M12" s="8"/>
    </row>
    <row r="14" spans="1:13">
      <c r="E14" s="6"/>
      <c r="F14" s="20"/>
      <c r="G14" s="6"/>
      <c r="K14" s="28"/>
      <c r="M14" s="7"/>
    </row>
  </sheetData>
  <mergeCells count="14"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8:J8"/>
    <mergeCell ref="A11:J11"/>
    <mergeCell ref="B3:B4"/>
    <mergeCell ref="K3:K4"/>
    <mergeCell ref="L3:L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5"/>
  <sheetViews>
    <sheetView tabSelected="1" workbookViewId="0">
      <selection activeCell="E15" sqref="E15"/>
    </sheetView>
  </sheetViews>
  <sheetFormatPr baseColWidth="10" defaultColWidth="9.1640625" defaultRowHeight="13"/>
  <cols>
    <col min="1" max="1" width="7.5" style="6" bestFit="1" customWidth="1"/>
    <col min="2" max="2" width="17.5" style="6" bestFit="1" customWidth="1"/>
    <col min="3" max="3" width="27.6640625" style="6" bestFit="1" customWidth="1"/>
    <col min="4" max="4" width="21.5" style="6" bestFit="1" customWidth="1"/>
    <col min="5" max="5" width="10.5" style="20" bestFit="1" customWidth="1"/>
    <col min="6" max="6" width="36" style="6" bestFit="1" customWidth="1"/>
    <col min="7" max="9" width="5.5" style="28" customWidth="1"/>
    <col min="10" max="10" width="4.83203125" style="28" customWidth="1"/>
    <col min="11" max="11" width="10.5" style="7" bestFit="1" customWidth="1"/>
    <col min="12" max="12" width="8.33203125" style="7" customWidth="1"/>
    <col min="13" max="13" width="17.33203125" style="6" customWidth="1"/>
    <col min="14" max="16384" width="9.1640625" style="3"/>
  </cols>
  <sheetData>
    <row r="1" spans="1:13" s="2" customFormat="1" ht="29" customHeight="1">
      <c r="A1" s="61" t="s">
        <v>380</v>
      </c>
      <c r="B1" s="62"/>
      <c r="C1" s="63"/>
      <c r="D1" s="63"/>
      <c r="E1" s="63"/>
      <c r="F1" s="63"/>
      <c r="G1" s="63"/>
      <c r="H1" s="63"/>
      <c r="I1" s="63"/>
      <c r="J1" s="63"/>
      <c r="K1" s="63"/>
      <c r="L1" s="63"/>
      <c r="M1" s="64"/>
    </row>
    <row r="2" spans="1:13" s="2" customFormat="1" ht="62" customHeight="1" thickBot="1">
      <c r="A2" s="65"/>
      <c r="B2" s="66"/>
      <c r="C2" s="67"/>
      <c r="D2" s="67"/>
      <c r="E2" s="67"/>
      <c r="F2" s="67"/>
      <c r="G2" s="67"/>
      <c r="H2" s="67"/>
      <c r="I2" s="67"/>
      <c r="J2" s="67"/>
      <c r="K2" s="67"/>
      <c r="L2" s="67"/>
      <c r="M2" s="68"/>
    </row>
    <row r="3" spans="1:13" s="1" customFormat="1" ht="12.75" customHeight="1">
      <c r="A3" s="69" t="s">
        <v>137</v>
      </c>
      <c r="B3" s="53" t="s">
        <v>0</v>
      </c>
      <c r="C3" s="71" t="s">
        <v>437</v>
      </c>
      <c r="D3" s="71" t="s">
        <v>6</v>
      </c>
      <c r="E3" s="55" t="s">
        <v>438</v>
      </c>
      <c r="F3" s="73" t="s">
        <v>5</v>
      </c>
      <c r="G3" s="73" t="s">
        <v>339</v>
      </c>
      <c r="H3" s="73"/>
      <c r="I3" s="73"/>
      <c r="J3" s="73"/>
      <c r="K3" s="55" t="s">
        <v>254</v>
      </c>
      <c r="L3" s="55" t="s">
        <v>3</v>
      </c>
      <c r="M3" s="57" t="s">
        <v>2</v>
      </c>
    </row>
    <row r="4" spans="1:13" s="1" customFormat="1" ht="21" customHeight="1" thickBot="1">
      <c r="A4" s="70"/>
      <c r="B4" s="54"/>
      <c r="C4" s="72"/>
      <c r="D4" s="72"/>
      <c r="E4" s="56"/>
      <c r="F4" s="72"/>
      <c r="G4" s="4">
        <v>1</v>
      </c>
      <c r="H4" s="4">
        <v>2</v>
      </c>
      <c r="I4" s="4">
        <v>3</v>
      </c>
      <c r="J4" s="4" t="s">
        <v>4</v>
      </c>
      <c r="K4" s="56"/>
      <c r="L4" s="56"/>
      <c r="M4" s="58"/>
    </row>
    <row r="5" spans="1:13" ht="16">
      <c r="A5" s="59" t="s">
        <v>43</v>
      </c>
      <c r="B5" s="59"/>
      <c r="C5" s="60"/>
      <c r="D5" s="60"/>
      <c r="E5" s="60"/>
      <c r="F5" s="60"/>
      <c r="G5" s="60"/>
      <c r="H5" s="60"/>
      <c r="I5" s="60"/>
      <c r="J5" s="60"/>
    </row>
    <row r="6" spans="1:13">
      <c r="A6" s="31" t="s">
        <v>133</v>
      </c>
      <c r="B6" s="8" t="s">
        <v>197</v>
      </c>
      <c r="C6" s="8" t="s">
        <v>198</v>
      </c>
      <c r="D6" s="8" t="s">
        <v>199</v>
      </c>
      <c r="E6" s="9" t="s">
        <v>439</v>
      </c>
      <c r="F6" s="8" t="s">
        <v>179</v>
      </c>
      <c r="G6" s="30" t="s">
        <v>145</v>
      </c>
      <c r="H6" s="32" t="s">
        <v>189</v>
      </c>
      <c r="I6" s="32" t="s">
        <v>189</v>
      </c>
      <c r="J6" s="31"/>
      <c r="K6" s="10" t="str">
        <f>"60,0"</f>
        <v>60,0</v>
      </c>
      <c r="L6" s="10" t="str">
        <f>"38,6760"</f>
        <v>38,6760</v>
      </c>
      <c r="M6" s="43" t="s">
        <v>360</v>
      </c>
    </row>
    <row r="8" spans="1:13" ht="16">
      <c r="A8" s="51" t="s">
        <v>50</v>
      </c>
      <c r="B8" s="51"/>
      <c r="C8" s="52"/>
      <c r="D8" s="52"/>
      <c r="E8" s="52"/>
      <c r="F8" s="52"/>
      <c r="G8" s="52"/>
      <c r="H8" s="52"/>
      <c r="I8" s="52"/>
      <c r="J8" s="52"/>
    </row>
    <row r="9" spans="1:13">
      <c r="A9" s="31" t="s">
        <v>133</v>
      </c>
      <c r="B9" s="8" t="s">
        <v>203</v>
      </c>
      <c r="C9" s="8" t="s">
        <v>340</v>
      </c>
      <c r="D9" s="8" t="s">
        <v>204</v>
      </c>
      <c r="E9" s="9" t="s">
        <v>443</v>
      </c>
      <c r="F9" s="8" t="s">
        <v>428</v>
      </c>
      <c r="G9" s="32" t="s">
        <v>341</v>
      </c>
      <c r="H9" s="30" t="s">
        <v>341</v>
      </c>
      <c r="I9" s="32" t="s">
        <v>180</v>
      </c>
      <c r="J9" s="31"/>
      <c r="K9" s="10" t="str">
        <f>"45,0"</f>
        <v>45,0</v>
      </c>
      <c r="L9" s="10" t="str">
        <f>"38,9493"</f>
        <v>38,9493</v>
      </c>
      <c r="M9" s="8"/>
    </row>
    <row r="11" spans="1:13" ht="16">
      <c r="A11" s="51" t="s">
        <v>96</v>
      </c>
      <c r="B11" s="51"/>
      <c r="C11" s="52"/>
      <c r="D11" s="52"/>
      <c r="E11" s="52"/>
      <c r="F11" s="52"/>
      <c r="G11" s="52"/>
      <c r="H11" s="52"/>
      <c r="I11" s="52"/>
      <c r="J11" s="52"/>
    </row>
    <row r="12" spans="1:13">
      <c r="A12" s="31" t="s">
        <v>133</v>
      </c>
      <c r="B12" s="8" t="s">
        <v>342</v>
      </c>
      <c r="C12" s="8" t="s">
        <v>394</v>
      </c>
      <c r="D12" s="8" t="s">
        <v>212</v>
      </c>
      <c r="E12" s="9" t="s">
        <v>441</v>
      </c>
      <c r="F12" s="8" t="s">
        <v>425</v>
      </c>
      <c r="G12" s="30" t="s">
        <v>276</v>
      </c>
      <c r="H12" s="30" t="s">
        <v>266</v>
      </c>
      <c r="I12" s="30" t="s">
        <v>146</v>
      </c>
      <c r="J12" s="31"/>
      <c r="K12" s="10" t="str">
        <f>"65,0"</f>
        <v>65,0</v>
      </c>
      <c r="L12" s="10" t="str">
        <f>"38,1843"</f>
        <v>38,1843</v>
      </c>
      <c r="M12" s="8"/>
    </row>
    <row r="14" spans="1:13" ht="16">
      <c r="A14" s="51" t="s">
        <v>227</v>
      </c>
      <c r="B14" s="51"/>
      <c r="C14" s="52"/>
      <c r="D14" s="52"/>
      <c r="E14" s="52"/>
      <c r="F14" s="52"/>
      <c r="G14" s="52"/>
      <c r="H14" s="52"/>
      <c r="I14" s="52"/>
      <c r="J14" s="52"/>
    </row>
    <row r="15" spans="1:13">
      <c r="A15" s="31" t="s">
        <v>133</v>
      </c>
      <c r="B15" s="8" t="s">
        <v>343</v>
      </c>
      <c r="C15" s="8" t="s">
        <v>344</v>
      </c>
      <c r="D15" s="8" t="s">
        <v>345</v>
      </c>
      <c r="E15" s="9" t="s">
        <v>443</v>
      </c>
      <c r="F15" s="8" t="s">
        <v>425</v>
      </c>
      <c r="G15" s="32" t="s">
        <v>346</v>
      </c>
      <c r="H15" s="32" t="s">
        <v>346</v>
      </c>
      <c r="I15" s="30" t="s">
        <v>346</v>
      </c>
      <c r="J15" s="31"/>
      <c r="K15" s="10" t="str">
        <f>"40,0"</f>
        <v>40,0</v>
      </c>
      <c r="L15" s="10" t="str">
        <f>"31,4535"</f>
        <v>31,4535</v>
      </c>
      <c r="M15" s="43" t="s">
        <v>361</v>
      </c>
    </row>
  </sheetData>
  <mergeCells count="15"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8:J8"/>
    <mergeCell ref="A11:J11"/>
    <mergeCell ref="A14:J14"/>
    <mergeCell ref="B3:B4"/>
    <mergeCell ref="K3:K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IPL ПЛ без экипировки ДК</vt:lpstr>
      <vt:lpstr>IPL ПЛ без экипировки</vt:lpstr>
      <vt:lpstr>IPL Двоеборье без экип ДК</vt:lpstr>
      <vt:lpstr>IPL Двоеборье без экип</vt:lpstr>
      <vt:lpstr>IPL Жим без экипировки ДК</vt:lpstr>
      <vt:lpstr>IPL Жим без экипировки</vt:lpstr>
      <vt:lpstr>СПР Жим софт многопетельная</vt:lpstr>
      <vt:lpstr>WRPF Военный жим</vt:lpstr>
      <vt:lpstr>IPL Тяга без экипировки ДК</vt:lpstr>
      <vt:lpstr>IPL Тяга без экипировки</vt:lpstr>
      <vt:lpstr>СПР Подъем на бицепс ДК</vt:lpstr>
      <vt:lpstr>СПР Подъем на бицепс</vt:lpstr>
      <vt:lpstr>WRPF Подъем на бицепс ДК</vt:lpstr>
      <vt:lpstr>WRPF Подъем на бицепс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2022-10-21T19:06:50Z</dcterms:modified>
</cp:coreProperties>
</file>