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Октябрь/"/>
    </mc:Choice>
  </mc:AlternateContent>
  <xr:revisionPtr revIDLastSave="0" documentId="13_ncr:1_{82885F2C-EF15-644F-AA29-A8FBE1928735}" xr6:coauthVersionLast="45" xr6:coauthVersionMax="45" xr10:uidLastSave="{00000000-0000-0000-0000-000000000000}"/>
  <bookViews>
    <workbookView xWindow="480" yWindow="460" windowWidth="28120" windowHeight="16160" firstSheet="11" activeTab="16" xr2:uid="{00000000-000D-0000-FFFF-FFFF00000000}"/>
  </bookViews>
  <sheets>
    <sheet name="WRPF ПЛ без экипировки" sheetId="7" r:id="rId1"/>
    <sheet name="WRPF ПЛ в бинтах ДК" sheetId="6" r:id="rId2"/>
    <sheet name="WRPF ПЛ в бинтах" sheetId="5" r:id="rId3"/>
    <sheet name="WRPF Жим лежа без экип ДК" sheetId="12" r:id="rId4"/>
    <sheet name="WRPF Жим лежа без экип" sheetId="11" r:id="rId5"/>
    <sheet name="WEPF Жим софт однопетельная ДК" sheetId="13" r:id="rId6"/>
    <sheet name="WEPF Жим софт многопетельная" sheetId="15" r:id="rId7"/>
    <sheet name="WRPF Военный жим ДК" sheetId="14" r:id="rId8"/>
    <sheet name="WRPF Военный жим" sheetId="10" r:id="rId9"/>
    <sheet name="WRPF Жим СФО" sheetId="21" r:id="rId10"/>
    <sheet name="WRPF Тяга без экипировки ДК" sheetId="18" r:id="rId11"/>
    <sheet name="WRPF Тяга без экипировки" sheetId="17" r:id="rId12"/>
    <sheet name="WRPF Подъем на бицепс ДК" sheetId="39" r:id="rId13"/>
    <sheet name="WRPF Подъем на бицепс" sheetId="38" r:id="rId14"/>
    <sheet name="СПР Пауэрспорт" sheetId="44" r:id="rId15"/>
    <sheet name="СПР Подъем на бицепс ДК" sheetId="43" r:id="rId16"/>
    <sheet name="СПР Подъем на бицепс" sheetId="42" r:id="rId17"/>
  </sheets>
  <definedNames>
    <definedName name="_FilterDatabase" localSheetId="2" hidden="1">'WRPF ПЛ в бинтах'!$A$1:$S$3</definedName>
  </definedNames>
  <calcPr calcId="145621" refMode="R1C1" calcCompleted="0"/>
</workbook>
</file>

<file path=xl/calcChain.xml><?xml version="1.0" encoding="utf-8"?>
<calcChain xmlns="http://schemas.openxmlformats.org/spreadsheetml/2006/main">
  <c r="P6" i="44" l="1"/>
  <c r="O6" i="44"/>
  <c r="L6" i="43"/>
  <c r="K6" i="43"/>
  <c r="L7" i="42"/>
  <c r="K7" i="42"/>
  <c r="L6" i="42"/>
  <c r="K6" i="42"/>
  <c r="L9" i="39"/>
  <c r="K9" i="39"/>
  <c r="L6" i="39"/>
  <c r="K6" i="39"/>
  <c r="L10" i="38"/>
  <c r="K10" i="38"/>
  <c r="L9" i="38"/>
  <c r="K9" i="38"/>
  <c r="L6" i="38"/>
  <c r="K6" i="38"/>
  <c r="L6" i="21"/>
  <c r="K6" i="21"/>
  <c r="L21" i="18"/>
  <c r="K21" i="18"/>
  <c r="L18" i="18"/>
  <c r="K18" i="18"/>
  <c r="L15" i="18"/>
  <c r="K15" i="18"/>
  <c r="L12" i="18"/>
  <c r="K12" i="18"/>
  <c r="L9" i="18"/>
  <c r="K9" i="18"/>
  <c r="L6" i="18"/>
  <c r="K6" i="18"/>
  <c r="L12" i="17"/>
  <c r="K12" i="17"/>
  <c r="L11" i="17"/>
  <c r="K11" i="17"/>
  <c r="L8" i="17"/>
  <c r="K8" i="17"/>
  <c r="L7" i="17"/>
  <c r="K7" i="17"/>
  <c r="L6" i="17"/>
  <c r="K6" i="17"/>
  <c r="L15" i="15"/>
  <c r="L12" i="15"/>
  <c r="K12" i="15"/>
  <c r="L9" i="15"/>
  <c r="K9" i="15"/>
  <c r="L6" i="15"/>
  <c r="L12" i="14"/>
  <c r="K12" i="14"/>
  <c r="L11" i="14"/>
  <c r="K11" i="14"/>
  <c r="L10" i="14"/>
  <c r="K10" i="14"/>
  <c r="L7" i="14"/>
  <c r="K7" i="14"/>
  <c r="L6" i="14"/>
  <c r="K6" i="14"/>
  <c r="L12" i="13"/>
  <c r="K12" i="13"/>
  <c r="L9" i="13"/>
  <c r="K9" i="13"/>
  <c r="L6" i="13"/>
  <c r="L42" i="12"/>
  <c r="K42" i="12"/>
  <c r="L41" i="12"/>
  <c r="K41" i="12"/>
  <c r="L38" i="12"/>
  <c r="K38" i="12"/>
  <c r="L35" i="12"/>
  <c r="K35" i="12"/>
  <c r="L34" i="12"/>
  <c r="K34" i="12"/>
  <c r="L33" i="12"/>
  <c r="K33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2" i="12"/>
  <c r="K22" i="12"/>
  <c r="L19" i="12"/>
  <c r="K19" i="12"/>
  <c r="L16" i="12"/>
  <c r="K16" i="12"/>
  <c r="L13" i="12"/>
  <c r="K13" i="12"/>
  <c r="L12" i="12"/>
  <c r="K12" i="12"/>
  <c r="L9" i="12"/>
  <c r="K9" i="12"/>
  <c r="L6" i="12"/>
  <c r="K6" i="12"/>
  <c r="L29" i="11"/>
  <c r="K29" i="11"/>
  <c r="L26" i="11"/>
  <c r="L23" i="11"/>
  <c r="L22" i="11"/>
  <c r="K22" i="11"/>
  <c r="L21" i="11"/>
  <c r="K21" i="11"/>
  <c r="L18" i="11"/>
  <c r="K18" i="11"/>
  <c r="L15" i="11"/>
  <c r="K15" i="11"/>
  <c r="L12" i="11"/>
  <c r="K12" i="11"/>
  <c r="L11" i="11"/>
  <c r="K11" i="11"/>
  <c r="L8" i="11"/>
  <c r="K8" i="11"/>
  <c r="L7" i="11"/>
  <c r="K7" i="11"/>
  <c r="L6" i="11"/>
  <c r="K6" i="11"/>
  <c r="L13" i="10"/>
  <c r="K13" i="10"/>
  <c r="L10" i="10"/>
  <c r="K10" i="10"/>
  <c r="L9" i="10"/>
  <c r="K9" i="10"/>
  <c r="L6" i="10"/>
  <c r="K6" i="10"/>
  <c r="T12" i="7"/>
  <c r="S12" i="7"/>
  <c r="T9" i="7"/>
  <c r="S9" i="7"/>
  <c r="T6" i="7"/>
  <c r="S6" i="7"/>
  <c r="T10" i="6"/>
  <c r="S10" i="6"/>
  <c r="T7" i="6"/>
  <c r="S7" i="6"/>
  <c r="T6" i="6"/>
  <c r="S6" i="6"/>
  <c r="T9" i="5"/>
  <c r="S9" i="5"/>
  <c r="T6" i="5"/>
  <c r="S6" i="5"/>
</calcChain>
</file>

<file path=xl/sharedStrings.xml><?xml version="1.0" encoding="utf-8"?>
<sst xmlns="http://schemas.openxmlformats.org/spreadsheetml/2006/main" count="1052" uniqueCount="380">
  <si>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</si>
  <si>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</si>
  <si>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</si>
  <si>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</si>
  <si>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</si>
  <si>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</si>
  <si>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</si>
  <si>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</si>
  <si>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</si>
  <si>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</si>
  <si>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75</t>
  </si>
  <si>
    <t>Новиков Георгий</t>
  </si>
  <si>
    <t>Открытая (23.07.1987)/35</t>
  </si>
  <si>
    <t>71,50</t>
  </si>
  <si>
    <t xml:space="preserve">Соликамск/Пермский край </t>
  </si>
  <si>
    <t>165,0</t>
  </si>
  <si>
    <t>180,0</t>
  </si>
  <si>
    <t>190,0</t>
  </si>
  <si>
    <t>95,0</t>
  </si>
  <si>
    <t>100,0</t>
  </si>
  <si>
    <t>105,0</t>
  </si>
  <si>
    <t>175,0</t>
  </si>
  <si>
    <t>185,0</t>
  </si>
  <si>
    <t>ВЕСОВАЯ КАТЕГОРИЯ   110</t>
  </si>
  <si>
    <t>Новиков Иван</t>
  </si>
  <si>
    <t>Открытая (23.05.1996)/26</t>
  </si>
  <si>
    <t>109,80</t>
  </si>
  <si>
    <t xml:space="preserve">Пермь/Пермский край </t>
  </si>
  <si>
    <t>250,0</t>
  </si>
  <si>
    <t>265,0</t>
  </si>
  <si>
    <t>280,0</t>
  </si>
  <si>
    <t>182,5</t>
  </si>
  <si>
    <t>310,0</t>
  </si>
  <si>
    <t>330,0</t>
  </si>
  <si>
    <t>342,5</t>
  </si>
  <si>
    <t xml:space="preserve">Насонов Д. </t>
  </si>
  <si>
    <t>1</t>
  </si>
  <si>
    <t>ВЕСОВАЯ КАТЕГОРИЯ   67.5</t>
  </si>
  <si>
    <t>Заплатина Полина</t>
  </si>
  <si>
    <t>Юниорки (24.09.2002)/20</t>
  </si>
  <si>
    <t>67,30</t>
  </si>
  <si>
    <t xml:space="preserve">Чайковский/Пермский край </t>
  </si>
  <si>
    <t>135,0</t>
  </si>
  <si>
    <t>140,0</t>
  </si>
  <si>
    <t>145,0</t>
  </si>
  <si>
    <t>52,5</t>
  </si>
  <si>
    <t>60,0</t>
  </si>
  <si>
    <t>110,0</t>
  </si>
  <si>
    <t>120,0</t>
  </si>
  <si>
    <t>132,5</t>
  </si>
  <si>
    <t xml:space="preserve">Килин Р. </t>
  </si>
  <si>
    <t>Юрашкова Ольга</t>
  </si>
  <si>
    <t>Мастера 40-49 (30.06.1976)/46</t>
  </si>
  <si>
    <t>67,50</t>
  </si>
  <si>
    <t xml:space="preserve">Чусовой/Пермский край </t>
  </si>
  <si>
    <t>130,0</t>
  </si>
  <si>
    <t>75,0</t>
  </si>
  <si>
    <t>80,0</t>
  </si>
  <si>
    <t>155,0</t>
  </si>
  <si>
    <t>160,0</t>
  </si>
  <si>
    <t>ВЕСОВАЯ КАТЕГОРИЯ   100</t>
  </si>
  <si>
    <t>Катраев Александр</t>
  </si>
  <si>
    <t>Юноши 17-19 (21.11.2003)/18</t>
  </si>
  <si>
    <t>98,60</t>
  </si>
  <si>
    <t>205,0</t>
  </si>
  <si>
    <t>150,0</t>
  </si>
  <si>
    <t>220,0</t>
  </si>
  <si>
    <t xml:space="preserve">Новиков И. </t>
  </si>
  <si>
    <t>Колкутина Вера</t>
  </si>
  <si>
    <t>Мастера 40-49 (23.08.1979)/43</t>
  </si>
  <si>
    <t>75,00</t>
  </si>
  <si>
    <t>85,0</t>
  </si>
  <si>
    <t>87,5</t>
  </si>
  <si>
    <t>45,0</t>
  </si>
  <si>
    <t>57,5</t>
  </si>
  <si>
    <t xml:space="preserve">Смирнов Д. </t>
  </si>
  <si>
    <t>Верхоланцев Алексей</t>
  </si>
  <si>
    <t>Открытая (21.06.1989)/33</t>
  </si>
  <si>
    <t>99,80</t>
  </si>
  <si>
    <t>245,0</t>
  </si>
  <si>
    <t>260,0</t>
  </si>
  <si>
    <t>270,0</t>
  </si>
  <si>
    <t>170,0</t>
  </si>
  <si>
    <t>Усов Степан</t>
  </si>
  <si>
    <t>Открытая (24.05.1996)/26</t>
  </si>
  <si>
    <t>105,50</t>
  </si>
  <si>
    <t>230,0</t>
  </si>
  <si>
    <t>240,0</t>
  </si>
  <si>
    <t>255,0</t>
  </si>
  <si>
    <t xml:space="preserve">Луговой А. </t>
  </si>
  <si>
    <t>Результат</t>
  </si>
  <si>
    <t>ВЕСОВАЯ КАТЕГОРИЯ   82.5</t>
  </si>
  <si>
    <t>Каримуллин Илья</t>
  </si>
  <si>
    <t>Открытая (25.04.1985)/37</t>
  </si>
  <si>
    <t>81,20</t>
  </si>
  <si>
    <t>90,0</t>
  </si>
  <si>
    <t>97,5</t>
  </si>
  <si>
    <t xml:space="preserve">Баландин С. </t>
  </si>
  <si>
    <t>ВЕСОВАЯ КАТЕГОРИЯ   90</t>
  </si>
  <si>
    <t>Трубицын Антон</t>
  </si>
  <si>
    <t>Открытая (14.11.1985)/36</t>
  </si>
  <si>
    <t>87,80</t>
  </si>
  <si>
    <t>115,0</t>
  </si>
  <si>
    <t>Лузин Сергей</t>
  </si>
  <si>
    <t>Мастера 60-69 (30.04.1954)/68</t>
  </si>
  <si>
    <t>89,30</t>
  </si>
  <si>
    <t>92,5</t>
  </si>
  <si>
    <t>Черноморец Андрей</t>
  </si>
  <si>
    <t>Мастера 70-79 (20.06.1946)/76</t>
  </si>
  <si>
    <t>91,70</t>
  </si>
  <si>
    <t>70,0</t>
  </si>
  <si>
    <t>82,5</t>
  </si>
  <si>
    <t>Мочилевская Наталья</t>
  </si>
  <si>
    <t>Открытая (03.03.1986)/36</t>
  </si>
  <si>
    <t>79,20</t>
  </si>
  <si>
    <t xml:space="preserve">Рогожников Е. </t>
  </si>
  <si>
    <t>Брылякова Ксения</t>
  </si>
  <si>
    <t>Открытая (07.01.1989)/33</t>
  </si>
  <si>
    <t>81,10</t>
  </si>
  <si>
    <t>55,0</t>
  </si>
  <si>
    <t>Кузнецова Ирина</t>
  </si>
  <si>
    <t>Мастера 40-49 (28.01.1982)/40</t>
  </si>
  <si>
    <t>80,60</t>
  </si>
  <si>
    <t>52,0</t>
  </si>
  <si>
    <t>Калашников Павел</t>
  </si>
  <si>
    <t>Открытая (21.12.1985)/36</t>
  </si>
  <si>
    <t>66,40</t>
  </si>
  <si>
    <t>102,5</t>
  </si>
  <si>
    <t>Киселев Денис</t>
  </si>
  <si>
    <t>Мастера 40-49 (23.02.1980)/42</t>
  </si>
  <si>
    <t>67,20</t>
  </si>
  <si>
    <t>Деткин Александр</t>
  </si>
  <si>
    <t>Мастера 50-59 (28.06.1970)/52</t>
  </si>
  <si>
    <t>74,40</t>
  </si>
  <si>
    <t>Лусников Иван</t>
  </si>
  <si>
    <t>Открытая (25.12.1985)/36</t>
  </si>
  <si>
    <t>82,50</t>
  </si>
  <si>
    <t>172,5</t>
  </si>
  <si>
    <t>Южаков Антон</t>
  </si>
  <si>
    <t>Открытая (18.02.1995)/27</t>
  </si>
  <si>
    <t>84,80</t>
  </si>
  <si>
    <t xml:space="preserve">Верещагино/Пермский край </t>
  </si>
  <si>
    <t>200,0</t>
  </si>
  <si>
    <t>210,0</t>
  </si>
  <si>
    <t>222,5</t>
  </si>
  <si>
    <t>Турдиев Азиз</t>
  </si>
  <si>
    <t>Открытая (27.05.1992)/30</t>
  </si>
  <si>
    <t>Петров Александр</t>
  </si>
  <si>
    <t>Открытая (23.12.1987)/34</t>
  </si>
  <si>
    <t>88,20</t>
  </si>
  <si>
    <t>Мишланов Артем</t>
  </si>
  <si>
    <t>Открытая (01.09.1986)/36</t>
  </si>
  <si>
    <t>98,80</t>
  </si>
  <si>
    <t xml:space="preserve">Лысьва/Пермский край </t>
  </si>
  <si>
    <t>ВЕСОВАЯ КАТЕГОРИЯ   125</t>
  </si>
  <si>
    <t>Галеев Сергей</t>
  </si>
  <si>
    <t>Открытая (14.05.1989)/33</t>
  </si>
  <si>
    <t>123,40</t>
  </si>
  <si>
    <t xml:space="preserve">Березники/Пермский край </t>
  </si>
  <si>
    <t>2</t>
  </si>
  <si>
    <t>-</t>
  </si>
  <si>
    <t>ВЕСОВАЯ КАТЕГОРИЯ   52</t>
  </si>
  <si>
    <t>Ефимова Дарья</t>
  </si>
  <si>
    <t>Открытая (29.10.1985)/36</t>
  </si>
  <si>
    <t>51,70</t>
  </si>
  <si>
    <t xml:space="preserve">Бахматов В. </t>
  </si>
  <si>
    <t>ВЕСОВАЯ КАТЕГОРИЯ   56</t>
  </si>
  <si>
    <t>Борисенко Анна</t>
  </si>
  <si>
    <t>Открытая (27.09.1997)/25</t>
  </si>
  <si>
    <t>56,00</t>
  </si>
  <si>
    <t>62,5</t>
  </si>
  <si>
    <t>65,0</t>
  </si>
  <si>
    <t>67,5</t>
  </si>
  <si>
    <t>Открытая (30.06.1976)/46</t>
  </si>
  <si>
    <t>Мартюшев Алексей</t>
  </si>
  <si>
    <t>Юноши 17-19 (09.06.2003)/19</t>
  </si>
  <si>
    <t>55,40</t>
  </si>
  <si>
    <t>77,5</t>
  </si>
  <si>
    <t xml:space="preserve">Крутиков А. </t>
  </si>
  <si>
    <t>ВЕСОВАЯ КАТЕГОРИЯ   60</t>
  </si>
  <si>
    <t>Мальцев Егор</t>
  </si>
  <si>
    <t>Юниоры (19.03.2002)/20</t>
  </si>
  <si>
    <t>59,50</t>
  </si>
  <si>
    <t>Кургульский Матвей</t>
  </si>
  <si>
    <t>Юноши 17-19 (18.01.2005)/17</t>
  </si>
  <si>
    <t>67,10</t>
  </si>
  <si>
    <t xml:space="preserve">Нытва/Пермский край </t>
  </si>
  <si>
    <t xml:space="preserve">Койков Е. </t>
  </si>
  <si>
    <t>Александров Вячеслав</t>
  </si>
  <si>
    <t>Юноши 14-16 (08.09.2006)/16</t>
  </si>
  <si>
    <t>112,5</t>
  </si>
  <si>
    <t>117,5</t>
  </si>
  <si>
    <t xml:space="preserve">Москвин А. </t>
  </si>
  <si>
    <t>Наполов Александр</t>
  </si>
  <si>
    <t>Юниоры (30.06.2002)/20</t>
  </si>
  <si>
    <t>73,60</t>
  </si>
  <si>
    <t>127,5</t>
  </si>
  <si>
    <t>Усанин Данил</t>
  </si>
  <si>
    <t>Юниоры (25.10.2001)/20</t>
  </si>
  <si>
    <t>72,40</t>
  </si>
  <si>
    <t>Корнетов Дмитрий</t>
  </si>
  <si>
    <t>Открытая (26.10.1996)/25</t>
  </si>
  <si>
    <t>74,00</t>
  </si>
  <si>
    <t>137,5</t>
  </si>
  <si>
    <t xml:space="preserve">Третьяков А. </t>
  </si>
  <si>
    <t>ЭльКарам Исмаил</t>
  </si>
  <si>
    <t>Открытая (01.05.1994)/28</t>
  </si>
  <si>
    <t>73,50</t>
  </si>
  <si>
    <t>125,0</t>
  </si>
  <si>
    <t>Рахмеев Даниил</t>
  </si>
  <si>
    <t>Открытая (23.11.1996)/25</t>
  </si>
  <si>
    <t>73,20</t>
  </si>
  <si>
    <t>Метельский Виталий</t>
  </si>
  <si>
    <t>Открытая (12.03.1985)/37</t>
  </si>
  <si>
    <t>Николаев Александр</t>
  </si>
  <si>
    <t>Открытая (08.07.1959)/63</t>
  </si>
  <si>
    <t>Мастера 60-69 (08.07.1959)/63</t>
  </si>
  <si>
    <t>Ланге Алексей</t>
  </si>
  <si>
    <t>Юноши 14-16 (25.10.2007)/14</t>
  </si>
  <si>
    <t>96,30</t>
  </si>
  <si>
    <t>ВЕСОВАЯ КАТЕГОРИЯ   140</t>
  </si>
  <si>
    <t>Пшеничный Николай</t>
  </si>
  <si>
    <t>Открытая (25.08.1971)/51</t>
  </si>
  <si>
    <t>132,80</t>
  </si>
  <si>
    <t>Мастера 50-59 (25.08.1971)/51</t>
  </si>
  <si>
    <t>3</t>
  </si>
  <si>
    <t>Латыпов Руслан</t>
  </si>
  <si>
    <t>Открытая (18.11.1997)/24</t>
  </si>
  <si>
    <t>60,30</t>
  </si>
  <si>
    <t>Ксёнушко Олег</t>
  </si>
  <si>
    <t>Мастера 70-79 (01.06.1951)/71</t>
  </si>
  <si>
    <t>86,80</t>
  </si>
  <si>
    <t>192,5</t>
  </si>
  <si>
    <t>Крутиков Алексей</t>
  </si>
  <si>
    <t>Открытая (07.05.1993)/29</t>
  </si>
  <si>
    <t>111,20</t>
  </si>
  <si>
    <t>225,0</t>
  </si>
  <si>
    <t>Токарев Илья</t>
  </si>
  <si>
    <t>Открытая (28.06.1968)/54</t>
  </si>
  <si>
    <t>87,90</t>
  </si>
  <si>
    <t xml:space="preserve">Кунгур/Пермский край </t>
  </si>
  <si>
    <t>152,5</t>
  </si>
  <si>
    <t>Мастера 50-59 (28.06.1968)/54</t>
  </si>
  <si>
    <t>Боголюбов Алексей</t>
  </si>
  <si>
    <t>Открытая (30.11.1994)/27</t>
  </si>
  <si>
    <t>97,20</t>
  </si>
  <si>
    <t>Лепнев Владислав</t>
  </si>
  <si>
    <t>Мастера 40-49 (19.11.1978)/43</t>
  </si>
  <si>
    <t>97,90</t>
  </si>
  <si>
    <t>Косков Сергей</t>
  </si>
  <si>
    <t>Мастера 60-69 (03.01.1957)/65</t>
  </si>
  <si>
    <t>97,40</t>
  </si>
  <si>
    <t>Попов Максим</t>
  </si>
  <si>
    <t>Открытая (18.09.1979)/43</t>
  </si>
  <si>
    <t>78,70</t>
  </si>
  <si>
    <t>300,0</t>
  </si>
  <si>
    <t>317,5</t>
  </si>
  <si>
    <t>340,0</t>
  </si>
  <si>
    <t>350,0</t>
  </si>
  <si>
    <t>360,0</t>
  </si>
  <si>
    <t>Сажин Антон</t>
  </si>
  <si>
    <t>Открытая (27.12.1984)/37</t>
  </si>
  <si>
    <t>93,60</t>
  </si>
  <si>
    <t>215,0</t>
  </si>
  <si>
    <t>227,5</t>
  </si>
  <si>
    <t>237,5</t>
  </si>
  <si>
    <t xml:space="preserve">Новинский А. </t>
  </si>
  <si>
    <t>Койков Егор</t>
  </si>
  <si>
    <t>Открытая (27.03.1985)/37</t>
  </si>
  <si>
    <t>106,00</t>
  </si>
  <si>
    <t>390,0</t>
  </si>
  <si>
    <t>Пшеницын Владимир</t>
  </si>
  <si>
    <t>Открытая (06.05.1982)/40</t>
  </si>
  <si>
    <t>87,00</t>
  </si>
  <si>
    <t>290,0</t>
  </si>
  <si>
    <t>302,5</t>
  </si>
  <si>
    <t>311,0</t>
  </si>
  <si>
    <t xml:space="preserve">Тимофеев Д. </t>
  </si>
  <si>
    <t>Москвин Андрей</t>
  </si>
  <si>
    <t>Открытая (08.09.1987)/35</t>
  </si>
  <si>
    <t>88,90</t>
  </si>
  <si>
    <t>252,5</t>
  </si>
  <si>
    <t>Мастера 40-49 (06.05.1982)/40</t>
  </si>
  <si>
    <t>Березин Николай</t>
  </si>
  <si>
    <t>Открытая (09.08.1984)/38</t>
  </si>
  <si>
    <t>93,70</t>
  </si>
  <si>
    <t>217,5</t>
  </si>
  <si>
    <t>Кургульский Денис</t>
  </si>
  <si>
    <t>Мастера 40-49 (11.02.1976)/46</t>
  </si>
  <si>
    <t>232,5</t>
  </si>
  <si>
    <t>Кислова Кристина</t>
  </si>
  <si>
    <t>Открытая (23.12.1983)/38</t>
  </si>
  <si>
    <t>63,80</t>
  </si>
  <si>
    <t>122,5</t>
  </si>
  <si>
    <t>Виноградов Александр</t>
  </si>
  <si>
    <t>Юноши 14-16 (19.11.2006)/15</t>
  </si>
  <si>
    <t>53,10</t>
  </si>
  <si>
    <t>Ахметзянов Галимжан</t>
  </si>
  <si>
    <t>Мастера 60-69 (29.10.1952)/69</t>
  </si>
  <si>
    <t>59,80</t>
  </si>
  <si>
    <t>162,5</t>
  </si>
  <si>
    <t xml:space="preserve">Заитов Р. </t>
  </si>
  <si>
    <t>Хисматуллин Тигран</t>
  </si>
  <si>
    <t>Юноши 17-19 (21.04.2005)/17</t>
  </si>
  <si>
    <t>66,60</t>
  </si>
  <si>
    <t>167,5</t>
  </si>
  <si>
    <t xml:space="preserve">Петров В. </t>
  </si>
  <si>
    <t>Балашенко Игорь</t>
  </si>
  <si>
    <t>Открытая (02.03.1996)/26</t>
  </si>
  <si>
    <t>73,80</t>
  </si>
  <si>
    <t>187,5</t>
  </si>
  <si>
    <t xml:space="preserve">Глазачев В. </t>
  </si>
  <si>
    <t>Магочкин Антон</t>
  </si>
  <si>
    <t>Открытая (21.12.1984)/37</t>
  </si>
  <si>
    <t>99,20</t>
  </si>
  <si>
    <t>Крохалев Дмитрий</t>
  </si>
  <si>
    <t>Открытая (07.05.1994)/28</t>
  </si>
  <si>
    <t>62,50</t>
  </si>
  <si>
    <t>50,0</t>
  </si>
  <si>
    <t xml:space="preserve">Некрасов И. </t>
  </si>
  <si>
    <t>Тагилов Александр</t>
  </si>
  <si>
    <t>94,65</t>
  </si>
  <si>
    <t>22,5</t>
  </si>
  <si>
    <t>27,5</t>
  </si>
  <si>
    <t>30,0</t>
  </si>
  <si>
    <t>73,15</t>
  </si>
  <si>
    <t>47,5</t>
  </si>
  <si>
    <t>Перевощиков Илья</t>
  </si>
  <si>
    <t>Открытая (31.07.1996)/26</t>
  </si>
  <si>
    <t>81,00</t>
  </si>
  <si>
    <t>Килин Роман</t>
  </si>
  <si>
    <t>Открытая (02.06.1998)/24</t>
  </si>
  <si>
    <t>77,70</t>
  </si>
  <si>
    <t>40,0</t>
  </si>
  <si>
    <t>Ерофеева Елена</t>
  </si>
  <si>
    <t>Открытая (27.05.1984)/38</t>
  </si>
  <si>
    <t>51,75</t>
  </si>
  <si>
    <t>32,5</t>
  </si>
  <si>
    <t>Сарапульцев Вадим</t>
  </si>
  <si>
    <t>80,90</t>
  </si>
  <si>
    <t>Меркурьев А.</t>
  </si>
  <si>
    <t>Килин Р.</t>
  </si>
  <si>
    <t>Крутиков А.</t>
  </si>
  <si>
    <t>Васев Д.</t>
  </si>
  <si>
    <t>Всероссийский турнир «Сила Прикамья»
WRPF Пауэрлифтинг без экипировки
Пермь/Пермский край, 08 октября 2022 года</t>
  </si>
  <si>
    <t>Всероссийский турнир «Сила Прикамья»
WRPF Пауэрлифтинг классический в бинтах ДК
Пермь/Пермский край, 08 октября 2022 года</t>
  </si>
  <si>
    <t>Всероссийский турнир «Сила Прикамья»
WRPF Пауэрлифтинг классический в бинтах
Пермь/Пермский край, 08 октября 2022 года</t>
  </si>
  <si>
    <t>Всероссийский турнир «Сила Прикамья»
WRPF Жим лежа без экипировки ДК
Пермь/Пермский край, 08 октября 2022 года</t>
  </si>
  <si>
    <t>Всероссийский турнир «Сила Прикамья»
WRPF Жим лежа без экипировки
Пермь/Пермский край, 08 октября 2022 года</t>
  </si>
  <si>
    <t>Всероссийский турнир «Сила Прикамья»
WEPF Жим лежа в однопетельной софт экипировке ДК
Пермь/Пермский край, 08 октября 2022 года</t>
  </si>
  <si>
    <t>Всероссийский турнир «Сила Прикамья»
WEPF Жим лежа в многопетельной софт экипировке
Пермь/Пермский край, 08 октября 2022 года</t>
  </si>
  <si>
    <t>Всероссийский турнир «Сила Прикамья»
WRPF Военный жим лежа с ДК
Пермь/Пермский край, 08 октября 2022 года</t>
  </si>
  <si>
    <t>Всероссийский турнир «Сила Прикамья»
WRPF Военный жим лежа
Пермь/Пермский край, 08 октября 2022 года</t>
  </si>
  <si>
    <t>Всероссийский турнир «Сила Прикамья»
WRPF Жим лежа среди спортсменов с физическими особенностями
Пермь/Пермский край, 08 октября 2022 года</t>
  </si>
  <si>
    <t>Всероссийский турнир «Сила Прикамья»
WRPF Становая тяга без экипировки ДК
Пермь/Пермский край, 08 октября 2022 года</t>
  </si>
  <si>
    <t>Всероссийский турнир «Сила Прикамья»
WRPF Становая тяга без экипировки
Пермь/Пермский край, 08 октября 2022 года</t>
  </si>
  <si>
    <t>Всероссийский турнир «Сила Прикамья»
WRPF Строгий подъем штанги на бицепс ДК
Пермь/Пермский край, 08 октября 2022 года</t>
  </si>
  <si>
    <t>Всероссийский турнир «Сила Прикамья»
WRPF Строгий подъем штанги на бицепс
Пермь/Пермский край, 08 октября 2022 года</t>
  </si>
  <si>
    <t>Всероссийский турнир «Сила Прикамья»
СПР Пауэрспорт
Пермь/Пермский край, 08 октября 2022 года</t>
  </si>
  <si>
    <t>Всероссийский турнир «Сила Прикамья»
СПР Строгий подъем штанги на бицепс ДК
Пермь/Пермский край, 08 октября 2022 года</t>
  </si>
  <si>
    <t>Всероссийский турнир «Сила Прикамья»
СПР Строгий подъем штанги на бицепс
Пермь/Пермский край, 08 октября 2022 года</t>
  </si>
  <si>
    <t xml:space="preserve">Екатеринбург/Свердловская область </t>
  </si>
  <si>
    <t xml:space="preserve">Ташкент/Руспублика Узбекистан </t>
  </si>
  <si>
    <t>Юноши 13-19 (19.11.2006)/15</t>
  </si>
  <si>
    <t>Мастера 50-59 (14.07.1971)/51</t>
  </si>
  <si>
    <t>Мастера 50-59 (07.05.1971)/51</t>
  </si>
  <si>
    <t>Жим</t>
  </si>
  <si>
    <t>Тяга</t>
  </si>
  <si>
    <t>№</t>
  </si>
  <si>
    <t xml:space="preserve">
Дата рождения/Возраст</t>
  </si>
  <si>
    <t>Возрастная группа</t>
  </si>
  <si>
    <t>M1</t>
  </si>
  <si>
    <t>O</t>
  </si>
  <si>
    <t>J</t>
  </si>
  <si>
    <t>T2</t>
  </si>
  <si>
    <t>T1</t>
  </si>
  <si>
    <t>M3</t>
  </si>
  <si>
    <t>M2</t>
  </si>
  <si>
    <t>M4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</si>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</sst>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  <font>
      <sz val="10"/>
      <color rgb="FF00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0.16406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.83203125" style="5" customWidth="1"/>
    <col min="7" max="9" width="5.5" style="11" customWidth="1"/>
    <col min="10" max="10" width="4.5" style="11" customWidth="1"/>
    <col min="11" max="13" width="5.5" style="11" customWidth="1"/>
    <col min="14" max="14" width="4.5" style="11" customWidth="1"/>
    <col min="15" max="17" width="5.5" style="11" customWidth="1"/>
    <col min="18" max="18" width="4.5" style="11" customWidth="1"/>
    <col min="19" max="19" width="7.6640625" style="6" bestFit="1" customWidth="1"/>
    <col min="20" max="20" width="8.5" style="6" bestFit="1" customWidth="1"/>
    <col min="21" max="21" width="19.83203125" style="5" customWidth="1"/>
    <col min="22" max="16384" width="9.1640625" style="3"/>
  </cols>
  <sheetData>
    <row r="1" spans="1:21" s="2" customFormat="1" ht="29" customHeight="1">
      <c r="A1" s="42" t="s">
        <v>344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7</v>
      </c>
      <c r="H3" s="56"/>
      <c r="I3" s="56"/>
      <c r="J3" s="56"/>
      <c r="K3" s="56" t="s">
        <v>8</v>
      </c>
      <c r="L3" s="56"/>
      <c r="M3" s="56"/>
      <c r="N3" s="56"/>
      <c r="O3" s="56" t="s">
        <v>9</v>
      </c>
      <c r="P3" s="56"/>
      <c r="Q3" s="56"/>
      <c r="R3" s="56"/>
      <c r="S3" s="54" t="s">
        <v>1</v>
      </c>
      <c r="T3" s="54" t="s">
        <v>3</v>
      </c>
      <c r="U3" s="38" t="s">
        <v>2</v>
      </c>
    </row>
    <row r="4" spans="1:21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3" t="s">
        <v>36</v>
      </c>
      <c r="B6" s="7" t="s">
        <v>68</v>
      </c>
      <c r="C6" s="7" t="s">
        <v>69</v>
      </c>
      <c r="D6" s="7" t="s">
        <v>70</v>
      </c>
      <c r="E6" s="8" t="s">
        <v>371</v>
      </c>
      <c r="F6" s="7" t="s">
        <v>27</v>
      </c>
      <c r="G6" s="12" t="s">
        <v>57</v>
      </c>
      <c r="H6" s="12" t="s">
        <v>71</v>
      </c>
      <c r="I6" s="14" t="s">
        <v>72</v>
      </c>
      <c r="J6" s="13"/>
      <c r="K6" s="12" t="s">
        <v>73</v>
      </c>
      <c r="L6" s="12" t="s">
        <v>45</v>
      </c>
      <c r="M6" s="14" t="s">
        <v>74</v>
      </c>
      <c r="N6" s="13"/>
      <c r="O6" s="12" t="s">
        <v>56</v>
      </c>
      <c r="P6" s="12" t="s">
        <v>71</v>
      </c>
      <c r="Q6" s="12" t="s">
        <v>18</v>
      </c>
      <c r="R6" s="13"/>
      <c r="S6" s="9" t="str">
        <f>"232,5"</f>
        <v>232,5</v>
      </c>
      <c r="T6" s="9" t="str">
        <f>"227,2029"</f>
        <v>227,2029</v>
      </c>
      <c r="U6" s="7" t="s">
        <v>75</v>
      </c>
    </row>
    <row r="8" spans="1:21" ht="16">
      <c r="A8" s="57" t="s">
        <v>60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13" t="s">
        <v>36</v>
      </c>
      <c r="B9" s="7" t="s">
        <v>76</v>
      </c>
      <c r="C9" s="7" t="s">
        <v>77</v>
      </c>
      <c r="D9" s="7" t="s">
        <v>78</v>
      </c>
      <c r="E9" s="8" t="s">
        <v>372</v>
      </c>
      <c r="F9" s="7" t="s">
        <v>27</v>
      </c>
      <c r="G9" s="12" t="s">
        <v>79</v>
      </c>
      <c r="H9" s="12" t="s">
        <v>80</v>
      </c>
      <c r="I9" s="12" t="s">
        <v>81</v>
      </c>
      <c r="J9" s="13"/>
      <c r="K9" s="12" t="s">
        <v>58</v>
      </c>
      <c r="L9" s="12" t="s">
        <v>15</v>
      </c>
      <c r="M9" s="12" t="s">
        <v>82</v>
      </c>
      <c r="N9" s="13"/>
      <c r="O9" s="12" t="s">
        <v>79</v>
      </c>
      <c r="P9" s="12" t="s">
        <v>80</v>
      </c>
      <c r="Q9" s="12" t="s">
        <v>81</v>
      </c>
      <c r="R9" s="13"/>
      <c r="S9" s="9" t="str">
        <f>"710,0"</f>
        <v>710,0</v>
      </c>
      <c r="T9" s="9" t="str">
        <f>"432,4610"</f>
        <v>432,4610</v>
      </c>
      <c r="U9" s="7"/>
    </row>
    <row r="11" spans="1:21" ht="16">
      <c r="A11" s="57" t="s">
        <v>23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13" t="s">
        <v>36</v>
      </c>
      <c r="B12" s="7" t="s">
        <v>83</v>
      </c>
      <c r="C12" s="7" t="s">
        <v>84</v>
      </c>
      <c r="D12" s="7" t="s">
        <v>85</v>
      </c>
      <c r="E12" s="8" t="s">
        <v>372</v>
      </c>
      <c r="F12" s="7" t="s">
        <v>27</v>
      </c>
      <c r="G12" s="12" t="s">
        <v>66</v>
      </c>
      <c r="H12" s="14" t="s">
        <v>86</v>
      </c>
      <c r="I12" s="12" t="s">
        <v>86</v>
      </c>
      <c r="J12" s="13"/>
      <c r="K12" s="12" t="s">
        <v>21</v>
      </c>
      <c r="L12" s="12" t="s">
        <v>16</v>
      </c>
      <c r="M12" s="14" t="s">
        <v>22</v>
      </c>
      <c r="N12" s="13"/>
      <c r="O12" s="12" t="s">
        <v>87</v>
      </c>
      <c r="P12" s="12" t="s">
        <v>28</v>
      </c>
      <c r="Q12" s="14" t="s">
        <v>88</v>
      </c>
      <c r="R12" s="13"/>
      <c r="S12" s="9" t="str">
        <f>"660,0"</f>
        <v>660,0</v>
      </c>
      <c r="T12" s="9" t="str">
        <f>"393,7560"</f>
        <v>393,7560</v>
      </c>
      <c r="U12" s="7" t="s">
        <v>89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7.1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9.1640625" style="6" customWidth="1"/>
    <col min="13" max="13" width="20.6640625" style="5" customWidth="1"/>
    <col min="14" max="16384" width="9.1640625" style="3"/>
  </cols>
  <sheetData>
    <row r="1" spans="1:13" s="2" customFormat="1" ht="29" customHeight="1">
      <c r="A1" s="42" t="s">
        <v>353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37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315</v>
      </c>
      <c r="C6" s="7" t="s">
        <v>316</v>
      </c>
      <c r="D6" s="7" t="s">
        <v>317</v>
      </c>
      <c r="E6" s="8" t="s">
        <v>372</v>
      </c>
      <c r="F6" s="7" t="s">
        <v>27</v>
      </c>
      <c r="G6" s="12" t="s">
        <v>73</v>
      </c>
      <c r="H6" s="12" t="s">
        <v>318</v>
      </c>
      <c r="I6" s="14" t="s">
        <v>45</v>
      </c>
      <c r="J6" s="13"/>
      <c r="K6" s="9" t="str">
        <f>"50,0"</f>
        <v>50,0</v>
      </c>
      <c r="L6" s="9" t="str">
        <f>"40,0625"</f>
        <v>40,0625</v>
      </c>
      <c r="M6" s="7" t="s">
        <v>319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1"/>
  <sheetViews>
    <sheetView workbookViewId="0">
      <selection activeCell="E22" sqref="E22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.6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42" t="s">
        <v>354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9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37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290</v>
      </c>
      <c r="C6" s="7" t="s">
        <v>291</v>
      </c>
      <c r="D6" s="7" t="s">
        <v>292</v>
      </c>
      <c r="E6" s="8" t="s">
        <v>372</v>
      </c>
      <c r="F6" s="7" t="s">
        <v>27</v>
      </c>
      <c r="G6" s="14" t="s">
        <v>47</v>
      </c>
      <c r="H6" s="12" t="s">
        <v>47</v>
      </c>
      <c r="I6" s="14" t="s">
        <v>293</v>
      </c>
      <c r="J6" s="13"/>
      <c r="K6" s="9" t="str">
        <f>"110,0"</f>
        <v>110,0</v>
      </c>
      <c r="L6" s="9" t="str">
        <f>"117,0180"</f>
        <v>117,0180</v>
      </c>
      <c r="M6" s="7" t="s">
        <v>67</v>
      </c>
    </row>
    <row r="8" spans="1:13" ht="16">
      <c r="A8" s="57" t="s">
        <v>166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36</v>
      </c>
      <c r="B9" s="7" t="s">
        <v>294</v>
      </c>
      <c r="C9" s="7" t="s">
        <v>295</v>
      </c>
      <c r="D9" s="7" t="s">
        <v>296</v>
      </c>
      <c r="E9" s="8" t="s">
        <v>375</v>
      </c>
      <c r="F9" s="7" t="s">
        <v>27</v>
      </c>
      <c r="G9" s="12" t="s">
        <v>95</v>
      </c>
      <c r="H9" s="14" t="s">
        <v>19</v>
      </c>
      <c r="I9" s="12" t="s">
        <v>19</v>
      </c>
      <c r="J9" s="13"/>
      <c r="K9" s="9" t="str">
        <f>"100,0"</f>
        <v>100,0</v>
      </c>
      <c r="L9" s="9" t="str">
        <f>"96,0200"</f>
        <v>96,0200</v>
      </c>
      <c r="M9" s="7" t="s">
        <v>342</v>
      </c>
    </row>
    <row r="11" spans="1:13" ht="16">
      <c r="A11" s="57" t="s">
        <v>179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3" t="s">
        <v>36</v>
      </c>
      <c r="B12" s="7" t="s">
        <v>297</v>
      </c>
      <c r="C12" s="7" t="s">
        <v>298</v>
      </c>
      <c r="D12" s="7" t="s">
        <v>299</v>
      </c>
      <c r="E12" s="8" t="s">
        <v>376</v>
      </c>
      <c r="F12" s="7" t="s">
        <v>41</v>
      </c>
      <c r="G12" s="14" t="s">
        <v>300</v>
      </c>
      <c r="H12" s="12" t="s">
        <v>15</v>
      </c>
      <c r="I12" s="12" t="s">
        <v>82</v>
      </c>
      <c r="J12" s="13"/>
      <c r="K12" s="9" t="str">
        <f>"170,0"</f>
        <v>170,0</v>
      </c>
      <c r="L12" s="9" t="str">
        <f>"242,0038"</f>
        <v>242,0038</v>
      </c>
      <c r="M12" s="7" t="s">
        <v>301</v>
      </c>
    </row>
    <row r="14" spans="1:13" ht="16">
      <c r="A14" s="57" t="s">
        <v>37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13" t="s">
        <v>36</v>
      </c>
      <c r="B15" s="7" t="s">
        <v>302</v>
      </c>
      <c r="C15" s="7" t="s">
        <v>303</v>
      </c>
      <c r="D15" s="7" t="s">
        <v>304</v>
      </c>
      <c r="E15" s="8" t="s">
        <v>374</v>
      </c>
      <c r="F15" s="7" t="s">
        <v>27</v>
      </c>
      <c r="G15" s="12" t="s">
        <v>43</v>
      </c>
      <c r="H15" s="12" t="s">
        <v>65</v>
      </c>
      <c r="I15" s="14" t="s">
        <v>305</v>
      </c>
      <c r="J15" s="13"/>
      <c r="K15" s="9" t="str">
        <f>"150,0"</f>
        <v>150,0</v>
      </c>
      <c r="L15" s="9" t="str">
        <f>"116,9100"</f>
        <v>116,9100</v>
      </c>
      <c r="M15" s="7" t="s">
        <v>306</v>
      </c>
    </row>
    <row r="17" spans="1:13" ht="16">
      <c r="A17" s="57" t="s">
        <v>10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13" t="s">
        <v>36</v>
      </c>
      <c r="B18" s="7" t="s">
        <v>307</v>
      </c>
      <c r="C18" s="7" t="s">
        <v>308</v>
      </c>
      <c r="D18" s="7" t="s">
        <v>309</v>
      </c>
      <c r="E18" s="8" t="s">
        <v>372</v>
      </c>
      <c r="F18" s="7" t="s">
        <v>158</v>
      </c>
      <c r="G18" s="12" t="s">
        <v>31</v>
      </c>
      <c r="H18" s="12" t="s">
        <v>22</v>
      </c>
      <c r="I18" s="14" t="s">
        <v>310</v>
      </c>
      <c r="J18" s="13"/>
      <c r="K18" s="9" t="str">
        <f>"185,0"</f>
        <v>185,0</v>
      </c>
      <c r="L18" s="9" t="str">
        <f>"133,3295"</f>
        <v>133,3295</v>
      </c>
      <c r="M18" s="7" t="s">
        <v>311</v>
      </c>
    </row>
    <row r="20" spans="1:13" ht="16">
      <c r="A20" s="57" t="s">
        <v>60</v>
      </c>
      <c r="B20" s="57"/>
      <c r="C20" s="58"/>
      <c r="D20" s="58"/>
      <c r="E20" s="58"/>
      <c r="F20" s="58"/>
      <c r="G20" s="58"/>
      <c r="H20" s="58"/>
      <c r="I20" s="58"/>
      <c r="J20" s="58"/>
    </row>
    <row r="21" spans="1:13">
      <c r="A21" s="13" t="s">
        <v>36</v>
      </c>
      <c r="B21" s="7" t="s">
        <v>312</v>
      </c>
      <c r="C21" s="7" t="s">
        <v>313</v>
      </c>
      <c r="D21" s="7" t="s">
        <v>314</v>
      </c>
      <c r="E21" s="8" t="s">
        <v>372</v>
      </c>
      <c r="F21" s="7" t="s">
        <v>27</v>
      </c>
      <c r="G21" s="14" t="s">
        <v>143</v>
      </c>
      <c r="H21" s="12" t="s">
        <v>143</v>
      </c>
      <c r="I21" s="14" t="s">
        <v>66</v>
      </c>
      <c r="J21" s="13"/>
      <c r="K21" s="9" t="str">
        <f>"210,0"</f>
        <v>210,0</v>
      </c>
      <c r="L21" s="9" t="str">
        <f>"128,2260"</f>
        <v>128,2260</v>
      </c>
      <c r="M21" s="7"/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9.66406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31.1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2" t="s">
        <v>355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9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98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3" t="s">
        <v>36</v>
      </c>
      <c r="B6" s="15" t="s">
        <v>271</v>
      </c>
      <c r="C6" s="15" t="s">
        <v>272</v>
      </c>
      <c r="D6" s="15" t="s">
        <v>273</v>
      </c>
      <c r="E6" s="16" t="s">
        <v>372</v>
      </c>
      <c r="F6" s="15" t="s">
        <v>153</v>
      </c>
      <c r="G6" s="21" t="s">
        <v>274</v>
      </c>
      <c r="H6" s="21" t="s">
        <v>275</v>
      </c>
      <c r="I6" s="22" t="s">
        <v>276</v>
      </c>
      <c r="J6" s="23"/>
      <c r="K6" s="17" t="str">
        <f>"302,5"</f>
        <v>302,5</v>
      </c>
      <c r="L6" s="17" t="str">
        <f>"196,5948"</f>
        <v>196,5948</v>
      </c>
      <c r="M6" s="15" t="s">
        <v>277</v>
      </c>
    </row>
    <row r="7" spans="1:13">
      <c r="A7" s="30" t="s">
        <v>159</v>
      </c>
      <c r="B7" s="27" t="s">
        <v>278</v>
      </c>
      <c r="C7" s="27" t="s">
        <v>279</v>
      </c>
      <c r="D7" s="27" t="s">
        <v>280</v>
      </c>
      <c r="E7" s="28" t="s">
        <v>372</v>
      </c>
      <c r="F7" s="27" t="s">
        <v>361</v>
      </c>
      <c r="G7" s="32" t="s">
        <v>79</v>
      </c>
      <c r="H7" s="31" t="s">
        <v>281</v>
      </c>
      <c r="I7" s="30"/>
      <c r="J7" s="30"/>
      <c r="K7" s="29" t="str">
        <f>"245,0"</f>
        <v>245,0</v>
      </c>
      <c r="L7" s="29" t="str">
        <f>"157,3880"</f>
        <v>157,3880</v>
      </c>
      <c r="M7" s="27"/>
    </row>
    <row r="8" spans="1:13">
      <c r="A8" s="25" t="s">
        <v>36</v>
      </c>
      <c r="B8" s="18" t="s">
        <v>271</v>
      </c>
      <c r="C8" s="18" t="s">
        <v>282</v>
      </c>
      <c r="D8" s="18" t="s">
        <v>273</v>
      </c>
      <c r="E8" s="19" t="s">
        <v>371</v>
      </c>
      <c r="F8" s="18" t="s">
        <v>153</v>
      </c>
      <c r="G8" s="24" t="s">
        <v>274</v>
      </c>
      <c r="H8" s="24" t="s">
        <v>275</v>
      </c>
      <c r="I8" s="26" t="s">
        <v>276</v>
      </c>
      <c r="J8" s="25"/>
      <c r="K8" s="20" t="str">
        <f>"302,5"</f>
        <v>302,5</v>
      </c>
      <c r="L8" s="20" t="str">
        <f>"196,5948"</f>
        <v>196,5948</v>
      </c>
      <c r="M8" s="18" t="s">
        <v>277</v>
      </c>
    </row>
    <row r="10" spans="1:13" ht="16">
      <c r="A10" s="57" t="s">
        <v>60</v>
      </c>
      <c r="B10" s="57"/>
      <c r="C10" s="58"/>
      <c r="D10" s="58"/>
      <c r="E10" s="58"/>
      <c r="F10" s="58"/>
      <c r="G10" s="58"/>
      <c r="H10" s="58"/>
      <c r="I10" s="58"/>
      <c r="J10" s="58"/>
    </row>
    <row r="11" spans="1:13">
      <c r="A11" s="23" t="s">
        <v>36</v>
      </c>
      <c r="B11" s="15" t="s">
        <v>283</v>
      </c>
      <c r="C11" s="15" t="s">
        <v>284</v>
      </c>
      <c r="D11" s="15" t="s">
        <v>285</v>
      </c>
      <c r="E11" s="16" t="s">
        <v>372</v>
      </c>
      <c r="F11" s="15" t="s">
        <v>186</v>
      </c>
      <c r="G11" s="21" t="s">
        <v>143</v>
      </c>
      <c r="H11" s="21" t="s">
        <v>286</v>
      </c>
      <c r="I11" s="21" t="s">
        <v>144</v>
      </c>
      <c r="J11" s="23"/>
      <c r="K11" s="17" t="str">
        <f>"222,5"</f>
        <v>222,5</v>
      </c>
      <c r="L11" s="17" t="str">
        <f>"139,2850"</f>
        <v>139,2850</v>
      </c>
      <c r="M11" s="15" t="s">
        <v>187</v>
      </c>
    </row>
    <row r="12" spans="1:13">
      <c r="A12" s="25" t="s">
        <v>36</v>
      </c>
      <c r="B12" s="18" t="s">
        <v>287</v>
      </c>
      <c r="C12" s="18" t="s">
        <v>288</v>
      </c>
      <c r="D12" s="18" t="s">
        <v>219</v>
      </c>
      <c r="E12" s="19" t="s">
        <v>371</v>
      </c>
      <c r="F12" s="18" t="s">
        <v>186</v>
      </c>
      <c r="G12" s="24" t="s">
        <v>286</v>
      </c>
      <c r="H12" s="24" t="s">
        <v>289</v>
      </c>
      <c r="I12" s="26" t="s">
        <v>87</v>
      </c>
      <c r="J12" s="25"/>
      <c r="K12" s="20" t="str">
        <f>"232,5"</f>
        <v>232,5</v>
      </c>
      <c r="L12" s="20" t="str">
        <f>"154,9676"</f>
        <v>154,9676</v>
      </c>
      <c r="M12" s="18" t="s">
        <v>187</v>
      </c>
    </row>
    <row r="14" spans="1:13">
      <c r="E14" s="5"/>
      <c r="F14" s="10"/>
      <c r="G14" s="5"/>
      <c r="K14" s="11"/>
      <c r="M14" s="6"/>
    </row>
  </sheetData>
  <mergeCells count="13">
    <mergeCell ref="A10:J10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1" style="5" bestFit="1" customWidth="1"/>
    <col min="3" max="3" width="27.6640625" style="5" bestFit="1" customWidth="1"/>
    <col min="4" max="4" width="20.83203125" style="5" bestFit="1" customWidth="1"/>
    <col min="5" max="5" width="10.1640625" style="10" bestFit="1" customWidth="1"/>
    <col min="6" max="6" width="31.1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10.5" style="6" customWidth="1"/>
    <col min="13" max="13" width="17.1640625" style="5" bestFit="1" customWidth="1"/>
    <col min="14" max="16384" width="9.1640625" style="3"/>
  </cols>
  <sheetData>
    <row r="1" spans="1:13" s="2" customFormat="1" ht="29" customHeight="1">
      <c r="A1" s="42" t="s">
        <v>356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366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166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294</v>
      </c>
      <c r="C6" s="7" t="s">
        <v>363</v>
      </c>
      <c r="D6" s="7" t="s">
        <v>296</v>
      </c>
      <c r="E6" s="8" t="s">
        <v>379</v>
      </c>
      <c r="F6" s="7" t="s">
        <v>27</v>
      </c>
      <c r="G6" s="14" t="s">
        <v>322</v>
      </c>
      <c r="H6" s="12" t="s">
        <v>323</v>
      </c>
      <c r="I6" s="14" t="s">
        <v>324</v>
      </c>
      <c r="J6" s="13"/>
      <c r="K6" s="9" t="str">
        <f>"27,5"</f>
        <v>27,5</v>
      </c>
      <c r="L6" s="9" t="str">
        <f>"25,9724"</f>
        <v>25,9724</v>
      </c>
      <c r="M6" s="7" t="s">
        <v>342</v>
      </c>
    </row>
    <row r="8" spans="1:13" ht="16">
      <c r="A8" s="57" t="s">
        <v>10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36</v>
      </c>
      <c r="B9" s="7" t="s">
        <v>209</v>
      </c>
      <c r="C9" s="7" t="s">
        <v>210</v>
      </c>
      <c r="D9" s="7" t="s">
        <v>325</v>
      </c>
      <c r="E9" s="8" t="s">
        <v>372</v>
      </c>
      <c r="F9" s="7" t="s">
        <v>361</v>
      </c>
      <c r="G9" s="12" t="s">
        <v>326</v>
      </c>
      <c r="H9" s="12" t="s">
        <v>119</v>
      </c>
      <c r="I9" s="14" t="s">
        <v>46</v>
      </c>
      <c r="J9" s="13"/>
      <c r="K9" s="9" t="str">
        <f>"55,0"</f>
        <v>55,0</v>
      </c>
      <c r="L9" s="9" t="str">
        <f>"38,5839"</f>
        <v>38,5839</v>
      </c>
      <c r="M9" s="7" t="s">
        <v>192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4.6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7.5" style="6" bestFit="1" customWidth="1"/>
    <col min="13" max="13" width="20.83203125" style="5" customWidth="1"/>
    <col min="14" max="16384" width="9.1640625" style="3"/>
  </cols>
  <sheetData>
    <row r="1" spans="1:13" s="2" customFormat="1" ht="29" customHeight="1">
      <c r="A1" s="42" t="s">
        <v>357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366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134</v>
      </c>
      <c r="C6" s="7" t="s">
        <v>135</v>
      </c>
      <c r="D6" s="7" t="s">
        <v>136</v>
      </c>
      <c r="E6" s="8" t="s">
        <v>372</v>
      </c>
      <c r="F6" s="7" t="s">
        <v>41</v>
      </c>
      <c r="G6" s="12" t="s">
        <v>46</v>
      </c>
      <c r="H6" s="12" t="s">
        <v>110</v>
      </c>
      <c r="I6" s="14" t="s">
        <v>57</v>
      </c>
      <c r="J6" s="13"/>
      <c r="K6" s="9" t="str">
        <f>"70,0"</f>
        <v>70,0</v>
      </c>
      <c r="L6" s="9" t="str">
        <f>"45,1220"</f>
        <v>45,1220</v>
      </c>
      <c r="M6" s="7" t="s">
        <v>50</v>
      </c>
    </row>
    <row r="8" spans="1:13" ht="16">
      <c r="A8" s="57" t="s">
        <v>60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3" t="s">
        <v>36</v>
      </c>
      <c r="B9" s="15" t="s">
        <v>150</v>
      </c>
      <c r="C9" s="15" t="s">
        <v>151</v>
      </c>
      <c r="D9" s="15" t="s">
        <v>152</v>
      </c>
      <c r="E9" s="16" t="s">
        <v>372</v>
      </c>
      <c r="F9" s="15" t="s">
        <v>153</v>
      </c>
      <c r="G9" s="21" t="s">
        <v>110</v>
      </c>
      <c r="H9" s="21" t="s">
        <v>56</v>
      </c>
      <c r="I9" s="22" t="s">
        <v>57</v>
      </c>
      <c r="J9" s="23"/>
      <c r="K9" s="17" t="str">
        <f>"75,0"</f>
        <v>75,0</v>
      </c>
      <c r="L9" s="17" t="str">
        <f>"43,8225"</f>
        <v>43,8225</v>
      </c>
      <c r="M9" s="15"/>
    </row>
    <row r="10" spans="1:13">
      <c r="A10" s="25" t="s">
        <v>36</v>
      </c>
      <c r="B10" s="18" t="s">
        <v>320</v>
      </c>
      <c r="C10" s="18" t="s">
        <v>364</v>
      </c>
      <c r="D10" s="18" t="s">
        <v>321</v>
      </c>
      <c r="E10" s="19" t="s">
        <v>377</v>
      </c>
      <c r="F10" s="18" t="s">
        <v>27</v>
      </c>
      <c r="G10" s="24" t="s">
        <v>119</v>
      </c>
      <c r="H10" s="24" t="s">
        <v>46</v>
      </c>
      <c r="I10" s="24" t="s">
        <v>170</v>
      </c>
      <c r="J10" s="25"/>
      <c r="K10" s="20" t="str">
        <f>"62,5"</f>
        <v>62,5</v>
      </c>
      <c r="L10" s="20" t="str">
        <f>"42,7258"</f>
        <v>42,7258</v>
      </c>
      <c r="M10" s="18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8.83203125" style="5" bestFit="1" customWidth="1"/>
    <col min="3" max="3" width="28.6640625" style="5" bestFit="1" customWidth="1"/>
    <col min="4" max="4" width="20.83203125" style="5" bestFit="1" customWidth="1"/>
    <col min="5" max="5" width="10.1640625" style="10" bestFit="1" customWidth="1"/>
    <col min="6" max="6" width="20.6640625" style="5" bestFit="1" customWidth="1"/>
    <col min="7" max="9" width="5.5" style="11" customWidth="1"/>
    <col min="10" max="10" width="4.5" style="11" customWidth="1"/>
    <col min="11" max="13" width="5.5" style="11" customWidth="1"/>
    <col min="14" max="14" width="4.5" style="11" customWidth="1"/>
    <col min="15" max="15" width="7.6640625" style="6" bestFit="1" customWidth="1"/>
    <col min="16" max="16" width="8.5" style="6" bestFit="1" customWidth="1"/>
    <col min="17" max="17" width="15.83203125" style="5" bestFit="1" customWidth="1"/>
    <col min="18" max="16384" width="9.1640625" style="3"/>
  </cols>
  <sheetData>
    <row r="1" spans="1:17" s="2" customFormat="1" ht="29" customHeight="1">
      <c r="A1" s="42" t="s">
        <v>358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366</v>
      </c>
      <c r="H3" s="56"/>
      <c r="I3" s="56"/>
      <c r="J3" s="56"/>
      <c r="K3" s="56" t="s">
        <v>367</v>
      </c>
      <c r="L3" s="56"/>
      <c r="M3" s="56"/>
      <c r="N3" s="56"/>
      <c r="O3" s="54" t="s">
        <v>1</v>
      </c>
      <c r="P3" s="54" t="s">
        <v>3</v>
      </c>
      <c r="Q3" s="38" t="s">
        <v>2</v>
      </c>
    </row>
    <row r="4" spans="1:17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39"/>
    </row>
    <row r="5" spans="1:17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13" t="s">
        <v>36</v>
      </c>
      <c r="B6" s="7" t="s">
        <v>338</v>
      </c>
      <c r="C6" s="7" t="s">
        <v>365</v>
      </c>
      <c r="D6" s="7" t="s">
        <v>339</v>
      </c>
      <c r="E6" s="8" t="s">
        <v>377</v>
      </c>
      <c r="F6" s="7" t="s">
        <v>240</v>
      </c>
      <c r="G6" s="12" t="s">
        <v>72</v>
      </c>
      <c r="H6" s="12" t="s">
        <v>95</v>
      </c>
      <c r="I6" s="12" t="s">
        <v>106</v>
      </c>
      <c r="J6" s="13"/>
      <c r="K6" s="12" t="s">
        <v>171</v>
      </c>
      <c r="L6" s="14" t="s">
        <v>172</v>
      </c>
      <c r="M6" s="12" t="s">
        <v>172</v>
      </c>
      <c r="N6" s="13"/>
      <c r="O6" s="9" t="str">
        <f>"160,0"</f>
        <v>160,0</v>
      </c>
      <c r="P6" s="9" t="str">
        <f>"119,8202"</f>
        <v>119,8202</v>
      </c>
      <c r="Q6" s="7"/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1640625" style="5" bestFit="1" customWidth="1"/>
    <col min="2" max="2" width="15.66406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7.5" style="6" bestFit="1" customWidth="1"/>
    <col min="13" max="13" width="19" style="5" customWidth="1"/>
    <col min="14" max="16384" width="9.1640625" style="3"/>
  </cols>
  <sheetData>
    <row r="1" spans="1:13" s="2" customFormat="1" ht="29" customHeight="1">
      <c r="A1" s="42" t="s">
        <v>359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366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161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334</v>
      </c>
      <c r="C6" s="7" t="s">
        <v>335</v>
      </c>
      <c r="D6" s="7" t="s">
        <v>336</v>
      </c>
      <c r="E6" s="8" t="s">
        <v>372</v>
      </c>
      <c r="F6" s="7" t="s">
        <v>27</v>
      </c>
      <c r="G6" s="12" t="s">
        <v>323</v>
      </c>
      <c r="H6" s="14" t="s">
        <v>337</v>
      </c>
      <c r="I6" s="14" t="s">
        <v>337</v>
      </c>
      <c r="J6" s="13"/>
      <c r="K6" s="9" t="str">
        <f>"27,5"</f>
        <v>27,5</v>
      </c>
      <c r="L6" s="9" t="str">
        <f>"30,5745"</f>
        <v>30,5745</v>
      </c>
      <c r="M6" s="7" t="s">
        <v>97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7"/>
  <sheetViews>
    <sheetView tabSelected="1" workbookViewId="0">
      <selection activeCell="E8" sqref="E8"/>
    </sheetView>
  </sheetViews>
  <sheetFormatPr baseColWidth="10" defaultColWidth="9.1640625" defaultRowHeight="13"/>
  <cols>
    <col min="1" max="1" width="7.1640625" style="5" bestFit="1" customWidth="1"/>
    <col min="2" max="2" width="17.83203125" style="5" bestFit="1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4.6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7.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2" t="s">
        <v>360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366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3" t="s">
        <v>36</v>
      </c>
      <c r="B6" s="15" t="s">
        <v>327</v>
      </c>
      <c r="C6" s="15" t="s">
        <v>328</v>
      </c>
      <c r="D6" s="15" t="s">
        <v>329</v>
      </c>
      <c r="E6" s="16" t="s">
        <v>372</v>
      </c>
      <c r="F6" s="15" t="s">
        <v>41</v>
      </c>
      <c r="G6" s="21" t="s">
        <v>110</v>
      </c>
      <c r="H6" s="22" t="s">
        <v>57</v>
      </c>
      <c r="I6" s="22" t="s">
        <v>57</v>
      </c>
      <c r="J6" s="23"/>
      <c r="K6" s="17" t="str">
        <f>"70,0"</f>
        <v>70,0</v>
      </c>
      <c r="L6" s="17" t="str">
        <f>"45,6645"</f>
        <v>45,6645</v>
      </c>
      <c r="M6" s="15" t="s">
        <v>50</v>
      </c>
    </row>
    <row r="7" spans="1:13">
      <c r="A7" s="25" t="s">
        <v>159</v>
      </c>
      <c r="B7" s="18" t="s">
        <v>330</v>
      </c>
      <c r="C7" s="18" t="s">
        <v>331</v>
      </c>
      <c r="D7" s="18" t="s">
        <v>332</v>
      </c>
      <c r="E7" s="19" t="s">
        <v>372</v>
      </c>
      <c r="F7" s="18" t="s">
        <v>41</v>
      </c>
      <c r="G7" s="24" t="s">
        <v>333</v>
      </c>
      <c r="H7" s="24" t="s">
        <v>318</v>
      </c>
      <c r="I7" s="24" t="s">
        <v>119</v>
      </c>
      <c r="J7" s="25"/>
      <c r="K7" s="20" t="str">
        <f>"55,0"</f>
        <v>55,0</v>
      </c>
      <c r="L7" s="20" t="str">
        <f>"36,9160"</f>
        <v>36,9160</v>
      </c>
      <c r="M7" s="18" t="s">
        <v>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"/>
  <sheetViews>
    <sheetView workbookViewId="0">
      <selection activeCell="E11" sqref="E11"/>
    </sheetView>
  </sheetViews>
  <sheetFormatPr baseColWidth="10" defaultColWidth="9.1640625" defaultRowHeight="13"/>
  <cols>
    <col min="1" max="1" width="7.1640625" style="5" bestFit="1" customWidth="1"/>
    <col min="2" max="2" width="18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4.6640625" style="5" bestFit="1" customWidth="1"/>
    <col min="7" max="9" width="5.5" style="11" customWidth="1"/>
    <col min="10" max="10" width="4.5" style="11" customWidth="1"/>
    <col min="11" max="13" width="5.5" style="11" customWidth="1"/>
    <col min="14" max="14" width="4.5" style="11" customWidth="1"/>
    <col min="15" max="17" width="5.5" style="11" customWidth="1"/>
    <col min="18" max="18" width="4.5" style="11" customWidth="1"/>
    <col min="19" max="19" width="7.6640625" style="6" bestFit="1" customWidth="1"/>
    <col min="20" max="20" width="8.5" style="6" bestFit="1" customWidth="1"/>
    <col min="21" max="21" width="20.83203125" style="5" bestFit="1" customWidth="1"/>
    <col min="22" max="16384" width="9.1640625" style="3"/>
  </cols>
  <sheetData>
    <row r="1" spans="1:21" s="2" customFormat="1" ht="29" customHeight="1">
      <c r="A1" s="42" t="s">
        <v>345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7</v>
      </c>
      <c r="H3" s="56"/>
      <c r="I3" s="56"/>
      <c r="J3" s="56"/>
      <c r="K3" s="56" t="s">
        <v>8</v>
      </c>
      <c r="L3" s="56"/>
      <c r="M3" s="56"/>
      <c r="N3" s="56"/>
      <c r="O3" s="56" t="s">
        <v>9</v>
      </c>
      <c r="P3" s="56"/>
      <c r="Q3" s="56"/>
      <c r="R3" s="56"/>
      <c r="S3" s="54" t="s">
        <v>1</v>
      </c>
      <c r="T3" s="54" t="s">
        <v>3</v>
      </c>
      <c r="U3" s="38" t="s">
        <v>2</v>
      </c>
    </row>
    <row r="4" spans="1:21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39"/>
    </row>
    <row r="5" spans="1:21" ht="16">
      <c r="A5" s="40" t="s">
        <v>37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23" t="s">
        <v>36</v>
      </c>
      <c r="B6" s="15" t="s">
        <v>38</v>
      </c>
      <c r="C6" s="15" t="s">
        <v>39</v>
      </c>
      <c r="D6" s="15" t="s">
        <v>40</v>
      </c>
      <c r="E6" s="16" t="s">
        <v>373</v>
      </c>
      <c r="F6" s="15" t="s">
        <v>41</v>
      </c>
      <c r="G6" s="21" t="s">
        <v>42</v>
      </c>
      <c r="H6" s="21" t="s">
        <v>43</v>
      </c>
      <c r="I6" s="22" t="s">
        <v>44</v>
      </c>
      <c r="J6" s="23"/>
      <c r="K6" s="21" t="s">
        <v>45</v>
      </c>
      <c r="L6" s="22" t="s">
        <v>46</v>
      </c>
      <c r="M6" s="23"/>
      <c r="N6" s="23"/>
      <c r="O6" s="21" t="s">
        <v>47</v>
      </c>
      <c r="P6" s="21" t="s">
        <v>48</v>
      </c>
      <c r="Q6" s="22" t="s">
        <v>49</v>
      </c>
      <c r="R6" s="23"/>
      <c r="S6" s="17" t="str">
        <f>"312,5"</f>
        <v>312,5</v>
      </c>
      <c r="T6" s="17" t="str">
        <f>"319,6250"</f>
        <v>319,6250</v>
      </c>
      <c r="U6" s="15" t="s">
        <v>50</v>
      </c>
    </row>
    <row r="7" spans="1:21">
      <c r="A7" s="25" t="s">
        <v>36</v>
      </c>
      <c r="B7" s="18" t="s">
        <v>51</v>
      </c>
      <c r="C7" s="18" t="s">
        <v>52</v>
      </c>
      <c r="D7" s="18" t="s">
        <v>53</v>
      </c>
      <c r="E7" s="19" t="s">
        <v>371</v>
      </c>
      <c r="F7" s="18" t="s">
        <v>54</v>
      </c>
      <c r="G7" s="24" t="s">
        <v>55</v>
      </c>
      <c r="H7" s="24" t="s">
        <v>42</v>
      </c>
      <c r="I7" s="24" t="s">
        <v>43</v>
      </c>
      <c r="J7" s="25"/>
      <c r="K7" s="24" t="s">
        <v>56</v>
      </c>
      <c r="L7" s="26" t="s">
        <v>57</v>
      </c>
      <c r="M7" s="26" t="s">
        <v>57</v>
      </c>
      <c r="N7" s="25"/>
      <c r="O7" s="24" t="s">
        <v>44</v>
      </c>
      <c r="P7" s="24" t="s">
        <v>58</v>
      </c>
      <c r="Q7" s="26" t="s">
        <v>59</v>
      </c>
      <c r="R7" s="25"/>
      <c r="S7" s="20" t="str">
        <f>"370,0"</f>
        <v>370,0</v>
      </c>
      <c r="T7" s="20" t="str">
        <f>"407,0765"</f>
        <v>407,0765</v>
      </c>
      <c r="U7" s="18" t="s">
        <v>340</v>
      </c>
    </row>
    <row r="9" spans="1:21" ht="16">
      <c r="A9" s="57" t="s">
        <v>60</v>
      </c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1">
      <c r="A10" s="13" t="s">
        <v>36</v>
      </c>
      <c r="B10" s="7" t="s">
        <v>61</v>
      </c>
      <c r="C10" s="7" t="s">
        <v>62</v>
      </c>
      <c r="D10" s="7" t="s">
        <v>63</v>
      </c>
      <c r="E10" s="8" t="s">
        <v>374</v>
      </c>
      <c r="F10" s="7" t="s">
        <v>27</v>
      </c>
      <c r="G10" s="12" t="s">
        <v>16</v>
      </c>
      <c r="H10" s="12" t="s">
        <v>17</v>
      </c>
      <c r="I10" s="14" t="s">
        <v>64</v>
      </c>
      <c r="J10" s="13"/>
      <c r="K10" s="12" t="s">
        <v>55</v>
      </c>
      <c r="L10" s="12" t="s">
        <v>43</v>
      </c>
      <c r="M10" s="14" t="s">
        <v>65</v>
      </c>
      <c r="N10" s="13"/>
      <c r="O10" s="12" t="s">
        <v>17</v>
      </c>
      <c r="P10" s="12" t="s">
        <v>64</v>
      </c>
      <c r="Q10" s="12" t="s">
        <v>66</v>
      </c>
      <c r="R10" s="13"/>
      <c r="S10" s="9" t="str">
        <f>"550,0"</f>
        <v>550,0</v>
      </c>
      <c r="T10" s="9" t="str">
        <f>"336,6550"</f>
        <v>336,6550</v>
      </c>
      <c r="U10" s="7" t="s">
        <v>67</v>
      </c>
    </row>
  </sheetData>
  <mergeCells count="15">
    <mergeCell ref="A9:R9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pageSetUpPr fitToPage="1"/>
  </sheetPr>
  <dimension ref="A1:U9"/>
  <sheetViews>
    <sheetView workbookViewId="0">
      <selection activeCell="E10" sqref="E10"/>
    </sheetView>
  </sheetViews>
  <sheetFormatPr baseColWidth="10" defaultColWidth="9.1640625" defaultRowHeight="13"/>
  <cols>
    <col min="1" max="1" width="7.1640625" style="5" bestFit="1" customWidth="1"/>
    <col min="2" max="2" width="21.5" style="5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4.1640625" style="5" bestFit="1" customWidth="1"/>
    <col min="7" max="9" width="5.5" style="11" customWidth="1"/>
    <col min="10" max="10" width="4.5" style="11" customWidth="1"/>
    <col min="11" max="13" width="5.5" style="11" customWidth="1"/>
    <col min="14" max="14" width="4.5" style="11" customWidth="1"/>
    <col min="15" max="17" width="5.5" style="11" customWidth="1"/>
    <col min="18" max="18" width="4.5" style="11" customWidth="1"/>
    <col min="19" max="19" width="7.6640625" style="6" bestFit="1" customWidth="1"/>
    <col min="20" max="20" width="8.5" style="6" bestFit="1" customWidth="1"/>
    <col min="21" max="21" width="15.83203125" style="5" bestFit="1" customWidth="1"/>
    <col min="22" max="16384" width="9.1640625" style="3"/>
  </cols>
  <sheetData>
    <row r="1" spans="1:21" s="2" customFormat="1" ht="29" customHeight="1">
      <c r="A1" s="42" t="s">
        <v>346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7</v>
      </c>
      <c r="H3" s="56"/>
      <c r="I3" s="56"/>
      <c r="J3" s="56"/>
      <c r="K3" s="56" t="s">
        <v>8</v>
      </c>
      <c r="L3" s="56"/>
      <c r="M3" s="56"/>
      <c r="N3" s="56"/>
      <c r="O3" s="56" t="s">
        <v>9</v>
      </c>
      <c r="P3" s="56"/>
      <c r="Q3" s="56"/>
      <c r="R3" s="56"/>
      <c r="S3" s="54" t="s">
        <v>1</v>
      </c>
      <c r="T3" s="54" t="s">
        <v>3</v>
      </c>
      <c r="U3" s="38" t="s">
        <v>2</v>
      </c>
    </row>
    <row r="4" spans="1:21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39"/>
    </row>
    <row r="5" spans="1:21" ht="16">
      <c r="A5" s="40" t="s">
        <v>10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3" t="s">
        <v>36</v>
      </c>
      <c r="B6" s="7" t="s">
        <v>11</v>
      </c>
      <c r="C6" s="7" t="s">
        <v>12</v>
      </c>
      <c r="D6" s="7" t="s">
        <v>13</v>
      </c>
      <c r="E6" s="8" t="s">
        <v>372</v>
      </c>
      <c r="F6" s="7" t="s">
        <v>14</v>
      </c>
      <c r="G6" s="12" t="s">
        <v>15</v>
      </c>
      <c r="H6" s="12" t="s">
        <v>16</v>
      </c>
      <c r="I6" s="12" t="s">
        <v>17</v>
      </c>
      <c r="J6" s="13"/>
      <c r="K6" s="12" t="s">
        <v>18</v>
      </c>
      <c r="L6" s="12" t="s">
        <v>19</v>
      </c>
      <c r="M6" s="12" t="s">
        <v>20</v>
      </c>
      <c r="N6" s="13"/>
      <c r="O6" s="12" t="s">
        <v>15</v>
      </c>
      <c r="P6" s="12" t="s">
        <v>21</v>
      </c>
      <c r="Q6" s="12" t="s">
        <v>22</v>
      </c>
      <c r="R6" s="13"/>
      <c r="S6" s="9" t="str">
        <f>"480,0"</f>
        <v>480,0</v>
      </c>
      <c r="T6" s="9" t="str">
        <f>"354,0000"</f>
        <v>354,0000</v>
      </c>
      <c r="U6" s="7"/>
    </row>
    <row r="8" spans="1:21" ht="16">
      <c r="A8" s="57" t="s">
        <v>23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13" t="s">
        <v>36</v>
      </c>
      <c r="B9" s="7" t="s">
        <v>24</v>
      </c>
      <c r="C9" s="7" t="s">
        <v>25</v>
      </c>
      <c r="D9" s="7" t="s">
        <v>26</v>
      </c>
      <c r="E9" s="8" t="s">
        <v>372</v>
      </c>
      <c r="F9" s="7" t="s">
        <v>27</v>
      </c>
      <c r="G9" s="12" t="s">
        <v>28</v>
      </c>
      <c r="H9" s="12" t="s">
        <v>29</v>
      </c>
      <c r="I9" s="12" t="s">
        <v>30</v>
      </c>
      <c r="J9" s="13"/>
      <c r="K9" s="12" t="s">
        <v>21</v>
      </c>
      <c r="L9" s="12" t="s">
        <v>31</v>
      </c>
      <c r="M9" s="14" t="s">
        <v>17</v>
      </c>
      <c r="N9" s="13"/>
      <c r="O9" s="12" t="s">
        <v>32</v>
      </c>
      <c r="P9" s="12" t="s">
        <v>33</v>
      </c>
      <c r="Q9" s="14" t="s">
        <v>34</v>
      </c>
      <c r="R9" s="13"/>
      <c r="S9" s="9" t="str">
        <f>"792,5"</f>
        <v>792,5</v>
      </c>
      <c r="T9" s="9" t="str">
        <f>"466,6240"</f>
        <v>466,6240</v>
      </c>
      <c r="U9" s="7" t="s">
        <v>35</v>
      </c>
    </row>
  </sheetData>
  <mergeCells count="15">
    <mergeCell ref="A5:R5"/>
    <mergeCell ref="A8:R8"/>
    <mergeCell ref="B3:B4"/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"/>
  <sheetViews>
    <sheetView topLeftCell="A12" workbookViewId="0">
      <selection activeCell="E43" sqref="E43"/>
    </sheetView>
  </sheetViews>
  <sheetFormatPr baseColWidth="10" defaultColWidth="9.1640625" defaultRowHeight="13"/>
  <cols>
    <col min="1" max="1" width="7.1640625" style="5" bestFit="1" customWidth="1"/>
    <col min="2" max="2" width="21.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31.16406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8.5" style="6" bestFit="1" customWidth="1"/>
    <col min="13" max="13" width="22.6640625" style="5" bestFit="1" customWidth="1"/>
    <col min="14" max="16384" width="9.1640625" style="3"/>
  </cols>
  <sheetData>
    <row r="1" spans="1:13" s="2" customFormat="1" ht="29" customHeight="1">
      <c r="A1" s="42" t="s">
        <v>347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161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162</v>
      </c>
      <c r="C6" s="7" t="s">
        <v>163</v>
      </c>
      <c r="D6" s="7" t="s">
        <v>164</v>
      </c>
      <c r="E6" s="8" t="s">
        <v>372</v>
      </c>
      <c r="F6" s="7" t="s">
        <v>27</v>
      </c>
      <c r="G6" s="12" t="s">
        <v>45</v>
      </c>
      <c r="H6" s="14" t="s">
        <v>119</v>
      </c>
      <c r="I6" s="14" t="s">
        <v>74</v>
      </c>
      <c r="J6" s="13"/>
      <c r="K6" s="9" t="str">
        <f>"52,5"</f>
        <v>52,5</v>
      </c>
      <c r="L6" s="9" t="str">
        <f>"65,7405"</f>
        <v>65,7405</v>
      </c>
      <c r="M6" s="7" t="s">
        <v>165</v>
      </c>
    </row>
    <row r="8" spans="1:13" ht="16">
      <c r="A8" s="57" t="s">
        <v>166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36</v>
      </c>
      <c r="B9" s="7" t="s">
        <v>167</v>
      </c>
      <c r="C9" s="7" t="s">
        <v>168</v>
      </c>
      <c r="D9" s="7" t="s">
        <v>169</v>
      </c>
      <c r="E9" s="8" t="s">
        <v>372</v>
      </c>
      <c r="F9" s="7" t="s">
        <v>27</v>
      </c>
      <c r="G9" s="12" t="s">
        <v>170</v>
      </c>
      <c r="H9" s="12" t="s">
        <v>171</v>
      </c>
      <c r="I9" s="14" t="s">
        <v>172</v>
      </c>
      <c r="J9" s="13"/>
      <c r="K9" s="9" t="str">
        <f>"65,0"</f>
        <v>65,0</v>
      </c>
      <c r="L9" s="9" t="str">
        <f>"76,4790"</f>
        <v>76,4790</v>
      </c>
      <c r="M9" s="7" t="s">
        <v>97</v>
      </c>
    </row>
    <row r="11" spans="1:13" ht="16">
      <c r="A11" s="57" t="s">
        <v>37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23" t="s">
        <v>36</v>
      </c>
      <c r="B12" s="15" t="s">
        <v>51</v>
      </c>
      <c r="C12" s="15" t="s">
        <v>173</v>
      </c>
      <c r="D12" s="15" t="s">
        <v>53</v>
      </c>
      <c r="E12" s="16" t="s">
        <v>372</v>
      </c>
      <c r="F12" s="15" t="s">
        <v>54</v>
      </c>
      <c r="G12" s="21" t="s">
        <v>56</v>
      </c>
      <c r="H12" s="22" t="s">
        <v>57</v>
      </c>
      <c r="I12" s="22" t="s">
        <v>57</v>
      </c>
      <c r="J12" s="23"/>
      <c r="K12" s="17" t="str">
        <f>"75,0"</f>
        <v>75,0</v>
      </c>
      <c r="L12" s="17" t="str">
        <f>"76,5450"</f>
        <v>76,5450</v>
      </c>
      <c r="M12" s="15" t="s">
        <v>340</v>
      </c>
    </row>
    <row r="13" spans="1:13">
      <c r="A13" s="25" t="s">
        <v>36</v>
      </c>
      <c r="B13" s="18" t="s">
        <v>51</v>
      </c>
      <c r="C13" s="18" t="s">
        <v>52</v>
      </c>
      <c r="D13" s="18" t="s">
        <v>53</v>
      </c>
      <c r="E13" s="19" t="s">
        <v>371</v>
      </c>
      <c r="F13" s="18" t="s">
        <v>54</v>
      </c>
      <c r="G13" s="24" t="s">
        <v>56</v>
      </c>
      <c r="H13" s="26" t="s">
        <v>57</v>
      </c>
      <c r="I13" s="26" t="s">
        <v>57</v>
      </c>
      <c r="J13" s="25"/>
      <c r="K13" s="20" t="str">
        <f>"75,0"</f>
        <v>75,0</v>
      </c>
      <c r="L13" s="20" t="str">
        <f>"82,5155"</f>
        <v>82,5155</v>
      </c>
      <c r="M13" s="18" t="s">
        <v>340</v>
      </c>
    </row>
    <row r="15" spans="1:13" ht="16">
      <c r="A15" s="57" t="s">
        <v>166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13" t="s">
        <v>36</v>
      </c>
      <c r="B16" s="7" t="s">
        <v>174</v>
      </c>
      <c r="C16" s="7" t="s">
        <v>175</v>
      </c>
      <c r="D16" s="7" t="s">
        <v>176</v>
      </c>
      <c r="E16" s="8" t="s">
        <v>374</v>
      </c>
      <c r="F16" s="7" t="s">
        <v>27</v>
      </c>
      <c r="G16" s="14" t="s">
        <v>177</v>
      </c>
      <c r="H16" s="12" t="s">
        <v>57</v>
      </c>
      <c r="I16" s="14" t="s">
        <v>111</v>
      </c>
      <c r="J16" s="13"/>
      <c r="K16" s="9" t="str">
        <f>"80,0"</f>
        <v>80,0</v>
      </c>
      <c r="L16" s="9" t="str">
        <f>"73,6000"</f>
        <v>73,6000</v>
      </c>
      <c r="M16" s="7" t="s">
        <v>178</v>
      </c>
    </row>
    <row r="18" spans="1:13" ht="16">
      <c r="A18" s="57" t="s">
        <v>179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13" t="s">
        <v>36</v>
      </c>
      <c r="B19" s="7" t="s">
        <v>180</v>
      </c>
      <c r="C19" s="7" t="s">
        <v>181</v>
      </c>
      <c r="D19" s="7" t="s">
        <v>182</v>
      </c>
      <c r="E19" s="8" t="s">
        <v>373</v>
      </c>
      <c r="F19" s="7" t="s">
        <v>27</v>
      </c>
      <c r="G19" s="12" t="s">
        <v>56</v>
      </c>
      <c r="H19" s="14" t="s">
        <v>57</v>
      </c>
      <c r="I19" s="14" t="s">
        <v>57</v>
      </c>
      <c r="J19" s="13"/>
      <c r="K19" s="9" t="str">
        <f>"75,0"</f>
        <v>75,0</v>
      </c>
      <c r="L19" s="9" t="str">
        <f>"64,4550"</f>
        <v>64,4550</v>
      </c>
      <c r="M19" s="7" t="s">
        <v>178</v>
      </c>
    </row>
    <row r="21" spans="1:13" ht="16">
      <c r="A21" s="57" t="s">
        <v>37</v>
      </c>
      <c r="B21" s="57"/>
      <c r="C21" s="58"/>
      <c r="D21" s="58"/>
      <c r="E21" s="58"/>
      <c r="F21" s="58"/>
      <c r="G21" s="58"/>
      <c r="H21" s="58"/>
      <c r="I21" s="58"/>
      <c r="J21" s="58"/>
    </row>
    <row r="22" spans="1:13">
      <c r="A22" s="13" t="s">
        <v>36</v>
      </c>
      <c r="B22" s="7" t="s">
        <v>183</v>
      </c>
      <c r="C22" s="7" t="s">
        <v>184</v>
      </c>
      <c r="D22" s="7" t="s">
        <v>185</v>
      </c>
      <c r="E22" s="8" t="s">
        <v>374</v>
      </c>
      <c r="F22" s="7" t="s">
        <v>186</v>
      </c>
      <c r="G22" s="12" t="s">
        <v>57</v>
      </c>
      <c r="H22" s="14" t="s">
        <v>71</v>
      </c>
      <c r="I22" s="14" t="s">
        <v>71</v>
      </c>
      <c r="J22" s="13"/>
      <c r="K22" s="9" t="str">
        <f>"80,0"</f>
        <v>80,0</v>
      </c>
      <c r="L22" s="9" t="str">
        <f>"61,9760"</f>
        <v>61,9760</v>
      </c>
      <c r="M22" s="7" t="s">
        <v>187</v>
      </c>
    </row>
    <row r="24" spans="1:13" ht="16">
      <c r="A24" s="57" t="s">
        <v>10</v>
      </c>
      <c r="B24" s="57"/>
      <c r="C24" s="58"/>
      <c r="D24" s="58"/>
      <c r="E24" s="58"/>
      <c r="F24" s="58"/>
      <c r="G24" s="58"/>
      <c r="H24" s="58"/>
      <c r="I24" s="58"/>
      <c r="J24" s="58"/>
    </row>
    <row r="25" spans="1:13">
      <c r="A25" s="23" t="s">
        <v>36</v>
      </c>
      <c r="B25" s="15" t="s">
        <v>188</v>
      </c>
      <c r="C25" s="15" t="s">
        <v>189</v>
      </c>
      <c r="D25" s="15" t="s">
        <v>13</v>
      </c>
      <c r="E25" s="16" t="s">
        <v>375</v>
      </c>
      <c r="F25" s="15" t="s">
        <v>361</v>
      </c>
      <c r="G25" s="21" t="s">
        <v>20</v>
      </c>
      <c r="H25" s="21" t="s">
        <v>190</v>
      </c>
      <c r="I25" s="22" t="s">
        <v>191</v>
      </c>
      <c r="J25" s="23"/>
      <c r="K25" s="17" t="str">
        <f>"112,5"</f>
        <v>112,5</v>
      </c>
      <c r="L25" s="17" t="str">
        <f>"82,9688"</f>
        <v>82,9688</v>
      </c>
      <c r="M25" s="15" t="s">
        <v>192</v>
      </c>
    </row>
    <row r="26" spans="1:13">
      <c r="A26" s="30" t="s">
        <v>36</v>
      </c>
      <c r="B26" s="27" t="s">
        <v>193</v>
      </c>
      <c r="C26" s="27" t="s">
        <v>194</v>
      </c>
      <c r="D26" s="27" t="s">
        <v>195</v>
      </c>
      <c r="E26" s="28" t="s">
        <v>373</v>
      </c>
      <c r="F26" s="27" t="s">
        <v>41</v>
      </c>
      <c r="G26" s="32" t="s">
        <v>191</v>
      </c>
      <c r="H26" s="31" t="s">
        <v>196</v>
      </c>
      <c r="I26" s="31" t="s">
        <v>196</v>
      </c>
      <c r="J26" s="30"/>
      <c r="K26" s="29" t="str">
        <f>"117,5"</f>
        <v>117,5</v>
      </c>
      <c r="L26" s="29" t="str">
        <f>"84,8468"</f>
        <v>84,8468</v>
      </c>
      <c r="M26" s="27" t="s">
        <v>341</v>
      </c>
    </row>
    <row r="27" spans="1:13">
      <c r="A27" s="30" t="s">
        <v>159</v>
      </c>
      <c r="B27" s="27" t="s">
        <v>197</v>
      </c>
      <c r="C27" s="27" t="s">
        <v>198</v>
      </c>
      <c r="D27" s="27" t="s">
        <v>199</v>
      </c>
      <c r="E27" s="28" t="s">
        <v>373</v>
      </c>
      <c r="F27" s="27" t="s">
        <v>27</v>
      </c>
      <c r="G27" s="32" t="s">
        <v>47</v>
      </c>
      <c r="H27" s="31" t="s">
        <v>191</v>
      </c>
      <c r="I27" s="31" t="s">
        <v>191</v>
      </c>
      <c r="J27" s="30"/>
      <c r="K27" s="29" t="str">
        <f>"110,0"</f>
        <v>110,0</v>
      </c>
      <c r="L27" s="29" t="str">
        <f>"80,3770"</f>
        <v>80,3770</v>
      </c>
      <c r="M27" s="27" t="s">
        <v>342</v>
      </c>
    </row>
    <row r="28" spans="1:13">
      <c r="A28" s="30" t="s">
        <v>36</v>
      </c>
      <c r="B28" s="27" t="s">
        <v>200</v>
      </c>
      <c r="C28" s="27" t="s">
        <v>201</v>
      </c>
      <c r="D28" s="27" t="s">
        <v>202</v>
      </c>
      <c r="E28" s="28" t="s">
        <v>372</v>
      </c>
      <c r="F28" s="27" t="s">
        <v>27</v>
      </c>
      <c r="G28" s="32" t="s">
        <v>55</v>
      </c>
      <c r="H28" s="32" t="s">
        <v>42</v>
      </c>
      <c r="I28" s="31" t="s">
        <v>203</v>
      </c>
      <c r="J28" s="30"/>
      <c r="K28" s="29" t="str">
        <f>"135,0"</f>
        <v>135,0</v>
      </c>
      <c r="L28" s="29" t="str">
        <f>"97,1055"</f>
        <v>97,1055</v>
      </c>
      <c r="M28" s="27" t="s">
        <v>204</v>
      </c>
    </row>
    <row r="29" spans="1:13">
      <c r="A29" s="30" t="s">
        <v>159</v>
      </c>
      <c r="B29" s="27" t="s">
        <v>205</v>
      </c>
      <c r="C29" s="27" t="s">
        <v>206</v>
      </c>
      <c r="D29" s="27" t="s">
        <v>207</v>
      </c>
      <c r="E29" s="28" t="s">
        <v>372</v>
      </c>
      <c r="F29" s="27" t="s">
        <v>361</v>
      </c>
      <c r="G29" s="32" t="s">
        <v>102</v>
      </c>
      <c r="H29" s="32" t="s">
        <v>48</v>
      </c>
      <c r="I29" s="31" t="s">
        <v>208</v>
      </c>
      <c r="J29" s="30"/>
      <c r="K29" s="29" t="str">
        <f>"120,0"</f>
        <v>120,0</v>
      </c>
      <c r="L29" s="29" t="str">
        <f>"86,7360"</f>
        <v>86,7360</v>
      </c>
      <c r="M29" s="27" t="s">
        <v>192</v>
      </c>
    </row>
    <row r="30" spans="1:13">
      <c r="A30" s="25" t="s">
        <v>225</v>
      </c>
      <c r="B30" s="18" t="s">
        <v>209</v>
      </c>
      <c r="C30" s="18" t="s">
        <v>210</v>
      </c>
      <c r="D30" s="18" t="s">
        <v>211</v>
      </c>
      <c r="E30" s="19" t="s">
        <v>372</v>
      </c>
      <c r="F30" s="18" t="s">
        <v>361</v>
      </c>
      <c r="G30" s="24" t="s">
        <v>18</v>
      </c>
      <c r="H30" s="24" t="s">
        <v>20</v>
      </c>
      <c r="I30" s="24" t="s">
        <v>47</v>
      </c>
      <c r="J30" s="25"/>
      <c r="K30" s="20" t="str">
        <f>"110,0"</f>
        <v>110,0</v>
      </c>
      <c r="L30" s="20" t="str">
        <f>"79,7390"</f>
        <v>79,7390</v>
      </c>
      <c r="M30" s="18" t="s">
        <v>192</v>
      </c>
    </row>
    <row r="32" spans="1:13" ht="16">
      <c r="A32" s="57" t="s">
        <v>91</v>
      </c>
      <c r="B32" s="57"/>
      <c r="C32" s="58"/>
      <c r="D32" s="58"/>
      <c r="E32" s="58"/>
      <c r="F32" s="58"/>
      <c r="G32" s="58"/>
      <c r="H32" s="58"/>
      <c r="I32" s="58"/>
      <c r="J32" s="58"/>
    </row>
    <row r="33" spans="1:13">
      <c r="A33" s="23" t="s">
        <v>36</v>
      </c>
      <c r="B33" s="15" t="s">
        <v>212</v>
      </c>
      <c r="C33" s="15" t="s">
        <v>213</v>
      </c>
      <c r="D33" s="15" t="s">
        <v>94</v>
      </c>
      <c r="E33" s="16" t="s">
        <v>372</v>
      </c>
      <c r="F33" s="15" t="s">
        <v>27</v>
      </c>
      <c r="G33" s="21" t="s">
        <v>55</v>
      </c>
      <c r="H33" s="22" t="s">
        <v>203</v>
      </c>
      <c r="I33" s="22" t="s">
        <v>44</v>
      </c>
      <c r="J33" s="23"/>
      <c r="K33" s="17" t="str">
        <f>"130,0"</f>
        <v>130,0</v>
      </c>
      <c r="L33" s="17" t="str">
        <f>"87,9320"</f>
        <v>87,9320</v>
      </c>
      <c r="M33" s="15"/>
    </row>
    <row r="34" spans="1:13">
      <c r="A34" s="30" t="s">
        <v>159</v>
      </c>
      <c r="B34" s="27" t="s">
        <v>214</v>
      </c>
      <c r="C34" s="27" t="s">
        <v>215</v>
      </c>
      <c r="D34" s="27" t="s">
        <v>114</v>
      </c>
      <c r="E34" s="28" t="s">
        <v>372</v>
      </c>
      <c r="F34" s="27" t="s">
        <v>27</v>
      </c>
      <c r="G34" s="32" t="s">
        <v>208</v>
      </c>
      <c r="H34" s="31" t="s">
        <v>196</v>
      </c>
      <c r="I34" s="30"/>
      <c r="J34" s="30"/>
      <c r="K34" s="29" t="str">
        <f>"125,0"</f>
        <v>125,0</v>
      </c>
      <c r="L34" s="29" t="str">
        <f>"85,8875"</f>
        <v>85,8875</v>
      </c>
      <c r="M34" s="27" t="s">
        <v>97</v>
      </c>
    </row>
    <row r="35" spans="1:13">
      <c r="A35" s="25" t="s">
        <v>36</v>
      </c>
      <c r="B35" s="18" t="s">
        <v>214</v>
      </c>
      <c r="C35" s="18" t="s">
        <v>216</v>
      </c>
      <c r="D35" s="18" t="s">
        <v>114</v>
      </c>
      <c r="E35" s="19" t="s">
        <v>376</v>
      </c>
      <c r="F35" s="18" t="s">
        <v>27</v>
      </c>
      <c r="G35" s="24" t="s">
        <v>208</v>
      </c>
      <c r="H35" s="26" t="s">
        <v>196</v>
      </c>
      <c r="I35" s="25"/>
      <c r="J35" s="25"/>
      <c r="K35" s="20" t="str">
        <f>"125,0"</f>
        <v>125,0</v>
      </c>
      <c r="L35" s="20" t="str">
        <f>"126,2546"</f>
        <v>126,2546</v>
      </c>
      <c r="M35" s="18" t="s">
        <v>97</v>
      </c>
    </row>
    <row r="37" spans="1:13" ht="16">
      <c r="A37" s="57" t="s">
        <v>60</v>
      </c>
      <c r="B37" s="57"/>
      <c r="C37" s="58"/>
      <c r="D37" s="58"/>
      <c r="E37" s="58"/>
      <c r="F37" s="58"/>
      <c r="G37" s="58"/>
      <c r="H37" s="58"/>
      <c r="I37" s="58"/>
      <c r="J37" s="58"/>
    </row>
    <row r="38" spans="1:13">
      <c r="A38" s="13" t="s">
        <v>36</v>
      </c>
      <c r="B38" s="7" t="s">
        <v>217</v>
      </c>
      <c r="C38" s="7" t="s">
        <v>218</v>
      </c>
      <c r="D38" s="7" t="s">
        <v>219</v>
      </c>
      <c r="E38" s="8" t="s">
        <v>375</v>
      </c>
      <c r="F38" s="7" t="s">
        <v>41</v>
      </c>
      <c r="G38" s="12" t="s">
        <v>95</v>
      </c>
      <c r="H38" s="12" t="s">
        <v>19</v>
      </c>
      <c r="I38" s="12" t="s">
        <v>20</v>
      </c>
      <c r="J38" s="13"/>
      <c r="K38" s="9" t="str">
        <f>"105,0"</f>
        <v>105,0</v>
      </c>
      <c r="L38" s="9" t="str">
        <f>"64,9215"</f>
        <v>64,9215</v>
      </c>
      <c r="M38" s="7" t="s">
        <v>50</v>
      </c>
    </row>
    <row r="40" spans="1:13" ht="16">
      <c r="A40" s="57" t="s">
        <v>220</v>
      </c>
      <c r="B40" s="57"/>
      <c r="C40" s="58"/>
      <c r="D40" s="58"/>
      <c r="E40" s="58"/>
      <c r="F40" s="58"/>
      <c r="G40" s="58"/>
      <c r="H40" s="58"/>
      <c r="I40" s="58"/>
      <c r="J40" s="58"/>
    </row>
    <row r="41" spans="1:13">
      <c r="A41" s="23" t="s">
        <v>36</v>
      </c>
      <c r="B41" s="15" t="s">
        <v>221</v>
      </c>
      <c r="C41" s="15" t="s">
        <v>222</v>
      </c>
      <c r="D41" s="15" t="s">
        <v>223</v>
      </c>
      <c r="E41" s="16" t="s">
        <v>372</v>
      </c>
      <c r="F41" s="15" t="s">
        <v>14</v>
      </c>
      <c r="G41" s="22" t="s">
        <v>142</v>
      </c>
      <c r="H41" s="21" t="s">
        <v>64</v>
      </c>
      <c r="I41" s="22" t="s">
        <v>143</v>
      </c>
      <c r="J41" s="23"/>
      <c r="K41" s="17" t="str">
        <f>"205,0"</f>
        <v>205,0</v>
      </c>
      <c r="L41" s="17" t="str">
        <f>"115,5175"</f>
        <v>115,5175</v>
      </c>
      <c r="M41" s="15"/>
    </row>
    <row r="42" spans="1:13">
      <c r="A42" s="25" t="s">
        <v>36</v>
      </c>
      <c r="B42" s="18" t="s">
        <v>221</v>
      </c>
      <c r="C42" s="18" t="s">
        <v>224</v>
      </c>
      <c r="D42" s="18" t="s">
        <v>223</v>
      </c>
      <c r="E42" s="19" t="s">
        <v>377</v>
      </c>
      <c r="F42" s="18" t="s">
        <v>14</v>
      </c>
      <c r="G42" s="26" t="s">
        <v>142</v>
      </c>
      <c r="H42" s="24" t="s">
        <v>64</v>
      </c>
      <c r="I42" s="26" t="s">
        <v>143</v>
      </c>
      <c r="J42" s="25"/>
      <c r="K42" s="20" t="str">
        <f>"205,0"</f>
        <v>205,0</v>
      </c>
      <c r="L42" s="20" t="str">
        <f>"134,9244"</f>
        <v>134,9244</v>
      </c>
      <c r="M42" s="18"/>
    </row>
  </sheetData>
  <mergeCells count="21">
    <mergeCell ref="A32:J32"/>
    <mergeCell ref="A37:J37"/>
    <mergeCell ref="A40:J40"/>
    <mergeCell ref="B3:B4"/>
    <mergeCell ref="A8:J8"/>
    <mergeCell ref="A11:J11"/>
    <mergeCell ref="A15:J15"/>
    <mergeCell ref="A18:J18"/>
    <mergeCell ref="A21:J21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workbookViewId="0">
      <selection activeCell="E30" sqref="E30"/>
    </sheetView>
  </sheetViews>
  <sheetFormatPr baseColWidth="10" defaultColWidth="9.1640625" defaultRowHeight="13"/>
  <cols>
    <col min="1" max="1" width="7.1640625" style="5" bestFit="1" customWidth="1"/>
    <col min="2" max="2" width="20.33203125" style="5" bestFit="1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5.5" style="5" bestFit="1" customWidth="1"/>
    <col min="7" max="9" width="5.5" style="11" customWidth="1"/>
    <col min="10" max="10" width="4.5" style="11" customWidth="1"/>
    <col min="11" max="11" width="10.5" style="33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42" t="s">
        <v>348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61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62"/>
      <c r="L4" s="55"/>
      <c r="M4" s="39"/>
    </row>
    <row r="5" spans="1:13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3" t="s">
        <v>36</v>
      </c>
      <c r="B6" s="15" t="s">
        <v>112</v>
      </c>
      <c r="C6" s="15" t="s">
        <v>113</v>
      </c>
      <c r="D6" s="15" t="s">
        <v>114</v>
      </c>
      <c r="E6" s="16" t="s">
        <v>372</v>
      </c>
      <c r="F6" s="15" t="s">
        <v>27</v>
      </c>
      <c r="G6" s="21" t="s">
        <v>65</v>
      </c>
      <c r="H6" s="23"/>
      <c r="I6" s="23"/>
      <c r="J6" s="23"/>
      <c r="K6" s="34" t="str">
        <f>"150,0"</f>
        <v>150,0</v>
      </c>
      <c r="L6" s="17" t="str">
        <f>"138,0300"</f>
        <v>138,0300</v>
      </c>
      <c r="M6" s="15" t="s">
        <v>115</v>
      </c>
    </row>
    <row r="7" spans="1:13">
      <c r="A7" s="30" t="s">
        <v>159</v>
      </c>
      <c r="B7" s="27" t="s">
        <v>116</v>
      </c>
      <c r="C7" s="27" t="s">
        <v>117</v>
      </c>
      <c r="D7" s="27" t="s">
        <v>118</v>
      </c>
      <c r="E7" s="28" t="s">
        <v>372</v>
      </c>
      <c r="F7" s="27" t="s">
        <v>27</v>
      </c>
      <c r="G7" s="31" t="s">
        <v>119</v>
      </c>
      <c r="H7" s="32" t="s">
        <v>119</v>
      </c>
      <c r="I7" s="31" t="s">
        <v>74</v>
      </c>
      <c r="J7" s="30"/>
      <c r="K7" s="35" t="str">
        <f>"55,0"</f>
        <v>55,0</v>
      </c>
      <c r="L7" s="29" t="str">
        <f>"49,9510"</f>
        <v>49,9510</v>
      </c>
      <c r="M7" s="27" t="s">
        <v>97</v>
      </c>
    </row>
    <row r="8" spans="1:13">
      <c r="A8" s="25" t="s">
        <v>36</v>
      </c>
      <c r="B8" s="18" t="s">
        <v>120</v>
      </c>
      <c r="C8" s="18" t="s">
        <v>121</v>
      </c>
      <c r="D8" s="18" t="s">
        <v>122</v>
      </c>
      <c r="E8" s="19" t="s">
        <v>371</v>
      </c>
      <c r="F8" s="18" t="s">
        <v>27</v>
      </c>
      <c r="G8" s="24" t="s">
        <v>123</v>
      </c>
      <c r="H8" s="26" t="s">
        <v>74</v>
      </c>
      <c r="I8" s="26" t="s">
        <v>74</v>
      </c>
      <c r="J8" s="25"/>
      <c r="K8" s="36" t="str">
        <f>"52,0"</f>
        <v>52,0</v>
      </c>
      <c r="L8" s="20" t="str">
        <f>"47,3824"</f>
        <v>47,3824</v>
      </c>
      <c r="M8" s="18" t="s">
        <v>97</v>
      </c>
    </row>
    <row r="10" spans="1:13" ht="16">
      <c r="A10" s="57" t="s">
        <v>37</v>
      </c>
      <c r="B10" s="57"/>
      <c r="C10" s="58"/>
      <c r="D10" s="58"/>
      <c r="E10" s="58"/>
      <c r="F10" s="58"/>
      <c r="G10" s="58"/>
      <c r="H10" s="58"/>
      <c r="I10" s="58"/>
      <c r="J10" s="58"/>
    </row>
    <row r="11" spans="1:13">
      <c r="A11" s="23" t="s">
        <v>36</v>
      </c>
      <c r="B11" s="15" t="s">
        <v>124</v>
      </c>
      <c r="C11" s="15" t="s">
        <v>125</v>
      </c>
      <c r="D11" s="15" t="s">
        <v>126</v>
      </c>
      <c r="E11" s="16" t="s">
        <v>372</v>
      </c>
      <c r="F11" s="15" t="s">
        <v>27</v>
      </c>
      <c r="G11" s="21" t="s">
        <v>95</v>
      </c>
      <c r="H11" s="21" t="s">
        <v>19</v>
      </c>
      <c r="I11" s="21" t="s">
        <v>127</v>
      </c>
      <c r="J11" s="23"/>
      <c r="K11" s="34" t="str">
        <f>"102,5"</f>
        <v>102,5</v>
      </c>
      <c r="L11" s="17" t="str">
        <f>"80,0833"</f>
        <v>80,0833</v>
      </c>
      <c r="M11" s="15" t="s">
        <v>97</v>
      </c>
    </row>
    <row r="12" spans="1:13">
      <c r="A12" s="25" t="s">
        <v>36</v>
      </c>
      <c r="B12" s="18" t="s">
        <v>128</v>
      </c>
      <c r="C12" s="18" t="s">
        <v>129</v>
      </c>
      <c r="D12" s="18" t="s">
        <v>130</v>
      </c>
      <c r="E12" s="19" t="s">
        <v>371</v>
      </c>
      <c r="F12" s="18" t="s">
        <v>27</v>
      </c>
      <c r="G12" s="24" t="s">
        <v>20</v>
      </c>
      <c r="H12" s="26" t="s">
        <v>47</v>
      </c>
      <c r="I12" s="26" t="s">
        <v>47</v>
      </c>
      <c r="J12" s="25"/>
      <c r="K12" s="36" t="str">
        <f>"105,0"</f>
        <v>105,0</v>
      </c>
      <c r="L12" s="20" t="str">
        <f>"82,3865"</f>
        <v>82,3865</v>
      </c>
      <c r="M12" s="18" t="s">
        <v>97</v>
      </c>
    </row>
    <row r="14" spans="1:13" ht="16">
      <c r="A14" s="57" t="s">
        <v>10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13" t="s">
        <v>36</v>
      </c>
      <c r="B15" s="7" t="s">
        <v>131</v>
      </c>
      <c r="C15" s="7" t="s">
        <v>132</v>
      </c>
      <c r="D15" s="7" t="s">
        <v>133</v>
      </c>
      <c r="E15" s="8" t="s">
        <v>377</v>
      </c>
      <c r="F15" s="7" t="s">
        <v>27</v>
      </c>
      <c r="G15" s="12" t="s">
        <v>20</v>
      </c>
      <c r="H15" s="14" t="s">
        <v>102</v>
      </c>
      <c r="I15" s="14" t="s">
        <v>102</v>
      </c>
      <c r="J15" s="13"/>
      <c r="K15" s="37" t="str">
        <f>"105,0"</f>
        <v>105,0</v>
      </c>
      <c r="L15" s="9" t="str">
        <f>"89,3134"</f>
        <v>89,3134</v>
      </c>
      <c r="M15" s="7" t="s">
        <v>97</v>
      </c>
    </row>
    <row r="17" spans="1:13" ht="16">
      <c r="A17" s="57" t="s">
        <v>91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13" t="s">
        <v>36</v>
      </c>
      <c r="B18" s="7" t="s">
        <v>134</v>
      </c>
      <c r="C18" s="7" t="s">
        <v>135</v>
      </c>
      <c r="D18" s="7" t="s">
        <v>136</v>
      </c>
      <c r="E18" s="8" t="s">
        <v>372</v>
      </c>
      <c r="F18" s="7" t="s">
        <v>41</v>
      </c>
      <c r="G18" s="12" t="s">
        <v>15</v>
      </c>
      <c r="H18" s="12" t="s">
        <v>137</v>
      </c>
      <c r="I18" s="12" t="s">
        <v>21</v>
      </c>
      <c r="J18" s="13"/>
      <c r="K18" s="37" t="str">
        <f>"175,0"</f>
        <v>175,0</v>
      </c>
      <c r="L18" s="9" t="str">
        <f>"117,2325"</f>
        <v>117,2325</v>
      </c>
      <c r="M18" s="7" t="s">
        <v>50</v>
      </c>
    </row>
    <row r="20" spans="1:13" ht="16">
      <c r="A20" s="57" t="s">
        <v>98</v>
      </c>
      <c r="B20" s="57"/>
      <c r="C20" s="58"/>
      <c r="D20" s="58"/>
      <c r="E20" s="58"/>
      <c r="F20" s="58"/>
      <c r="G20" s="58"/>
      <c r="H20" s="58"/>
      <c r="I20" s="58"/>
      <c r="J20" s="58"/>
    </row>
    <row r="21" spans="1:13">
      <c r="A21" s="23" t="s">
        <v>36</v>
      </c>
      <c r="B21" s="15" t="s">
        <v>138</v>
      </c>
      <c r="C21" s="15" t="s">
        <v>139</v>
      </c>
      <c r="D21" s="15" t="s">
        <v>140</v>
      </c>
      <c r="E21" s="16" t="s">
        <v>372</v>
      </c>
      <c r="F21" s="15" t="s">
        <v>141</v>
      </c>
      <c r="G21" s="21" t="s">
        <v>142</v>
      </c>
      <c r="H21" s="21" t="s">
        <v>143</v>
      </c>
      <c r="I21" s="22" t="s">
        <v>144</v>
      </c>
      <c r="J21" s="23"/>
      <c r="K21" s="34" t="str">
        <f>"210,0"</f>
        <v>210,0</v>
      </c>
      <c r="L21" s="17" t="str">
        <f>"138,4320"</f>
        <v>138,4320</v>
      </c>
      <c r="M21" s="15"/>
    </row>
    <row r="22" spans="1:13">
      <c r="A22" s="30" t="s">
        <v>159</v>
      </c>
      <c r="B22" s="27" t="s">
        <v>145</v>
      </c>
      <c r="C22" s="27" t="s">
        <v>146</v>
      </c>
      <c r="D22" s="27" t="s">
        <v>105</v>
      </c>
      <c r="E22" s="28" t="s">
        <v>372</v>
      </c>
      <c r="F22" s="27" t="s">
        <v>27</v>
      </c>
      <c r="G22" s="31" t="s">
        <v>17</v>
      </c>
      <c r="H22" s="32" t="s">
        <v>17</v>
      </c>
      <c r="I22" s="31" t="s">
        <v>142</v>
      </c>
      <c r="J22" s="30"/>
      <c r="K22" s="35" t="str">
        <f>"190,0"</f>
        <v>190,0</v>
      </c>
      <c r="L22" s="29" t="str">
        <f>"121,7900"</f>
        <v>121,7900</v>
      </c>
      <c r="M22" s="27" t="s">
        <v>115</v>
      </c>
    </row>
    <row r="23" spans="1:13">
      <c r="A23" s="25" t="s">
        <v>160</v>
      </c>
      <c r="B23" s="18" t="s">
        <v>147</v>
      </c>
      <c r="C23" s="18" t="s">
        <v>148</v>
      </c>
      <c r="D23" s="18" t="s">
        <v>149</v>
      </c>
      <c r="E23" s="19" t="s">
        <v>372</v>
      </c>
      <c r="F23" s="18" t="s">
        <v>27</v>
      </c>
      <c r="G23" s="26" t="s">
        <v>22</v>
      </c>
      <c r="H23" s="26" t="s">
        <v>22</v>
      </c>
      <c r="I23" s="25"/>
      <c r="J23" s="25"/>
      <c r="K23" s="36">
        <v>0</v>
      </c>
      <c r="L23" s="20" t="str">
        <f>"0,0000"</f>
        <v>0,0000</v>
      </c>
      <c r="M23" s="18"/>
    </row>
    <row r="25" spans="1:13" ht="16">
      <c r="A25" s="57" t="s">
        <v>60</v>
      </c>
      <c r="B25" s="57"/>
      <c r="C25" s="58"/>
      <c r="D25" s="58"/>
      <c r="E25" s="58"/>
      <c r="F25" s="58"/>
      <c r="G25" s="58"/>
      <c r="H25" s="58"/>
      <c r="I25" s="58"/>
      <c r="J25" s="58"/>
    </row>
    <row r="26" spans="1:13">
      <c r="A26" s="13" t="s">
        <v>160</v>
      </c>
      <c r="B26" s="7" t="s">
        <v>150</v>
      </c>
      <c r="C26" s="7" t="s">
        <v>151</v>
      </c>
      <c r="D26" s="7" t="s">
        <v>152</v>
      </c>
      <c r="E26" s="8" t="s">
        <v>372</v>
      </c>
      <c r="F26" s="7" t="s">
        <v>153</v>
      </c>
      <c r="G26" s="14" t="s">
        <v>82</v>
      </c>
      <c r="H26" s="14" t="s">
        <v>82</v>
      </c>
      <c r="I26" s="14" t="s">
        <v>82</v>
      </c>
      <c r="J26" s="13"/>
      <c r="K26" s="37">
        <v>0</v>
      </c>
      <c r="L26" s="9" t="str">
        <f>"0,0000"</f>
        <v>0,0000</v>
      </c>
      <c r="M26" s="7"/>
    </row>
    <row r="28" spans="1:13" ht="16">
      <c r="A28" s="57" t="s">
        <v>154</v>
      </c>
      <c r="B28" s="57"/>
      <c r="C28" s="58"/>
      <c r="D28" s="58"/>
      <c r="E28" s="58"/>
      <c r="F28" s="58"/>
      <c r="G28" s="58"/>
      <c r="H28" s="58"/>
      <c r="I28" s="58"/>
      <c r="J28" s="58"/>
    </row>
    <row r="29" spans="1:13">
      <c r="A29" s="13" t="s">
        <v>36</v>
      </c>
      <c r="B29" s="7" t="s">
        <v>155</v>
      </c>
      <c r="C29" s="7" t="s">
        <v>156</v>
      </c>
      <c r="D29" s="7" t="s">
        <v>157</v>
      </c>
      <c r="E29" s="8" t="s">
        <v>372</v>
      </c>
      <c r="F29" s="7" t="s">
        <v>158</v>
      </c>
      <c r="G29" s="14" t="s">
        <v>21</v>
      </c>
      <c r="H29" s="12" t="s">
        <v>21</v>
      </c>
      <c r="I29" s="14" t="s">
        <v>31</v>
      </c>
      <c r="J29" s="13"/>
      <c r="K29" s="37" t="str">
        <f>"175,0"</f>
        <v>175,0</v>
      </c>
      <c r="L29" s="9" t="str">
        <f>"99,9950"</f>
        <v>99,9950</v>
      </c>
      <c r="M29" s="7" t="s">
        <v>343</v>
      </c>
    </row>
  </sheetData>
  <mergeCells count="18">
    <mergeCell ref="A28:J28"/>
    <mergeCell ref="K3:K4"/>
    <mergeCell ref="L3:L4"/>
    <mergeCell ref="M3:M4"/>
    <mergeCell ref="A5:J5"/>
    <mergeCell ref="B3:B4"/>
    <mergeCell ref="A10:J10"/>
    <mergeCell ref="A14:J14"/>
    <mergeCell ref="A17:J17"/>
    <mergeCell ref="A20:J20"/>
    <mergeCell ref="A25:J2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2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19.1640625" style="5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7.5" style="5" bestFit="1" customWidth="1"/>
    <col min="7" max="9" width="5.5" style="11" customWidth="1"/>
    <col min="10" max="10" width="4.5" style="11" customWidth="1"/>
    <col min="11" max="11" width="10.5" style="33" bestFit="1" customWidth="1"/>
    <col min="12" max="12" width="8.5" style="6" bestFit="1" customWidth="1"/>
    <col min="13" max="13" width="15.83203125" style="5" bestFit="1" customWidth="1"/>
    <col min="14" max="16384" width="9.1640625" style="3"/>
  </cols>
  <sheetData>
    <row r="1" spans="1:13" s="2" customFormat="1" ht="29" customHeight="1">
      <c r="A1" s="42" t="s">
        <v>349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61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62"/>
      <c r="L4" s="55"/>
      <c r="M4" s="39"/>
    </row>
    <row r="5" spans="1:13" ht="16">
      <c r="A5" s="40" t="s">
        <v>37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160</v>
      </c>
      <c r="B6" s="7" t="s">
        <v>226</v>
      </c>
      <c r="C6" s="7" t="s">
        <v>227</v>
      </c>
      <c r="D6" s="7" t="s">
        <v>228</v>
      </c>
      <c r="E6" s="8" t="s">
        <v>372</v>
      </c>
      <c r="F6" s="7" t="s">
        <v>362</v>
      </c>
      <c r="G6" s="14" t="s">
        <v>17</v>
      </c>
      <c r="H6" s="14" t="s">
        <v>17</v>
      </c>
      <c r="I6" s="14" t="s">
        <v>17</v>
      </c>
      <c r="J6" s="13"/>
      <c r="K6" s="37">
        <v>0</v>
      </c>
      <c r="L6" s="9" t="str">
        <f>"0,0000"</f>
        <v>0,0000</v>
      </c>
      <c r="M6" s="7" t="s">
        <v>187</v>
      </c>
    </row>
    <row r="8" spans="1:13" ht="16">
      <c r="A8" s="57" t="s">
        <v>98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36</v>
      </c>
      <c r="B9" s="7" t="s">
        <v>229</v>
      </c>
      <c r="C9" s="7" t="s">
        <v>230</v>
      </c>
      <c r="D9" s="7" t="s">
        <v>231</v>
      </c>
      <c r="E9" s="8" t="s">
        <v>378</v>
      </c>
      <c r="F9" s="7" t="s">
        <v>27</v>
      </c>
      <c r="G9" s="12" t="s">
        <v>232</v>
      </c>
      <c r="H9" s="12" t="s">
        <v>142</v>
      </c>
      <c r="I9" s="14" t="s">
        <v>64</v>
      </c>
      <c r="J9" s="13"/>
      <c r="K9" s="37" t="str">
        <f>"200,0"</f>
        <v>200,0</v>
      </c>
      <c r="L9" s="9" t="str">
        <f>"210,0073"</f>
        <v>210,0073</v>
      </c>
      <c r="M9" s="7"/>
    </row>
    <row r="11" spans="1:13" ht="16">
      <c r="A11" s="57" t="s">
        <v>154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3" t="s">
        <v>36</v>
      </c>
      <c r="B12" s="7" t="s">
        <v>233</v>
      </c>
      <c r="C12" s="7" t="s">
        <v>234</v>
      </c>
      <c r="D12" s="7" t="s">
        <v>235</v>
      </c>
      <c r="E12" s="8" t="s">
        <v>372</v>
      </c>
      <c r="F12" s="7" t="s">
        <v>27</v>
      </c>
      <c r="G12" s="12" t="s">
        <v>143</v>
      </c>
      <c r="H12" s="12" t="s">
        <v>236</v>
      </c>
      <c r="I12" s="14" t="s">
        <v>86</v>
      </c>
      <c r="J12" s="13"/>
      <c r="K12" s="37" t="str">
        <f>"225,0"</f>
        <v>225,0</v>
      </c>
      <c r="L12" s="9" t="str">
        <f>"126,1913"</f>
        <v>126,1913</v>
      </c>
      <c r="M12" s="7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1640625" style="5" bestFit="1" customWidth="1"/>
    <col min="2" max="2" width="23" style="5" customWidth="1"/>
    <col min="3" max="3" width="25.1640625" style="5" bestFit="1" customWidth="1"/>
    <col min="4" max="4" width="20.83203125" style="5" bestFit="1" customWidth="1"/>
    <col min="5" max="5" width="10.1640625" style="10" bestFit="1" customWidth="1"/>
    <col min="6" max="6" width="25.5" style="5" bestFit="1" customWidth="1"/>
    <col min="7" max="9" width="5.5" style="11" customWidth="1"/>
    <col min="10" max="10" width="4.5" style="11" customWidth="1"/>
    <col min="11" max="11" width="10.5" style="33" bestFit="1" customWidth="1"/>
    <col min="12" max="12" width="8.5" style="6" bestFit="1" customWidth="1"/>
    <col min="13" max="13" width="20.1640625" style="5" customWidth="1"/>
    <col min="14" max="16384" width="9.1640625" style="3"/>
  </cols>
  <sheetData>
    <row r="1" spans="1:13" s="2" customFormat="1" ht="29" customHeight="1">
      <c r="A1" s="42" t="s">
        <v>350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61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62"/>
      <c r="L4" s="55"/>
      <c r="M4" s="39"/>
    </row>
    <row r="5" spans="1:13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160</v>
      </c>
      <c r="B6" s="7" t="s">
        <v>252</v>
      </c>
      <c r="C6" s="7" t="s">
        <v>253</v>
      </c>
      <c r="D6" s="7" t="s">
        <v>254</v>
      </c>
      <c r="E6" s="8" t="s">
        <v>372</v>
      </c>
      <c r="F6" s="7" t="s">
        <v>186</v>
      </c>
      <c r="G6" s="14" t="s">
        <v>255</v>
      </c>
      <c r="H6" s="14" t="s">
        <v>255</v>
      </c>
      <c r="I6" s="14" t="s">
        <v>256</v>
      </c>
      <c r="J6" s="13"/>
      <c r="K6" s="37">
        <v>0</v>
      </c>
      <c r="L6" s="9" t="str">
        <f>"0,0000"</f>
        <v>0,0000</v>
      </c>
      <c r="M6" s="7" t="s">
        <v>187</v>
      </c>
    </row>
    <row r="8" spans="1:13" ht="16">
      <c r="A8" s="57" t="s">
        <v>98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36</v>
      </c>
      <c r="B9" s="7" t="s">
        <v>138</v>
      </c>
      <c r="C9" s="7" t="s">
        <v>139</v>
      </c>
      <c r="D9" s="7" t="s">
        <v>140</v>
      </c>
      <c r="E9" s="8" t="s">
        <v>372</v>
      </c>
      <c r="F9" s="7" t="s">
        <v>141</v>
      </c>
      <c r="G9" s="12" t="s">
        <v>257</v>
      </c>
      <c r="H9" s="12" t="s">
        <v>258</v>
      </c>
      <c r="I9" s="14" t="s">
        <v>259</v>
      </c>
      <c r="J9" s="13"/>
      <c r="K9" s="37" t="str">
        <f>"350,0"</f>
        <v>350,0</v>
      </c>
      <c r="L9" s="9" t="str">
        <f>"221,7250"</f>
        <v>221,7250</v>
      </c>
      <c r="M9" s="7"/>
    </row>
    <row r="11" spans="1:13" ht="16">
      <c r="A11" s="57" t="s">
        <v>60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3" t="s">
        <v>36</v>
      </c>
      <c r="B12" s="7" t="s">
        <v>260</v>
      </c>
      <c r="C12" s="7" t="s">
        <v>261</v>
      </c>
      <c r="D12" s="7" t="s">
        <v>262</v>
      </c>
      <c r="E12" s="8" t="s">
        <v>372</v>
      </c>
      <c r="F12" s="7" t="s">
        <v>27</v>
      </c>
      <c r="G12" s="12" t="s">
        <v>263</v>
      </c>
      <c r="H12" s="12" t="s">
        <v>264</v>
      </c>
      <c r="I12" s="14" t="s">
        <v>265</v>
      </c>
      <c r="J12" s="13"/>
      <c r="K12" s="37" t="str">
        <f>"227,5"</f>
        <v>227,5</v>
      </c>
      <c r="L12" s="9" t="str">
        <f>"136,3408"</f>
        <v>136,3408</v>
      </c>
      <c r="M12" s="7" t="s">
        <v>266</v>
      </c>
    </row>
    <row r="14" spans="1:13" ht="16">
      <c r="A14" s="57" t="s">
        <v>23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13" t="s">
        <v>160</v>
      </c>
      <c r="B15" s="7" t="s">
        <v>267</v>
      </c>
      <c r="C15" s="7" t="s">
        <v>268</v>
      </c>
      <c r="D15" s="7" t="s">
        <v>269</v>
      </c>
      <c r="E15" s="8" t="s">
        <v>372</v>
      </c>
      <c r="F15" s="7" t="s">
        <v>186</v>
      </c>
      <c r="G15" s="14" t="s">
        <v>270</v>
      </c>
      <c r="H15" s="14" t="s">
        <v>270</v>
      </c>
      <c r="I15" s="14" t="s">
        <v>270</v>
      </c>
      <c r="J15" s="13"/>
      <c r="K15" s="37">
        <v>0</v>
      </c>
      <c r="L15" s="9" t="str">
        <f>"0,0000"</f>
        <v>0,0000</v>
      </c>
      <c r="M15" s="7"/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8" style="5" customWidth="1"/>
    <col min="7" max="9" width="5.5" style="11" customWidth="1"/>
    <col min="10" max="10" width="4.5" style="11" customWidth="1"/>
    <col min="11" max="11" width="10.5" style="6" bestFit="1" customWidth="1"/>
    <col min="12" max="12" width="8.5" style="6" bestFit="1" customWidth="1"/>
    <col min="13" max="13" width="22.33203125" style="5" customWidth="1"/>
    <col min="14" max="16384" width="9.1640625" style="3"/>
  </cols>
  <sheetData>
    <row r="1" spans="1:13" s="2" customFormat="1" ht="29" customHeight="1">
      <c r="A1" s="42" t="s">
        <v>351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98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3" t="s">
        <v>36</v>
      </c>
      <c r="B6" s="15" t="s">
        <v>237</v>
      </c>
      <c r="C6" s="15" t="s">
        <v>238</v>
      </c>
      <c r="D6" s="15" t="s">
        <v>239</v>
      </c>
      <c r="E6" s="16" t="s">
        <v>372</v>
      </c>
      <c r="F6" s="15" t="s">
        <v>240</v>
      </c>
      <c r="G6" s="21" t="s">
        <v>44</v>
      </c>
      <c r="H6" s="21" t="s">
        <v>65</v>
      </c>
      <c r="I6" s="22" t="s">
        <v>241</v>
      </c>
      <c r="J6" s="23"/>
      <c r="K6" s="17" t="str">
        <f>"150,0"</f>
        <v>150,0</v>
      </c>
      <c r="L6" s="17" t="str">
        <f>"96,9450"</f>
        <v>96,9450</v>
      </c>
      <c r="M6" s="15"/>
    </row>
    <row r="7" spans="1:13">
      <c r="A7" s="25" t="s">
        <v>36</v>
      </c>
      <c r="B7" s="18" t="s">
        <v>237</v>
      </c>
      <c r="C7" s="18" t="s">
        <v>242</v>
      </c>
      <c r="D7" s="18" t="s">
        <v>239</v>
      </c>
      <c r="E7" s="19" t="s">
        <v>377</v>
      </c>
      <c r="F7" s="18" t="s">
        <v>240</v>
      </c>
      <c r="G7" s="24" t="s">
        <v>44</v>
      </c>
      <c r="H7" s="24" t="s">
        <v>65</v>
      </c>
      <c r="I7" s="26" t="s">
        <v>241</v>
      </c>
      <c r="J7" s="25"/>
      <c r="K7" s="20" t="str">
        <f>"150,0"</f>
        <v>150,0</v>
      </c>
      <c r="L7" s="20" t="str">
        <f>"119,0485"</f>
        <v>119,0485</v>
      </c>
      <c r="M7" s="18"/>
    </row>
    <row r="9" spans="1:13" ht="16">
      <c r="A9" s="57" t="s">
        <v>60</v>
      </c>
      <c r="B9" s="57"/>
      <c r="C9" s="58"/>
      <c r="D9" s="58"/>
      <c r="E9" s="58"/>
      <c r="F9" s="58"/>
      <c r="G9" s="58"/>
      <c r="H9" s="58"/>
      <c r="I9" s="58"/>
      <c r="J9" s="58"/>
    </row>
    <row r="10" spans="1:13">
      <c r="A10" s="23" t="s">
        <v>36</v>
      </c>
      <c r="B10" s="15" t="s">
        <v>243</v>
      </c>
      <c r="C10" s="15" t="s">
        <v>244</v>
      </c>
      <c r="D10" s="15" t="s">
        <v>245</v>
      </c>
      <c r="E10" s="16" t="s">
        <v>372</v>
      </c>
      <c r="F10" s="15" t="s">
        <v>41</v>
      </c>
      <c r="G10" s="21" t="s">
        <v>47</v>
      </c>
      <c r="H10" s="21" t="s">
        <v>102</v>
      </c>
      <c r="I10" s="22" t="s">
        <v>208</v>
      </c>
      <c r="J10" s="23"/>
      <c r="K10" s="17" t="str">
        <f>"115,0"</f>
        <v>115,0</v>
      </c>
      <c r="L10" s="17" t="str">
        <f>"70,8170"</f>
        <v>70,8170</v>
      </c>
      <c r="M10" s="15" t="s">
        <v>50</v>
      </c>
    </row>
    <row r="11" spans="1:13">
      <c r="A11" s="30" t="s">
        <v>36</v>
      </c>
      <c r="B11" s="27" t="s">
        <v>246</v>
      </c>
      <c r="C11" s="27" t="s">
        <v>247</v>
      </c>
      <c r="D11" s="27" t="s">
        <v>248</v>
      </c>
      <c r="E11" s="28" t="s">
        <v>371</v>
      </c>
      <c r="F11" s="27" t="s">
        <v>27</v>
      </c>
      <c r="G11" s="32" t="s">
        <v>47</v>
      </c>
      <c r="H11" s="32" t="s">
        <v>48</v>
      </c>
      <c r="I11" s="31" t="s">
        <v>208</v>
      </c>
      <c r="J11" s="30"/>
      <c r="K11" s="29" t="str">
        <f>"120,0"</f>
        <v>120,0</v>
      </c>
      <c r="L11" s="29" t="str">
        <f>"75,7307"</f>
        <v>75,7307</v>
      </c>
      <c r="M11" s="27" t="s">
        <v>97</v>
      </c>
    </row>
    <row r="12" spans="1:13">
      <c r="A12" s="25" t="s">
        <v>36</v>
      </c>
      <c r="B12" s="18" t="s">
        <v>249</v>
      </c>
      <c r="C12" s="18" t="s">
        <v>250</v>
      </c>
      <c r="D12" s="18" t="s">
        <v>251</v>
      </c>
      <c r="E12" s="19" t="s">
        <v>376</v>
      </c>
      <c r="F12" s="18" t="s">
        <v>186</v>
      </c>
      <c r="G12" s="24" t="s">
        <v>47</v>
      </c>
      <c r="H12" s="24" t="s">
        <v>190</v>
      </c>
      <c r="I12" s="24" t="s">
        <v>102</v>
      </c>
      <c r="J12" s="25"/>
      <c r="K12" s="20" t="str">
        <f>"115,0"</f>
        <v>115,0</v>
      </c>
      <c r="L12" s="20" t="str">
        <f>"108,4567"</f>
        <v>108,4567</v>
      </c>
      <c r="M12" s="18"/>
    </row>
    <row r="14" spans="1:13">
      <c r="E14" s="5"/>
      <c r="F14" s="10"/>
      <c r="G14" s="5"/>
      <c r="K14" s="11"/>
      <c r="M14" s="6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workbookViewId="0">
      <selection activeCell="E14" sqref="E14"/>
    </sheetView>
  </sheetViews>
  <sheetFormatPr baseColWidth="10" defaultColWidth="9.1640625" defaultRowHeight="13"/>
  <cols>
    <col min="1" max="1" width="7.1640625" style="5" bestFit="1" customWidth="1"/>
    <col min="2" max="2" width="21.33203125" style="5" customWidth="1"/>
    <col min="3" max="3" width="27.5" style="5" bestFit="1" customWidth="1"/>
    <col min="4" max="4" width="20.83203125" style="5" bestFit="1" customWidth="1"/>
    <col min="5" max="5" width="10.1640625" style="10" bestFit="1" customWidth="1"/>
    <col min="6" max="6" width="20.33203125" style="5" bestFit="1" customWidth="1"/>
    <col min="7" max="9" width="5.5" style="11" customWidth="1"/>
    <col min="10" max="10" width="4.5" style="11" customWidth="1"/>
    <col min="11" max="11" width="10.5" style="6" bestFit="1" customWidth="1"/>
    <col min="12" max="12" width="8.5" style="6" bestFit="1" customWidth="1"/>
    <col min="13" max="13" width="19.83203125" style="5" customWidth="1"/>
    <col min="14" max="16384" width="9.1640625" style="3"/>
  </cols>
  <sheetData>
    <row r="1" spans="1:13" s="2" customFormat="1" ht="29" customHeight="1">
      <c r="A1" s="42" t="s">
        <v>352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368</v>
      </c>
      <c r="B3" s="59" t="s">
        <v>0</v>
      </c>
      <c r="C3" s="52" t="s">
        <v>369</v>
      </c>
      <c r="D3" s="52" t="s">
        <v>6</v>
      </c>
      <c r="E3" s="54" t="s">
        <v>370</v>
      </c>
      <c r="F3" s="56" t="s">
        <v>5</v>
      </c>
      <c r="G3" s="56" t="s">
        <v>8</v>
      </c>
      <c r="H3" s="56"/>
      <c r="I3" s="56"/>
      <c r="J3" s="56"/>
      <c r="K3" s="54" t="s">
        <v>90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91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36</v>
      </c>
      <c r="B6" s="7" t="s">
        <v>92</v>
      </c>
      <c r="C6" s="7" t="s">
        <v>93</v>
      </c>
      <c r="D6" s="7" t="s">
        <v>94</v>
      </c>
      <c r="E6" s="8" t="s">
        <v>372</v>
      </c>
      <c r="F6" s="7" t="s">
        <v>27</v>
      </c>
      <c r="G6" s="12" t="s">
        <v>95</v>
      </c>
      <c r="H6" s="12" t="s">
        <v>18</v>
      </c>
      <c r="I6" s="14" t="s">
        <v>96</v>
      </c>
      <c r="J6" s="13"/>
      <c r="K6" s="9" t="str">
        <f>"95,0"</f>
        <v>95,0</v>
      </c>
      <c r="L6" s="9" t="str">
        <f>"64,2580"</f>
        <v>64,2580</v>
      </c>
      <c r="M6" s="7" t="s">
        <v>97</v>
      </c>
    </row>
    <row r="8" spans="1:13" ht="16">
      <c r="A8" s="57" t="s">
        <v>98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3" t="s">
        <v>36</v>
      </c>
      <c r="B9" s="15" t="s">
        <v>99</v>
      </c>
      <c r="C9" s="15" t="s">
        <v>100</v>
      </c>
      <c r="D9" s="15" t="s">
        <v>101</v>
      </c>
      <c r="E9" s="16" t="s">
        <v>372</v>
      </c>
      <c r="F9" s="15" t="s">
        <v>27</v>
      </c>
      <c r="G9" s="21" t="s">
        <v>20</v>
      </c>
      <c r="H9" s="21" t="s">
        <v>47</v>
      </c>
      <c r="I9" s="22" t="s">
        <v>102</v>
      </c>
      <c r="J9" s="23"/>
      <c r="K9" s="17" t="str">
        <f>"110,0"</f>
        <v>110,0</v>
      </c>
      <c r="L9" s="17" t="str">
        <f>"71,1370"</f>
        <v>71,1370</v>
      </c>
      <c r="M9" s="15" t="s">
        <v>97</v>
      </c>
    </row>
    <row r="10" spans="1:13">
      <c r="A10" s="25" t="s">
        <v>36</v>
      </c>
      <c r="B10" s="18" t="s">
        <v>103</v>
      </c>
      <c r="C10" s="18" t="s">
        <v>104</v>
      </c>
      <c r="D10" s="18" t="s">
        <v>105</v>
      </c>
      <c r="E10" s="19" t="s">
        <v>376</v>
      </c>
      <c r="F10" s="18" t="s">
        <v>27</v>
      </c>
      <c r="G10" s="24" t="s">
        <v>106</v>
      </c>
      <c r="H10" s="24" t="s">
        <v>19</v>
      </c>
      <c r="I10" s="24" t="s">
        <v>20</v>
      </c>
      <c r="J10" s="25"/>
      <c r="K10" s="20" t="str">
        <f>"105,0"</f>
        <v>105,0</v>
      </c>
      <c r="L10" s="20" t="str">
        <f>"109,7071"</f>
        <v>109,7071</v>
      </c>
      <c r="M10" s="18"/>
    </row>
    <row r="12" spans="1:13" ht="16">
      <c r="A12" s="57" t="s">
        <v>60</v>
      </c>
      <c r="B12" s="57"/>
      <c r="C12" s="58"/>
      <c r="D12" s="58"/>
      <c r="E12" s="58"/>
      <c r="F12" s="58"/>
      <c r="G12" s="58"/>
      <c r="H12" s="58"/>
      <c r="I12" s="58"/>
      <c r="J12" s="58"/>
    </row>
    <row r="13" spans="1:13">
      <c r="A13" s="13" t="s">
        <v>36</v>
      </c>
      <c r="B13" s="7" t="s">
        <v>107</v>
      </c>
      <c r="C13" s="7" t="s">
        <v>108</v>
      </c>
      <c r="D13" s="7" t="s">
        <v>109</v>
      </c>
      <c r="E13" s="8" t="s">
        <v>378</v>
      </c>
      <c r="F13" s="7" t="s">
        <v>27</v>
      </c>
      <c r="G13" s="12" t="s">
        <v>110</v>
      </c>
      <c r="H13" s="12" t="s">
        <v>57</v>
      </c>
      <c r="I13" s="12" t="s">
        <v>111</v>
      </c>
      <c r="J13" s="13"/>
      <c r="K13" s="9" t="str">
        <f>"82,5"</f>
        <v>82,5</v>
      </c>
      <c r="L13" s="9" t="str">
        <f>"101,2316"</f>
        <v>101,2316</v>
      </c>
      <c r="M13" s="7"/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WRPF ПЛ без экипировки</vt:lpstr>
      <vt:lpstr>WRPF ПЛ в бинтах ДК</vt:lpstr>
      <vt:lpstr>WRPF ПЛ в бинтах</vt:lpstr>
      <vt:lpstr>WRPF Жим лежа без экип ДК</vt:lpstr>
      <vt:lpstr>WRPF Жим лежа без экип</vt:lpstr>
      <vt:lpstr>WEPF Жим софт однопетельная ДК</vt:lpstr>
      <vt:lpstr>WEPF Жим софт многопетельная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  <vt:lpstr>СПР Пауэрспорт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2022-10-11T15:45:11Z</dcterms:modified>
</cp:coreProperties>
</file>