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E41E3858-BEEA-5D40-B152-06A428E11C14}" xr6:coauthVersionLast="45" xr6:coauthVersionMax="45" xr10:uidLastSave="{00000000-0000-0000-0000-000000000000}"/>
  <bookViews>
    <workbookView xWindow="40" yWindow="460" windowWidth="28760" windowHeight="16000" tabRatio="876" firstSheet="12" activeTab="17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0" r:id="rId5"/>
    <sheet name="WRPF Двоеборье без экип" sheetId="19" r:id="rId6"/>
    <sheet name="WEPF Двоеборье экип" sheetId="21" r:id="rId7"/>
    <sheet name="WRPF Жим лежа без экип ДК" sheetId="12" r:id="rId8"/>
    <sheet name="WRPF Жим лежа без экип" sheetId="11" r:id="rId9"/>
    <sheet name="WRPF Военный жим ДК" sheetId="14" r:id="rId10"/>
    <sheet name="WRPF Военный жим" sheetId="10" r:id="rId11"/>
    <sheet name="WEPF Жим софт однопетельная ДК" sheetId="13" r:id="rId12"/>
    <sheet name="WRPF Тяга без экипировки ДК" sheetId="18" r:id="rId13"/>
    <sheet name="WRPF Тяга без экипировки" sheetId="17" r:id="rId14"/>
    <sheet name="WRPF Подъем на бицепс ДК" sheetId="28" r:id="rId15"/>
    <sheet name="WRPF Подъем на бицепс" sheetId="27" r:id="rId16"/>
    <sheet name="СПР Пауэрспорт" sheetId="69" r:id="rId17"/>
    <sheet name="СПР Жим стоя" sheetId="65" r:id="rId18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69" l="1"/>
  <c r="O6" i="69"/>
  <c r="L6" i="65"/>
  <c r="K6" i="65"/>
  <c r="L22" i="28"/>
  <c r="K22" i="28"/>
  <c r="L19" i="28"/>
  <c r="K19" i="28"/>
  <c r="L16" i="28"/>
  <c r="K16" i="28"/>
  <c r="L15" i="28"/>
  <c r="K15" i="28"/>
  <c r="L14" i="28"/>
  <c r="K14" i="28"/>
  <c r="L13" i="28"/>
  <c r="K13" i="28"/>
  <c r="L10" i="28"/>
  <c r="K10" i="28"/>
  <c r="L9" i="28"/>
  <c r="K9" i="28"/>
  <c r="L6" i="28"/>
  <c r="K6" i="28"/>
  <c r="L9" i="27"/>
  <c r="K9" i="27"/>
  <c r="L6" i="27"/>
  <c r="K6" i="27"/>
  <c r="P6" i="21"/>
  <c r="O6" i="21"/>
  <c r="P31" i="20"/>
  <c r="O31" i="20"/>
  <c r="P28" i="20"/>
  <c r="O28" i="20"/>
  <c r="P27" i="20"/>
  <c r="O27" i="20"/>
  <c r="P24" i="20"/>
  <c r="O24" i="20"/>
  <c r="P21" i="20"/>
  <c r="O21" i="20"/>
  <c r="P18" i="20"/>
  <c r="O18" i="20"/>
  <c r="P15" i="20"/>
  <c r="P12" i="20"/>
  <c r="O12" i="20"/>
  <c r="P9" i="20"/>
  <c r="O9" i="20"/>
  <c r="P6" i="20"/>
  <c r="O6" i="20"/>
  <c r="P15" i="19"/>
  <c r="O15" i="19"/>
  <c r="P14" i="19"/>
  <c r="O14" i="19"/>
  <c r="P11" i="19"/>
  <c r="O11" i="19"/>
  <c r="P8" i="19"/>
  <c r="O8" i="19"/>
  <c r="P7" i="19"/>
  <c r="O7" i="19"/>
  <c r="P6" i="19"/>
  <c r="O6" i="19"/>
  <c r="L49" i="18"/>
  <c r="K49" i="18"/>
  <c r="L46" i="18"/>
  <c r="K46" i="18"/>
  <c r="L45" i="18"/>
  <c r="K45" i="18"/>
  <c r="L42" i="18"/>
  <c r="K42" i="18"/>
  <c r="L39" i="18"/>
  <c r="K39" i="18"/>
  <c r="L36" i="18"/>
  <c r="K36" i="18"/>
  <c r="L35" i="18"/>
  <c r="K35" i="18"/>
  <c r="L34" i="18"/>
  <c r="K34" i="18"/>
  <c r="L31" i="18"/>
  <c r="K31" i="18"/>
  <c r="L30" i="18"/>
  <c r="K30" i="18"/>
  <c r="L29" i="18"/>
  <c r="K29" i="18"/>
  <c r="L26" i="18"/>
  <c r="K26" i="18"/>
  <c r="L23" i="18"/>
  <c r="K23" i="18"/>
  <c r="L20" i="18"/>
  <c r="K20" i="18"/>
  <c r="L19" i="18"/>
  <c r="K19" i="18"/>
  <c r="L18" i="18"/>
  <c r="K18" i="18"/>
  <c r="L15" i="18"/>
  <c r="K15" i="18"/>
  <c r="L12" i="18"/>
  <c r="K12" i="18"/>
  <c r="L9" i="18"/>
  <c r="K9" i="18"/>
  <c r="L6" i="18"/>
  <c r="K6" i="18"/>
  <c r="L22" i="17"/>
  <c r="K22" i="17"/>
  <c r="L21" i="17"/>
  <c r="K21" i="17"/>
  <c r="L18" i="17"/>
  <c r="K18" i="17"/>
  <c r="L17" i="17"/>
  <c r="K17" i="17"/>
  <c r="L14" i="17"/>
  <c r="K14" i="17"/>
  <c r="L11" i="17"/>
  <c r="K11" i="17"/>
  <c r="L10" i="17"/>
  <c r="K10" i="17"/>
  <c r="L9" i="17"/>
  <c r="K9" i="17"/>
  <c r="L8" i="17"/>
  <c r="K8" i="17"/>
  <c r="L7" i="17"/>
  <c r="K7" i="17"/>
  <c r="L6" i="17"/>
  <c r="K6" i="17"/>
  <c r="L10" i="14"/>
  <c r="L7" i="14"/>
  <c r="K7" i="14"/>
  <c r="L6" i="14"/>
  <c r="K6" i="14"/>
  <c r="L8" i="13"/>
  <c r="K8" i="13"/>
  <c r="L7" i="13"/>
  <c r="K7" i="13"/>
  <c r="L6" i="13"/>
  <c r="K6" i="13"/>
  <c r="L37" i="12"/>
  <c r="K37" i="12"/>
  <c r="L36" i="12"/>
  <c r="K36" i="12"/>
  <c r="L33" i="12"/>
  <c r="K33" i="12"/>
  <c r="L30" i="12"/>
  <c r="K30" i="12"/>
  <c r="L27" i="12"/>
  <c r="K27" i="12"/>
  <c r="L26" i="12"/>
  <c r="K26" i="12"/>
  <c r="L25" i="12"/>
  <c r="K25" i="12"/>
  <c r="L24" i="12"/>
  <c r="K24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3" i="12"/>
  <c r="K13" i="12"/>
  <c r="L12" i="12"/>
  <c r="K12" i="12"/>
  <c r="L9" i="12"/>
  <c r="K9" i="12"/>
  <c r="L6" i="12"/>
  <c r="K6" i="12"/>
  <c r="L31" i="11"/>
  <c r="K31" i="11"/>
  <c r="L30" i="11"/>
  <c r="K30" i="11"/>
  <c r="L27" i="11"/>
  <c r="L24" i="11"/>
  <c r="K24" i="11"/>
  <c r="L23" i="11"/>
  <c r="K23" i="11"/>
  <c r="L20" i="11"/>
  <c r="K20" i="11"/>
  <c r="L19" i="11"/>
  <c r="K19" i="11"/>
  <c r="L18" i="11"/>
  <c r="K18" i="11"/>
  <c r="L17" i="11"/>
  <c r="K17" i="11"/>
  <c r="L16" i="11"/>
  <c r="K16" i="11"/>
  <c r="L13" i="11"/>
  <c r="K13" i="11"/>
  <c r="L12" i="11"/>
  <c r="K12" i="11"/>
  <c r="L9" i="11"/>
  <c r="K9" i="11"/>
  <c r="L6" i="11"/>
  <c r="K6" i="11"/>
  <c r="L9" i="10"/>
  <c r="K9" i="10"/>
  <c r="L6" i="10"/>
  <c r="K6" i="10"/>
  <c r="T48" i="8"/>
  <c r="S48" i="8"/>
  <c r="T45" i="8"/>
  <c r="S45" i="8"/>
  <c r="T44" i="8"/>
  <c r="S44" i="8"/>
  <c r="T43" i="8"/>
  <c r="S43" i="8"/>
  <c r="T40" i="8"/>
  <c r="S40" i="8"/>
  <c r="T37" i="8"/>
  <c r="S37" i="8"/>
  <c r="T36" i="8"/>
  <c r="S36" i="8"/>
  <c r="T33" i="8"/>
  <c r="S33" i="8"/>
  <c r="T32" i="8"/>
  <c r="S32" i="8"/>
  <c r="T31" i="8"/>
  <c r="S31" i="8"/>
  <c r="T30" i="8"/>
  <c r="S30" i="8"/>
  <c r="T27" i="8"/>
  <c r="S27" i="8"/>
  <c r="T26" i="8"/>
  <c r="S26" i="8"/>
  <c r="T23" i="8"/>
  <c r="S23" i="8"/>
  <c r="T20" i="8"/>
  <c r="S20" i="8"/>
  <c r="T19" i="8"/>
  <c r="S19" i="8"/>
  <c r="T16" i="8"/>
  <c r="S16" i="8"/>
  <c r="T15" i="8"/>
  <c r="S15" i="8"/>
  <c r="T12" i="8"/>
  <c r="S12" i="8"/>
  <c r="T9" i="8"/>
  <c r="S9" i="8"/>
  <c r="T6" i="8"/>
  <c r="S6" i="8"/>
  <c r="T20" i="7"/>
  <c r="S20" i="7"/>
  <c r="T19" i="7"/>
  <c r="S19" i="7"/>
  <c r="T18" i="7"/>
  <c r="S18" i="7"/>
  <c r="T15" i="7"/>
  <c r="S15" i="7"/>
  <c r="T12" i="7"/>
  <c r="S12" i="7"/>
  <c r="T11" i="7"/>
  <c r="S11" i="7"/>
  <c r="T8" i="7"/>
  <c r="S8" i="7"/>
  <c r="T7" i="7"/>
  <c r="S7" i="7"/>
  <c r="T6" i="7"/>
  <c r="S6" i="7"/>
  <c r="T9" i="6"/>
  <c r="S9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<sst xmlns="http://schemas.openxmlformats.org/spreadsheetml/2006/main" count="2013" uniqueCount="471">
  <si>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</si>
  <si>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</si>
  <si>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</si>
  <si>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</si>
  <si>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</si>
  <si>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</si>
  <si>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</si>
  <si>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</si>
  <si>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</si>
  <si>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</si>
  <si>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</si>
  <si>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Селимсултанов Альви</t>
  </si>
  <si>
    <t>Мастера 40-49 (18.11.1981)/40</t>
  </si>
  <si>
    <t>90,00</t>
  </si>
  <si>
    <t>190,0</t>
  </si>
  <si>
    <t>205,0</t>
  </si>
  <si>
    <t>215,0</t>
  </si>
  <si>
    <t>140,0</t>
  </si>
  <si>
    <t>145,0</t>
  </si>
  <si>
    <t>150,0</t>
  </si>
  <si>
    <t>220,0</t>
  </si>
  <si>
    <t>230,0</t>
  </si>
  <si>
    <t xml:space="preserve">Алиев И. </t>
  </si>
  <si>
    <t>ВЕСОВАЯ КАТЕГОРИЯ   110</t>
  </si>
  <si>
    <t>Дзапаров Руслан</t>
  </si>
  <si>
    <t>Открытая (27.07.1991)/31</t>
  </si>
  <si>
    <t>109,10</t>
  </si>
  <si>
    <t>240,0</t>
  </si>
  <si>
    <t>260,0</t>
  </si>
  <si>
    <t>270,0</t>
  </si>
  <si>
    <t>170,0</t>
  </si>
  <si>
    <t>177,5</t>
  </si>
  <si>
    <t>180,0</t>
  </si>
  <si>
    <t>280,0</t>
  </si>
  <si>
    <t xml:space="preserve">Тхамитлоков К. 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</si>
  <si>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</si>
  <si>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</si>
  <si>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</si>
  <si>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</si>
  <si>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</si>
  <si>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</si>
  <si>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</si>
  <si>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90</t>
  </si>
  <si>
    <t>1</t>
  </si>
  <si>
    <t>ВЕСОВАЯ КАТЕГОРИЯ   82.5</t>
  </si>
  <si>
    <t>Джабраилов Нурид</t>
  </si>
  <si>
    <t>Открытая (28.01.1993)/29</t>
  </si>
  <si>
    <t>81,70</t>
  </si>
  <si>
    <t>160,0</t>
  </si>
  <si>
    <t>82.5</t>
  </si>
  <si>
    <t>Газиханов Альберт</t>
  </si>
  <si>
    <t>Юниоры (01.04.2001)/21</t>
  </si>
  <si>
    <t>82,50</t>
  </si>
  <si>
    <t>210,0</t>
  </si>
  <si>
    <t>225,0</t>
  </si>
  <si>
    <t>255,0</t>
  </si>
  <si>
    <t>265,0</t>
  </si>
  <si>
    <t xml:space="preserve">Ильясов Г. </t>
  </si>
  <si>
    <t>Ильясов Гамзат</t>
  </si>
  <si>
    <t>Открытая (09.02.1985)/37</t>
  </si>
  <si>
    <t>235,0</t>
  </si>
  <si>
    <t>142,5</t>
  </si>
  <si>
    <t>147,5</t>
  </si>
  <si>
    <t xml:space="preserve">Новаш В. </t>
  </si>
  <si>
    <t>Сулайманов Сайгид</t>
  </si>
  <si>
    <t>Открытая (19.04.1998)/24</t>
  </si>
  <si>
    <t>79,80</t>
  </si>
  <si>
    <t>157,5</t>
  </si>
  <si>
    <t>102,5</t>
  </si>
  <si>
    <t>110,0</t>
  </si>
  <si>
    <t>175,0</t>
  </si>
  <si>
    <t xml:space="preserve">Магомедов М. </t>
  </si>
  <si>
    <t>Рамазанов Ислам</t>
  </si>
  <si>
    <t>Открытая (01.05.1991)/31</t>
  </si>
  <si>
    <t>290,0</t>
  </si>
  <si>
    <t>202,5</t>
  </si>
  <si>
    <t>207,5</t>
  </si>
  <si>
    <t>300,0</t>
  </si>
  <si>
    <t>310,0</t>
  </si>
  <si>
    <t xml:space="preserve">Тултаров Ш. </t>
  </si>
  <si>
    <t>Крастилевский Денис</t>
  </si>
  <si>
    <t>Открытая (07.06.1990)/32</t>
  </si>
  <si>
    <t>89,80</t>
  </si>
  <si>
    <t xml:space="preserve">Ставрополь/Ставропольский край </t>
  </si>
  <si>
    <t>185,0</t>
  </si>
  <si>
    <t>187,5</t>
  </si>
  <si>
    <t>250,0</t>
  </si>
  <si>
    <t xml:space="preserve">Ступников Р. </t>
  </si>
  <si>
    <t>ВЕСОВАЯ КАТЕГОРИЯ   100</t>
  </si>
  <si>
    <t>Салманов Осман</t>
  </si>
  <si>
    <t>Открытая (18.11.1992)/29</t>
  </si>
  <si>
    <t>100,00</t>
  </si>
  <si>
    <t>285,0</t>
  </si>
  <si>
    <t>295,0</t>
  </si>
  <si>
    <t>197,5</t>
  </si>
  <si>
    <t>315,0</t>
  </si>
  <si>
    <t>325,0</t>
  </si>
  <si>
    <t>Гакаев Алхан</t>
  </si>
  <si>
    <t>Открытая (19.06.1980)/42</t>
  </si>
  <si>
    <t>110,00</t>
  </si>
  <si>
    <t>Арцуев Сулейман</t>
  </si>
  <si>
    <t>Открытая (09.07.1985)/37</t>
  </si>
  <si>
    <t>Мастера 40-49 (19.06.1980)/42</t>
  </si>
  <si>
    <t>2</t>
  </si>
  <si>
    <t>ВЕСОВАЯ КАТЕГОРИЯ   48</t>
  </si>
  <si>
    <t>Джанполадова Татьяна</t>
  </si>
  <si>
    <t>Открытая (15.09.1984)/37</t>
  </si>
  <si>
    <t>47,80</t>
  </si>
  <si>
    <t xml:space="preserve">Сочи/Краснодарский край </t>
  </si>
  <si>
    <t>90,0</t>
  </si>
  <si>
    <t>97,5</t>
  </si>
  <si>
    <t>100,0</t>
  </si>
  <si>
    <t>55,0</t>
  </si>
  <si>
    <t>60,0</t>
  </si>
  <si>
    <t>130,0</t>
  </si>
  <si>
    <t>ВЕСОВАЯ КАТЕГОРИЯ   60</t>
  </si>
  <si>
    <t>Сулейманова Разия</t>
  </si>
  <si>
    <t>Открытая (31.08.1995)/27</t>
  </si>
  <si>
    <t>58,50</t>
  </si>
  <si>
    <t>115,0</t>
  </si>
  <si>
    <t>50,0</t>
  </si>
  <si>
    <t>57,5</t>
  </si>
  <si>
    <t>125,0</t>
  </si>
  <si>
    <t>132,5</t>
  </si>
  <si>
    <t xml:space="preserve">Мирзоев А. </t>
  </si>
  <si>
    <t>ВЕСОВАЯ КАТЕГОРИЯ   75</t>
  </si>
  <si>
    <t>Крахмалева Наталья</t>
  </si>
  <si>
    <t>Открытая (06.09.1976)/45</t>
  </si>
  <si>
    <t>74,70</t>
  </si>
  <si>
    <t xml:space="preserve">Астрахань/Астраханская область </t>
  </si>
  <si>
    <t>65,0</t>
  </si>
  <si>
    <t>70,0</t>
  </si>
  <si>
    <t xml:space="preserve">Смирнов Д. </t>
  </si>
  <si>
    <t>ВЕСОВАЯ КАТЕГОРИЯ   56</t>
  </si>
  <si>
    <t>Бражник Кирилл</t>
  </si>
  <si>
    <t>Юноши 14-16 (09.05.2007)/15</t>
  </si>
  <si>
    <t>56,00</t>
  </si>
  <si>
    <t>120,0</t>
  </si>
  <si>
    <t>80,0</t>
  </si>
  <si>
    <t>82,5</t>
  </si>
  <si>
    <t>135,0</t>
  </si>
  <si>
    <t xml:space="preserve">Шеин В. </t>
  </si>
  <si>
    <t>Аюбов Алихан</t>
  </si>
  <si>
    <t>Юноши 14-16 (01.12.2005)/16</t>
  </si>
  <si>
    <t>85,0</t>
  </si>
  <si>
    <t>Цоколов Артём</t>
  </si>
  <si>
    <t>Юноши 14-16 (09.10.2007)/14</t>
  </si>
  <si>
    <t>59,80</t>
  </si>
  <si>
    <t>105,0</t>
  </si>
  <si>
    <t>87,5</t>
  </si>
  <si>
    <t>92,5</t>
  </si>
  <si>
    <t>155,0</t>
  </si>
  <si>
    <t>165,5</t>
  </si>
  <si>
    <t>Бабаев Марат</t>
  </si>
  <si>
    <t>Юноши 14-16 (02.07.2007)/15</t>
  </si>
  <si>
    <t>60,00</t>
  </si>
  <si>
    <t>75,0</t>
  </si>
  <si>
    <t>ВЕСОВАЯ КАТЕГОРИЯ   67.5</t>
  </si>
  <si>
    <t>Мирзабеков Абубакар</t>
  </si>
  <si>
    <t>Юноши 14-16 (25.07.2006)/16</t>
  </si>
  <si>
    <t>67,50</t>
  </si>
  <si>
    <t>77,5</t>
  </si>
  <si>
    <t>Токмаков Асланбек</t>
  </si>
  <si>
    <t>Юноши 17-19 (27.04.2005)/17</t>
  </si>
  <si>
    <t>73,00</t>
  </si>
  <si>
    <t>Магомедов Эльмитдин</t>
  </si>
  <si>
    <t>Открытая (02.11.1992)/29</t>
  </si>
  <si>
    <t>74,80</t>
  </si>
  <si>
    <t>112,5</t>
  </si>
  <si>
    <t>117,5</t>
  </si>
  <si>
    <t>195,0</t>
  </si>
  <si>
    <t>Шарданов Мурат</t>
  </si>
  <si>
    <t>Юноши 14-16 (28.12.2005)/16</t>
  </si>
  <si>
    <t>78,10</t>
  </si>
  <si>
    <t>127,5</t>
  </si>
  <si>
    <t>Проценко Никита</t>
  </si>
  <si>
    <t>Юноши 17-19 (12.08.2003)/19</t>
  </si>
  <si>
    <t>80,80</t>
  </si>
  <si>
    <t xml:space="preserve">Будённовск/Ставропольский край </t>
  </si>
  <si>
    <t>200,0</t>
  </si>
  <si>
    <t xml:space="preserve">Шрамко И. </t>
  </si>
  <si>
    <t>Открытая (12.08.2003)/19</t>
  </si>
  <si>
    <t>Бородин Дмитрий</t>
  </si>
  <si>
    <t>Открытая (21.01.1986)/36</t>
  </si>
  <si>
    <t>80,50</t>
  </si>
  <si>
    <t xml:space="preserve">Кисловодск/Ставропольский край </t>
  </si>
  <si>
    <t>95,0</t>
  </si>
  <si>
    <t xml:space="preserve">Аносенко А. </t>
  </si>
  <si>
    <t>Логвинов Артем</t>
  </si>
  <si>
    <t>Открытая (03.09.1995)/27</t>
  </si>
  <si>
    <t>89,50</t>
  </si>
  <si>
    <t>212,5</t>
  </si>
  <si>
    <t>252,5</t>
  </si>
  <si>
    <t>257,5</t>
  </si>
  <si>
    <t xml:space="preserve">Арестов М. </t>
  </si>
  <si>
    <t>Османов Алим</t>
  </si>
  <si>
    <t>Мастера 40-49 (07.02.1979)/43</t>
  </si>
  <si>
    <t>89,70</t>
  </si>
  <si>
    <t xml:space="preserve">Рамазанов И. </t>
  </si>
  <si>
    <t>Аносенко Алексей</t>
  </si>
  <si>
    <t>Открытая (19.03.1991)/31</t>
  </si>
  <si>
    <t>99,90</t>
  </si>
  <si>
    <t>182,5</t>
  </si>
  <si>
    <t>ВЕСОВАЯ КАТЕГОРИЯ   125</t>
  </si>
  <si>
    <t>Сармин Михаил</t>
  </si>
  <si>
    <t>Открытая (04.07.1990)/32</t>
  </si>
  <si>
    <t>124,70</t>
  </si>
  <si>
    <t xml:space="preserve">Георгиевск/Ставропольский край </t>
  </si>
  <si>
    <t>165,0</t>
  </si>
  <si>
    <t>167,5</t>
  </si>
  <si>
    <t xml:space="preserve">Юноши </t>
  </si>
  <si>
    <t xml:space="preserve">Юноши 17-19 </t>
  </si>
  <si>
    <t xml:space="preserve">Юноши 14-16 </t>
  </si>
  <si>
    <t>Результат</t>
  </si>
  <si>
    <t>Мержоев Руслан</t>
  </si>
  <si>
    <t>Открытая (01.04.1987)/35</t>
  </si>
  <si>
    <t>122,50</t>
  </si>
  <si>
    <t xml:space="preserve">Результат </t>
  </si>
  <si>
    <t>125</t>
  </si>
  <si>
    <t>Муртазалиев Лёма</t>
  </si>
  <si>
    <t>Открытая (28.02.1988)/34</t>
  </si>
  <si>
    <t>137,5</t>
  </si>
  <si>
    <t>Холодняк Артем</t>
  </si>
  <si>
    <t>Открытая (13.04.1996)/26</t>
  </si>
  <si>
    <t>63,00</t>
  </si>
  <si>
    <t xml:space="preserve">Тарасов А. </t>
  </si>
  <si>
    <t>Марфицын Дмитрий</t>
  </si>
  <si>
    <t>Открытая (21.08.1991)/31</t>
  </si>
  <si>
    <t>82,20</t>
  </si>
  <si>
    <t>Плахотин Иван</t>
  </si>
  <si>
    <t>Открытая (01.02.1995)/27</t>
  </si>
  <si>
    <t>79,90</t>
  </si>
  <si>
    <t>162,5</t>
  </si>
  <si>
    <t xml:space="preserve">Бобряшов В. </t>
  </si>
  <si>
    <t>Гайсуркаев Адам</t>
  </si>
  <si>
    <t>Открытая (21.08.1989)/33</t>
  </si>
  <si>
    <t>Гаджиахмедов Заур</t>
  </si>
  <si>
    <t>Открытая (18.10.1984)/37</t>
  </si>
  <si>
    <t>Насрулаев Сакрат</t>
  </si>
  <si>
    <t>Открытая (22.06.1989)/33</t>
  </si>
  <si>
    <t>89,20</t>
  </si>
  <si>
    <t>Ханбабаев Далгат</t>
  </si>
  <si>
    <t>Открытая (11.03.1991)/31</t>
  </si>
  <si>
    <t>227,5</t>
  </si>
  <si>
    <t>Арцуев Умар</t>
  </si>
  <si>
    <t>Открытая (04.10.1993)/28</t>
  </si>
  <si>
    <t>99,80</t>
  </si>
  <si>
    <t>Кучур Евгений</t>
  </si>
  <si>
    <t>Открытая (22.01.1982)/40</t>
  </si>
  <si>
    <t>124,50</t>
  </si>
  <si>
    <t>3</t>
  </si>
  <si>
    <t>4</t>
  </si>
  <si>
    <t>5</t>
  </si>
  <si>
    <t>-</t>
  </si>
  <si>
    <t>Аксельрод Богдан</t>
  </si>
  <si>
    <t>Юноши 14-16 (13.10.2005)/16</t>
  </si>
  <si>
    <t>74,90</t>
  </si>
  <si>
    <t>Акопян Дереник</t>
  </si>
  <si>
    <t>Открытая (15.05.1991)/31</t>
  </si>
  <si>
    <t>73,20</t>
  </si>
  <si>
    <t xml:space="preserve">Пятигорск/Ставропольский край </t>
  </si>
  <si>
    <t>152,5</t>
  </si>
  <si>
    <t>Щеглов Леонид</t>
  </si>
  <si>
    <t>Юноши 14-16 (28.06.2006)/16</t>
  </si>
  <si>
    <t>81,00</t>
  </si>
  <si>
    <t xml:space="preserve">Сухобок М. </t>
  </si>
  <si>
    <t>Гугнинский Сергей</t>
  </si>
  <si>
    <t>Открытая (10.05.1992)/30</t>
  </si>
  <si>
    <t>78,90</t>
  </si>
  <si>
    <t>172,5</t>
  </si>
  <si>
    <t>Мостовой Евгений</t>
  </si>
  <si>
    <t>Открытая (15.04.1988)/34</t>
  </si>
  <si>
    <t>81,30</t>
  </si>
  <si>
    <t xml:space="preserve">Аутюнян Г. </t>
  </si>
  <si>
    <t>Муртазалиев Джапар</t>
  </si>
  <si>
    <t>Мастера 40-49 (30.07.1980)/42</t>
  </si>
  <si>
    <t xml:space="preserve">Кадыров Б. </t>
  </si>
  <si>
    <t>Сытник Александр</t>
  </si>
  <si>
    <t>Мастера 40-49 (27.01.1976)/46</t>
  </si>
  <si>
    <t>Малушко Александр</t>
  </si>
  <si>
    <t>Мастера 40-49 (25.09.1979)/42</t>
  </si>
  <si>
    <t>89,30</t>
  </si>
  <si>
    <t>Османов Рамиз</t>
  </si>
  <si>
    <t>Мастера 40-49 (15.06.1976)/46</t>
  </si>
  <si>
    <t>88,90</t>
  </si>
  <si>
    <t>Тимощук Владимир</t>
  </si>
  <si>
    <t>Открытая (04.06.1988)/34</t>
  </si>
  <si>
    <t>97,60</t>
  </si>
  <si>
    <t>Одабашян Рубен</t>
  </si>
  <si>
    <t>Открытая (27.08.1986)/36</t>
  </si>
  <si>
    <t>109,70</t>
  </si>
  <si>
    <t>Хацимов Аскер</t>
  </si>
  <si>
    <t>Открытая (25.05.1992)/30</t>
  </si>
  <si>
    <t>122,60</t>
  </si>
  <si>
    <t>Кадыров Биатли</t>
  </si>
  <si>
    <t>Открытая (04.12.1985)/36</t>
  </si>
  <si>
    <t>Магуров Багаутдин</t>
  </si>
  <si>
    <t>Открытая (31.03.1983)/39</t>
  </si>
  <si>
    <t>Назаренко Валерий</t>
  </si>
  <si>
    <t>Юниоры (19.08.1999)/23</t>
  </si>
  <si>
    <t>82,40</t>
  </si>
  <si>
    <t>Открытая (19.08.1999)/23</t>
  </si>
  <si>
    <t>Исаков Тимур</t>
  </si>
  <si>
    <t>Открытая (15.08.1987)/35</t>
  </si>
  <si>
    <t>87,80</t>
  </si>
  <si>
    <t xml:space="preserve">Магомедов А. </t>
  </si>
  <si>
    <t>Ясуев Хаджи</t>
  </si>
  <si>
    <t>Открытая (10.09.1997)/24</t>
  </si>
  <si>
    <t>87,50</t>
  </si>
  <si>
    <t>Панченко Дмитрий</t>
  </si>
  <si>
    <t>Открытая (12.11.1994)/27</t>
  </si>
  <si>
    <t>83,80</t>
  </si>
  <si>
    <t>Магомедов Руслан</t>
  </si>
  <si>
    <t>Мастера 40-49 (20.11.1980)/41</t>
  </si>
  <si>
    <t>Новиков Николай</t>
  </si>
  <si>
    <t>Мастера 70-79 (21.05.1947)/75</t>
  </si>
  <si>
    <t>86,00</t>
  </si>
  <si>
    <t>Киселев Алексей</t>
  </si>
  <si>
    <t>Мастера 40-49 (27.04.1974)/48</t>
  </si>
  <si>
    <t>97,90</t>
  </si>
  <si>
    <t>Иригов Аскер</t>
  </si>
  <si>
    <t>Открытая (07.06.1989)/33</t>
  </si>
  <si>
    <t>109,40</t>
  </si>
  <si>
    <t>360,0</t>
  </si>
  <si>
    <t>375,0</t>
  </si>
  <si>
    <t>Шрамко Игорь</t>
  </si>
  <si>
    <t>Открытая (07.10.1986)/35</t>
  </si>
  <si>
    <t>108,10</t>
  </si>
  <si>
    <t>Алиев Исамудин</t>
  </si>
  <si>
    <t>Открытая (06.08.1978)/44</t>
  </si>
  <si>
    <t>125,00</t>
  </si>
  <si>
    <t>305,0</t>
  </si>
  <si>
    <t>Мастера 40-49 (06.08.1978)/44</t>
  </si>
  <si>
    <t>ВЕСОВАЯ КАТЕГОРИЯ   44</t>
  </si>
  <si>
    <t>Серова Анна</t>
  </si>
  <si>
    <t>Девушки 14-16 (01.02.2009)/13</t>
  </si>
  <si>
    <t>39,70</t>
  </si>
  <si>
    <t>40,0</t>
  </si>
  <si>
    <t>45,0</t>
  </si>
  <si>
    <t xml:space="preserve">Крахмалева Н. </t>
  </si>
  <si>
    <t>ВЕСОВАЯ КАТЕГОРИЯ   52</t>
  </si>
  <si>
    <t>Югринова Елена</t>
  </si>
  <si>
    <t>Открытая (07.01.1994)/28</t>
  </si>
  <si>
    <t>50,40</t>
  </si>
  <si>
    <t>Огузов Хазраталий</t>
  </si>
  <si>
    <t>Юноши 14-16 (29.03.2010)/12</t>
  </si>
  <si>
    <t>51,30</t>
  </si>
  <si>
    <t>Кадыкоев Дамир</t>
  </si>
  <si>
    <t>Юноши 14-16 (11.10.2008)/13</t>
  </si>
  <si>
    <t>51,80</t>
  </si>
  <si>
    <t>Шублаков Мурат</t>
  </si>
  <si>
    <t>Юноши 14-16 (20.08.2006)/16</t>
  </si>
  <si>
    <t>Хупсергенов Альберт</t>
  </si>
  <si>
    <t>Юноши 14-16 (08.10.2007)/14</t>
  </si>
  <si>
    <t>64,00</t>
  </si>
  <si>
    <t xml:space="preserve">Исламей/Кабардино-Балкария республика </t>
  </si>
  <si>
    <t>Огузов Сослан</t>
  </si>
  <si>
    <t>Юноши 14-16 (27.05.2007)/15</t>
  </si>
  <si>
    <t>Котелевский Игорь</t>
  </si>
  <si>
    <t>Юниоры (01.09.2000)/22</t>
  </si>
  <si>
    <t xml:space="preserve">Михайловск/Ставропольский край </t>
  </si>
  <si>
    <t>Кейтуков Идар</t>
  </si>
  <si>
    <t>Юноши 14-16 (22.08.2008)/14</t>
  </si>
  <si>
    <t>75,00</t>
  </si>
  <si>
    <t>Алоев Руслан</t>
  </si>
  <si>
    <t>Юноши 14-16 (21.04.2011)/11</t>
  </si>
  <si>
    <t>71,80</t>
  </si>
  <si>
    <t>Кипов Рамазан</t>
  </si>
  <si>
    <t>Юноши 14-16 (09.09.2009)/12</t>
  </si>
  <si>
    <t>72,30</t>
  </si>
  <si>
    <t>Потапов Илья</t>
  </si>
  <si>
    <t>Открытая (12.03.2003)/19</t>
  </si>
  <si>
    <t>262,5</t>
  </si>
  <si>
    <t>275,0</t>
  </si>
  <si>
    <t>Тхакумачев Хажмухамед</t>
  </si>
  <si>
    <t>Юноши 14-16 (18.01.2007)/15</t>
  </si>
  <si>
    <t>95,00</t>
  </si>
  <si>
    <t>Мирзоев Арсен</t>
  </si>
  <si>
    <t>Мастера 40-49 (31.08.1979)/43</t>
  </si>
  <si>
    <t>96,40</t>
  </si>
  <si>
    <t>Сизов Андрей</t>
  </si>
  <si>
    <t>Мастера 50-59 (29.01.1968)/54</t>
  </si>
  <si>
    <t>99,00</t>
  </si>
  <si>
    <t xml:space="preserve">Горячий Ключ/Краснодарский край </t>
  </si>
  <si>
    <t>320,0</t>
  </si>
  <si>
    <t xml:space="preserve">Низамиди В. </t>
  </si>
  <si>
    <t>65,60</t>
  </si>
  <si>
    <t>Карташов Алексей</t>
  </si>
  <si>
    <t>Открытая (24.11.1996)/25</t>
  </si>
  <si>
    <t xml:space="preserve">Волгоград/Волгоградская область </t>
  </si>
  <si>
    <t>72,5</t>
  </si>
  <si>
    <t xml:space="preserve">Кумскова И. </t>
  </si>
  <si>
    <t>Юнусов Хаджимурад</t>
  </si>
  <si>
    <t>Мастера 40-49 (18.03.1980)/42</t>
  </si>
  <si>
    <t>88,70</t>
  </si>
  <si>
    <t xml:space="preserve">Сизов А. </t>
  </si>
  <si>
    <t>Тяга</t>
  </si>
  <si>
    <t>Даниелян Альберт</t>
  </si>
  <si>
    <t>Открытая (27.06.1996)/26</t>
  </si>
  <si>
    <t>55,00</t>
  </si>
  <si>
    <t xml:space="preserve">Кропоткин/Краснодарский край </t>
  </si>
  <si>
    <t>47,5</t>
  </si>
  <si>
    <t>52,5</t>
  </si>
  <si>
    <t xml:space="preserve">Латышев П. </t>
  </si>
  <si>
    <t>Журавлев Илья</t>
  </si>
  <si>
    <t>42,5</t>
  </si>
  <si>
    <t>62,5</t>
  </si>
  <si>
    <t>Габаев Усман</t>
  </si>
  <si>
    <t>103,70</t>
  </si>
  <si>
    <t>Сидякин Евгений</t>
  </si>
  <si>
    <t>Самостоятельно</t>
  </si>
  <si>
    <t>Киселев А.</t>
  </si>
  <si>
    <t>Суслов Н.</t>
  </si>
  <si>
    <t>Магомедов М.</t>
  </si>
  <si>
    <t>Аносенко А.</t>
  </si>
  <si>
    <t>Рамазанов И.</t>
  </si>
  <si>
    <t>67,5</t>
  </si>
  <si>
    <t>56,0</t>
  </si>
  <si>
    <t>Мастера 40-49 (28.06.1981)/41</t>
  </si>
  <si>
    <t>Юноши 13-19 (03.08.2005)/17</t>
  </si>
  <si>
    <t>Юноши 13-19 (27.04.2005)/17</t>
  </si>
  <si>
    <t>Юноши 13-19 (12.08.2003)/19</t>
  </si>
  <si>
    <t>Юниоры 20-23 (19.08.1999)/23</t>
  </si>
  <si>
    <t>Юноши 13-19 (20.02.2003)/19</t>
  </si>
  <si>
    <t xml:space="preserve">Владикавказ/Северная Осетия-Алания республика </t>
  </si>
  <si>
    <t>Национальный Кубок
СПР Пауэрспорт
Ставрополь/Ставропольский край, 03-04 сентября 2022 года</t>
  </si>
  <si>
    <t>Национальный Кубок
СПР Жим штанги стоя
Ставрополь/Ставропольский край, 03-04 сентября 2022 года</t>
  </si>
  <si>
    <t>Национальный Кубок
WRPF Строгий подъем штанги на бицепс ДК
Ставрополь/Ставропольский край, 03-04 сентября 2022 года</t>
  </si>
  <si>
    <t>Национальный Кубок
WRPF Строгий подъем штанги на бицепс
Ставрополь/Ставропольский край, 03-04 сентября 2022 года</t>
  </si>
  <si>
    <t>Национальный Кубок
WEPF Силовое двоеборье в экипировке
Ставрополь/Ставропольский край, 03-04 сентября 2022 года</t>
  </si>
  <si>
    <t>Национальный Кубок
WRPF Силовое двоеборье без экипировки ДК
Ставрополь/Ставропольский край, 03-04 сентября 2022 года</t>
  </si>
  <si>
    <t>Национальный Кубок
WRPF Силовое двоеборье без экипировки
Ставрополь/Ставропольский край, 03-04 сентября 2022 года</t>
  </si>
  <si>
    <t>Национальный Кубок
WRPF Становая тяга без экипировки ДК
Ставрополь/Ставропольский край, 03-04 сентября 2022 года</t>
  </si>
  <si>
    <t>Национальный Кубок
WRPF Становая тяга без экипировки
Ставрополь/Ставропольский край, 03-04 сентября 2022 года</t>
  </si>
  <si>
    <t>Национальный Кубок
WRPF Военный жим лежа с ДК
Ставрополь/Ставропольский край, 03-04 сентября 2022 года</t>
  </si>
  <si>
    <t>Национальный Кубок
WEPF Жим лежа в однопетельной софт экипировке ДК
Ставрополь/Ставропольский край, 03-04 сентября 2022 года</t>
  </si>
  <si>
    <t>Национальный Кубок
WRPF Жим лежа без экипировки ДК
Ставрополь/Ставропольский край, 03-04 сентября 2022 года</t>
  </si>
  <si>
    <t>Национальный Кубок
WRPF Жим лежа без экипировки
Ставрополь/Ставропольский край, 03-04 сентября 2022 года</t>
  </si>
  <si>
    <t>Национальный Кубок
WRPF Военный жим лежа
Ставрополь/Ставропольский край, 03-04 сентября 2022 года</t>
  </si>
  <si>
    <t>Национальный Кубок
WRPF Пауэрлифтинг без экипировки ДК
Ставрополь/Ставропольский край, 03-04 сентября 2022 года</t>
  </si>
  <si>
    <t>Национальный Кубок
WRPF Пауэрлифтинг без экипировки
Ставрополь/Ставропольский край, 03-04 сентября 2022 года</t>
  </si>
  <si>
    <t>Национальный Кубок
WRPF Пауэрлифтинг классический в бинтах ДК
Ставрополь/Ставропольский край, 03-04 сентября 2022 года</t>
  </si>
  <si>
    <t>Национальный Кубок
WRPF Пауэрлифтинг классический в бинтах
Ставрополь/Ставропольский край, 03-04 сентября 2022 года</t>
  </si>
  <si>
    <t xml:space="preserve">Владикавказ/Республика Северная Осетия-Алания </t>
  </si>
  <si>
    <t>Грозный/Чеченская Республика</t>
  </si>
  <si>
    <t>Гудермес/Чеченская Республика</t>
  </si>
  <si>
    <t>Шали/Чеченская Республика</t>
  </si>
  <si>
    <t xml:space="preserve">Махачкала/Республика Дагестан </t>
  </si>
  <si>
    <t xml:space="preserve">Дербент/Республика Дагестан </t>
  </si>
  <si>
    <t xml:space="preserve">Дагестанские Огни/Республика Дагестан </t>
  </si>
  <si>
    <t xml:space="preserve">Северное/Ставропольский край </t>
  </si>
  <si>
    <t xml:space="preserve">Баксан/Кабардино-Балкарская Республика </t>
  </si>
  <si>
    <t xml:space="preserve">Малгобек/Республика Ингушетия </t>
  </si>
  <si>
    <t>Баксан/Кабардино-Балкарская Республика</t>
  </si>
  <si>
    <t>Весовая категория</t>
  </si>
  <si>
    <t>Чегем/Кабардино-Балкарская Республика</t>
  </si>
  <si>
    <t>Махачкала/Республика Дагестан</t>
  </si>
  <si>
    <t>Терек/Кабардино-Балкарская Республика</t>
  </si>
  <si>
    <t>Черкесск/Карачаево-Черкессская Республика</t>
  </si>
  <si>
    <t>Жим</t>
  </si>
  <si>
    <t>№</t>
  </si>
  <si>
    <t xml:space="preserve">
Дата рождения/Возраст</t>
  </si>
  <si>
    <t>Возрастная группа</t>
  </si>
  <si>
    <t>O</t>
  </si>
  <si>
    <t>T1</t>
  </si>
  <si>
    <t>T2</t>
  </si>
  <si>
    <t>M1</t>
  </si>
  <si>
    <t>J</t>
  </si>
  <si>
    <t>M2</t>
  </si>
  <si>
    <t>M4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</si>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</sst>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38AE-22C3-43B6-9450-D91938B27512}">
  <dimension ref="A1:U64"/>
  <sheetViews>
    <sheetView topLeftCell="A22" workbookViewId="0">
      <selection activeCell="E49" sqref="E49"/>
    </sheetView>
  </sheetViews>
  <sheetFormatPr baseColWidth="10" defaultColWidth="9.1640625" defaultRowHeight="13"/>
  <cols>
    <col min="1" max="1" width="7.1640625" style="5" bestFit="1" customWidth="1"/>
    <col min="2" max="2" width="21.1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7.1640625" style="5" bestFit="1" customWidth="1"/>
    <col min="7" max="7" width="5.5" style="18" customWidth="1"/>
    <col min="8" max="9" width="5.33203125" style="18" customWidth="1"/>
    <col min="10" max="10" width="4.6640625" style="18" customWidth="1"/>
    <col min="11" max="13" width="5.33203125" style="18" customWidth="1"/>
    <col min="14" max="14" width="4.6640625" style="18" customWidth="1"/>
    <col min="15" max="17" width="5.33203125" style="18" customWidth="1"/>
    <col min="18" max="18" width="4.6640625" style="18" customWidth="1"/>
    <col min="19" max="19" width="7.6640625" style="6" bestFit="1" customWidth="1"/>
    <col min="20" max="20" width="8.33203125" style="6" bestFit="1" customWidth="1"/>
    <col min="21" max="21" width="21.6640625" style="5" customWidth="1"/>
    <col min="22" max="16384" width="9.1640625" style="3"/>
  </cols>
  <sheetData>
    <row r="1" spans="1:21" s="2" customFormat="1" ht="29" customHeight="1">
      <c r="A1" s="45" t="s">
        <v>439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57" t="s">
        <v>1</v>
      </c>
      <c r="T3" s="57" t="s">
        <v>3</v>
      </c>
      <c r="U3" s="62" t="s">
        <v>2</v>
      </c>
    </row>
    <row r="4" spans="1:21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3"/>
    </row>
    <row r="5" spans="1:21" ht="16">
      <c r="A5" s="64" t="s">
        <v>104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1">
      <c r="A6" s="22" t="s">
        <v>43</v>
      </c>
      <c r="B6" s="7" t="s">
        <v>105</v>
      </c>
      <c r="C6" s="7" t="s">
        <v>106</v>
      </c>
      <c r="D6" s="7" t="s">
        <v>107</v>
      </c>
      <c r="E6" s="8" t="s">
        <v>463</v>
      </c>
      <c r="F6" s="7" t="s">
        <v>108</v>
      </c>
      <c r="G6" s="20" t="s">
        <v>109</v>
      </c>
      <c r="H6" s="20" t="s">
        <v>110</v>
      </c>
      <c r="I6" s="20" t="s">
        <v>111</v>
      </c>
      <c r="J6" s="22"/>
      <c r="K6" s="20" t="s">
        <v>112</v>
      </c>
      <c r="L6" s="21" t="s">
        <v>113</v>
      </c>
      <c r="M6" s="21" t="s">
        <v>113</v>
      </c>
      <c r="N6" s="22"/>
      <c r="O6" s="20" t="s">
        <v>114</v>
      </c>
      <c r="P6" s="21" t="s">
        <v>17</v>
      </c>
      <c r="Q6" s="21" t="s">
        <v>17</v>
      </c>
      <c r="R6" s="22"/>
      <c r="S6" s="9" t="str">
        <f>"285,0"</f>
        <v>285,0</v>
      </c>
      <c r="T6" s="9" t="str">
        <f>"378,6225"</f>
        <v>378,6225</v>
      </c>
      <c r="U6" s="7" t="s">
        <v>87</v>
      </c>
    </row>
    <row r="8" spans="1:21" ht="16">
      <c r="A8" s="60" t="s">
        <v>115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2" t="s">
        <v>43</v>
      </c>
      <c r="B9" s="7" t="s">
        <v>116</v>
      </c>
      <c r="C9" s="7" t="s">
        <v>117</v>
      </c>
      <c r="D9" s="7" t="s">
        <v>118</v>
      </c>
      <c r="E9" s="8" t="s">
        <v>463</v>
      </c>
      <c r="F9" s="7" t="s">
        <v>447</v>
      </c>
      <c r="G9" s="20" t="s">
        <v>111</v>
      </c>
      <c r="H9" s="20" t="s">
        <v>69</v>
      </c>
      <c r="I9" s="21" t="s">
        <v>119</v>
      </c>
      <c r="J9" s="22"/>
      <c r="K9" s="20" t="s">
        <v>120</v>
      </c>
      <c r="L9" s="20" t="s">
        <v>112</v>
      </c>
      <c r="M9" s="21" t="s">
        <v>121</v>
      </c>
      <c r="N9" s="22"/>
      <c r="O9" s="20" t="s">
        <v>69</v>
      </c>
      <c r="P9" s="20" t="s">
        <v>122</v>
      </c>
      <c r="Q9" s="21" t="s">
        <v>123</v>
      </c>
      <c r="R9" s="22"/>
      <c r="S9" s="9" t="str">
        <f>"290,0"</f>
        <v>290,0</v>
      </c>
      <c r="T9" s="9" t="str">
        <f>"329,7590"</f>
        <v>329,7590</v>
      </c>
      <c r="U9" s="7" t="s">
        <v>124</v>
      </c>
    </row>
    <row r="11" spans="1:21" ht="16">
      <c r="A11" s="60" t="s">
        <v>125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22" t="s">
        <v>43</v>
      </c>
      <c r="B12" s="7" t="s">
        <v>126</v>
      </c>
      <c r="C12" s="7" t="s">
        <v>127</v>
      </c>
      <c r="D12" s="7" t="s">
        <v>128</v>
      </c>
      <c r="E12" s="8" t="s">
        <v>463</v>
      </c>
      <c r="F12" s="7" t="s">
        <v>129</v>
      </c>
      <c r="G12" s="20" t="s">
        <v>119</v>
      </c>
      <c r="H12" s="20" t="s">
        <v>122</v>
      </c>
      <c r="I12" s="20" t="s">
        <v>114</v>
      </c>
      <c r="J12" s="22"/>
      <c r="K12" s="20" t="s">
        <v>130</v>
      </c>
      <c r="L12" s="21" t="s">
        <v>131</v>
      </c>
      <c r="M12" s="22"/>
      <c r="N12" s="22"/>
      <c r="O12" s="20" t="s">
        <v>17</v>
      </c>
      <c r="P12" s="21" t="s">
        <v>62</v>
      </c>
      <c r="Q12" s="21" t="s">
        <v>62</v>
      </c>
      <c r="R12" s="22"/>
      <c r="S12" s="9" t="str">
        <f>"335,0"</f>
        <v>335,0</v>
      </c>
      <c r="T12" s="9" t="str">
        <f>"319,2550"</f>
        <v>319,2550</v>
      </c>
      <c r="U12" s="7" t="s">
        <v>132</v>
      </c>
    </row>
    <row r="14" spans="1:21" ht="16">
      <c r="A14" s="60" t="s">
        <v>133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21">
      <c r="A15" s="34" t="s">
        <v>43</v>
      </c>
      <c r="B15" s="23" t="s">
        <v>134</v>
      </c>
      <c r="C15" s="23" t="s">
        <v>135</v>
      </c>
      <c r="D15" s="23" t="s">
        <v>136</v>
      </c>
      <c r="E15" s="24" t="s">
        <v>464</v>
      </c>
      <c r="F15" s="23" t="s">
        <v>83</v>
      </c>
      <c r="G15" s="32" t="s">
        <v>119</v>
      </c>
      <c r="H15" s="33" t="s">
        <v>137</v>
      </c>
      <c r="I15" s="33" t="s">
        <v>137</v>
      </c>
      <c r="J15" s="34"/>
      <c r="K15" s="32" t="s">
        <v>138</v>
      </c>
      <c r="L15" s="33" t="s">
        <v>139</v>
      </c>
      <c r="M15" s="32" t="s">
        <v>139</v>
      </c>
      <c r="N15" s="34"/>
      <c r="O15" s="32" t="s">
        <v>122</v>
      </c>
      <c r="P15" s="32" t="s">
        <v>114</v>
      </c>
      <c r="Q15" s="32" t="s">
        <v>140</v>
      </c>
      <c r="R15" s="34"/>
      <c r="S15" s="25" t="str">
        <f>"332,5"</f>
        <v>332,5</v>
      </c>
      <c r="T15" s="25" t="str">
        <f>"302,6748"</f>
        <v>302,6748</v>
      </c>
      <c r="U15" s="23" t="s">
        <v>141</v>
      </c>
    </row>
    <row r="16" spans="1:21">
      <c r="A16" s="38" t="s">
        <v>103</v>
      </c>
      <c r="B16" s="29" t="s">
        <v>142</v>
      </c>
      <c r="C16" s="29" t="s">
        <v>143</v>
      </c>
      <c r="D16" s="29" t="s">
        <v>136</v>
      </c>
      <c r="E16" s="30" t="s">
        <v>464</v>
      </c>
      <c r="F16" s="29" t="s">
        <v>453</v>
      </c>
      <c r="G16" s="39" t="s">
        <v>138</v>
      </c>
      <c r="H16" s="37" t="s">
        <v>138</v>
      </c>
      <c r="I16" s="37" t="s">
        <v>144</v>
      </c>
      <c r="J16" s="38"/>
      <c r="K16" s="37" t="s">
        <v>120</v>
      </c>
      <c r="L16" s="37" t="s">
        <v>121</v>
      </c>
      <c r="M16" s="37" t="s">
        <v>113</v>
      </c>
      <c r="N16" s="38"/>
      <c r="O16" s="37" t="s">
        <v>119</v>
      </c>
      <c r="P16" s="37" t="s">
        <v>137</v>
      </c>
      <c r="Q16" s="38"/>
      <c r="R16" s="38"/>
      <c r="S16" s="31" t="str">
        <f>"265,0"</f>
        <v>265,0</v>
      </c>
      <c r="T16" s="31" t="str">
        <f>"241,2295"</f>
        <v>241,2295</v>
      </c>
      <c r="U16" s="29"/>
    </row>
    <row r="18" spans="1:21" ht="16">
      <c r="A18" s="60" t="s">
        <v>115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34" t="s">
        <v>43</v>
      </c>
      <c r="B19" s="23" t="s">
        <v>145</v>
      </c>
      <c r="C19" s="23" t="s">
        <v>146</v>
      </c>
      <c r="D19" s="23" t="s">
        <v>147</v>
      </c>
      <c r="E19" s="24" t="s">
        <v>464</v>
      </c>
      <c r="F19" s="23" t="s">
        <v>83</v>
      </c>
      <c r="G19" s="32" t="s">
        <v>111</v>
      </c>
      <c r="H19" s="32" t="s">
        <v>148</v>
      </c>
      <c r="I19" s="33" t="s">
        <v>69</v>
      </c>
      <c r="J19" s="34"/>
      <c r="K19" s="32" t="s">
        <v>149</v>
      </c>
      <c r="L19" s="32" t="s">
        <v>109</v>
      </c>
      <c r="M19" s="33" t="s">
        <v>150</v>
      </c>
      <c r="N19" s="34"/>
      <c r="O19" s="32" t="s">
        <v>151</v>
      </c>
      <c r="P19" s="32" t="s">
        <v>48</v>
      </c>
      <c r="Q19" s="33" t="s">
        <v>152</v>
      </c>
      <c r="R19" s="34"/>
      <c r="S19" s="25" t="str">
        <f>"355,0"</f>
        <v>355,0</v>
      </c>
      <c r="T19" s="25" t="str">
        <f>"303,7025"</f>
        <v>303,7025</v>
      </c>
      <c r="U19" s="23" t="s">
        <v>87</v>
      </c>
    </row>
    <row r="20" spans="1:21">
      <c r="A20" s="38" t="s">
        <v>103</v>
      </c>
      <c r="B20" s="29" t="s">
        <v>153</v>
      </c>
      <c r="C20" s="29" t="s">
        <v>154</v>
      </c>
      <c r="D20" s="29" t="s">
        <v>155</v>
      </c>
      <c r="E20" s="30" t="s">
        <v>464</v>
      </c>
      <c r="F20" s="29" t="s">
        <v>448</v>
      </c>
      <c r="G20" s="37" t="s">
        <v>109</v>
      </c>
      <c r="H20" s="37" t="s">
        <v>111</v>
      </c>
      <c r="I20" s="37" t="s">
        <v>69</v>
      </c>
      <c r="J20" s="38"/>
      <c r="K20" s="37" t="s">
        <v>156</v>
      </c>
      <c r="L20" s="37" t="s">
        <v>138</v>
      </c>
      <c r="M20" s="37" t="s">
        <v>144</v>
      </c>
      <c r="N20" s="38"/>
      <c r="O20" s="37" t="s">
        <v>137</v>
      </c>
      <c r="P20" s="39" t="s">
        <v>114</v>
      </c>
      <c r="Q20" s="39" t="s">
        <v>114</v>
      </c>
      <c r="R20" s="38"/>
      <c r="S20" s="31" t="str">
        <f>"315,0"</f>
        <v>315,0</v>
      </c>
      <c r="T20" s="31" t="str">
        <f>"268,6635"</f>
        <v>268,6635</v>
      </c>
      <c r="U20" s="29" t="s">
        <v>124</v>
      </c>
    </row>
    <row r="22" spans="1:21" ht="16">
      <c r="A22" s="60" t="s">
        <v>157</v>
      </c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1">
      <c r="A23" s="22" t="s">
        <v>43</v>
      </c>
      <c r="B23" s="7" t="s">
        <v>158</v>
      </c>
      <c r="C23" s="7" t="s">
        <v>159</v>
      </c>
      <c r="D23" s="7" t="s">
        <v>160</v>
      </c>
      <c r="E23" s="8" t="s">
        <v>464</v>
      </c>
      <c r="F23" s="7" t="s">
        <v>449</v>
      </c>
      <c r="G23" s="20" t="s">
        <v>137</v>
      </c>
      <c r="H23" s="20" t="s">
        <v>114</v>
      </c>
      <c r="I23" s="21" t="s">
        <v>140</v>
      </c>
      <c r="J23" s="22"/>
      <c r="K23" s="20" t="s">
        <v>131</v>
      </c>
      <c r="L23" s="20" t="s">
        <v>156</v>
      </c>
      <c r="M23" s="20" t="s">
        <v>161</v>
      </c>
      <c r="N23" s="22"/>
      <c r="O23" s="20" t="s">
        <v>140</v>
      </c>
      <c r="P23" s="20" t="s">
        <v>17</v>
      </c>
      <c r="Q23" s="21" t="s">
        <v>18</v>
      </c>
      <c r="R23" s="22"/>
      <c r="S23" s="9" t="str">
        <f>"347,5"</f>
        <v>347,5</v>
      </c>
      <c r="T23" s="9" t="str">
        <f>"267,9225"</f>
        <v>267,9225</v>
      </c>
      <c r="U23" s="7" t="s">
        <v>415</v>
      </c>
    </row>
    <row r="25" spans="1:21" ht="16">
      <c r="A25" s="60" t="s">
        <v>125</v>
      </c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21">
      <c r="A26" s="34" t="s">
        <v>43</v>
      </c>
      <c r="B26" s="23" t="s">
        <v>162</v>
      </c>
      <c r="C26" s="23" t="s">
        <v>163</v>
      </c>
      <c r="D26" s="23" t="s">
        <v>164</v>
      </c>
      <c r="E26" s="24" t="s">
        <v>465</v>
      </c>
      <c r="F26" s="23" t="s">
        <v>453</v>
      </c>
      <c r="G26" s="32" t="s">
        <v>111</v>
      </c>
      <c r="H26" s="33" t="s">
        <v>148</v>
      </c>
      <c r="I26" s="32" t="s">
        <v>148</v>
      </c>
      <c r="J26" s="34"/>
      <c r="K26" s="32" t="s">
        <v>131</v>
      </c>
      <c r="L26" s="32" t="s">
        <v>156</v>
      </c>
      <c r="M26" s="33" t="s">
        <v>138</v>
      </c>
      <c r="N26" s="34"/>
      <c r="O26" s="32" t="s">
        <v>17</v>
      </c>
      <c r="P26" s="32" t="s">
        <v>18</v>
      </c>
      <c r="Q26" s="32" t="s">
        <v>19</v>
      </c>
      <c r="R26" s="34"/>
      <c r="S26" s="25" t="str">
        <f>"330,0"</f>
        <v>330,0</v>
      </c>
      <c r="T26" s="25" t="str">
        <f>"239,7120"</f>
        <v>239,7120</v>
      </c>
      <c r="U26" s="23" t="s">
        <v>34</v>
      </c>
    </row>
    <row r="27" spans="1:21">
      <c r="A27" s="38" t="s">
        <v>43</v>
      </c>
      <c r="B27" s="29" t="s">
        <v>165</v>
      </c>
      <c r="C27" s="29" t="s">
        <v>166</v>
      </c>
      <c r="D27" s="29" t="s">
        <v>167</v>
      </c>
      <c r="E27" s="30" t="s">
        <v>463</v>
      </c>
      <c r="F27" s="29" t="s">
        <v>448</v>
      </c>
      <c r="G27" s="37" t="s">
        <v>19</v>
      </c>
      <c r="H27" s="37" t="s">
        <v>48</v>
      </c>
      <c r="I27" s="39" t="s">
        <v>30</v>
      </c>
      <c r="J27" s="38"/>
      <c r="K27" s="37" t="s">
        <v>148</v>
      </c>
      <c r="L27" s="37" t="s">
        <v>168</v>
      </c>
      <c r="M27" s="37" t="s">
        <v>169</v>
      </c>
      <c r="N27" s="38"/>
      <c r="O27" s="37" t="s">
        <v>170</v>
      </c>
      <c r="P27" s="37" t="s">
        <v>15</v>
      </c>
      <c r="Q27" s="37" t="s">
        <v>53</v>
      </c>
      <c r="R27" s="38"/>
      <c r="S27" s="31" t="str">
        <f>"487,5"</f>
        <v>487,5</v>
      </c>
      <c r="T27" s="31" t="str">
        <f>"348,0263"</f>
        <v>348,0263</v>
      </c>
      <c r="U27" s="29" t="s">
        <v>415</v>
      </c>
    </row>
    <row r="29" spans="1:21" ht="16">
      <c r="A29" s="60" t="s">
        <v>44</v>
      </c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21">
      <c r="A30" s="34" t="s">
        <v>43</v>
      </c>
      <c r="B30" s="23" t="s">
        <v>171</v>
      </c>
      <c r="C30" s="23" t="s">
        <v>172</v>
      </c>
      <c r="D30" s="23" t="s">
        <v>173</v>
      </c>
      <c r="E30" s="24" t="s">
        <v>464</v>
      </c>
      <c r="F30" s="23" t="s">
        <v>453</v>
      </c>
      <c r="G30" s="32" t="s">
        <v>69</v>
      </c>
      <c r="H30" s="32" t="s">
        <v>137</v>
      </c>
      <c r="I30" s="32" t="s">
        <v>174</v>
      </c>
      <c r="J30" s="34"/>
      <c r="K30" s="32" t="s">
        <v>138</v>
      </c>
      <c r="L30" s="32" t="s">
        <v>144</v>
      </c>
      <c r="M30" s="32" t="s">
        <v>149</v>
      </c>
      <c r="N30" s="34"/>
      <c r="O30" s="32" t="s">
        <v>17</v>
      </c>
      <c r="P30" s="32" t="s">
        <v>19</v>
      </c>
      <c r="Q30" s="32" t="s">
        <v>67</v>
      </c>
      <c r="R30" s="34"/>
      <c r="S30" s="25" t="str">
        <f>"372,5"</f>
        <v>372,5</v>
      </c>
      <c r="T30" s="25" t="str">
        <f>"258,2543"</f>
        <v>258,2543</v>
      </c>
      <c r="U30" s="23" t="s">
        <v>34</v>
      </c>
    </row>
    <row r="31" spans="1:21">
      <c r="A31" s="36" t="s">
        <v>43</v>
      </c>
      <c r="B31" s="26" t="s">
        <v>175</v>
      </c>
      <c r="C31" s="26" t="s">
        <v>176</v>
      </c>
      <c r="D31" s="26" t="s">
        <v>177</v>
      </c>
      <c r="E31" s="27" t="s">
        <v>465</v>
      </c>
      <c r="F31" s="26" t="s">
        <v>178</v>
      </c>
      <c r="G31" s="35" t="s">
        <v>30</v>
      </c>
      <c r="H31" s="35" t="s">
        <v>32</v>
      </c>
      <c r="I31" s="35" t="s">
        <v>84</v>
      </c>
      <c r="J31" s="36"/>
      <c r="K31" s="35" t="s">
        <v>137</v>
      </c>
      <c r="L31" s="35" t="s">
        <v>122</v>
      </c>
      <c r="M31" s="40" t="s">
        <v>114</v>
      </c>
      <c r="N31" s="36"/>
      <c r="O31" s="35" t="s">
        <v>14</v>
      </c>
      <c r="P31" s="35" t="s">
        <v>179</v>
      </c>
      <c r="Q31" s="40" t="s">
        <v>53</v>
      </c>
      <c r="R31" s="36"/>
      <c r="S31" s="28" t="str">
        <f>"510,0"</f>
        <v>510,0</v>
      </c>
      <c r="T31" s="28" t="str">
        <f>"346,0350"</f>
        <v>346,0350</v>
      </c>
      <c r="U31" s="26" t="s">
        <v>180</v>
      </c>
    </row>
    <row r="32" spans="1:21">
      <c r="A32" s="36" t="s">
        <v>43</v>
      </c>
      <c r="B32" s="26" t="s">
        <v>175</v>
      </c>
      <c r="C32" s="26" t="s">
        <v>181</v>
      </c>
      <c r="D32" s="26" t="s">
        <v>177</v>
      </c>
      <c r="E32" s="27" t="s">
        <v>463</v>
      </c>
      <c r="F32" s="26" t="s">
        <v>178</v>
      </c>
      <c r="G32" s="35" t="s">
        <v>30</v>
      </c>
      <c r="H32" s="35" t="s">
        <v>32</v>
      </c>
      <c r="I32" s="35" t="s">
        <v>84</v>
      </c>
      <c r="J32" s="36"/>
      <c r="K32" s="35" t="s">
        <v>137</v>
      </c>
      <c r="L32" s="35" t="s">
        <v>122</v>
      </c>
      <c r="M32" s="40" t="s">
        <v>114</v>
      </c>
      <c r="N32" s="36"/>
      <c r="O32" s="35" t="s">
        <v>14</v>
      </c>
      <c r="P32" s="35" t="s">
        <v>179</v>
      </c>
      <c r="Q32" s="40" t="s">
        <v>53</v>
      </c>
      <c r="R32" s="36"/>
      <c r="S32" s="28" t="str">
        <f>"510,0"</f>
        <v>510,0</v>
      </c>
      <c r="T32" s="28" t="str">
        <f>"346,0350"</f>
        <v>346,0350</v>
      </c>
      <c r="U32" s="26" t="s">
        <v>180</v>
      </c>
    </row>
    <row r="33" spans="1:21">
      <c r="A33" s="38" t="s">
        <v>103</v>
      </c>
      <c r="B33" s="29" t="s">
        <v>182</v>
      </c>
      <c r="C33" s="29" t="s">
        <v>183</v>
      </c>
      <c r="D33" s="29" t="s">
        <v>184</v>
      </c>
      <c r="E33" s="30" t="s">
        <v>463</v>
      </c>
      <c r="F33" s="29" t="s">
        <v>185</v>
      </c>
      <c r="G33" s="37" t="s">
        <v>30</v>
      </c>
      <c r="H33" s="37" t="s">
        <v>70</v>
      </c>
      <c r="I33" s="37" t="s">
        <v>32</v>
      </c>
      <c r="J33" s="38"/>
      <c r="K33" s="37" t="s">
        <v>186</v>
      </c>
      <c r="L33" s="37" t="s">
        <v>111</v>
      </c>
      <c r="M33" s="37" t="s">
        <v>68</v>
      </c>
      <c r="N33" s="38"/>
      <c r="O33" s="37" t="s">
        <v>32</v>
      </c>
      <c r="P33" s="37" t="s">
        <v>14</v>
      </c>
      <c r="Q33" s="39" t="s">
        <v>170</v>
      </c>
      <c r="R33" s="38"/>
      <c r="S33" s="31" t="str">
        <f>"472,5"</f>
        <v>472,5</v>
      </c>
      <c r="T33" s="31" t="str">
        <f>"321,3000"</f>
        <v>321,3000</v>
      </c>
      <c r="U33" s="29" t="s">
        <v>187</v>
      </c>
    </row>
    <row r="35" spans="1:21" ht="16">
      <c r="A35" s="60" t="s">
        <v>10</v>
      </c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21">
      <c r="A36" s="34" t="s">
        <v>43</v>
      </c>
      <c r="B36" s="23" t="s">
        <v>188</v>
      </c>
      <c r="C36" s="23" t="s">
        <v>189</v>
      </c>
      <c r="D36" s="23" t="s">
        <v>190</v>
      </c>
      <c r="E36" s="24" t="s">
        <v>463</v>
      </c>
      <c r="F36" s="23" t="s">
        <v>83</v>
      </c>
      <c r="G36" s="32" t="s">
        <v>15</v>
      </c>
      <c r="H36" s="32" t="s">
        <v>191</v>
      </c>
      <c r="I36" s="32" t="s">
        <v>20</v>
      </c>
      <c r="J36" s="34"/>
      <c r="K36" s="32" t="s">
        <v>18</v>
      </c>
      <c r="L36" s="33" t="s">
        <v>19</v>
      </c>
      <c r="M36" s="32" t="s">
        <v>19</v>
      </c>
      <c r="N36" s="34"/>
      <c r="O36" s="32" t="s">
        <v>60</v>
      </c>
      <c r="P36" s="32" t="s">
        <v>192</v>
      </c>
      <c r="Q36" s="33" t="s">
        <v>193</v>
      </c>
      <c r="R36" s="34"/>
      <c r="S36" s="25" t="str">
        <f>"622,5"</f>
        <v>622,5</v>
      </c>
      <c r="T36" s="25" t="str">
        <f>"398,5245"</f>
        <v>398,5245</v>
      </c>
      <c r="U36" s="23" t="s">
        <v>194</v>
      </c>
    </row>
    <row r="37" spans="1:21">
      <c r="A37" s="38" t="s">
        <v>43</v>
      </c>
      <c r="B37" s="29" t="s">
        <v>195</v>
      </c>
      <c r="C37" s="29" t="s">
        <v>196</v>
      </c>
      <c r="D37" s="29" t="s">
        <v>197</v>
      </c>
      <c r="E37" s="30" t="s">
        <v>466</v>
      </c>
      <c r="F37" s="29" t="s">
        <v>448</v>
      </c>
      <c r="G37" s="37" t="s">
        <v>14</v>
      </c>
      <c r="H37" s="39" t="s">
        <v>179</v>
      </c>
      <c r="I37" s="37" t="s">
        <v>179</v>
      </c>
      <c r="J37" s="38"/>
      <c r="K37" s="39" t="s">
        <v>140</v>
      </c>
      <c r="L37" s="39" t="s">
        <v>140</v>
      </c>
      <c r="M37" s="37" t="s">
        <v>140</v>
      </c>
      <c r="N37" s="38"/>
      <c r="O37" s="37" t="s">
        <v>20</v>
      </c>
      <c r="P37" s="37" t="s">
        <v>21</v>
      </c>
      <c r="Q37" s="39" t="s">
        <v>27</v>
      </c>
      <c r="R37" s="38"/>
      <c r="S37" s="31" t="str">
        <f>"565,0"</f>
        <v>565,0</v>
      </c>
      <c r="T37" s="31" t="str">
        <f>"371,4344"</f>
        <v>371,4344</v>
      </c>
      <c r="U37" s="29" t="s">
        <v>198</v>
      </c>
    </row>
    <row r="39" spans="1:21" ht="16">
      <c r="A39" s="60" t="s">
        <v>88</v>
      </c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21">
      <c r="A40" s="22" t="s">
        <v>43</v>
      </c>
      <c r="B40" s="7" t="s">
        <v>199</v>
      </c>
      <c r="C40" s="7" t="s">
        <v>200</v>
      </c>
      <c r="D40" s="7" t="s">
        <v>201</v>
      </c>
      <c r="E40" s="8" t="s">
        <v>463</v>
      </c>
      <c r="F40" s="7" t="s">
        <v>185</v>
      </c>
      <c r="G40" s="20" t="s">
        <v>202</v>
      </c>
      <c r="H40" s="20" t="s">
        <v>14</v>
      </c>
      <c r="I40" s="21" t="s">
        <v>170</v>
      </c>
      <c r="J40" s="22"/>
      <c r="K40" s="20" t="s">
        <v>140</v>
      </c>
      <c r="L40" s="20" t="s">
        <v>61</v>
      </c>
      <c r="M40" s="21" t="s">
        <v>62</v>
      </c>
      <c r="N40" s="22"/>
      <c r="O40" s="20" t="s">
        <v>21</v>
      </c>
      <c r="P40" s="21" t="s">
        <v>27</v>
      </c>
      <c r="Q40" s="21" t="s">
        <v>27</v>
      </c>
      <c r="R40" s="22"/>
      <c r="S40" s="9" t="str">
        <f>"562,5"</f>
        <v>562,5</v>
      </c>
      <c r="T40" s="9" t="str">
        <f>"342,4500"</f>
        <v>342,4500</v>
      </c>
      <c r="U40" s="7"/>
    </row>
    <row r="42" spans="1:21" ht="16">
      <c r="A42" s="60" t="s">
        <v>23</v>
      </c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21">
      <c r="A43" s="34" t="s">
        <v>43</v>
      </c>
      <c r="B43" s="23" t="s">
        <v>97</v>
      </c>
      <c r="C43" s="23" t="s">
        <v>98</v>
      </c>
      <c r="D43" s="23" t="s">
        <v>99</v>
      </c>
      <c r="E43" s="24" t="s">
        <v>463</v>
      </c>
      <c r="F43" s="23" t="s">
        <v>445</v>
      </c>
      <c r="G43" s="32" t="s">
        <v>27</v>
      </c>
      <c r="H43" s="32" t="s">
        <v>86</v>
      </c>
      <c r="I43" s="32" t="s">
        <v>28</v>
      </c>
      <c r="J43" s="34"/>
      <c r="K43" s="32" t="s">
        <v>48</v>
      </c>
      <c r="L43" s="32" t="s">
        <v>30</v>
      </c>
      <c r="M43" s="33" t="s">
        <v>70</v>
      </c>
      <c r="N43" s="34"/>
      <c r="O43" s="32" t="s">
        <v>28</v>
      </c>
      <c r="P43" s="32" t="s">
        <v>29</v>
      </c>
      <c r="Q43" s="32" t="s">
        <v>92</v>
      </c>
      <c r="R43" s="34"/>
      <c r="S43" s="25" t="str">
        <f>"715,0"</f>
        <v>715,0</v>
      </c>
      <c r="T43" s="25" t="str">
        <f>"420,7775"</f>
        <v>420,7775</v>
      </c>
      <c r="U43" s="23" t="s">
        <v>22</v>
      </c>
    </row>
    <row r="44" spans="1:21">
      <c r="A44" s="36" t="s">
        <v>103</v>
      </c>
      <c r="B44" s="26" t="s">
        <v>100</v>
      </c>
      <c r="C44" s="26" t="s">
        <v>101</v>
      </c>
      <c r="D44" s="26" t="s">
        <v>99</v>
      </c>
      <c r="E44" s="27" t="s">
        <v>463</v>
      </c>
      <c r="F44" s="26" t="s">
        <v>445</v>
      </c>
      <c r="G44" s="35" t="s">
        <v>20</v>
      </c>
      <c r="H44" s="35" t="s">
        <v>21</v>
      </c>
      <c r="I44" s="35" t="s">
        <v>60</v>
      </c>
      <c r="J44" s="36"/>
      <c r="K44" s="35" t="s">
        <v>32</v>
      </c>
      <c r="L44" s="40" t="s">
        <v>84</v>
      </c>
      <c r="M44" s="40" t="s">
        <v>84</v>
      </c>
      <c r="N44" s="36"/>
      <c r="O44" s="35" t="s">
        <v>86</v>
      </c>
      <c r="P44" s="35" t="s">
        <v>55</v>
      </c>
      <c r="Q44" s="35" t="s">
        <v>28</v>
      </c>
      <c r="R44" s="36"/>
      <c r="S44" s="28" t="str">
        <f>"675,0"</f>
        <v>675,0</v>
      </c>
      <c r="T44" s="28" t="str">
        <f>"397,2375"</f>
        <v>397,2375</v>
      </c>
      <c r="U44" s="26" t="s">
        <v>22</v>
      </c>
    </row>
    <row r="45" spans="1:21">
      <c r="A45" s="38" t="s">
        <v>43</v>
      </c>
      <c r="B45" s="29" t="s">
        <v>97</v>
      </c>
      <c r="C45" s="29" t="s">
        <v>102</v>
      </c>
      <c r="D45" s="29" t="s">
        <v>99</v>
      </c>
      <c r="E45" s="30" t="s">
        <v>466</v>
      </c>
      <c r="F45" s="29" t="s">
        <v>445</v>
      </c>
      <c r="G45" s="37" t="s">
        <v>27</v>
      </c>
      <c r="H45" s="37" t="s">
        <v>86</v>
      </c>
      <c r="I45" s="37" t="s">
        <v>28</v>
      </c>
      <c r="J45" s="38"/>
      <c r="K45" s="37" t="s">
        <v>48</v>
      </c>
      <c r="L45" s="37" t="s">
        <v>30</v>
      </c>
      <c r="M45" s="39" t="s">
        <v>70</v>
      </c>
      <c r="N45" s="38"/>
      <c r="O45" s="37" t="s">
        <v>28</v>
      </c>
      <c r="P45" s="37" t="s">
        <v>29</v>
      </c>
      <c r="Q45" s="37" t="s">
        <v>92</v>
      </c>
      <c r="R45" s="38"/>
      <c r="S45" s="31" t="str">
        <f>"715,0"</f>
        <v>715,0</v>
      </c>
      <c r="T45" s="31" t="str">
        <f>"426,6684"</f>
        <v>426,6684</v>
      </c>
      <c r="U45" s="29" t="s">
        <v>22</v>
      </c>
    </row>
    <row r="47" spans="1:21" ht="16">
      <c r="A47" s="60" t="s">
        <v>203</v>
      </c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21">
      <c r="A48" s="22" t="s">
        <v>43</v>
      </c>
      <c r="B48" s="7" t="s">
        <v>204</v>
      </c>
      <c r="C48" s="7" t="s">
        <v>205</v>
      </c>
      <c r="D48" s="7" t="s">
        <v>206</v>
      </c>
      <c r="E48" s="8" t="s">
        <v>463</v>
      </c>
      <c r="F48" s="7" t="s">
        <v>207</v>
      </c>
      <c r="G48" s="20" t="s">
        <v>70</v>
      </c>
      <c r="H48" s="20" t="s">
        <v>84</v>
      </c>
      <c r="I48" s="20" t="s">
        <v>170</v>
      </c>
      <c r="J48" s="22"/>
      <c r="K48" s="20" t="s">
        <v>48</v>
      </c>
      <c r="L48" s="20" t="s">
        <v>208</v>
      </c>
      <c r="M48" s="20" t="s">
        <v>209</v>
      </c>
      <c r="N48" s="22"/>
      <c r="O48" s="20" t="s">
        <v>55</v>
      </c>
      <c r="P48" s="20" t="s">
        <v>56</v>
      </c>
      <c r="Q48" s="20" t="s">
        <v>29</v>
      </c>
      <c r="R48" s="22"/>
      <c r="S48" s="9" t="str">
        <f>"632,5"</f>
        <v>632,5</v>
      </c>
      <c r="T48" s="9" t="str">
        <f>"360,5883"</f>
        <v>360,5883</v>
      </c>
      <c r="U48" s="7" t="s">
        <v>87</v>
      </c>
    </row>
    <row r="50" spans="2:7">
      <c r="G50" s="5"/>
    </row>
    <row r="52" spans="2:7" ht="18">
      <c r="B52" s="11" t="s">
        <v>35</v>
      </c>
      <c r="C52" s="11"/>
    </row>
    <row r="53" spans="2:7" ht="16">
      <c r="B53" s="12" t="s">
        <v>36</v>
      </c>
      <c r="C53" s="12"/>
    </row>
    <row r="54" spans="2:7" ht="14">
      <c r="B54" s="13"/>
      <c r="C54" s="14" t="s">
        <v>210</v>
      </c>
    </row>
    <row r="55" spans="2:7" ht="14">
      <c r="B55" s="15" t="s">
        <v>38</v>
      </c>
      <c r="C55" s="15" t="s">
        <v>39</v>
      </c>
      <c r="D55" s="15" t="s">
        <v>454</v>
      </c>
      <c r="E55" s="16" t="s">
        <v>40</v>
      </c>
      <c r="F55" s="15" t="s">
        <v>41</v>
      </c>
    </row>
    <row r="56" spans="2:7">
      <c r="B56" s="5" t="s">
        <v>175</v>
      </c>
      <c r="C56" s="5" t="s">
        <v>211</v>
      </c>
      <c r="D56" s="18" t="s">
        <v>139</v>
      </c>
      <c r="E56" s="19">
        <v>510</v>
      </c>
      <c r="F56" s="17">
        <v>346.034998297691</v>
      </c>
    </row>
    <row r="57" spans="2:7">
      <c r="B57" s="5" t="s">
        <v>145</v>
      </c>
      <c r="C57" s="5" t="s">
        <v>212</v>
      </c>
      <c r="D57" s="18" t="s">
        <v>113</v>
      </c>
      <c r="E57" s="19">
        <v>355</v>
      </c>
      <c r="F57" s="17">
        <v>303.702493906021</v>
      </c>
    </row>
    <row r="58" spans="2:7">
      <c r="B58" s="5" t="s">
        <v>134</v>
      </c>
      <c r="C58" s="5" t="s">
        <v>212</v>
      </c>
      <c r="D58" s="18" t="s">
        <v>417</v>
      </c>
      <c r="E58" s="19">
        <v>332.5</v>
      </c>
      <c r="F58" s="17">
        <v>302.67475545406302</v>
      </c>
    </row>
    <row r="60" spans="2:7" ht="14">
      <c r="B60" s="13"/>
      <c r="C60" s="14" t="s">
        <v>37</v>
      </c>
    </row>
    <row r="61" spans="2:7" ht="14">
      <c r="B61" s="15" t="s">
        <v>38</v>
      </c>
      <c r="C61" s="15" t="s">
        <v>39</v>
      </c>
      <c r="D61" s="15" t="s">
        <v>454</v>
      </c>
      <c r="E61" s="16" t="s">
        <v>40</v>
      </c>
      <c r="F61" s="15" t="s">
        <v>41</v>
      </c>
    </row>
    <row r="62" spans="2:7">
      <c r="B62" s="5" t="s">
        <v>97</v>
      </c>
      <c r="C62" s="5" t="s">
        <v>37</v>
      </c>
      <c r="D62" s="18" t="s">
        <v>69</v>
      </c>
      <c r="E62" s="19">
        <v>715</v>
      </c>
      <c r="F62" s="17">
        <v>420.77751636505099</v>
      </c>
    </row>
    <row r="63" spans="2:7">
      <c r="B63" s="5" t="s">
        <v>188</v>
      </c>
      <c r="C63" s="5" t="s">
        <v>37</v>
      </c>
      <c r="D63" s="18" t="s">
        <v>109</v>
      </c>
      <c r="E63" s="19">
        <v>622.5</v>
      </c>
      <c r="F63" s="17">
        <v>398.52451175451301</v>
      </c>
    </row>
    <row r="64" spans="2:7">
      <c r="B64" s="5" t="s">
        <v>100</v>
      </c>
      <c r="C64" s="5" t="s">
        <v>37</v>
      </c>
      <c r="D64" s="18" t="s">
        <v>69</v>
      </c>
      <c r="E64" s="19">
        <v>675</v>
      </c>
      <c r="F64" s="17">
        <v>397.23751544952398</v>
      </c>
      <c r="G64" s="5"/>
    </row>
  </sheetData>
  <mergeCells count="25">
    <mergeCell ref="A29:R29"/>
    <mergeCell ref="A35:R35"/>
    <mergeCell ref="A39:R39"/>
    <mergeCell ref="A42:R42"/>
    <mergeCell ref="A47:R47"/>
    <mergeCell ref="A22:R22"/>
    <mergeCell ref="A25:R25"/>
    <mergeCell ref="S3:S4"/>
    <mergeCell ref="T3:T4"/>
    <mergeCell ref="U3:U4"/>
    <mergeCell ref="A5:R5"/>
    <mergeCell ref="B3:B4"/>
    <mergeCell ref="A8:R8"/>
    <mergeCell ref="A11:R11"/>
    <mergeCell ref="A14:R14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779D3-C34C-48B7-89D7-B3288A9F7A70}">
  <dimension ref="A1:M12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31.1640625" style="5" bestFit="1" customWidth="1"/>
    <col min="7" max="9" width="5.33203125" style="18" customWidth="1"/>
    <col min="10" max="10" width="4.6640625" style="18" customWidth="1"/>
    <col min="11" max="11" width="10.5" style="6" bestFit="1" customWidth="1"/>
    <col min="12" max="12" width="7.33203125" style="6" bestFit="1" customWidth="1"/>
    <col min="13" max="13" width="15" style="5" customWidth="1"/>
    <col min="14" max="16384" width="9.1640625" style="3"/>
  </cols>
  <sheetData>
    <row r="1" spans="1:13" s="2" customFormat="1" ht="29" customHeight="1">
      <c r="A1" s="45" t="s">
        <v>434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44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34" t="s">
        <v>43</v>
      </c>
      <c r="B6" s="23" t="s">
        <v>298</v>
      </c>
      <c r="C6" s="23" t="s">
        <v>299</v>
      </c>
      <c r="D6" s="23" t="s">
        <v>300</v>
      </c>
      <c r="E6" s="24" t="s">
        <v>467</v>
      </c>
      <c r="F6" s="23" t="s">
        <v>178</v>
      </c>
      <c r="G6" s="32" t="s">
        <v>114</v>
      </c>
      <c r="H6" s="32" t="s">
        <v>140</v>
      </c>
      <c r="I6" s="32" t="s">
        <v>221</v>
      </c>
      <c r="J6" s="34"/>
      <c r="K6" s="25" t="str">
        <f>"137,5"</f>
        <v>137,5</v>
      </c>
      <c r="L6" s="25" t="str">
        <f>"92,1800"</f>
        <v>92,1800</v>
      </c>
      <c r="M6" s="23" t="s">
        <v>180</v>
      </c>
    </row>
    <row r="7" spans="1:13">
      <c r="A7" s="38" t="s">
        <v>43</v>
      </c>
      <c r="B7" s="29" t="s">
        <v>298</v>
      </c>
      <c r="C7" s="29" t="s">
        <v>301</v>
      </c>
      <c r="D7" s="29" t="s">
        <v>300</v>
      </c>
      <c r="E7" s="30" t="s">
        <v>463</v>
      </c>
      <c r="F7" s="29" t="s">
        <v>178</v>
      </c>
      <c r="G7" s="37" t="s">
        <v>114</v>
      </c>
      <c r="H7" s="37" t="s">
        <v>140</v>
      </c>
      <c r="I7" s="37" t="s">
        <v>221</v>
      </c>
      <c r="J7" s="38"/>
      <c r="K7" s="31" t="str">
        <f>"137,5"</f>
        <v>137,5</v>
      </c>
      <c r="L7" s="31" t="str">
        <f>"92,1800"</f>
        <v>92,1800</v>
      </c>
      <c r="M7" s="29" t="s">
        <v>180</v>
      </c>
    </row>
    <row r="9" spans="1:13" ht="16">
      <c r="A9" s="60" t="s">
        <v>23</v>
      </c>
      <c r="B9" s="60"/>
      <c r="C9" s="61"/>
      <c r="D9" s="61"/>
      <c r="E9" s="61"/>
      <c r="F9" s="61"/>
      <c r="G9" s="61"/>
      <c r="H9" s="61"/>
      <c r="I9" s="61"/>
      <c r="J9" s="61"/>
    </row>
    <row r="10" spans="1:13">
      <c r="A10" s="22" t="s">
        <v>253</v>
      </c>
      <c r="B10" s="7" t="s">
        <v>288</v>
      </c>
      <c r="C10" s="7" t="s">
        <v>289</v>
      </c>
      <c r="D10" s="7" t="s">
        <v>290</v>
      </c>
      <c r="E10" s="8" t="s">
        <v>463</v>
      </c>
      <c r="F10" s="7" t="s">
        <v>108</v>
      </c>
      <c r="G10" s="21" t="s">
        <v>70</v>
      </c>
      <c r="H10" s="21" t="s">
        <v>70</v>
      </c>
      <c r="I10" s="21" t="s">
        <v>70</v>
      </c>
      <c r="J10" s="22"/>
      <c r="K10" s="41">
        <v>0</v>
      </c>
      <c r="L10" s="9" t="str">
        <f>"0,0000"</f>
        <v>0,0000</v>
      </c>
      <c r="M10" s="7" t="s">
        <v>87</v>
      </c>
    </row>
    <row r="12" spans="1:13">
      <c r="E12" s="5"/>
      <c r="F12" s="10"/>
      <c r="G12" s="5"/>
      <c r="K12" s="18"/>
      <c r="M12" s="6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C8D4-F4C2-4AE6-8952-8AEFDAEABAE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31.1640625" style="5" bestFit="1" customWidth="1"/>
    <col min="7" max="9" width="5.33203125" style="18" customWidth="1"/>
    <col min="10" max="10" width="4.6640625" style="18" customWidth="1"/>
    <col min="11" max="11" width="10.5" style="6" bestFit="1" customWidth="1"/>
    <col min="12" max="12" width="8.3320312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45" t="s">
        <v>438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22" t="s">
        <v>43</v>
      </c>
      <c r="B6" s="7" t="s">
        <v>80</v>
      </c>
      <c r="C6" s="7" t="s">
        <v>81</v>
      </c>
      <c r="D6" s="7" t="s">
        <v>82</v>
      </c>
      <c r="E6" s="8" t="s">
        <v>463</v>
      </c>
      <c r="F6" s="7" t="s">
        <v>83</v>
      </c>
      <c r="G6" s="20" t="s">
        <v>70</v>
      </c>
      <c r="H6" s="21" t="s">
        <v>202</v>
      </c>
      <c r="I6" s="21" t="s">
        <v>202</v>
      </c>
      <c r="J6" s="22"/>
      <c r="K6" s="9" t="str">
        <f>"175,0"</f>
        <v>175,0</v>
      </c>
      <c r="L6" s="9" t="str">
        <f>"111,8425"</f>
        <v>111,8425</v>
      </c>
      <c r="M6" s="7" t="s">
        <v>87</v>
      </c>
    </row>
    <row r="8" spans="1:13" ht="16">
      <c r="A8" s="60" t="s">
        <v>203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22" t="s">
        <v>43</v>
      </c>
      <c r="B9" s="7" t="s">
        <v>214</v>
      </c>
      <c r="C9" s="7" t="s">
        <v>215</v>
      </c>
      <c r="D9" s="7" t="s">
        <v>216</v>
      </c>
      <c r="E9" s="8" t="s">
        <v>463</v>
      </c>
      <c r="F9" s="7" t="s">
        <v>452</v>
      </c>
      <c r="G9" s="20" t="s">
        <v>48</v>
      </c>
      <c r="H9" s="20" t="s">
        <v>202</v>
      </c>
      <c r="I9" s="20" t="s">
        <v>170</v>
      </c>
      <c r="J9" s="22"/>
      <c r="K9" s="9" t="str">
        <f>"195,0"</f>
        <v>195,0</v>
      </c>
      <c r="L9" s="9" t="str">
        <f>"111,5985"</f>
        <v>111,5985</v>
      </c>
      <c r="M9" s="7" t="s">
        <v>414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A05B-DE1C-4C9E-9037-CF7395635D89}">
  <dimension ref="A1:M8"/>
  <sheetViews>
    <sheetView workbookViewId="0">
      <selection activeCell="E9" sqref="E9"/>
    </sheetView>
  </sheetViews>
  <sheetFormatPr baseColWidth="10" defaultColWidth="9.1640625" defaultRowHeight="13"/>
  <cols>
    <col min="1" max="1" width="7.1640625" style="5" bestFit="1" customWidth="1"/>
    <col min="2" max="2" width="21" style="5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7.5" style="5" bestFit="1" customWidth="1"/>
    <col min="7" max="9" width="5.33203125" style="18" customWidth="1"/>
    <col min="10" max="10" width="4.6640625" style="18" customWidth="1"/>
    <col min="11" max="11" width="10.5" style="6" bestFit="1" customWidth="1"/>
    <col min="12" max="12" width="8.3320312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45" t="s">
        <v>435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44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34" t="s">
        <v>43</v>
      </c>
      <c r="B6" s="23" t="s">
        <v>294</v>
      </c>
      <c r="C6" s="23" t="s">
        <v>295</v>
      </c>
      <c r="D6" s="23" t="s">
        <v>52</v>
      </c>
      <c r="E6" s="24" t="s">
        <v>463</v>
      </c>
      <c r="F6" s="23" t="s">
        <v>447</v>
      </c>
      <c r="G6" s="32" t="s">
        <v>48</v>
      </c>
      <c r="H6" s="32" t="s">
        <v>30</v>
      </c>
      <c r="I6" s="33" t="s">
        <v>31</v>
      </c>
      <c r="J6" s="34"/>
      <c r="K6" s="25" t="str">
        <f>"170,0"</f>
        <v>170,0</v>
      </c>
      <c r="L6" s="25" t="str">
        <f>"109,5820"</f>
        <v>109,5820</v>
      </c>
      <c r="M6" s="23"/>
    </row>
    <row r="7" spans="1:13">
      <c r="A7" s="36" t="s">
        <v>103</v>
      </c>
      <c r="B7" s="26" t="s">
        <v>296</v>
      </c>
      <c r="C7" s="26" t="s">
        <v>297</v>
      </c>
      <c r="D7" s="26" t="s">
        <v>52</v>
      </c>
      <c r="E7" s="27" t="s">
        <v>463</v>
      </c>
      <c r="F7" s="26" t="s">
        <v>447</v>
      </c>
      <c r="G7" s="35" t="s">
        <v>151</v>
      </c>
      <c r="H7" s="35" t="s">
        <v>208</v>
      </c>
      <c r="I7" s="40" t="s">
        <v>70</v>
      </c>
      <c r="J7" s="36"/>
      <c r="K7" s="28" t="str">
        <f>"165,0"</f>
        <v>165,0</v>
      </c>
      <c r="L7" s="28" t="str">
        <f>"106,3590"</f>
        <v>106,3590</v>
      </c>
      <c r="M7" s="26" t="s">
        <v>276</v>
      </c>
    </row>
    <row r="8" spans="1:13">
      <c r="A8" s="38" t="s">
        <v>43</v>
      </c>
      <c r="B8" s="29" t="s">
        <v>274</v>
      </c>
      <c r="C8" s="29" t="s">
        <v>275</v>
      </c>
      <c r="D8" s="29" t="s">
        <v>52</v>
      </c>
      <c r="E8" s="30" t="s">
        <v>466</v>
      </c>
      <c r="F8" s="29" t="s">
        <v>447</v>
      </c>
      <c r="G8" s="39" t="s">
        <v>32</v>
      </c>
      <c r="H8" s="37" t="s">
        <v>14</v>
      </c>
      <c r="I8" s="39" t="s">
        <v>75</v>
      </c>
      <c r="J8" s="38"/>
      <c r="K8" s="31" t="str">
        <f>"190,0"</f>
        <v>190,0</v>
      </c>
      <c r="L8" s="31" t="str">
        <f>"124,9235"</f>
        <v>124,9235</v>
      </c>
      <c r="M8" s="29" t="s">
        <v>276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CADF-AE0D-4293-AD26-6917037F6AC1}">
  <dimension ref="A1:M59"/>
  <sheetViews>
    <sheetView topLeftCell="A17" workbookViewId="0">
      <selection activeCell="E50" sqref="E50"/>
    </sheetView>
  </sheetViews>
  <sheetFormatPr baseColWidth="10" defaultColWidth="9.1640625" defaultRowHeight="13"/>
  <cols>
    <col min="1" max="1" width="7.1640625" style="5" bestFit="1" customWidth="1"/>
    <col min="2" max="2" width="22.33203125" style="5" bestFit="1" customWidth="1"/>
    <col min="3" max="3" width="27.1640625" style="5" bestFit="1" customWidth="1"/>
    <col min="4" max="4" width="21" style="5" bestFit="1" customWidth="1"/>
    <col min="5" max="5" width="10.1640625" style="10" bestFit="1" customWidth="1"/>
    <col min="6" max="6" width="38.83203125" style="5" bestFit="1" customWidth="1"/>
    <col min="7" max="7" width="5.5" style="18" customWidth="1"/>
    <col min="8" max="9" width="5.33203125" style="18" customWidth="1"/>
    <col min="10" max="10" width="4.6640625" style="18" customWidth="1"/>
    <col min="11" max="11" width="10.5" style="6" bestFit="1" customWidth="1"/>
    <col min="12" max="12" width="8.3320312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5" t="s">
        <v>432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9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333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22" t="s">
        <v>43</v>
      </c>
      <c r="B6" s="7" t="s">
        <v>334</v>
      </c>
      <c r="C6" s="7" t="s">
        <v>335</v>
      </c>
      <c r="D6" s="7" t="s">
        <v>336</v>
      </c>
      <c r="E6" s="8" t="s">
        <v>464</v>
      </c>
      <c r="F6" s="7" t="s">
        <v>129</v>
      </c>
      <c r="G6" s="20" t="s">
        <v>337</v>
      </c>
      <c r="H6" s="20" t="s">
        <v>338</v>
      </c>
      <c r="I6" s="20" t="s">
        <v>120</v>
      </c>
      <c r="J6" s="22"/>
      <c r="K6" s="9" t="str">
        <f>"50,0"</f>
        <v>50,0</v>
      </c>
      <c r="L6" s="9" t="str">
        <f>"74,6800"</f>
        <v>74,6800</v>
      </c>
      <c r="M6" s="7" t="s">
        <v>339</v>
      </c>
    </row>
    <row r="8" spans="1:13" ht="16">
      <c r="A8" s="60" t="s">
        <v>104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22" t="s">
        <v>43</v>
      </c>
      <c r="B9" s="7" t="s">
        <v>105</v>
      </c>
      <c r="C9" s="7" t="s">
        <v>106</v>
      </c>
      <c r="D9" s="7" t="s">
        <v>107</v>
      </c>
      <c r="E9" s="8" t="s">
        <v>463</v>
      </c>
      <c r="F9" s="7" t="s">
        <v>108</v>
      </c>
      <c r="G9" s="20" t="s">
        <v>114</v>
      </c>
      <c r="H9" s="21" t="s">
        <v>17</v>
      </c>
      <c r="I9" s="21" t="s">
        <v>17</v>
      </c>
      <c r="J9" s="22"/>
      <c r="K9" s="9" t="str">
        <f>"130,0"</f>
        <v>130,0</v>
      </c>
      <c r="L9" s="9" t="str">
        <f>"172,7050"</f>
        <v>172,7050</v>
      </c>
      <c r="M9" s="7" t="s">
        <v>87</v>
      </c>
    </row>
    <row r="11" spans="1:13" ht="16">
      <c r="A11" s="60" t="s">
        <v>340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22" t="s">
        <v>43</v>
      </c>
      <c r="B12" s="7" t="s">
        <v>341</v>
      </c>
      <c r="C12" s="7" t="s">
        <v>342</v>
      </c>
      <c r="D12" s="7" t="s">
        <v>343</v>
      </c>
      <c r="E12" s="8" t="s">
        <v>463</v>
      </c>
      <c r="F12" s="7" t="s">
        <v>129</v>
      </c>
      <c r="G12" s="20" t="s">
        <v>138</v>
      </c>
      <c r="H12" s="20" t="s">
        <v>150</v>
      </c>
      <c r="I12" s="21" t="s">
        <v>68</v>
      </c>
      <c r="J12" s="22"/>
      <c r="K12" s="9" t="str">
        <f>"92,5"</f>
        <v>92,5</v>
      </c>
      <c r="L12" s="9" t="str">
        <f>"118,1133"</f>
        <v>118,1133</v>
      </c>
      <c r="M12" s="7" t="s">
        <v>411</v>
      </c>
    </row>
    <row r="14" spans="1:13" ht="16">
      <c r="A14" s="60" t="s">
        <v>115</v>
      </c>
      <c r="B14" s="60"/>
      <c r="C14" s="61"/>
      <c r="D14" s="61"/>
      <c r="E14" s="61"/>
      <c r="F14" s="61"/>
      <c r="G14" s="61"/>
      <c r="H14" s="61"/>
      <c r="I14" s="61"/>
      <c r="J14" s="61"/>
    </row>
    <row r="15" spans="1:13">
      <c r="A15" s="22" t="s">
        <v>43</v>
      </c>
      <c r="B15" s="7" t="s">
        <v>116</v>
      </c>
      <c r="C15" s="7" t="s">
        <v>117</v>
      </c>
      <c r="D15" s="7" t="s">
        <v>118</v>
      </c>
      <c r="E15" s="8" t="s">
        <v>463</v>
      </c>
      <c r="F15" s="7" t="s">
        <v>447</v>
      </c>
      <c r="G15" s="20" t="s">
        <v>69</v>
      </c>
      <c r="H15" s="20" t="s">
        <v>122</v>
      </c>
      <c r="I15" s="21" t="s">
        <v>123</v>
      </c>
      <c r="J15" s="22"/>
      <c r="K15" s="9" t="str">
        <f>"125,0"</f>
        <v>125,0</v>
      </c>
      <c r="L15" s="9" t="str">
        <f>"142,1375"</f>
        <v>142,1375</v>
      </c>
      <c r="M15" s="7" t="s">
        <v>124</v>
      </c>
    </row>
    <row r="17" spans="1:13" ht="16">
      <c r="A17" s="60" t="s">
        <v>340</v>
      </c>
      <c r="B17" s="60"/>
      <c r="C17" s="61"/>
      <c r="D17" s="61"/>
      <c r="E17" s="61"/>
      <c r="F17" s="61"/>
      <c r="G17" s="61"/>
      <c r="H17" s="61"/>
      <c r="I17" s="61"/>
      <c r="J17" s="61"/>
    </row>
    <row r="18" spans="1:13">
      <c r="A18" s="34" t="s">
        <v>43</v>
      </c>
      <c r="B18" s="23" t="s">
        <v>344</v>
      </c>
      <c r="C18" s="23" t="s">
        <v>345</v>
      </c>
      <c r="D18" s="23" t="s">
        <v>346</v>
      </c>
      <c r="E18" s="24" t="s">
        <v>464</v>
      </c>
      <c r="F18" s="23" t="s">
        <v>453</v>
      </c>
      <c r="G18" s="32" t="s">
        <v>131</v>
      </c>
      <c r="H18" s="32" t="s">
        <v>156</v>
      </c>
      <c r="I18" s="34"/>
      <c r="J18" s="34"/>
      <c r="K18" s="25" t="str">
        <f>"75,0"</f>
        <v>75,0</v>
      </c>
      <c r="L18" s="25" t="str">
        <f>"74,6550"</f>
        <v>74,6550</v>
      </c>
      <c r="M18" s="23" t="s">
        <v>34</v>
      </c>
    </row>
    <row r="19" spans="1:13">
      <c r="A19" s="36" t="s">
        <v>103</v>
      </c>
      <c r="B19" s="26" t="s">
        <v>347</v>
      </c>
      <c r="C19" s="26" t="s">
        <v>348</v>
      </c>
      <c r="D19" s="26" t="s">
        <v>349</v>
      </c>
      <c r="E19" s="27" t="s">
        <v>464</v>
      </c>
      <c r="F19" s="26" t="s">
        <v>455</v>
      </c>
      <c r="G19" s="40" t="s">
        <v>113</v>
      </c>
      <c r="H19" s="35" t="s">
        <v>130</v>
      </c>
      <c r="I19" s="35" t="s">
        <v>131</v>
      </c>
      <c r="J19" s="36"/>
      <c r="K19" s="28" t="str">
        <f>"70,0"</f>
        <v>70,0</v>
      </c>
      <c r="L19" s="28" t="str">
        <f>"68,9710"</f>
        <v>68,9710</v>
      </c>
      <c r="M19" s="26" t="s">
        <v>34</v>
      </c>
    </row>
    <row r="20" spans="1:13">
      <c r="A20" s="38" t="s">
        <v>250</v>
      </c>
      <c r="B20" s="29" t="s">
        <v>347</v>
      </c>
      <c r="C20" s="29" t="s">
        <v>348</v>
      </c>
      <c r="D20" s="29" t="s">
        <v>349</v>
      </c>
      <c r="E20" s="30" t="s">
        <v>464</v>
      </c>
      <c r="F20" s="29" t="s">
        <v>455</v>
      </c>
      <c r="G20" s="39" t="s">
        <v>113</v>
      </c>
      <c r="H20" s="37" t="s">
        <v>130</v>
      </c>
      <c r="I20" s="37" t="s">
        <v>131</v>
      </c>
      <c r="J20" s="38"/>
      <c r="K20" s="31" t="str">
        <f>"70,0"</f>
        <v>70,0</v>
      </c>
      <c r="L20" s="31" t="str">
        <f>"68,9710"</f>
        <v>68,9710</v>
      </c>
      <c r="M20" s="29" t="s">
        <v>34</v>
      </c>
    </row>
    <row r="22" spans="1:13" ht="16">
      <c r="A22" s="60" t="s">
        <v>133</v>
      </c>
      <c r="B22" s="60"/>
      <c r="C22" s="61"/>
      <c r="D22" s="61"/>
      <c r="E22" s="61"/>
      <c r="F22" s="61"/>
      <c r="G22" s="61"/>
      <c r="H22" s="61"/>
      <c r="I22" s="61"/>
      <c r="J22" s="61"/>
    </row>
    <row r="23" spans="1:13">
      <c r="A23" s="22" t="s">
        <v>43</v>
      </c>
      <c r="B23" s="7" t="s">
        <v>350</v>
      </c>
      <c r="C23" s="7" t="s">
        <v>351</v>
      </c>
      <c r="D23" s="7" t="s">
        <v>136</v>
      </c>
      <c r="E23" s="8" t="s">
        <v>464</v>
      </c>
      <c r="F23" s="7" t="s">
        <v>453</v>
      </c>
      <c r="G23" s="20" t="s">
        <v>137</v>
      </c>
      <c r="H23" s="20" t="s">
        <v>114</v>
      </c>
      <c r="I23" s="20" t="s">
        <v>17</v>
      </c>
      <c r="J23" s="22"/>
      <c r="K23" s="9" t="str">
        <f>"140,0"</f>
        <v>140,0</v>
      </c>
      <c r="L23" s="9" t="str">
        <f>"127,4420"</f>
        <v>127,4420</v>
      </c>
      <c r="M23" s="7" t="s">
        <v>34</v>
      </c>
    </row>
    <row r="25" spans="1:13" ht="16">
      <c r="A25" s="60" t="s">
        <v>115</v>
      </c>
      <c r="B25" s="60"/>
      <c r="C25" s="61"/>
      <c r="D25" s="61"/>
      <c r="E25" s="61"/>
      <c r="F25" s="61"/>
      <c r="G25" s="61"/>
      <c r="H25" s="61"/>
      <c r="I25" s="61"/>
      <c r="J25" s="61"/>
    </row>
    <row r="26" spans="1:13">
      <c r="A26" s="22" t="s">
        <v>43</v>
      </c>
      <c r="B26" s="7" t="s">
        <v>145</v>
      </c>
      <c r="C26" s="7" t="s">
        <v>146</v>
      </c>
      <c r="D26" s="7" t="s">
        <v>147</v>
      </c>
      <c r="E26" s="8" t="s">
        <v>464</v>
      </c>
      <c r="F26" s="7" t="s">
        <v>83</v>
      </c>
      <c r="G26" s="20" t="s">
        <v>151</v>
      </c>
      <c r="H26" s="20" t="s">
        <v>48</v>
      </c>
      <c r="I26" s="21" t="s">
        <v>152</v>
      </c>
      <c r="J26" s="22"/>
      <c r="K26" s="9" t="str">
        <f>"160,0"</f>
        <v>160,0</v>
      </c>
      <c r="L26" s="9" t="str">
        <f>"136,8800"</f>
        <v>136,8800</v>
      </c>
      <c r="M26" s="7" t="s">
        <v>87</v>
      </c>
    </row>
    <row r="28" spans="1:13" ht="16">
      <c r="A28" s="60" t="s">
        <v>157</v>
      </c>
      <c r="B28" s="60"/>
      <c r="C28" s="61"/>
      <c r="D28" s="61"/>
      <c r="E28" s="61"/>
      <c r="F28" s="61"/>
      <c r="G28" s="61"/>
      <c r="H28" s="61"/>
      <c r="I28" s="61"/>
      <c r="J28" s="61"/>
    </row>
    <row r="29" spans="1:13">
      <c r="A29" s="34" t="s">
        <v>43</v>
      </c>
      <c r="B29" s="23" t="s">
        <v>352</v>
      </c>
      <c r="C29" s="23" t="s">
        <v>353</v>
      </c>
      <c r="D29" s="23" t="s">
        <v>354</v>
      </c>
      <c r="E29" s="24" t="s">
        <v>464</v>
      </c>
      <c r="F29" s="23" t="s">
        <v>355</v>
      </c>
      <c r="G29" s="32" t="s">
        <v>137</v>
      </c>
      <c r="H29" s="32" t="s">
        <v>114</v>
      </c>
      <c r="I29" s="32" t="s">
        <v>17</v>
      </c>
      <c r="J29" s="34"/>
      <c r="K29" s="25" t="str">
        <f>"140,0"</f>
        <v>140,0</v>
      </c>
      <c r="L29" s="25" t="str">
        <f>"112,7980"</f>
        <v>112,7980</v>
      </c>
      <c r="M29" s="23" t="s">
        <v>34</v>
      </c>
    </row>
    <row r="30" spans="1:13">
      <c r="A30" s="36" t="s">
        <v>103</v>
      </c>
      <c r="B30" s="26" t="s">
        <v>356</v>
      </c>
      <c r="C30" s="26" t="s">
        <v>357</v>
      </c>
      <c r="D30" s="26" t="s">
        <v>160</v>
      </c>
      <c r="E30" s="27" t="s">
        <v>464</v>
      </c>
      <c r="F30" s="26" t="s">
        <v>453</v>
      </c>
      <c r="G30" s="40" t="s">
        <v>109</v>
      </c>
      <c r="H30" s="35" t="s">
        <v>109</v>
      </c>
      <c r="I30" s="35" t="s">
        <v>111</v>
      </c>
      <c r="J30" s="36"/>
      <c r="K30" s="28" t="str">
        <f>"100,0"</f>
        <v>100,0</v>
      </c>
      <c r="L30" s="28" t="str">
        <f>"77,1000"</f>
        <v>77,1000</v>
      </c>
      <c r="M30" s="26" t="s">
        <v>34</v>
      </c>
    </row>
    <row r="31" spans="1:13">
      <c r="A31" s="38" t="s">
        <v>43</v>
      </c>
      <c r="B31" s="29" t="s">
        <v>358</v>
      </c>
      <c r="C31" s="29" t="s">
        <v>359</v>
      </c>
      <c r="D31" s="29" t="s">
        <v>160</v>
      </c>
      <c r="E31" s="30" t="s">
        <v>467</v>
      </c>
      <c r="F31" s="29" t="s">
        <v>360</v>
      </c>
      <c r="G31" s="37" t="s">
        <v>30</v>
      </c>
      <c r="H31" s="37" t="s">
        <v>84</v>
      </c>
      <c r="I31" s="39" t="s">
        <v>15</v>
      </c>
      <c r="J31" s="38"/>
      <c r="K31" s="31" t="str">
        <f>"185,0"</f>
        <v>185,0</v>
      </c>
      <c r="L31" s="31" t="str">
        <f>"142,6350"</f>
        <v>142,6350</v>
      </c>
      <c r="M31" s="29" t="s">
        <v>225</v>
      </c>
    </row>
    <row r="33" spans="1:13" ht="16">
      <c r="A33" s="60" t="s">
        <v>125</v>
      </c>
      <c r="B33" s="60"/>
      <c r="C33" s="61"/>
      <c r="D33" s="61"/>
      <c r="E33" s="61"/>
      <c r="F33" s="61"/>
      <c r="G33" s="61"/>
      <c r="H33" s="61"/>
      <c r="I33" s="61"/>
      <c r="J33" s="61"/>
    </row>
    <row r="34" spans="1:13">
      <c r="A34" s="34" t="s">
        <v>43</v>
      </c>
      <c r="B34" s="23" t="s">
        <v>361</v>
      </c>
      <c r="C34" s="23" t="s">
        <v>362</v>
      </c>
      <c r="D34" s="23" t="s">
        <v>363</v>
      </c>
      <c r="E34" s="24" t="s">
        <v>464</v>
      </c>
      <c r="F34" s="23" t="s">
        <v>453</v>
      </c>
      <c r="G34" s="32" t="s">
        <v>69</v>
      </c>
      <c r="H34" s="33" t="s">
        <v>119</v>
      </c>
      <c r="I34" s="32" t="s">
        <v>119</v>
      </c>
      <c r="J34" s="34"/>
      <c r="K34" s="25" t="str">
        <f>"115,0"</f>
        <v>115,0</v>
      </c>
      <c r="L34" s="25" t="str">
        <f>"81,9490"</f>
        <v>81,9490</v>
      </c>
      <c r="M34" s="23" t="s">
        <v>34</v>
      </c>
    </row>
    <row r="35" spans="1:13">
      <c r="A35" s="36" t="s">
        <v>103</v>
      </c>
      <c r="B35" s="26" t="s">
        <v>364</v>
      </c>
      <c r="C35" s="26" t="s">
        <v>365</v>
      </c>
      <c r="D35" s="26" t="s">
        <v>366</v>
      </c>
      <c r="E35" s="27" t="s">
        <v>464</v>
      </c>
      <c r="F35" s="26" t="s">
        <v>453</v>
      </c>
      <c r="G35" s="35" t="s">
        <v>138</v>
      </c>
      <c r="H35" s="35" t="s">
        <v>109</v>
      </c>
      <c r="I35" s="35" t="s">
        <v>111</v>
      </c>
      <c r="J35" s="36"/>
      <c r="K35" s="28" t="str">
        <f>"100,0"</f>
        <v>100,0</v>
      </c>
      <c r="L35" s="28" t="str">
        <f>"73,5200"</f>
        <v>73,5200</v>
      </c>
      <c r="M35" s="26"/>
    </row>
    <row r="36" spans="1:13">
      <c r="A36" s="38" t="s">
        <v>250</v>
      </c>
      <c r="B36" s="29" t="s">
        <v>367</v>
      </c>
      <c r="C36" s="29" t="s">
        <v>368</v>
      </c>
      <c r="D36" s="29" t="s">
        <v>369</v>
      </c>
      <c r="E36" s="30" t="s">
        <v>464</v>
      </c>
      <c r="F36" s="29" t="s">
        <v>453</v>
      </c>
      <c r="G36" s="37" t="s">
        <v>131</v>
      </c>
      <c r="H36" s="37" t="s">
        <v>138</v>
      </c>
      <c r="I36" s="37" t="s">
        <v>144</v>
      </c>
      <c r="J36" s="38"/>
      <c r="K36" s="31" t="str">
        <f>"85,0"</f>
        <v>85,0</v>
      </c>
      <c r="L36" s="31" t="str">
        <f>"62,1775"</f>
        <v>62,1775</v>
      </c>
      <c r="M36" s="29" t="s">
        <v>34</v>
      </c>
    </row>
    <row r="38" spans="1:13" ht="16">
      <c r="A38" s="60" t="s">
        <v>44</v>
      </c>
      <c r="B38" s="60"/>
      <c r="C38" s="61"/>
      <c r="D38" s="61"/>
      <c r="E38" s="61"/>
      <c r="F38" s="61"/>
      <c r="G38" s="61"/>
      <c r="H38" s="61"/>
      <c r="I38" s="61"/>
      <c r="J38" s="61"/>
    </row>
    <row r="39" spans="1:13">
      <c r="A39" s="22" t="s">
        <v>43</v>
      </c>
      <c r="B39" s="7" t="s">
        <v>182</v>
      </c>
      <c r="C39" s="7" t="s">
        <v>183</v>
      </c>
      <c r="D39" s="7" t="s">
        <v>184</v>
      </c>
      <c r="E39" s="8" t="s">
        <v>463</v>
      </c>
      <c r="F39" s="7" t="s">
        <v>185</v>
      </c>
      <c r="G39" s="20" t="s">
        <v>32</v>
      </c>
      <c r="H39" s="20" t="s">
        <v>14</v>
      </c>
      <c r="I39" s="21" t="s">
        <v>170</v>
      </c>
      <c r="J39" s="22"/>
      <c r="K39" s="9" t="str">
        <f>"190,0"</f>
        <v>190,0</v>
      </c>
      <c r="L39" s="9" t="str">
        <f>"129,2000"</f>
        <v>129,2000</v>
      </c>
      <c r="M39" s="7" t="s">
        <v>187</v>
      </c>
    </row>
    <row r="41" spans="1:13" ht="16">
      <c r="A41" s="60" t="s">
        <v>10</v>
      </c>
      <c r="B41" s="60"/>
      <c r="C41" s="61"/>
      <c r="D41" s="61"/>
      <c r="E41" s="61"/>
      <c r="F41" s="61"/>
      <c r="G41" s="61"/>
      <c r="H41" s="61"/>
      <c r="I41" s="61"/>
      <c r="J41" s="61"/>
    </row>
    <row r="42" spans="1:13">
      <c r="A42" s="22" t="s">
        <v>43</v>
      </c>
      <c r="B42" s="7" t="s">
        <v>370</v>
      </c>
      <c r="C42" s="7" t="s">
        <v>371</v>
      </c>
      <c r="D42" s="7" t="s">
        <v>240</v>
      </c>
      <c r="E42" s="8" t="s">
        <v>463</v>
      </c>
      <c r="F42" s="7" t="s">
        <v>83</v>
      </c>
      <c r="G42" s="20" t="s">
        <v>372</v>
      </c>
      <c r="H42" s="20" t="s">
        <v>373</v>
      </c>
      <c r="I42" s="21" t="s">
        <v>93</v>
      </c>
      <c r="J42" s="22"/>
      <c r="K42" s="9" t="str">
        <f>"275,0"</f>
        <v>275,0</v>
      </c>
      <c r="L42" s="9" t="str">
        <f>"176,3575"</f>
        <v>176,3575</v>
      </c>
      <c r="M42" s="7" t="s">
        <v>87</v>
      </c>
    </row>
    <row r="44" spans="1:13" ht="16">
      <c r="A44" s="60" t="s">
        <v>88</v>
      </c>
      <c r="B44" s="60"/>
      <c r="C44" s="61"/>
      <c r="D44" s="61"/>
      <c r="E44" s="61"/>
      <c r="F44" s="61"/>
      <c r="G44" s="61"/>
      <c r="H44" s="61"/>
      <c r="I44" s="61"/>
      <c r="J44" s="61"/>
    </row>
    <row r="45" spans="1:13">
      <c r="A45" s="34" t="s">
        <v>43</v>
      </c>
      <c r="B45" s="23" t="s">
        <v>374</v>
      </c>
      <c r="C45" s="23" t="s">
        <v>375</v>
      </c>
      <c r="D45" s="23" t="s">
        <v>376</v>
      </c>
      <c r="E45" s="24" t="s">
        <v>464</v>
      </c>
      <c r="F45" s="23" t="s">
        <v>453</v>
      </c>
      <c r="G45" s="32" t="s">
        <v>19</v>
      </c>
      <c r="H45" s="32" t="s">
        <v>48</v>
      </c>
      <c r="I45" s="32" t="s">
        <v>208</v>
      </c>
      <c r="J45" s="34"/>
      <c r="K45" s="25" t="str">
        <f>"165,0"</f>
        <v>165,0</v>
      </c>
      <c r="L45" s="25" t="str">
        <f>"102,6300"</f>
        <v>102,6300</v>
      </c>
      <c r="M45" s="23" t="s">
        <v>34</v>
      </c>
    </row>
    <row r="46" spans="1:13">
      <c r="A46" s="38" t="s">
        <v>43</v>
      </c>
      <c r="B46" s="29" t="s">
        <v>377</v>
      </c>
      <c r="C46" s="29" t="s">
        <v>378</v>
      </c>
      <c r="D46" s="29" t="s">
        <v>379</v>
      </c>
      <c r="E46" s="30" t="s">
        <v>466</v>
      </c>
      <c r="F46" s="29" t="s">
        <v>448</v>
      </c>
      <c r="G46" s="37" t="s">
        <v>21</v>
      </c>
      <c r="H46" s="39" t="s">
        <v>86</v>
      </c>
      <c r="I46" s="39" t="s">
        <v>86</v>
      </c>
      <c r="J46" s="38"/>
      <c r="K46" s="31" t="str">
        <f>"230,0"</f>
        <v>230,0</v>
      </c>
      <c r="L46" s="31" t="str">
        <f>"146,1199"</f>
        <v>146,1199</v>
      </c>
      <c r="M46" s="29" t="s">
        <v>198</v>
      </c>
    </row>
    <row r="48" spans="1:13" ht="16">
      <c r="A48" s="60" t="s">
        <v>203</v>
      </c>
      <c r="B48" s="60"/>
      <c r="C48" s="61"/>
      <c r="D48" s="61"/>
      <c r="E48" s="61"/>
      <c r="F48" s="61"/>
      <c r="G48" s="61"/>
      <c r="H48" s="61"/>
      <c r="I48" s="61"/>
      <c r="J48" s="61"/>
    </row>
    <row r="49" spans="1:13">
      <c r="A49" s="22" t="s">
        <v>43</v>
      </c>
      <c r="B49" s="7" t="s">
        <v>204</v>
      </c>
      <c r="C49" s="7" t="s">
        <v>205</v>
      </c>
      <c r="D49" s="7" t="s">
        <v>206</v>
      </c>
      <c r="E49" s="8" t="s">
        <v>463</v>
      </c>
      <c r="F49" s="7" t="s">
        <v>207</v>
      </c>
      <c r="G49" s="20" t="s">
        <v>55</v>
      </c>
      <c r="H49" s="20" t="s">
        <v>56</v>
      </c>
      <c r="I49" s="20" t="s">
        <v>29</v>
      </c>
      <c r="J49" s="22"/>
      <c r="K49" s="9" t="str">
        <f>"270,0"</f>
        <v>270,0</v>
      </c>
      <c r="L49" s="9" t="str">
        <f>"153,9270"</f>
        <v>153,9270</v>
      </c>
      <c r="M49" s="7" t="s">
        <v>87</v>
      </c>
    </row>
    <row r="51" spans="1:13">
      <c r="G51" s="5"/>
      <c r="K51" s="18"/>
      <c r="M51" s="6"/>
    </row>
    <row r="52" spans="1:13">
      <c r="K52" s="18"/>
      <c r="M52" s="6"/>
    </row>
    <row r="53" spans="1:13" ht="18">
      <c r="B53" s="11" t="s">
        <v>35</v>
      </c>
      <c r="C53" s="11"/>
      <c r="G53" s="3"/>
      <c r="K53" s="18"/>
      <c r="M53" s="6"/>
    </row>
    <row r="54" spans="1:13" ht="16">
      <c r="B54" s="12" t="s">
        <v>36</v>
      </c>
      <c r="C54" s="12"/>
      <c r="G54" s="3"/>
      <c r="K54" s="18"/>
      <c r="M54" s="6"/>
    </row>
    <row r="55" spans="1:13" ht="14">
      <c r="B55" s="13"/>
      <c r="C55" s="14" t="s">
        <v>210</v>
      </c>
      <c r="G55" s="3"/>
      <c r="K55" s="18"/>
      <c r="M55" s="6"/>
    </row>
    <row r="56" spans="1:13" ht="14">
      <c r="B56" s="15" t="s">
        <v>38</v>
      </c>
      <c r="C56" s="15" t="s">
        <v>39</v>
      </c>
      <c r="D56" s="15" t="s">
        <v>454</v>
      </c>
      <c r="E56" s="16" t="s">
        <v>217</v>
      </c>
      <c r="F56" s="15" t="s">
        <v>41</v>
      </c>
      <c r="G56" s="3"/>
      <c r="K56" s="18"/>
      <c r="M56" s="6"/>
    </row>
    <row r="57" spans="1:13">
      <c r="B57" s="5" t="s">
        <v>145</v>
      </c>
      <c r="C57" s="5" t="s">
        <v>212</v>
      </c>
      <c r="D57" s="19">
        <v>60</v>
      </c>
      <c r="E57" s="19">
        <v>160</v>
      </c>
      <c r="F57" s="17">
        <v>136.879997253418</v>
      </c>
      <c r="G57" s="3"/>
      <c r="K57" s="18"/>
      <c r="M57" s="6"/>
    </row>
    <row r="58" spans="1:13">
      <c r="B58" s="5" t="s">
        <v>350</v>
      </c>
      <c r="C58" s="5" t="s">
        <v>212</v>
      </c>
      <c r="D58" s="19">
        <v>56</v>
      </c>
      <c r="E58" s="19">
        <v>140</v>
      </c>
      <c r="F58" s="17">
        <v>127.442002296448</v>
      </c>
      <c r="G58" s="3"/>
      <c r="K58" s="18"/>
      <c r="M58" s="6"/>
    </row>
    <row r="59" spans="1:13">
      <c r="B59" s="5" t="s">
        <v>352</v>
      </c>
      <c r="C59" s="5" t="s">
        <v>212</v>
      </c>
      <c r="D59" s="19" t="s">
        <v>416</v>
      </c>
      <c r="E59" s="19">
        <v>140</v>
      </c>
      <c r="F59" s="17">
        <v>112.798000574112</v>
      </c>
      <c r="G59" s="5"/>
      <c r="K59" s="18"/>
      <c r="M59" s="6"/>
    </row>
  </sheetData>
  <mergeCells count="24">
    <mergeCell ref="A5:J5"/>
    <mergeCell ref="B3:B4"/>
    <mergeCell ref="A48:J48"/>
    <mergeCell ref="A8:J8"/>
    <mergeCell ref="A11:J11"/>
    <mergeCell ref="A14:J14"/>
    <mergeCell ref="A17:J17"/>
    <mergeCell ref="A22:J22"/>
    <mergeCell ref="A25:J25"/>
    <mergeCell ref="A28:J28"/>
    <mergeCell ref="A33:J33"/>
    <mergeCell ref="A38:J38"/>
    <mergeCell ref="A41:J41"/>
    <mergeCell ref="A44:J4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B073-BA8D-4339-AF74-3B420E06978D}">
  <dimension ref="A1:M32"/>
  <sheetViews>
    <sheetView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5.33203125" style="5" bestFit="1" customWidth="1"/>
    <col min="7" max="7" width="5.5" style="18" customWidth="1"/>
    <col min="8" max="9" width="5.33203125" style="18" customWidth="1"/>
    <col min="10" max="10" width="4.6640625" style="18" customWidth="1"/>
    <col min="11" max="11" width="10.5" style="6" bestFit="1" customWidth="1"/>
    <col min="12" max="12" width="8.33203125" style="6" bestFit="1" customWidth="1"/>
    <col min="13" max="13" width="26.6640625" style="5" bestFit="1" customWidth="1"/>
    <col min="14" max="16384" width="9.1640625" style="3"/>
  </cols>
  <sheetData>
    <row r="1" spans="1:13" s="2" customFormat="1" ht="29" customHeight="1">
      <c r="A1" s="45" t="s">
        <v>433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9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34" t="s">
        <v>43</v>
      </c>
      <c r="B6" s="23" t="s">
        <v>80</v>
      </c>
      <c r="C6" s="23" t="s">
        <v>81</v>
      </c>
      <c r="D6" s="23" t="s">
        <v>82</v>
      </c>
      <c r="E6" s="24" t="s">
        <v>463</v>
      </c>
      <c r="F6" s="23" t="s">
        <v>83</v>
      </c>
      <c r="G6" s="33" t="s">
        <v>86</v>
      </c>
      <c r="H6" s="32" t="s">
        <v>86</v>
      </c>
      <c r="I6" s="32" t="s">
        <v>29</v>
      </c>
      <c r="J6" s="34"/>
      <c r="K6" s="25" t="str">
        <f>"270,0"</f>
        <v>270,0</v>
      </c>
      <c r="L6" s="25" t="str">
        <f>"172,5570"</f>
        <v>172,5570</v>
      </c>
      <c r="M6" s="23" t="s">
        <v>87</v>
      </c>
    </row>
    <row r="7" spans="1:13">
      <c r="A7" s="36" t="s">
        <v>103</v>
      </c>
      <c r="B7" s="26" t="s">
        <v>302</v>
      </c>
      <c r="C7" s="26" t="s">
        <v>303</v>
      </c>
      <c r="D7" s="26" t="s">
        <v>304</v>
      </c>
      <c r="E7" s="27" t="s">
        <v>463</v>
      </c>
      <c r="F7" s="26" t="s">
        <v>447</v>
      </c>
      <c r="G7" s="35" t="s">
        <v>20</v>
      </c>
      <c r="H7" s="40" t="s">
        <v>21</v>
      </c>
      <c r="I7" s="35" t="s">
        <v>21</v>
      </c>
      <c r="J7" s="36"/>
      <c r="K7" s="28" t="str">
        <f>"230,0"</f>
        <v>230,0</v>
      </c>
      <c r="L7" s="28" t="str">
        <f>"148,7410"</f>
        <v>148,7410</v>
      </c>
      <c r="M7" s="26" t="s">
        <v>305</v>
      </c>
    </row>
    <row r="8" spans="1:13">
      <c r="A8" s="36" t="s">
        <v>250</v>
      </c>
      <c r="B8" s="26" t="s">
        <v>306</v>
      </c>
      <c r="C8" s="26" t="s">
        <v>307</v>
      </c>
      <c r="D8" s="26" t="s">
        <v>308</v>
      </c>
      <c r="E8" s="27" t="s">
        <v>463</v>
      </c>
      <c r="F8" s="26" t="s">
        <v>446</v>
      </c>
      <c r="G8" s="40" t="s">
        <v>14</v>
      </c>
      <c r="H8" s="35" t="s">
        <v>14</v>
      </c>
      <c r="I8" s="40" t="s">
        <v>53</v>
      </c>
      <c r="J8" s="36"/>
      <c r="K8" s="28" t="str">
        <f>"190,0"</f>
        <v>190,0</v>
      </c>
      <c r="L8" s="28" t="str">
        <f>"123,1010"</f>
        <v>123,1010</v>
      </c>
      <c r="M8" s="26"/>
    </row>
    <row r="9" spans="1:13">
      <c r="A9" s="36" t="s">
        <v>251</v>
      </c>
      <c r="B9" s="26" t="s">
        <v>309</v>
      </c>
      <c r="C9" s="26" t="s">
        <v>310</v>
      </c>
      <c r="D9" s="26" t="s">
        <v>311</v>
      </c>
      <c r="E9" s="27" t="s">
        <v>463</v>
      </c>
      <c r="F9" s="26" t="s">
        <v>83</v>
      </c>
      <c r="G9" s="35" t="s">
        <v>48</v>
      </c>
      <c r="H9" s="35" t="s">
        <v>30</v>
      </c>
      <c r="I9" s="35" t="s">
        <v>32</v>
      </c>
      <c r="J9" s="36"/>
      <c r="K9" s="28" t="str">
        <f>"180,0"</f>
        <v>180,0</v>
      </c>
      <c r="L9" s="28" t="str">
        <f>"119,4660"</f>
        <v>119,4660</v>
      </c>
      <c r="M9" s="26" t="s">
        <v>412</v>
      </c>
    </row>
    <row r="10" spans="1:13">
      <c r="A10" s="36" t="s">
        <v>43</v>
      </c>
      <c r="B10" s="26" t="s">
        <v>312</v>
      </c>
      <c r="C10" s="26" t="s">
        <v>313</v>
      </c>
      <c r="D10" s="26" t="s">
        <v>13</v>
      </c>
      <c r="E10" s="27" t="s">
        <v>466</v>
      </c>
      <c r="F10" s="26" t="s">
        <v>447</v>
      </c>
      <c r="G10" s="35" t="s">
        <v>60</v>
      </c>
      <c r="H10" s="40" t="s">
        <v>28</v>
      </c>
      <c r="I10" s="40" t="s">
        <v>28</v>
      </c>
      <c r="J10" s="36"/>
      <c r="K10" s="28" t="str">
        <f>"235,0"</f>
        <v>235,0</v>
      </c>
      <c r="L10" s="28" t="str">
        <f>"150,7741"</f>
        <v>150,7741</v>
      </c>
      <c r="M10" s="26"/>
    </row>
    <row r="11" spans="1:13">
      <c r="A11" s="38" t="s">
        <v>43</v>
      </c>
      <c r="B11" s="29" t="s">
        <v>314</v>
      </c>
      <c r="C11" s="29" t="s">
        <v>315</v>
      </c>
      <c r="D11" s="29" t="s">
        <v>316</v>
      </c>
      <c r="E11" s="30" t="s">
        <v>469</v>
      </c>
      <c r="F11" s="29" t="s">
        <v>83</v>
      </c>
      <c r="G11" s="37" t="s">
        <v>19</v>
      </c>
      <c r="H11" s="37" t="s">
        <v>208</v>
      </c>
      <c r="I11" s="37" t="s">
        <v>70</v>
      </c>
      <c r="J11" s="38"/>
      <c r="K11" s="31" t="str">
        <f>"175,0"</f>
        <v>175,0</v>
      </c>
      <c r="L11" s="31" t="str">
        <f>"217,4550"</f>
        <v>217,4550</v>
      </c>
      <c r="M11" s="29"/>
    </row>
    <row r="13" spans="1:13" ht="16">
      <c r="A13" s="60" t="s">
        <v>88</v>
      </c>
      <c r="B13" s="60"/>
      <c r="C13" s="61"/>
      <c r="D13" s="61"/>
      <c r="E13" s="61"/>
      <c r="F13" s="61"/>
      <c r="G13" s="61"/>
      <c r="H13" s="61"/>
      <c r="I13" s="61"/>
      <c r="J13" s="61"/>
    </row>
    <row r="14" spans="1:13">
      <c r="A14" s="22" t="s">
        <v>43</v>
      </c>
      <c r="B14" s="7" t="s">
        <v>317</v>
      </c>
      <c r="C14" s="7" t="s">
        <v>318</v>
      </c>
      <c r="D14" s="7" t="s">
        <v>319</v>
      </c>
      <c r="E14" s="8" t="s">
        <v>466</v>
      </c>
      <c r="F14" s="7" t="s">
        <v>129</v>
      </c>
      <c r="G14" s="20" t="s">
        <v>27</v>
      </c>
      <c r="H14" s="21" t="s">
        <v>86</v>
      </c>
      <c r="I14" s="22"/>
      <c r="J14" s="22"/>
      <c r="K14" s="9" t="str">
        <f>"240,0"</f>
        <v>240,0</v>
      </c>
      <c r="L14" s="9" t="str">
        <f>"164,1323"</f>
        <v>164,1323</v>
      </c>
      <c r="M14" s="7"/>
    </row>
    <row r="16" spans="1:13" ht="16">
      <c r="A16" s="60" t="s">
        <v>23</v>
      </c>
      <c r="B16" s="60"/>
      <c r="C16" s="61"/>
      <c r="D16" s="61"/>
      <c r="E16" s="61"/>
      <c r="F16" s="61"/>
      <c r="G16" s="61"/>
      <c r="H16" s="61"/>
      <c r="I16" s="61"/>
      <c r="J16" s="61"/>
    </row>
    <row r="17" spans="1:13">
      <c r="A17" s="34" t="s">
        <v>43</v>
      </c>
      <c r="B17" s="23" t="s">
        <v>320</v>
      </c>
      <c r="C17" s="23" t="s">
        <v>321</v>
      </c>
      <c r="D17" s="23" t="s">
        <v>322</v>
      </c>
      <c r="E17" s="24" t="s">
        <v>463</v>
      </c>
      <c r="F17" s="23" t="s">
        <v>453</v>
      </c>
      <c r="G17" s="32" t="s">
        <v>323</v>
      </c>
      <c r="H17" s="32" t="s">
        <v>324</v>
      </c>
      <c r="I17" s="34"/>
      <c r="J17" s="34"/>
      <c r="K17" s="25" t="str">
        <f>"375,0"</f>
        <v>375,0</v>
      </c>
      <c r="L17" s="25" t="str">
        <f>"221,0625"</f>
        <v>221,0625</v>
      </c>
      <c r="M17" s="23" t="s">
        <v>34</v>
      </c>
    </row>
    <row r="18" spans="1:13">
      <c r="A18" s="38" t="s">
        <v>103</v>
      </c>
      <c r="B18" s="29" t="s">
        <v>325</v>
      </c>
      <c r="C18" s="29" t="s">
        <v>326</v>
      </c>
      <c r="D18" s="29" t="s">
        <v>327</v>
      </c>
      <c r="E18" s="30" t="s">
        <v>463</v>
      </c>
      <c r="F18" s="29" t="s">
        <v>178</v>
      </c>
      <c r="G18" s="37" t="s">
        <v>28</v>
      </c>
      <c r="H18" s="37" t="s">
        <v>33</v>
      </c>
      <c r="I18" s="39" t="s">
        <v>77</v>
      </c>
      <c r="J18" s="38"/>
      <c r="K18" s="31" t="str">
        <f>"280,0"</f>
        <v>280,0</v>
      </c>
      <c r="L18" s="31" t="str">
        <f>"165,6760"</f>
        <v>165,6760</v>
      </c>
      <c r="M18" s="29" t="s">
        <v>132</v>
      </c>
    </row>
    <row r="20" spans="1:13" ht="16">
      <c r="A20" s="60" t="s">
        <v>203</v>
      </c>
      <c r="B20" s="60"/>
      <c r="C20" s="61"/>
      <c r="D20" s="61"/>
      <c r="E20" s="61"/>
      <c r="F20" s="61"/>
      <c r="G20" s="61"/>
      <c r="H20" s="61"/>
      <c r="I20" s="61"/>
      <c r="J20" s="61"/>
    </row>
    <row r="21" spans="1:13">
      <c r="A21" s="34" t="s">
        <v>43</v>
      </c>
      <c r="B21" s="23" t="s">
        <v>328</v>
      </c>
      <c r="C21" s="23" t="s">
        <v>329</v>
      </c>
      <c r="D21" s="23" t="s">
        <v>330</v>
      </c>
      <c r="E21" s="24" t="s">
        <v>463</v>
      </c>
      <c r="F21" s="23" t="s">
        <v>444</v>
      </c>
      <c r="G21" s="32" t="s">
        <v>74</v>
      </c>
      <c r="H21" s="33" t="s">
        <v>331</v>
      </c>
      <c r="I21" s="33" t="s">
        <v>331</v>
      </c>
      <c r="J21" s="34"/>
      <c r="K21" s="25" t="str">
        <f>"290,0"</f>
        <v>290,0</v>
      </c>
      <c r="L21" s="25" t="str">
        <f>"165,2420"</f>
        <v>165,2420</v>
      </c>
      <c r="M21" s="23" t="s">
        <v>198</v>
      </c>
    </row>
    <row r="22" spans="1:13">
      <c r="A22" s="38" t="s">
        <v>43</v>
      </c>
      <c r="B22" s="29" t="s">
        <v>328</v>
      </c>
      <c r="C22" s="29" t="s">
        <v>332</v>
      </c>
      <c r="D22" s="29" t="s">
        <v>330</v>
      </c>
      <c r="E22" s="30" t="s">
        <v>466</v>
      </c>
      <c r="F22" s="29" t="s">
        <v>444</v>
      </c>
      <c r="G22" s="37" t="s">
        <v>74</v>
      </c>
      <c r="H22" s="39" t="s">
        <v>331</v>
      </c>
      <c r="I22" s="39" t="s">
        <v>331</v>
      </c>
      <c r="J22" s="38"/>
      <c r="K22" s="31" t="str">
        <f>"290,0"</f>
        <v>290,0</v>
      </c>
      <c r="L22" s="31" t="str">
        <f>"172,5127"</f>
        <v>172,5127</v>
      </c>
      <c r="M22" s="29" t="s">
        <v>198</v>
      </c>
    </row>
    <row r="24" spans="1:13">
      <c r="G24" s="5"/>
      <c r="K24" s="18"/>
      <c r="M24" s="6"/>
    </row>
    <row r="25" spans="1:13">
      <c r="K25" s="18"/>
      <c r="M25" s="6"/>
    </row>
    <row r="26" spans="1:13" ht="18">
      <c r="B26" s="11" t="s">
        <v>35</v>
      </c>
      <c r="C26" s="11"/>
      <c r="K26" s="18"/>
      <c r="M26" s="6"/>
    </row>
    <row r="27" spans="1:13" ht="16">
      <c r="B27" s="12" t="s">
        <v>36</v>
      </c>
      <c r="C27" s="12"/>
      <c r="K27" s="18"/>
      <c r="M27" s="6"/>
    </row>
    <row r="28" spans="1:13" ht="14">
      <c r="B28" s="13"/>
      <c r="C28" s="14" t="s">
        <v>37</v>
      </c>
      <c r="K28" s="18"/>
      <c r="M28" s="6"/>
    </row>
    <row r="29" spans="1:13" ht="14">
      <c r="B29" s="15" t="s">
        <v>38</v>
      </c>
      <c r="C29" s="15" t="s">
        <v>39</v>
      </c>
      <c r="D29" s="15" t="s">
        <v>454</v>
      </c>
      <c r="E29" s="16" t="s">
        <v>217</v>
      </c>
      <c r="F29" s="15" t="s">
        <v>41</v>
      </c>
      <c r="K29" s="18"/>
      <c r="M29" s="6"/>
    </row>
    <row r="30" spans="1:13">
      <c r="B30" s="5" t="s">
        <v>320</v>
      </c>
      <c r="C30" s="5" t="s">
        <v>37</v>
      </c>
      <c r="D30" s="18" t="s">
        <v>69</v>
      </c>
      <c r="E30" s="19">
        <v>375</v>
      </c>
      <c r="F30" s="17">
        <v>221.06250375509299</v>
      </c>
      <c r="K30" s="18"/>
      <c r="M30" s="6"/>
    </row>
    <row r="31" spans="1:13">
      <c r="B31" s="5" t="s">
        <v>80</v>
      </c>
      <c r="C31" s="5" t="s">
        <v>37</v>
      </c>
      <c r="D31" s="18" t="s">
        <v>109</v>
      </c>
      <c r="E31" s="19">
        <v>270</v>
      </c>
      <c r="F31" s="17">
        <v>172.55700409412401</v>
      </c>
      <c r="K31" s="18"/>
      <c r="M31" s="6"/>
    </row>
    <row r="32" spans="1:13">
      <c r="B32" s="5" t="s">
        <v>325</v>
      </c>
      <c r="C32" s="5" t="s">
        <v>37</v>
      </c>
      <c r="D32" s="18" t="s">
        <v>69</v>
      </c>
      <c r="E32" s="19">
        <v>280</v>
      </c>
      <c r="F32" s="17">
        <v>165.676004886627</v>
      </c>
      <c r="G32" s="5"/>
      <c r="K32" s="18"/>
      <c r="M32" s="6"/>
    </row>
  </sheetData>
  <mergeCells count="15">
    <mergeCell ref="A13:J13"/>
    <mergeCell ref="A16:J16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DF28-4185-48E4-B4F3-DAF52E4049B7}">
  <dimension ref="A1:M22"/>
  <sheetViews>
    <sheetView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8" style="5" bestFit="1" customWidth="1"/>
    <col min="4" max="4" width="21" style="5" bestFit="1" customWidth="1"/>
    <col min="5" max="5" width="10.1640625" style="10" bestFit="1" customWidth="1"/>
    <col min="6" max="6" width="37.1640625" style="5" bestFit="1" customWidth="1"/>
    <col min="7" max="10" width="5.5" style="18" customWidth="1"/>
    <col min="11" max="11" width="10.5" style="6" bestFit="1" customWidth="1"/>
    <col min="12" max="12" width="11.83203125" style="6" customWidth="1"/>
    <col min="13" max="13" width="24" style="5" customWidth="1"/>
    <col min="14" max="16384" width="9.1640625" style="3"/>
  </cols>
  <sheetData>
    <row r="1" spans="1:13" s="2" customFormat="1" ht="29" customHeight="1">
      <c r="A1" s="45" t="s">
        <v>427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459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133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22" t="s">
        <v>43</v>
      </c>
      <c r="B6" s="7" t="s">
        <v>397</v>
      </c>
      <c r="C6" s="7" t="s">
        <v>398</v>
      </c>
      <c r="D6" s="7" t="s">
        <v>399</v>
      </c>
      <c r="E6" s="8" t="s">
        <v>463</v>
      </c>
      <c r="F6" s="7" t="s">
        <v>400</v>
      </c>
      <c r="G6" s="21" t="s">
        <v>401</v>
      </c>
      <c r="H6" s="21" t="s">
        <v>120</v>
      </c>
      <c r="I6" s="20" t="s">
        <v>120</v>
      </c>
      <c r="J6" s="21" t="s">
        <v>402</v>
      </c>
      <c r="K6" s="9" t="str">
        <f>"50,0"</f>
        <v>50,0</v>
      </c>
      <c r="L6" s="9" t="str">
        <f>"45,4775"</f>
        <v>45,4775</v>
      </c>
      <c r="M6" s="7" t="s">
        <v>403</v>
      </c>
    </row>
    <row r="8" spans="1:13" ht="16">
      <c r="A8" s="60" t="s">
        <v>125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34" t="s">
        <v>43</v>
      </c>
      <c r="B9" s="23" t="s">
        <v>162</v>
      </c>
      <c r="C9" s="23" t="s">
        <v>420</v>
      </c>
      <c r="D9" s="23" t="s">
        <v>164</v>
      </c>
      <c r="E9" s="24" t="s">
        <v>470</v>
      </c>
      <c r="F9" s="23" t="s">
        <v>451</v>
      </c>
      <c r="G9" s="33" t="s">
        <v>338</v>
      </c>
      <c r="H9" s="32" t="s">
        <v>120</v>
      </c>
      <c r="I9" s="33" t="s">
        <v>112</v>
      </c>
      <c r="J9" s="34"/>
      <c r="K9" s="25" t="str">
        <f>"50,0"</f>
        <v>50,0</v>
      </c>
      <c r="L9" s="25" t="str">
        <f>"35,1325"</f>
        <v>35,1325</v>
      </c>
      <c r="M9" s="23" t="s">
        <v>34</v>
      </c>
    </row>
    <row r="10" spans="1:13">
      <c r="A10" s="38" t="s">
        <v>103</v>
      </c>
      <c r="B10" s="29" t="s">
        <v>404</v>
      </c>
      <c r="C10" s="29" t="s">
        <v>419</v>
      </c>
      <c r="D10" s="29" t="s">
        <v>363</v>
      </c>
      <c r="E10" s="30" t="s">
        <v>470</v>
      </c>
      <c r="F10" s="29" t="s">
        <v>178</v>
      </c>
      <c r="G10" s="37" t="s">
        <v>405</v>
      </c>
      <c r="H10" s="37" t="s">
        <v>401</v>
      </c>
      <c r="I10" s="39" t="s">
        <v>402</v>
      </c>
      <c r="J10" s="38"/>
      <c r="K10" s="31" t="str">
        <f>"47,5"</f>
        <v>47,5</v>
      </c>
      <c r="L10" s="31" t="str">
        <f>"32,7061"</f>
        <v>32,7061</v>
      </c>
      <c r="M10" s="29" t="s">
        <v>180</v>
      </c>
    </row>
    <row r="12" spans="1:13" ht="16">
      <c r="A12" s="60" t="s">
        <v>44</v>
      </c>
      <c r="B12" s="60"/>
      <c r="C12" s="61"/>
      <c r="D12" s="61"/>
      <c r="E12" s="61"/>
      <c r="F12" s="61"/>
      <c r="G12" s="61"/>
      <c r="H12" s="61"/>
      <c r="I12" s="61"/>
      <c r="J12" s="61"/>
    </row>
    <row r="13" spans="1:13">
      <c r="A13" s="34" t="s">
        <v>43</v>
      </c>
      <c r="B13" s="23" t="s">
        <v>175</v>
      </c>
      <c r="C13" s="23" t="s">
        <v>421</v>
      </c>
      <c r="D13" s="23" t="s">
        <v>177</v>
      </c>
      <c r="E13" s="24" t="s">
        <v>470</v>
      </c>
      <c r="F13" s="23" t="s">
        <v>178</v>
      </c>
      <c r="G13" s="32" t="s">
        <v>113</v>
      </c>
      <c r="H13" s="32" t="s">
        <v>130</v>
      </c>
      <c r="I13" s="33" t="s">
        <v>131</v>
      </c>
      <c r="J13" s="34"/>
      <c r="K13" s="25" t="str">
        <f>"65,0"</f>
        <v>65,0</v>
      </c>
      <c r="L13" s="25" t="str">
        <f>"42,4743"</f>
        <v>42,4743</v>
      </c>
      <c r="M13" s="23" t="s">
        <v>180</v>
      </c>
    </row>
    <row r="14" spans="1:13">
      <c r="A14" s="36" t="s">
        <v>43</v>
      </c>
      <c r="B14" s="26" t="s">
        <v>298</v>
      </c>
      <c r="C14" s="26" t="s">
        <v>422</v>
      </c>
      <c r="D14" s="26" t="s">
        <v>264</v>
      </c>
      <c r="E14" s="27" t="s">
        <v>467</v>
      </c>
      <c r="F14" s="26" t="s">
        <v>178</v>
      </c>
      <c r="G14" s="35" t="s">
        <v>112</v>
      </c>
      <c r="H14" s="35" t="s">
        <v>113</v>
      </c>
      <c r="I14" s="40" t="s">
        <v>130</v>
      </c>
      <c r="J14" s="36"/>
      <c r="K14" s="28" t="str">
        <f>"60,0"</f>
        <v>60,0</v>
      </c>
      <c r="L14" s="28" t="str">
        <f>"39,1410"</f>
        <v>39,1410</v>
      </c>
      <c r="M14" s="26" t="s">
        <v>180</v>
      </c>
    </row>
    <row r="15" spans="1:13">
      <c r="A15" s="36" t="s">
        <v>43</v>
      </c>
      <c r="B15" s="26" t="s">
        <v>175</v>
      </c>
      <c r="C15" s="26" t="s">
        <v>181</v>
      </c>
      <c r="D15" s="26" t="s">
        <v>177</v>
      </c>
      <c r="E15" s="27" t="s">
        <v>463</v>
      </c>
      <c r="F15" s="26" t="s">
        <v>178</v>
      </c>
      <c r="G15" s="35" t="s">
        <v>113</v>
      </c>
      <c r="H15" s="35" t="s">
        <v>130</v>
      </c>
      <c r="I15" s="40" t="s">
        <v>131</v>
      </c>
      <c r="J15" s="36"/>
      <c r="K15" s="28" t="str">
        <f>"65,0"</f>
        <v>65,0</v>
      </c>
      <c r="L15" s="28" t="str">
        <f>"42,4743"</f>
        <v>42,4743</v>
      </c>
      <c r="M15" s="26" t="s">
        <v>180</v>
      </c>
    </row>
    <row r="16" spans="1:13">
      <c r="A16" s="38" t="s">
        <v>103</v>
      </c>
      <c r="B16" s="29" t="s">
        <v>298</v>
      </c>
      <c r="C16" s="29" t="s">
        <v>301</v>
      </c>
      <c r="D16" s="29" t="s">
        <v>264</v>
      </c>
      <c r="E16" s="30" t="s">
        <v>463</v>
      </c>
      <c r="F16" s="29" t="s">
        <v>178</v>
      </c>
      <c r="G16" s="37" t="s">
        <v>112</v>
      </c>
      <c r="H16" s="37" t="s">
        <v>113</v>
      </c>
      <c r="I16" s="39" t="s">
        <v>130</v>
      </c>
      <c r="J16" s="38"/>
      <c r="K16" s="31" t="str">
        <f>"60,0"</f>
        <v>60,0</v>
      </c>
      <c r="L16" s="31" t="str">
        <f>"39,1410"</f>
        <v>39,1410</v>
      </c>
      <c r="M16" s="29" t="s">
        <v>180</v>
      </c>
    </row>
    <row r="18" spans="1:13" ht="16">
      <c r="A18" s="60" t="s">
        <v>88</v>
      </c>
      <c r="B18" s="60"/>
      <c r="C18" s="61"/>
      <c r="D18" s="61"/>
      <c r="E18" s="61"/>
      <c r="F18" s="61"/>
      <c r="G18" s="61"/>
      <c r="H18" s="61"/>
      <c r="I18" s="61"/>
      <c r="J18" s="61"/>
    </row>
    <row r="19" spans="1:13">
      <c r="A19" s="22" t="s">
        <v>43</v>
      </c>
      <c r="B19" s="7" t="s">
        <v>285</v>
      </c>
      <c r="C19" s="7" t="s">
        <v>286</v>
      </c>
      <c r="D19" s="7" t="s">
        <v>287</v>
      </c>
      <c r="E19" s="8" t="s">
        <v>463</v>
      </c>
      <c r="F19" s="7" t="s">
        <v>450</v>
      </c>
      <c r="G19" s="20" t="s">
        <v>406</v>
      </c>
      <c r="H19" s="20" t="s">
        <v>130</v>
      </c>
      <c r="I19" s="21" t="s">
        <v>131</v>
      </c>
      <c r="J19" s="22"/>
      <c r="K19" s="9" t="str">
        <f>"65,0"</f>
        <v>65,0</v>
      </c>
      <c r="L19" s="9" t="str">
        <f>"38,1843"</f>
        <v>38,1843</v>
      </c>
      <c r="M19" s="7"/>
    </row>
    <row r="21" spans="1:13" ht="16">
      <c r="A21" s="60" t="s">
        <v>23</v>
      </c>
      <c r="B21" s="60"/>
      <c r="C21" s="61"/>
      <c r="D21" s="61"/>
      <c r="E21" s="61"/>
      <c r="F21" s="61"/>
      <c r="G21" s="61"/>
      <c r="H21" s="61"/>
      <c r="I21" s="61"/>
      <c r="J21" s="61"/>
    </row>
    <row r="22" spans="1:13">
      <c r="A22" s="22" t="s">
        <v>43</v>
      </c>
      <c r="B22" s="7" t="s">
        <v>407</v>
      </c>
      <c r="C22" s="7" t="s">
        <v>423</v>
      </c>
      <c r="D22" s="7" t="s">
        <v>408</v>
      </c>
      <c r="E22" s="8" t="s">
        <v>470</v>
      </c>
      <c r="F22" s="7" t="s">
        <v>444</v>
      </c>
      <c r="G22" s="20" t="s">
        <v>138</v>
      </c>
      <c r="H22" s="20" t="s">
        <v>144</v>
      </c>
      <c r="I22" s="21" t="s">
        <v>109</v>
      </c>
      <c r="J22" s="22"/>
      <c r="K22" s="9" t="str">
        <f>"85,0"</f>
        <v>85,0</v>
      </c>
      <c r="L22" s="9" t="str">
        <f>"48,7177"</f>
        <v>48,7177</v>
      </c>
      <c r="M22" s="7" t="s">
        <v>410</v>
      </c>
    </row>
  </sheetData>
  <mergeCells count="16">
    <mergeCell ref="A8:J8"/>
    <mergeCell ref="A12:J12"/>
    <mergeCell ref="A18:J18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BF15-E8CF-4A8B-8DC6-C271A69A9057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8.6640625" style="5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31.1640625" style="5" bestFit="1" customWidth="1"/>
    <col min="7" max="9" width="5.5" style="18" customWidth="1"/>
    <col min="10" max="10" width="4.6640625" style="18" customWidth="1"/>
    <col min="11" max="11" width="10.5" style="6" bestFit="1" customWidth="1"/>
    <col min="12" max="12" width="7.3320312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5" t="s">
        <v>428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459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44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22" t="s">
        <v>43</v>
      </c>
      <c r="B6" s="7" t="s">
        <v>229</v>
      </c>
      <c r="C6" s="7" t="s">
        <v>230</v>
      </c>
      <c r="D6" s="7" t="s">
        <v>231</v>
      </c>
      <c r="E6" s="8" t="s">
        <v>463</v>
      </c>
      <c r="F6" s="7" t="s">
        <v>178</v>
      </c>
      <c r="G6" s="21" t="s">
        <v>120</v>
      </c>
      <c r="H6" s="20" t="s">
        <v>112</v>
      </c>
      <c r="I6" s="20" t="s">
        <v>113</v>
      </c>
      <c r="J6" s="22"/>
      <c r="K6" s="9" t="str">
        <f>"60,0"</f>
        <v>60,0</v>
      </c>
      <c r="L6" s="9" t="str">
        <f>"39,5010"</f>
        <v>39,5010</v>
      </c>
      <c r="M6" s="7" t="s">
        <v>233</v>
      </c>
    </row>
    <row r="8" spans="1:13" ht="16">
      <c r="A8" s="60" t="s">
        <v>203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22" t="s">
        <v>43</v>
      </c>
      <c r="B9" s="7" t="s">
        <v>214</v>
      </c>
      <c r="C9" s="7" t="s">
        <v>215</v>
      </c>
      <c r="D9" s="7" t="s">
        <v>216</v>
      </c>
      <c r="E9" s="8" t="s">
        <v>463</v>
      </c>
      <c r="F9" s="7" t="s">
        <v>452</v>
      </c>
      <c r="G9" s="20" t="s">
        <v>113</v>
      </c>
      <c r="H9" s="21" t="s">
        <v>139</v>
      </c>
      <c r="I9" s="21" t="s">
        <v>149</v>
      </c>
      <c r="J9" s="22"/>
      <c r="K9" s="9" t="str">
        <f>"60,0"</f>
        <v>60,0</v>
      </c>
      <c r="L9" s="9" t="str">
        <f>"32,8980"</f>
        <v>32,8980</v>
      </c>
      <c r="M9" s="7" t="s">
        <v>187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1971-D80F-456A-A455-29543FA286BC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7.83203125" style="5" customWidth="1"/>
    <col min="3" max="3" width="28" style="5" bestFit="1" customWidth="1"/>
    <col min="4" max="4" width="21" style="5" bestFit="1" customWidth="1"/>
    <col min="5" max="5" width="10.1640625" style="10" bestFit="1" customWidth="1"/>
    <col min="6" max="6" width="42.6640625" style="5" bestFit="1" customWidth="1"/>
    <col min="7" max="14" width="5.5" style="18" customWidth="1"/>
    <col min="15" max="15" width="7.6640625" style="6" bestFit="1" customWidth="1"/>
    <col min="16" max="16" width="8.33203125" style="6" bestFit="1" customWidth="1"/>
    <col min="17" max="17" width="22" style="5" customWidth="1"/>
    <col min="18" max="16384" width="9.1640625" style="3"/>
  </cols>
  <sheetData>
    <row r="1" spans="1:17" s="2" customFormat="1" ht="29" customHeight="1">
      <c r="A1" s="45" t="s">
        <v>425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459</v>
      </c>
      <c r="H3" s="59"/>
      <c r="I3" s="59"/>
      <c r="J3" s="59"/>
      <c r="K3" s="59" t="s">
        <v>396</v>
      </c>
      <c r="L3" s="59"/>
      <c r="M3" s="59"/>
      <c r="N3" s="59"/>
      <c r="O3" s="57" t="s">
        <v>1</v>
      </c>
      <c r="P3" s="57" t="s">
        <v>3</v>
      </c>
      <c r="Q3" s="62" t="s">
        <v>2</v>
      </c>
    </row>
    <row r="4" spans="1:17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3"/>
    </row>
    <row r="5" spans="1:17" ht="16">
      <c r="A5" s="64" t="s">
        <v>88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7">
      <c r="A6" s="22" t="s">
        <v>43</v>
      </c>
      <c r="B6" s="7" t="s">
        <v>409</v>
      </c>
      <c r="C6" s="7" t="s">
        <v>418</v>
      </c>
      <c r="D6" s="7" t="s">
        <v>246</v>
      </c>
      <c r="E6" s="8" t="s">
        <v>466</v>
      </c>
      <c r="F6" s="7" t="s">
        <v>443</v>
      </c>
      <c r="G6" s="20" t="s">
        <v>109</v>
      </c>
      <c r="H6" s="20" t="s">
        <v>111</v>
      </c>
      <c r="I6" s="21" t="s">
        <v>68</v>
      </c>
      <c r="J6" s="22"/>
      <c r="K6" s="20" t="s">
        <v>156</v>
      </c>
      <c r="L6" s="20" t="s">
        <v>138</v>
      </c>
      <c r="M6" s="22"/>
      <c r="N6" s="22"/>
      <c r="O6" s="9" t="str">
        <f>"180,0"</f>
        <v>180,0</v>
      </c>
      <c r="P6" s="9" t="str">
        <f>"105,7712"</f>
        <v>105,7712</v>
      </c>
      <c r="Q6" s="7" t="s">
        <v>87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52C8-1D3E-4616-991D-7167E3E777CB}">
  <dimension ref="A1:M8"/>
  <sheetViews>
    <sheetView tabSelected="1"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83203125" style="5" customWidth="1"/>
    <col min="3" max="3" width="25.33203125" style="5" bestFit="1" customWidth="1"/>
    <col min="4" max="4" width="21" style="5" bestFit="1" customWidth="1"/>
    <col min="5" max="5" width="11" style="10" customWidth="1"/>
    <col min="6" max="6" width="27.1640625" style="5" customWidth="1"/>
    <col min="7" max="10" width="5.5" style="18" customWidth="1"/>
    <col min="11" max="11" width="10.5" style="6" bestFit="1" customWidth="1"/>
    <col min="12" max="12" width="9.1640625" style="6" customWidth="1"/>
    <col min="13" max="13" width="19.6640625" style="5" customWidth="1"/>
    <col min="14" max="16384" width="9.1640625" style="3"/>
  </cols>
  <sheetData>
    <row r="1" spans="1:13" s="2" customFormat="1" ht="29" customHeight="1">
      <c r="A1" s="45" t="s">
        <v>426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459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115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22" t="s">
        <v>43</v>
      </c>
      <c r="B6" s="7" t="s">
        <v>219</v>
      </c>
      <c r="C6" s="7" t="s">
        <v>220</v>
      </c>
      <c r="D6" s="7" t="s">
        <v>155</v>
      </c>
      <c r="E6" s="8" t="s">
        <v>463</v>
      </c>
      <c r="F6" s="7" t="s">
        <v>444</v>
      </c>
      <c r="G6" s="20" t="s">
        <v>156</v>
      </c>
      <c r="H6" s="20" t="s">
        <v>139</v>
      </c>
      <c r="I6" s="20" t="s">
        <v>144</v>
      </c>
      <c r="J6" s="22"/>
      <c r="K6" s="9" t="str">
        <f>"85,0"</f>
        <v>85,0</v>
      </c>
      <c r="L6" s="9" t="str">
        <f>"70,7922"</f>
        <v>70,7922</v>
      </c>
      <c r="M6" s="7" t="s">
        <v>87</v>
      </c>
    </row>
    <row r="8" spans="1:13">
      <c r="E8" s="5"/>
      <c r="F8" s="10"/>
      <c r="G8" s="5"/>
      <c r="K8" s="18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97E8-E6C8-4CAA-BD24-990F0EDE8B37}">
  <dimension ref="A1:U30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1.1640625" style="5" bestFit="1" customWidth="1"/>
    <col min="7" max="7" width="5.5" style="18" customWidth="1"/>
    <col min="8" max="9" width="5.33203125" style="18" customWidth="1"/>
    <col min="10" max="10" width="4.6640625" style="18" customWidth="1"/>
    <col min="11" max="13" width="5.33203125" style="18" customWidth="1"/>
    <col min="14" max="14" width="4.6640625" style="18" customWidth="1"/>
    <col min="15" max="17" width="5.33203125" style="18" customWidth="1"/>
    <col min="18" max="18" width="4.6640625" style="18" customWidth="1"/>
    <col min="19" max="19" width="7.6640625" style="6" bestFit="1" customWidth="1"/>
    <col min="20" max="20" width="8.33203125" style="6" bestFit="1" customWidth="1"/>
    <col min="21" max="21" width="18.83203125" style="5" customWidth="1"/>
    <col min="22" max="16384" width="9.1640625" style="3"/>
  </cols>
  <sheetData>
    <row r="1" spans="1:21" s="2" customFormat="1" ht="29" customHeight="1">
      <c r="A1" s="45" t="s">
        <v>440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57" t="s">
        <v>1</v>
      </c>
      <c r="T3" s="57" t="s">
        <v>3</v>
      </c>
      <c r="U3" s="62" t="s">
        <v>2</v>
      </c>
    </row>
    <row r="4" spans="1:21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3"/>
    </row>
    <row r="5" spans="1:21" ht="16">
      <c r="A5" s="64" t="s">
        <v>44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1">
      <c r="A6" s="34" t="s">
        <v>43</v>
      </c>
      <c r="B6" s="23" t="s">
        <v>50</v>
      </c>
      <c r="C6" s="23" t="s">
        <v>51</v>
      </c>
      <c r="D6" s="23" t="s">
        <v>52</v>
      </c>
      <c r="E6" s="24" t="s">
        <v>467</v>
      </c>
      <c r="F6" s="23" t="s">
        <v>447</v>
      </c>
      <c r="G6" s="32" t="s">
        <v>53</v>
      </c>
      <c r="H6" s="32" t="s">
        <v>20</v>
      </c>
      <c r="I6" s="33" t="s">
        <v>54</v>
      </c>
      <c r="J6" s="34"/>
      <c r="K6" s="32" t="s">
        <v>17</v>
      </c>
      <c r="L6" s="32" t="s">
        <v>18</v>
      </c>
      <c r="M6" s="33" t="s">
        <v>19</v>
      </c>
      <c r="N6" s="34"/>
      <c r="O6" s="33" t="s">
        <v>55</v>
      </c>
      <c r="P6" s="32" t="s">
        <v>56</v>
      </c>
      <c r="Q6" s="33" t="s">
        <v>29</v>
      </c>
      <c r="R6" s="34"/>
      <c r="S6" s="25" t="str">
        <f>"630,0"</f>
        <v>630,0</v>
      </c>
      <c r="T6" s="25" t="str">
        <f>"422,0370"</f>
        <v>422,0370</v>
      </c>
      <c r="U6" s="23" t="s">
        <v>57</v>
      </c>
    </row>
    <row r="7" spans="1:21">
      <c r="A7" s="36" t="s">
        <v>43</v>
      </c>
      <c r="B7" s="26" t="s">
        <v>58</v>
      </c>
      <c r="C7" s="26" t="s">
        <v>59</v>
      </c>
      <c r="D7" s="26" t="s">
        <v>52</v>
      </c>
      <c r="E7" s="27" t="s">
        <v>463</v>
      </c>
      <c r="F7" s="26" t="s">
        <v>447</v>
      </c>
      <c r="G7" s="35" t="s">
        <v>16</v>
      </c>
      <c r="H7" s="35" t="s">
        <v>54</v>
      </c>
      <c r="I7" s="35" t="s">
        <v>60</v>
      </c>
      <c r="J7" s="36"/>
      <c r="K7" s="35" t="s">
        <v>61</v>
      </c>
      <c r="L7" s="35" t="s">
        <v>62</v>
      </c>
      <c r="M7" s="35" t="s">
        <v>19</v>
      </c>
      <c r="N7" s="36"/>
      <c r="O7" s="35" t="s">
        <v>16</v>
      </c>
      <c r="P7" s="35" t="s">
        <v>54</v>
      </c>
      <c r="Q7" s="35" t="s">
        <v>21</v>
      </c>
      <c r="R7" s="36"/>
      <c r="S7" s="28" t="str">
        <f>"615,0"</f>
        <v>615,0</v>
      </c>
      <c r="T7" s="28" t="str">
        <f>"411,9885"</f>
        <v>411,9885</v>
      </c>
      <c r="U7" s="26" t="s">
        <v>63</v>
      </c>
    </row>
    <row r="8" spans="1:21">
      <c r="A8" s="38" t="s">
        <v>103</v>
      </c>
      <c r="B8" s="29" t="s">
        <v>64</v>
      </c>
      <c r="C8" s="29" t="s">
        <v>65</v>
      </c>
      <c r="D8" s="29" t="s">
        <v>66</v>
      </c>
      <c r="E8" s="30" t="s">
        <v>463</v>
      </c>
      <c r="F8" s="29" t="s">
        <v>447</v>
      </c>
      <c r="G8" s="37" t="s">
        <v>19</v>
      </c>
      <c r="H8" s="37" t="s">
        <v>67</v>
      </c>
      <c r="I8" s="37" t="s">
        <v>48</v>
      </c>
      <c r="J8" s="38"/>
      <c r="K8" s="37" t="s">
        <v>68</v>
      </c>
      <c r="L8" s="39" t="s">
        <v>69</v>
      </c>
      <c r="M8" s="37" t="s">
        <v>69</v>
      </c>
      <c r="N8" s="38"/>
      <c r="O8" s="37" t="s">
        <v>48</v>
      </c>
      <c r="P8" s="39" t="s">
        <v>30</v>
      </c>
      <c r="Q8" s="37" t="s">
        <v>70</v>
      </c>
      <c r="R8" s="38"/>
      <c r="S8" s="31" t="str">
        <f>"445,0"</f>
        <v>445,0</v>
      </c>
      <c r="T8" s="31" t="str">
        <f>"304,2910"</f>
        <v>304,2910</v>
      </c>
      <c r="U8" s="29" t="s">
        <v>71</v>
      </c>
    </row>
    <row r="10" spans="1:21" ht="16">
      <c r="A10" s="60" t="s">
        <v>10</v>
      </c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21">
      <c r="A11" s="34" t="s">
        <v>43</v>
      </c>
      <c r="B11" s="23" t="s">
        <v>72</v>
      </c>
      <c r="C11" s="23" t="s">
        <v>73</v>
      </c>
      <c r="D11" s="23" t="s">
        <v>13</v>
      </c>
      <c r="E11" s="24" t="s">
        <v>463</v>
      </c>
      <c r="F11" s="23" t="s">
        <v>448</v>
      </c>
      <c r="G11" s="32" t="s">
        <v>56</v>
      </c>
      <c r="H11" s="32" t="s">
        <v>33</v>
      </c>
      <c r="I11" s="32" t="s">
        <v>74</v>
      </c>
      <c r="J11" s="34"/>
      <c r="K11" s="32" t="s">
        <v>14</v>
      </c>
      <c r="L11" s="32" t="s">
        <v>75</v>
      </c>
      <c r="M11" s="32" t="s">
        <v>76</v>
      </c>
      <c r="N11" s="34"/>
      <c r="O11" s="32" t="s">
        <v>74</v>
      </c>
      <c r="P11" s="32" t="s">
        <v>77</v>
      </c>
      <c r="Q11" s="32" t="s">
        <v>78</v>
      </c>
      <c r="R11" s="34"/>
      <c r="S11" s="25" t="str">
        <f>"807,5"</f>
        <v>807,5</v>
      </c>
      <c r="T11" s="25" t="str">
        <f>"515,5080"</f>
        <v>515,5080</v>
      </c>
      <c r="U11" s="23" t="s">
        <v>79</v>
      </c>
    </row>
    <row r="12" spans="1:21">
      <c r="A12" s="38" t="s">
        <v>103</v>
      </c>
      <c r="B12" s="29" t="s">
        <v>80</v>
      </c>
      <c r="C12" s="29" t="s">
        <v>81</v>
      </c>
      <c r="D12" s="29" t="s">
        <v>82</v>
      </c>
      <c r="E12" s="30" t="s">
        <v>463</v>
      </c>
      <c r="F12" s="29" t="s">
        <v>83</v>
      </c>
      <c r="G12" s="37" t="s">
        <v>53</v>
      </c>
      <c r="H12" s="39" t="s">
        <v>54</v>
      </c>
      <c r="I12" s="37" t="s">
        <v>54</v>
      </c>
      <c r="J12" s="38"/>
      <c r="K12" s="37" t="s">
        <v>32</v>
      </c>
      <c r="L12" s="37" t="s">
        <v>84</v>
      </c>
      <c r="M12" s="39" t="s">
        <v>85</v>
      </c>
      <c r="N12" s="38"/>
      <c r="O12" s="39" t="s">
        <v>86</v>
      </c>
      <c r="P12" s="37" t="s">
        <v>86</v>
      </c>
      <c r="Q12" s="37" t="s">
        <v>29</v>
      </c>
      <c r="R12" s="38"/>
      <c r="S12" s="31" t="str">
        <f>"680,0"</f>
        <v>680,0</v>
      </c>
      <c r="T12" s="31" t="str">
        <f>"434,5880"</f>
        <v>434,5880</v>
      </c>
      <c r="U12" s="29" t="s">
        <v>87</v>
      </c>
    </row>
    <row r="14" spans="1:21" ht="16">
      <c r="A14" s="60" t="s">
        <v>88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21">
      <c r="A15" s="22" t="s">
        <v>43</v>
      </c>
      <c r="B15" s="7" t="s">
        <v>89</v>
      </c>
      <c r="C15" s="7" t="s">
        <v>90</v>
      </c>
      <c r="D15" s="7" t="s">
        <v>91</v>
      </c>
      <c r="E15" s="8" t="s">
        <v>463</v>
      </c>
      <c r="F15" s="7" t="s">
        <v>447</v>
      </c>
      <c r="G15" s="20" t="s">
        <v>92</v>
      </c>
      <c r="H15" s="21" t="s">
        <v>93</v>
      </c>
      <c r="I15" s="21" t="s">
        <v>93</v>
      </c>
      <c r="J15" s="22"/>
      <c r="K15" s="20" t="s">
        <v>14</v>
      </c>
      <c r="L15" s="21" t="s">
        <v>94</v>
      </c>
      <c r="M15" s="21" t="s">
        <v>94</v>
      </c>
      <c r="N15" s="22"/>
      <c r="O15" s="20" t="s">
        <v>95</v>
      </c>
      <c r="P15" s="20" t="s">
        <v>96</v>
      </c>
      <c r="Q15" s="22"/>
      <c r="R15" s="22"/>
      <c r="S15" s="9" t="str">
        <f>"800,0"</f>
        <v>800,0</v>
      </c>
      <c r="T15" s="9" t="str">
        <f>"486,8800"</f>
        <v>486,8800</v>
      </c>
      <c r="U15" s="7" t="s">
        <v>87</v>
      </c>
    </row>
    <row r="17" spans="1:21" ht="16">
      <c r="A17" s="60" t="s">
        <v>23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21">
      <c r="A18" s="34" t="s">
        <v>43</v>
      </c>
      <c r="B18" s="23" t="s">
        <v>97</v>
      </c>
      <c r="C18" s="23" t="s">
        <v>98</v>
      </c>
      <c r="D18" s="23" t="s">
        <v>99</v>
      </c>
      <c r="E18" s="24" t="s">
        <v>463</v>
      </c>
      <c r="F18" s="23" t="s">
        <v>445</v>
      </c>
      <c r="G18" s="32" t="s">
        <v>27</v>
      </c>
      <c r="H18" s="32" t="s">
        <v>86</v>
      </c>
      <c r="I18" s="32" t="s">
        <v>28</v>
      </c>
      <c r="J18" s="34"/>
      <c r="K18" s="32" t="s">
        <v>48</v>
      </c>
      <c r="L18" s="32" t="s">
        <v>30</v>
      </c>
      <c r="M18" s="33" t="s">
        <v>70</v>
      </c>
      <c r="N18" s="34"/>
      <c r="O18" s="32" t="s">
        <v>28</v>
      </c>
      <c r="P18" s="32" t="s">
        <v>29</v>
      </c>
      <c r="Q18" s="32" t="s">
        <v>92</v>
      </c>
      <c r="R18" s="34"/>
      <c r="S18" s="25" t="str">
        <f>"715,0"</f>
        <v>715,0</v>
      </c>
      <c r="T18" s="25" t="str">
        <f>"420,7775"</f>
        <v>420,7775</v>
      </c>
      <c r="U18" s="23" t="s">
        <v>22</v>
      </c>
    </row>
    <row r="19" spans="1:21">
      <c r="A19" s="36" t="s">
        <v>103</v>
      </c>
      <c r="B19" s="26" t="s">
        <v>100</v>
      </c>
      <c r="C19" s="26" t="s">
        <v>101</v>
      </c>
      <c r="D19" s="26" t="s">
        <v>99</v>
      </c>
      <c r="E19" s="27" t="s">
        <v>463</v>
      </c>
      <c r="F19" s="26" t="s">
        <v>445</v>
      </c>
      <c r="G19" s="35" t="s">
        <v>20</v>
      </c>
      <c r="H19" s="35" t="s">
        <v>21</v>
      </c>
      <c r="I19" s="35" t="s">
        <v>60</v>
      </c>
      <c r="J19" s="36"/>
      <c r="K19" s="35" t="s">
        <v>32</v>
      </c>
      <c r="L19" s="40" t="s">
        <v>84</v>
      </c>
      <c r="M19" s="40" t="s">
        <v>84</v>
      </c>
      <c r="N19" s="36"/>
      <c r="O19" s="35" t="s">
        <v>86</v>
      </c>
      <c r="P19" s="35" t="s">
        <v>55</v>
      </c>
      <c r="Q19" s="35" t="s">
        <v>28</v>
      </c>
      <c r="R19" s="36"/>
      <c r="S19" s="28" t="str">
        <f>"675,0"</f>
        <v>675,0</v>
      </c>
      <c r="T19" s="28" t="str">
        <f>"397,2375"</f>
        <v>397,2375</v>
      </c>
      <c r="U19" s="26" t="s">
        <v>22</v>
      </c>
    </row>
    <row r="20" spans="1:21">
      <c r="A20" s="38" t="s">
        <v>43</v>
      </c>
      <c r="B20" s="29" t="s">
        <v>97</v>
      </c>
      <c r="C20" s="29" t="s">
        <v>102</v>
      </c>
      <c r="D20" s="29" t="s">
        <v>99</v>
      </c>
      <c r="E20" s="30" t="s">
        <v>466</v>
      </c>
      <c r="F20" s="29" t="s">
        <v>445</v>
      </c>
      <c r="G20" s="37" t="s">
        <v>27</v>
      </c>
      <c r="H20" s="37" t="s">
        <v>86</v>
      </c>
      <c r="I20" s="37" t="s">
        <v>28</v>
      </c>
      <c r="J20" s="38"/>
      <c r="K20" s="37" t="s">
        <v>48</v>
      </c>
      <c r="L20" s="37" t="s">
        <v>30</v>
      </c>
      <c r="M20" s="39" t="s">
        <v>70</v>
      </c>
      <c r="N20" s="38"/>
      <c r="O20" s="37" t="s">
        <v>28</v>
      </c>
      <c r="P20" s="37" t="s">
        <v>29</v>
      </c>
      <c r="Q20" s="37" t="s">
        <v>92</v>
      </c>
      <c r="R20" s="38"/>
      <c r="S20" s="31" t="str">
        <f>"715,0"</f>
        <v>715,0</v>
      </c>
      <c r="T20" s="31" t="str">
        <f>"426,6684"</f>
        <v>426,6684</v>
      </c>
      <c r="U20" s="29" t="s">
        <v>22</v>
      </c>
    </row>
    <row r="22" spans="1:21">
      <c r="G22" s="5"/>
    </row>
    <row r="24" spans="1:21" ht="18">
      <c r="B24" s="11" t="s">
        <v>35</v>
      </c>
      <c r="C24" s="11"/>
    </row>
    <row r="25" spans="1:21" ht="16">
      <c r="B25" s="12" t="s">
        <v>36</v>
      </c>
      <c r="C25" s="12"/>
    </row>
    <row r="26" spans="1:21" ht="14">
      <c r="B26" s="13"/>
      <c r="C26" s="14" t="s">
        <v>37</v>
      </c>
    </row>
    <row r="27" spans="1:21" ht="14">
      <c r="B27" s="15" t="s">
        <v>38</v>
      </c>
      <c r="C27" s="15" t="s">
        <v>39</v>
      </c>
      <c r="D27" s="15" t="s">
        <v>454</v>
      </c>
      <c r="E27" s="16" t="s">
        <v>40</v>
      </c>
      <c r="F27" s="15" t="s">
        <v>41</v>
      </c>
    </row>
    <row r="28" spans="1:21">
      <c r="B28" s="5" t="s">
        <v>72</v>
      </c>
      <c r="C28" s="5" t="s">
        <v>37</v>
      </c>
      <c r="D28" s="18" t="s">
        <v>109</v>
      </c>
      <c r="E28" s="19">
        <v>807.5</v>
      </c>
      <c r="F28" s="17">
        <v>515.50801470875695</v>
      </c>
    </row>
    <row r="29" spans="1:21">
      <c r="B29" s="5" t="s">
        <v>89</v>
      </c>
      <c r="C29" s="5" t="s">
        <v>37</v>
      </c>
      <c r="D29" s="18" t="s">
        <v>111</v>
      </c>
      <c r="E29" s="19">
        <v>800</v>
      </c>
      <c r="F29" s="17">
        <v>486.88001632690401</v>
      </c>
    </row>
    <row r="30" spans="1:21">
      <c r="B30" s="5" t="s">
        <v>80</v>
      </c>
      <c r="C30" s="5" t="s">
        <v>37</v>
      </c>
      <c r="D30" s="18" t="s">
        <v>109</v>
      </c>
      <c r="E30" s="19">
        <v>680</v>
      </c>
      <c r="F30" s="17">
        <v>434.58801031112699</v>
      </c>
      <c r="G30" s="5"/>
    </row>
  </sheetData>
  <mergeCells count="17">
    <mergeCell ref="A10:R10"/>
    <mergeCell ref="A14:R14"/>
    <mergeCell ref="A17:R17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C674-3C62-4015-A4BA-9EF9D7816371}"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27.33203125" style="5" bestFit="1" customWidth="1"/>
    <col min="7" max="9" width="5.33203125" style="18" customWidth="1"/>
    <col min="10" max="10" width="4.6640625" style="18" customWidth="1"/>
    <col min="11" max="13" width="5.33203125" style="18" customWidth="1"/>
    <col min="14" max="14" width="4.6640625" style="18" customWidth="1"/>
    <col min="15" max="17" width="5.33203125" style="18" customWidth="1"/>
    <col min="18" max="18" width="4.6640625" style="18" customWidth="1"/>
    <col min="19" max="19" width="7.6640625" style="6" bestFit="1" customWidth="1"/>
    <col min="20" max="20" width="8.33203125" style="6" bestFit="1" customWidth="1"/>
    <col min="21" max="21" width="18.5" style="5" customWidth="1"/>
    <col min="22" max="16384" width="9.1640625" style="3"/>
  </cols>
  <sheetData>
    <row r="1" spans="1:21" s="2" customFormat="1" ht="29" customHeight="1">
      <c r="A1" s="45" t="s">
        <v>441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57" t="s">
        <v>1</v>
      </c>
      <c r="T3" s="57" t="s">
        <v>3</v>
      </c>
      <c r="U3" s="62" t="s">
        <v>2</v>
      </c>
    </row>
    <row r="4" spans="1:21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3"/>
    </row>
    <row r="5" spans="1:21" ht="16">
      <c r="A5" s="64" t="s">
        <v>44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1">
      <c r="A6" s="22" t="s">
        <v>43</v>
      </c>
      <c r="B6" s="7" t="s">
        <v>45</v>
      </c>
      <c r="C6" s="7" t="s">
        <v>46</v>
      </c>
      <c r="D6" s="7" t="s">
        <v>47</v>
      </c>
      <c r="E6" s="8" t="s">
        <v>463</v>
      </c>
      <c r="F6" s="7" t="s">
        <v>445</v>
      </c>
      <c r="G6" s="20" t="s">
        <v>17</v>
      </c>
      <c r="H6" s="20" t="s">
        <v>19</v>
      </c>
      <c r="I6" s="20" t="s">
        <v>48</v>
      </c>
      <c r="J6" s="22"/>
      <c r="K6" s="20" t="s">
        <v>17</v>
      </c>
      <c r="L6" s="20" t="s">
        <v>18</v>
      </c>
      <c r="M6" s="21" t="s">
        <v>19</v>
      </c>
      <c r="N6" s="22"/>
      <c r="O6" s="21" t="s">
        <v>30</v>
      </c>
      <c r="P6" s="20" t="s">
        <v>32</v>
      </c>
      <c r="Q6" s="20" t="s">
        <v>14</v>
      </c>
      <c r="R6" s="22"/>
      <c r="S6" s="9" t="str">
        <f>"495,0"</f>
        <v>495,0</v>
      </c>
      <c r="T6" s="9" t="str">
        <f>"333,5805"</f>
        <v>333,5805</v>
      </c>
      <c r="U6" s="7" t="s">
        <v>22</v>
      </c>
    </row>
    <row r="8" spans="1:21" ht="16">
      <c r="A8" s="60" t="s">
        <v>10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2" t="s">
        <v>43</v>
      </c>
      <c r="B9" s="7" t="s">
        <v>11</v>
      </c>
      <c r="C9" s="7" t="s">
        <v>12</v>
      </c>
      <c r="D9" s="7" t="s">
        <v>13</v>
      </c>
      <c r="E9" s="8" t="s">
        <v>466</v>
      </c>
      <c r="F9" s="7" t="s">
        <v>444</v>
      </c>
      <c r="G9" s="20" t="s">
        <v>14</v>
      </c>
      <c r="H9" s="20" t="s">
        <v>15</v>
      </c>
      <c r="I9" s="21" t="s">
        <v>16</v>
      </c>
      <c r="J9" s="22"/>
      <c r="K9" s="20" t="s">
        <v>17</v>
      </c>
      <c r="L9" s="20" t="s">
        <v>18</v>
      </c>
      <c r="M9" s="20" t="s">
        <v>19</v>
      </c>
      <c r="N9" s="22"/>
      <c r="O9" s="20" t="s">
        <v>20</v>
      </c>
      <c r="P9" s="21" t="s">
        <v>21</v>
      </c>
      <c r="Q9" s="20" t="s">
        <v>21</v>
      </c>
      <c r="R9" s="22"/>
      <c r="S9" s="9" t="str">
        <f>"585,0"</f>
        <v>585,0</v>
      </c>
      <c r="T9" s="9" t="str">
        <f>"373,4640"</f>
        <v>373,4640</v>
      </c>
      <c r="U9" s="7" t="s">
        <v>22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1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47.33203125" style="5" bestFit="1" customWidth="1"/>
    <col min="7" max="9" width="5.33203125" style="18" customWidth="1"/>
    <col min="10" max="10" width="4.6640625" style="18" customWidth="1"/>
    <col min="11" max="13" width="5.33203125" style="18" customWidth="1"/>
    <col min="14" max="14" width="4.6640625" style="18" customWidth="1"/>
    <col min="15" max="17" width="5.33203125" style="18" customWidth="1"/>
    <col min="18" max="18" width="4.6640625" style="18" customWidth="1"/>
    <col min="19" max="19" width="7.6640625" style="6" bestFit="1" customWidth="1"/>
    <col min="20" max="20" width="8.33203125" style="6" bestFit="1" customWidth="1"/>
    <col min="21" max="21" width="20.33203125" style="5" customWidth="1"/>
    <col min="22" max="16384" width="9.1640625" style="3"/>
  </cols>
  <sheetData>
    <row r="1" spans="1:21" s="2" customFormat="1" ht="29" customHeight="1">
      <c r="A1" s="45" t="s">
        <v>442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7</v>
      </c>
      <c r="H3" s="59"/>
      <c r="I3" s="59"/>
      <c r="J3" s="59"/>
      <c r="K3" s="59" t="s">
        <v>8</v>
      </c>
      <c r="L3" s="59"/>
      <c r="M3" s="59"/>
      <c r="N3" s="59"/>
      <c r="O3" s="59" t="s">
        <v>9</v>
      </c>
      <c r="P3" s="59"/>
      <c r="Q3" s="59"/>
      <c r="R3" s="59"/>
      <c r="S3" s="57" t="s">
        <v>1</v>
      </c>
      <c r="T3" s="57" t="s">
        <v>3</v>
      </c>
      <c r="U3" s="62" t="s">
        <v>2</v>
      </c>
    </row>
    <row r="4" spans="1:21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3"/>
    </row>
    <row r="5" spans="1:21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1">
      <c r="A6" s="22" t="s">
        <v>43</v>
      </c>
      <c r="B6" s="7" t="s">
        <v>11</v>
      </c>
      <c r="C6" s="7" t="s">
        <v>12</v>
      </c>
      <c r="D6" s="7" t="s">
        <v>13</v>
      </c>
      <c r="E6" s="8" t="s">
        <v>466</v>
      </c>
      <c r="F6" s="7" t="s">
        <v>444</v>
      </c>
      <c r="G6" s="20" t="s">
        <v>14</v>
      </c>
      <c r="H6" s="20" t="s">
        <v>15</v>
      </c>
      <c r="I6" s="21" t="s">
        <v>16</v>
      </c>
      <c r="J6" s="22"/>
      <c r="K6" s="20" t="s">
        <v>17</v>
      </c>
      <c r="L6" s="20" t="s">
        <v>18</v>
      </c>
      <c r="M6" s="20" t="s">
        <v>19</v>
      </c>
      <c r="N6" s="22"/>
      <c r="O6" s="20" t="s">
        <v>20</v>
      </c>
      <c r="P6" s="21" t="s">
        <v>21</v>
      </c>
      <c r="Q6" s="20" t="s">
        <v>21</v>
      </c>
      <c r="R6" s="22"/>
      <c r="S6" s="9" t="str">
        <f>"585,0"</f>
        <v>585,0</v>
      </c>
      <c r="T6" s="9" t="str">
        <f>"373,4640"</f>
        <v>373,4640</v>
      </c>
      <c r="U6" s="7" t="s">
        <v>22</v>
      </c>
    </row>
    <row r="8" spans="1:21" ht="16">
      <c r="A8" s="60" t="s">
        <v>23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2" t="s">
        <v>43</v>
      </c>
      <c r="B9" s="7" t="s">
        <v>24</v>
      </c>
      <c r="C9" s="7" t="s">
        <v>25</v>
      </c>
      <c r="D9" s="7" t="s">
        <v>26</v>
      </c>
      <c r="E9" s="8" t="s">
        <v>463</v>
      </c>
      <c r="F9" s="7" t="s">
        <v>424</v>
      </c>
      <c r="G9" s="20" t="s">
        <v>27</v>
      </c>
      <c r="H9" s="20" t="s">
        <v>28</v>
      </c>
      <c r="I9" s="21" t="s">
        <v>29</v>
      </c>
      <c r="J9" s="22"/>
      <c r="K9" s="20" t="s">
        <v>30</v>
      </c>
      <c r="L9" s="20" t="s">
        <v>31</v>
      </c>
      <c r="M9" s="20" t="s">
        <v>32</v>
      </c>
      <c r="N9" s="22"/>
      <c r="O9" s="20" t="s">
        <v>28</v>
      </c>
      <c r="P9" s="20" t="s">
        <v>33</v>
      </c>
      <c r="Q9" s="22"/>
      <c r="R9" s="22"/>
      <c r="S9" s="9" t="str">
        <f>"720,0"</f>
        <v>720,0</v>
      </c>
      <c r="T9" s="9" t="str">
        <f>"424,8000"</f>
        <v>424,8000</v>
      </c>
      <c r="U9" s="7" t="s">
        <v>34</v>
      </c>
    </row>
    <row r="11" spans="1:21">
      <c r="E11" s="5"/>
      <c r="F11" s="10"/>
      <c r="G11" s="5"/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56CF-4CB7-427D-8591-5D9385F3AFC6}">
  <dimension ref="A1:Q31"/>
  <sheetViews>
    <sheetView workbookViewId="0">
      <selection activeCell="E32" sqref="E32"/>
    </sheetView>
  </sheetViews>
  <sheetFormatPr baseColWidth="10" defaultColWidth="9.1640625" defaultRowHeight="13"/>
  <cols>
    <col min="1" max="1" width="7.1640625" style="5" bestFit="1" customWidth="1"/>
    <col min="2" max="2" width="21.1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7.6640625" style="5" customWidth="1"/>
    <col min="7" max="9" width="5.33203125" style="18" customWidth="1"/>
    <col min="10" max="10" width="4.6640625" style="18" customWidth="1"/>
    <col min="11" max="13" width="5.33203125" style="18" customWidth="1"/>
    <col min="14" max="14" width="4.6640625" style="18" customWidth="1"/>
    <col min="15" max="15" width="7.6640625" style="19" bestFit="1" customWidth="1"/>
    <col min="16" max="16" width="8.33203125" style="6" bestFit="1" customWidth="1"/>
    <col min="17" max="17" width="19.5" style="5" customWidth="1"/>
    <col min="18" max="16384" width="9.1640625" style="3"/>
  </cols>
  <sheetData>
    <row r="1" spans="1:17" s="2" customFormat="1" ht="29" customHeight="1">
      <c r="A1" s="45" t="s">
        <v>430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59" t="s">
        <v>9</v>
      </c>
      <c r="L3" s="59"/>
      <c r="M3" s="59"/>
      <c r="N3" s="59"/>
      <c r="O3" s="68" t="s">
        <v>1</v>
      </c>
      <c r="P3" s="57" t="s">
        <v>3</v>
      </c>
      <c r="Q3" s="62" t="s">
        <v>2</v>
      </c>
    </row>
    <row r="4" spans="1:17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9"/>
      <c r="P4" s="58"/>
      <c r="Q4" s="63"/>
    </row>
    <row r="5" spans="1:17" ht="16">
      <c r="A5" s="64" t="s">
        <v>104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7">
      <c r="A6" s="22" t="s">
        <v>43</v>
      </c>
      <c r="B6" s="7" t="s">
        <v>105</v>
      </c>
      <c r="C6" s="7" t="s">
        <v>106</v>
      </c>
      <c r="D6" s="7" t="s">
        <v>107</v>
      </c>
      <c r="E6" s="8" t="s">
        <v>463</v>
      </c>
      <c r="F6" s="7" t="s">
        <v>108</v>
      </c>
      <c r="G6" s="20" t="s">
        <v>112</v>
      </c>
      <c r="H6" s="21" t="s">
        <v>113</v>
      </c>
      <c r="I6" s="21" t="s">
        <v>113</v>
      </c>
      <c r="J6" s="22"/>
      <c r="K6" s="20" t="s">
        <v>114</v>
      </c>
      <c r="L6" s="21" t="s">
        <v>17</v>
      </c>
      <c r="M6" s="21" t="s">
        <v>17</v>
      </c>
      <c r="N6" s="22"/>
      <c r="O6" s="41" t="str">
        <f>"185,0"</f>
        <v>185,0</v>
      </c>
      <c r="P6" s="9" t="str">
        <f>"245,7725"</f>
        <v>245,7725</v>
      </c>
      <c r="Q6" s="7" t="s">
        <v>87</v>
      </c>
    </row>
    <row r="8" spans="1:17" ht="16">
      <c r="A8" s="60" t="s">
        <v>133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22" t="s">
        <v>43</v>
      </c>
      <c r="B9" s="7" t="s">
        <v>142</v>
      </c>
      <c r="C9" s="7" t="s">
        <v>143</v>
      </c>
      <c r="D9" s="7" t="s">
        <v>136</v>
      </c>
      <c r="E9" s="8" t="s">
        <v>464</v>
      </c>
      <c r="F9" s="7" t="s">
        <v>453</v>
      </c>
      <c r="G9" s="20" t="s">
        <v>120</v>
      </c>
      <c r="H9" s="20" t="s">
        <v>121</v>
      </c>
      <c r="I9" s="20" t="s">
        <v>113</v>
      </c>
      <c r="J9" s="22"/>
      <c r="K9" s="20" t="s">
        <v>119</v>
      </c>
      <c r="L9" s="20" t="s">
        <v>137</v>
      </c>
      <c r="M9" s="22"/>
      <c r="N9" s="22"/>
      <c r="O9" s="41" t="str">
        <f>"180,0"</f>
        <v>180,0</v>
      </c>
      <c r="P9" s="9" t="str">
        <f>"163,8540"</f>
        <v>163,8540</v>
      </c>
      <c r="Q9" s="7" t="s">
        <v>410</v>
      </c>
    </row>
    <row r="11" spans="1:17" ht="16">
      <c r="A11" s="60" t="s">
        <v>115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7">
      <c r="A12" s="22" t="s">
        <v>43</v>
      </c>
      <c r="B12" s="7" t="s">
        <v>145</v>
      </c>
      <c r="C12" s="7" t="s">
        <v>146</v>
      </c>
      <c r="D12" s="7" t="s">
        <v>147</v>
      </c>
      <c r="E12" s="8" t="s">
        <v>464</v>
      </c>
      <c r="F12" s="7" t="s">
        <v>83</v>
      </c>
      <c r="G12" s="20" t="s">
        <v>149</v>
      </c>
      <c r="H12" s="20" t="s">
        <v>109</v>
      </c>
      <c r="I12" s="21" t="s">
        <v>150</v>
      </c>
      <c r="J12" s="22"/>
      <c r="K12" s="20" t="s">
        <v>151</v>
      </c>
      <c r="L12" s="20" t="s">
        <v>48</v>
      </c>
      <c r="M12" s="21" t="s">
        <v>152</v>
      </c>
      <c r="N12" s="22"/>
      <c r="O12" s="41" t="str">
        <f>"250,0"</f>
        <v>250,0</v>
      </c>
      <c r="P12" s="9" t="str">
        <f>"213,8750"</f>
        <v>213,8750</v>
      </c>
      <c r="Q12" s="7" t="s">
        <v>87</v>
      </c>
    </row>
    <row r="14" spans="1:17" ht="16">
      <c r="A14" s="60" t="s">
        <v>157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7">
      <c r="A15" s="22" t="s">
        <v>253</v>
      </c>
      <c r="B15" s="7" t="s">
        <v>358</v>
      </c>
      <c r="C15" s="7" t="s">
        <v>359</v>
      </c>
      <c r="D15" s="7" t="s">
        <v>386</v>
      </c>
      <c r="E15" s="8" t="s">
        <v>467</v>
      </c>
      <c r="F15" s="7" t="s">
        <v>360</v>
      </c>
      <c r="G15" s="21" t="s">
        <v>168</v>
      </c>
      <c r="H15" s="21" t="s">
        <v>169</v>
      </c>
      <c r="I15" s="21" t="s">
        <v>169</v>
      </c>
      <c r="J15" s="22"/>
      <c r="K15" s="21"/>
      <c r="L15" s="22"/>
      <c r="M15" s="22"/>
      <c r="N15" s="22"/>
      <c r="O15" s="41">
        <v>0</v>
      </c>
      <c r="P15" s="9" t="str">
        <f>"0,0000"</f>
        <v>0,0000</v>
      </c>
      <c r="Q15" s="7" t="s">
        <v>225</v>
      </c>
    </row>
    <row r="17" spans="1:17" ht="16">
      <c r="A17" s="60" t="s">
        <v>125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7">
      <c r="A18" s="22" t="s">
        <v>43</v>
      </c>
      <c r="B18" s="7" t="s">
        <v>387</v>
      </c>
      <c r="C18" s="7" t="s">
        <v>388</v>
      </c>
      <c r="D18" s="7" t="s">
        <v>259</v>
      </c>
      <c r="E18" s="8" t="s">
        <v>463</v>
      </c>
      <c r="F18" s="7" t="s">
        <v>389</v>
      </c>
      <c r="G18" s="20" t="s">
        <v>390</v>
      </c>
      <c r="H18" s="20" t="s">
        <v>156</v>
      </c>
      <c r="I18" s="20" t="s">
        <v>161</v>
      </c>
      <c r="J18" s="22"/>
      <c r="K18" s="20" t="s">
        <v>62</v>
      </c>
      <c r="L18" s="20" t="s">
        <v>151</v>
      </c>
      <c r="M18" s="20" t="s">
        <v>232</v>
      </c>
      <c r="N18" s="22"/>
      <c r="O18" s="41" t="str">
        <f>"240,0"</f>
        <v>240,0</v>
      </c>
      <c r="P18" s="9" t="str">
        <f>"173,9760"</f>
        <v>173,9760</v>
      </c>
      <c r="Q18" s="7" t="s">
        <v>391</v>
      </c>
    </row>
    <row r="20" spans="1:17" ht="16">
      <c r="A20" s="60" t="s">
        <v>44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7">
      <c r="A21" s="22" t="s">
        <v>43</v>
      </c>
      <c r="B21" s="7" t="s">
        <v>171</v>
      </c>
      <c r="C21" s="7" t="s">
        <v>172</v>
      </c>
      <c r="D21" s="7" t="s">
        <v>173</v>
      </c>
      <c r="E21" s="8" t="s">
        <v>464</v>
      </c>
      <c r="F21" s="7" t="s">
        <v>453</v>
      </c>
      <c r="G21" s="20" t="s">
        <v>138</v>
      </c>
      <c r="H21" s="20" t="s">
        <v>144</v>
      </c>
      <c r="I21" s="20" t="s">
        <v>149</v>
      </c>
      <c r="J21" s="22"/>
      <c r="K21" s="20" t="s">
        <v>17</v>
      </c>
      <c r="L21" s="20" t="s">
        <v>19</v>
      </c>
      <c r="M21" s="20" t="s">
        <v>67</v>
      </c>
      <c r="N21" s="22"/>
      <c r="O21" s="41" t="str">
        <f>"245,0"</f>
        <v>245,0</v>
      </c>
      <c r="P21" s="9" t="str">
        <f>"169,8585"</f>
        <v>169,8585</v>
      </c>
      <c r="Q21" s="7" t="s">
        <v>34</v>
      </c>
    </row>
    <row r="23" spans="1:17" ht="16">
      <c r="A23" s="60" t="s">
        <v>10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7">
      <c r="A24" s="22" t="s">
        <v>43</v>
      </c>
      <c r="B24" s="7" t="s">
        <v>11</v>
      </c>
      <c r="C24" s="7" t="s">
        <v>12</v>
      </c>
      <c r="D24" s="7" t="s">
        <v>13</v>
      </c>
      <c r="E24" s="8" t="s">
        <v>466</v>
      </c>
      <c r="F24" s="7" t="s">
        <v>444</v>
      </c>
      <c r="G24" s="20" t="s">
        <v>17</v>
      </c>
      <c r="H24" s="20" t="s">
        <v>18</v>
      </c>
      <c r="I24" s="20" t="s">
        <v>19</v>
      </c>
      <c r="J24" s="22"/>
      <c r="K24" s="20" t="s">
        <v>20</v>
      </c>
      <c r="L24" s="21" t="s">
        <v>21</v>
      </c>
      <c r="M24" s="20" t="s">
        <v>21</v>
      </c>
      <c r="N24" s="22"/>
      <c r="O24" s="41" t="str">
        <f>"380,0"</f>
        <v>380,0</v>
      </c>
      <c r="P24" s="9" t="str">
        <f>"242,5920"</f>
        <v>242,5920</v>
      </c>
      <c r="Q24" s="7" t="s">
        <v>22</v>
      </c>
    </row>
    <row r="26" spans="1:17" ht="16">
      <c r="A26" s="60" t="s">
        <v>23</v>
      </c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7">
      <c r="A27" s="34" t="s">
        <v>43</v>
      </c>
      <c r="B27" s="23" t="s">
        <v>97</v>
      </c>
      <c r="C27" s="23" t="s">
        <v>98</v>
      </c>
      <c r="D27" s="23" t="s">
        <v>99</v>
      </c>
      <c r="E27" s="24" t="s">
        <v>463</v>
      </c>
      <c r="F27" s="23" t="s">
        <v>445</v>
      </c>
      <c r="G27" s="32" t="s">
        <v>48</v>
      </c>
      <c r="H27" s="32" t="s">
        <v>30</v>
      </c>
      <c r="I27" s="33" t="s">
        <v>70</v>
      </c>
      <c r="J27" s="34"/>
      <c r="K27" s="32" t="s">
        <v>28</v>
      </c>
      <c r="L27" s="32" t="s">
        <v>29</v>
      </c>
      <c r="M27" s="32" t="s">
        <v>92</v>
      </c>
      <c r="N27" s="34"/>
      <c r="O27" s="42" t="str">
        <f>"455,0"</f>
        <v>455,0</v>
      </c>
      <c r="P27" s="25" t="str">
        <f>"267,7675"</f>
        <v>267,7675</v>
      </c>
      <c r="Q27" s="23" t="s">
        <v>22</v>
      </c>
    </row>
    <row r="28" spans="1:17">
      <c r="A28" s="38" t="s">
        <v>43</v>
      </c>
      <c r="B28" s="29" t="s">
        <v>97</v>
      </c>
      <c r="C28" s="29" t="s">
        <v>102</v>
      </c>
      <c r="D28" s="29" t="s">
        <v>99</v>
      </c>
      <c r="E28" s="30" t="s">
        <v>466</v>
      </c>
      <c r="F28" s="29" t="s">
        <v>445</v>
      </c>
      <c r="G28" s="37" t="s">
        <v>48</v>
      </c>
      <c r="H28" s="37" t="s">
        <v>30</v>
      </c>
      <c r="I28" s="39" t="s">
        <v>70</v>
      </c>
      <c r="J28" s="38"/>
      <c r="K28" s="37" t="s">
        <v>28</v>
      </c>
      <c r="L28" s="37" t="s">
        <v>29</v>
      </c>
      <c r="M28" s="37" t="s">
        <v>92</v>
      </c>
      <c r="N28" s="38"/>
      <c r="O28" s="43" t="str">
        <f>"455,0"</f>
        <v>455,0</v>
      </c>
      <c r="P28" s="31" t="str">
        <f>"271,5163"</f>
        <v>271,5163</v>
      </c>
      <c r="Q28" s="29" t="s">
        <v>22</v>
      </c>
    </row>
    <row r="30" spans="1:17" ht="16">
      <c r="A30" s="60" t="s">
        <v>203</v>
      </c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7">
      <c r="A31" s="22" t="s">
        <v>43</v>
      </c>
      <c r="B31" s="7" t="s">
        <v>204</v>
      </c>
      <c r="C31" s="7" t="s">
        <v>205</v>
      </c>
      <c r="D31" s="7" t="s">
        <v>206</v>
      </c>
      <c r="E31" s="8" t="s">
        <v>463</v>
      </c>
      <c r="F31" s="7" t="s">
        <v>207</v>
      </c>
      <c r="G31" s="20" t="s">
        <v>48</v>
      </c>
      <c r="H31" s="20" t="s">
        <v>208</v>
      </c>
      <c r="I31" s="20" t="s">
        <v>209</v>
      </c>
      <c r="J31" s="22"/>
      <c r="K31" s="20" t="s">
        <v>55</v>
      </c>
      <c r="L31" s="20" t="s">
        <v>56</v>
      </c>
      <c r="M31" s="20" t="s">
        <v>29</v>
      </c>
      <c r="N31" s="22"/>
      <c r="O31" s="41" t="str">
        <f>"437,5"</f>
        <v>437,5</v>
      </c>
      <c r="P31" s="9" t="str">
        <f>"249,4188"</f>
        <v>249,4188</v>
      </c>
      <c r="Q31" s="7" t="s">
        <v>87</v>
      </c>
    </row>
  </sheetData>
  <mergeCells count="21">
    <mergeCell ref="A26:N26"/>
    <mergeCell ref="A30:N30"/>
    <mergeCell ref="B3:B4"/>
    <mergeCell ref="A8:N8"/>
    <mergeCell ref="A11:N11"/>
    <mergeCell ref="A14:N14"/>
    <mergeCell ref="A17:N17"/>
    <mergeCell ref="A20:N20"/>
    <mergeCell ref="A23:N23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22191-E807-4DFC-97A3-D449C70EDC01}">
  <dimension ref="A1:Q15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2" style="5" bestFit="1" customWidth="1"/>
    <col min="7" max="9" width="5.33203125" style="18" customWidth="1"/>
    <col min="10" max="10" width="4.6640625" style="18" customWidth="1"/>
    <col min="11" max="13" width="5.33203125" style="18" customWidth="1"/>
    <col min="14" max="14" width="4.6640625" style="18" customWidth="1"/>
    <col min="15" max="15" width="7.6640625" style="6" bestFit="1" customWidth="1"/>
    <col min="16" max="16" width="8.33203125" style="6" bestFit="1" customWidth="1"/>
    <col min="17" max="17" width="19.83203125" style="5" customWidth="1"/>
    <col min="18" max="16384" width="9.1640625" style="3"/>
  </cols>
  <sheetData>
    <row r="1" spans="1:17" s="2" customFormat="1" ht="29" customHeight="1">
      <c r="A1" s="45" t="s">
        <v>431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59" t="s">
        <v>9</v>
      </c>
      <c r="L3" s="59"/>
      <c r="M3" s="59"/>
      <c r="N3" s="59"/>
      <c r="O3" s="57" t="s">
        <v>1</v>
      </c>
      <c r="P3" s="57" t="s">
        <v>3</v>
      </c>
      <c r="Q3" s="62" t="s">
        <v>2</v>
      </c>
    </row>
    <row r="4" spans="1:17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3"/>
    </row>
    <row r="5" spans="1:17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7">
      <c r="A6" s="34" t="s">
        <v>43</v>
      </c>
      <c r="B6" s="23" t="s">
        <v>80</v>
      </c>
      <c r="C6" s="23" t="s">
        <v>81</v>
      </c>
      <c r="D6" s="23" t="s">
        <v>82</v>
      </c>
      <c r="E6" s="24" t="s">
        <v>463</v>
      </c>
      <c r="F6" s="23" t="s">
        <v>83</v>
      </c>
      <c r="G6" s="32" t="s">
        <v>32</v>
      </c>
      <c r="H6" s="32" t="s">
        <v>84</v>
      </c>
      <c r="I6" s="33" t="s">
        <v>85</v>
      </c>
      <c r="J6" s="34"/>
      <c r="K6" s="33" t="s">
        <v>86</v>
      </c>
      <c r="L6" s="32" t="s">
        <v>86</v>
      </c>
      <c r="M6" s="32" t="s">
        <v>29</v>
      </c>
      <c r="N6" s="34"/>
      <c r="O6" s="25" t="str">
        <f>"455,0"</f>
        <v>455,0</v>
      </c>
      <c r="P6" s="25" t="str">
        <f>"290,7905"</f>
        <v>290,7905</v>
      </c>
      <c r="Q6" s="23" t="s">
        <v>87</v>
      </c>
    </row>
    <row r="7" spans="1:17">
      <c r="A7" s="36" t="s">
        <v>103</v>
      </c>
      <c r="B7" s="26" t="s">
        <v>302</v>
      </c>
      <c r="C7" s="26" t="s">
        <v>303</v>
      </c>
      <c r="D7" s="26" t="s">
        <v>304</v>
      </c>
      <c r="E7" s="27" t="s">
        <v>463</v>
      </c>
      <c r="F7" s="26" t="s">
        <v>447</v>
      </c>
      <c r="G7" s="40" t="s">
        <v>19</v>
      </c>
      <c r="H7" s="35" t="s">
        <v>19</v>
      </c>
      <c r="I7" s="35" t="s">
        <v>48</v>
      </c>
      <c r="J7" s="36"/>
      <c r="K7" s="35" t="s">
        <v>20</v>
      </c>
      <c r="L7" s="40" t="s">
        <v>21</v>
      </c>
      <c r="M7" s="35" t="s">
        <v>21</v>
      </c>
      <c r="N7" s="36"/>
      <c r="O7" s="28" t="str">
        <f>"390,0"</f>
        <v>390,0</v>
      </c>
      <c r="P7" s="28" t="str">
        <f>"252,2130"</f>
        <v>252,2130</v>
      </c>
      <c r="Q7" s="26" t="s">
        <v>305</v>
      </c>
    </row>
    <row r="8" spans="1:17">
      <c r="A8" s="38" t="s">
        <v>43</v>
      </c>
      <c r="B8" s="29" t="s">
        <v>11</v>
      </c>
      <c r="C8" s="29" t="s">
        <v>12</v>
      </c>
      <c r="D8" s="29" t="s">
        <v>13</v>
      </c>
      <c r="E8" s="30" t="s">
        <v>466</v>
      </c>
      <c r="F8" s="29" t="s">
        <v>444</v>
      </c>
      <c r="G8" s="37" t="s">
        <v>17</v>
      </c>
      <c r="H8" s="37" t="s">
        <v>18</v>
      </c>
      <c r="I8" s="37" t="s">
        <v>19</v>
      </c>
      <c r="J8" s="38"/>
      <c r="K8" s="37" t="s">
        <v>20</v>
      </c>
      <c r="L8" s="39" t="s">
        <v>21</v>
      </c>
      <c r="M8" s="37" t="s">
        <v>21</v>
      </c>
      <c r="N8" s="38"/>
      <c r="O8" s="31" t="str">
        <f>"380,0"</f>
        <v>380,0</v>
      </c>
      <c r="P8" s="31" t="str">
        <f>"242,5920"</f>
        <v>242,5920</v>
      </c>
      <c r="Q8" s="29" t="s">
        <v>22</v>
      </c>
    </row>
    <row r="10" spans="1:17" ht="16">
      <c r="A10" s="60" t="s">
        <v>88</v>
      </c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7">
      <c r="A11" s="22" t="s">
        <v>43</v>
      </c>
      <c r="B11" s="7" t="s">
        <v>380</v>
      </c>
      <c r="C11" s="7" t="s">
        <v>381</v>
      </c>
      <c r="D11" s="7" t="s">
        <v>382</v>
      </c>
      <c r="E11" s="8" t="s">
        <v>468</v>
      </c>
      <c r="F11" s="7" t="s">
        <v>383</v>
      </c>
      <c r="G11" s="20" t="s">
        <v>14</v>
      </c>
      <c r="H11" s="20" t="s">
        <v>179</v>
      </c>
      <c r="I11" s="21" t="s">
        <v>15</v>
      </c>
      <c r="J11" s="22"/>
      <c r="K11" s="20" t="s">
        <v>78</v>
      </c>
      <c r="L11" s="20" t="s">
        <v>95</v>
      </c>
      <c r="M11" s="20" t="s">
        <v>384</v>
      </c>
      <c r="N11" s="22"/>
      <c r="O11" s="9" t="str">
        <f>"520,0"</f>
        <v>520,0</v>
      </c>
      <c r="P11" s="9" t="str">
        <f>"390,2240"</f>
        <v>390,2240</v>
      </c>
      <c r="Q11" s="7" t="s">
        <v>385</v>
      </c>
    </row>
    <row r="13" spans="1:17" ht="16">
      <c r="A13" s="60" t="s">
        <v>23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7">
      <c r="A14" s="34" t="s">
        <v>43</v>
      </c>
      <c r="B14" s="23" t="s">
        <v>97</v>
      </c>
      <c r="C14" s="23" t="s">
        <v>98</v>
      </c>
      <c r="D14" s="23" t="s">
        <v>99</v>
      </c>
      <c r="E14" s="24" t="s">
        <v>463</v>
      </c>
      <c r="F14" s="23" t="s">
        <v>445</v>
      </c>
      <c r="G14" s="32" t="s">
        <v>48</v>
      </c>
      <c r="H14" s="32" t="s">
        <v>30</v>
      </c>
      <c r="I14" s="33" t="s">
        <v>70</v>
      </c>
      <c r="J14" s="34"/>
      <c r="K14" s="32" t="s">
        <v>28</v>
      </c>
      <c r="L14" s="32" t="s">
        <v>29</v>
      </c>
      <c r="M14" s="32" t="s">
        <v>92</v>
      </c>
      <c r="N14" s="34"/>
      <c r="O14" s="25" t="str">
        <f>"455,0"</f>
        <v>455,0</v>
      </c>
      <c r="P14" s="25" t="str">
        <f>"267,7675"</f>
        <v>267,7675</v>
      </c>
      <c r="Q14" s="23" t="s">
        <v>22</v>
      </c>
    </row>
    <row r="15" spans="1:17">
      <c r="A15" s="38" t="s">
        <v>43</v>
      </c>
      <c r="B15" s="29" t="s">
        <v>97</v>
      </c>
      <c r="C15" s="29" t="s">
        <v>102</v>
      </c>
      <c r="D15" s="29" t="s">
        <v>99</v>
      </c>
      <c r="E15" s="30" t="s">
        <v>466</v>
      </c>
      <c r="F15" s="29" t="s">
        <v>445</v>
      </c>
      <c r="G15" s="37" t="s">
        <v>48</v>
      </c>
      <c r="H15" s="37" t="s">
        <v>30</v>
      </c>
      <c r="I15" s="39" t="s">
        <v>70</v>
      </c>
      <c r="J15" s="38"/>
      <c r="K15" s="37" t="s">
        <v>28</v>
      </c>
      <c r="L15" s="37" t="s">
        <v>29</v>
      </c>
      <c r="M15" s="37" t="s">
        <v>92</v>
      </c>
      <c r="N15" s="38"/>
      <c r="O15" s="31" t="str">
        <f>"455,0"</f>
        <v>455,0</v>
      </c>
      <c r="P15" s="31" t="str">
        <f>"271,5163"</f>
        <v>271,5163</v>
      </c>
      <c r="Q15" s="29" t="s">
        <v>22</v>
      </c>
    </row>
  </sheetData>
  <mergeCells count="15">
    <mergeCell ref="A10:N10"/>
    <mergeCell ref="A13:N13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AE79-4E27-4C6E-962A-93A4567892D9}">
  <dimension ref="A1:Q6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9" style="5" bestFit="1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2" style="5" bestFit="1" customWidth="1"/>
    <col min="7" max="9" width="5.33203125" style="18" customWidth="1"/>
    <col min="10" max="10" width="4.6640625" style="18" customWidth="1"/>
    <col min="11" max="13" width="5.33203125" style="18" customWidth="1"/>
    <col min="14" max="14" width="4.6640625" style="18" customWidth="1"/>
    <col min="15" max="15" width="7.6640625" style="6" bestFit="1" customWidth="1"/>
    <col min="16" max="16" width="8.33203125" style="6" bestFit="1" customWidth="1"/>
    <col min="17" max="17" width="18.1640625" style="5" customWidth="1"/>
    <col min="18" max="16384" width="9.1640625" style="3"/>
  </cols>
  <sheetData>
    <row r="1" spans="1:17" s="2" customFormat="1" ht="29" customHeight="1">
      <c r="A1" s="45" t="s">
        <v>429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59" t="s">
        <v>9</v>
      </c>
      <c r="L3" s="59"/>
      <c r="M3" s="59"/>
      <c r="N3" s="59"/>
      <c r="O3" s="57" t="s">
        <v>1</v>
      </c>
      <c r="P3" s="57" t="s">
        <v>3</v>
      </c>
      <c r="Q3" s="62" t="s">
        <v>2</v>
      </c>
    </row>
    <row r="4" spans="1:17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3"/>
    </row>
    <row r="5" spans="1:17" ht="16">
      <c r="A5" s="64" t="s">
        <v>10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7">
      <c r="A6" s="22" t="s">
        <v>43</v>
      </c>
      <c r="B6" s="7" t="s">
        <v>392</v>
      </c>
      <c r="C6" s="7" t="s">
        <v>393</v>
      </c>
      <c r="D6" s="7" t="s">
        <v>394</v>
      </c>
      <c r="E6" s="8" t="s">
        <v>466</v>
      </c>
      <c r="F6" s="7" t="s">
        <v>383</v>
      </c>
      <c r="G6" s="20" t="s">
        <v>27</v>
      </c>
      <c r="H6" s="20" t="s">
        <v>86</v>
      </c>
      <c r="I6" s="21" t="s">
        <v>55</v>
      </c>
      <c r="J6" s="22"/>
      <c r="K6" s="20" t="s">
        <v>77</v>
      </c>
      <c r="L6" s="21" t="s">
        <v>78</v>
      </c>
      <c r="M6" s="20" t="s">
        <v>78</v>
      </c>
      <c r="N6" s="22"/>
      <c r="O6" s="9" t="str">
        <f>"560,0"</f>
        <v>560,0</v>
      </c>
      <c r="P6" s="9" t="str">
        <f>"365,2347"</f>
        <v>365,2347</v>
      </c>
      <c r="Q6" s="7" t="s">
        <v>395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AF55-92B3-40A1-ACE9-8AB7C15E5C08}">
  <dimension ref="A1:M47"/>
  <sheetViews>
    <sheetView workbookViewId="0">
      <selection activeCell="E38" sqref="E38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7" style="5" bestFit="1" customWidth="1"/>
    <col min="4" max="4" width="21" style="5" bestFit="1" customWidth="1"/>
    <col min="5" max="5" width="10.1640625" style="10" bestFit="1" customWidth="1"/>
    <col min="6" max="6" width="37.5" style="5" bestFit="1" customWidth="1"/>
    <col min="7" max="7" width="5.5" style="18" customWidth="1"/>
    <col min="8" max="9" width="5.33203125" style="18" customWidth="1"/>
    <col min="10" max="10" width="4.6640625" style="18" customWidth="1"/>
    <col min="11" max="11" width="10.5" style="6" bestFit="1" customWidth="1"/>
    <col min="12" max="12" width="8.3320312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45" t="s">
        <v>436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57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58"/>
      <c r="L4" s="58"/>
      <c r="M4" s="63"/>
    </row>
    <row r="5" spans="1:13" ht="16">
      <c r="A5" s="64" t="s">
        <v>104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22" t="s">
        <v>43</v>
      </c>
      <c r="B6" s="7" t="s">
        <v>105</v>
      </c>
      <c r="C6" s="7" t="s">
        <v>106</v>
      </c>
      <c r="D6" s="7" t="s">
        <v>107</v>
      </c>
      <c r="E6" s="8" t="s">
        <v>463</v>
      </c>
      <c r="F6" s="7" t="s">
        <v>108</v>
      </c>
      <c r="G6" s="20" t="s">
        <v>112</v>
      </c>
      <c r="H6" s="21" t="s">
        <v>113</v>
      </c>
      <c r="I6" s="21" t="s">
        <v>113</v>
      </c>
      <c r="J6" s="22"/>
      <c r="K6" s="9" t="str">
        <f>"55,0"</f>
        <v>55,0</v>
      </c>
      <c r="L6" s="9" t="str">
        <f>"73,0675"</f>
        <v>73,0675</v>
      </c>
      <c r="M6" s="7" t="s">
        <v>87</v>
      </c>
    </row>
    <row r="8" spans="1:13" ht="16">
      <c r="A8" s="60" t="s">
        <v>115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22" t="s">
        <v>43</v>
      </c>
      <c r="B9" s="7" t="s">
        <v>145</v>
      </c>
      <c r="C9" s="7" t="s">
        <v>146</v>
      </c>
      <c r="D9" s="7" t="s">
        <v>147</v>
      </c>
      <c r="E9" s="8" t="s">
        <v>464</v>
      </c>
      <c r="F9" s="7" t="s">
        <v>83</v>
      </c>
      <c r="G9" s="20" t="s">
        <v>149</v>
      </c>
      <c r="H9" s="20" t="s">
        <v>109</v>
      </c>
      <c r="I9" s="21" t="s">
        <v>150</v>
      </c>
      <c r="J9" s="22"/>
      <c r="K9" s="9" t="str">
        <f>"90,0"</f>
        <v>90,0</v>
      </c>
      <c r="L9" s="9" t="str">
        <f>"76,9950"</f>
        <v>76,9950</v>
      </c>
      <c r="M9" s="7" t="s">
        <v>87</v>
      </c>
    </row>
    <row r="11" spans="1:13" ht="16">
      <c r="A11" s="60" t="s">
        <v>125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34" t="s">
        <v>43</v>
      </c>
      <c r="B12" s="23" t="s">
        <v>254</v>
      </c>
      <c r="C12" s="23" t="s">
        <v>255</v>
      </c>
      <c r="D12" s="23" t="s">
        <v>256</v>
      </c>
      <c r="E12" s="24" t="s">
        <v>464</v>
      </c>
      <c r="F12" s="23" t="s">
        <v>83</v>
      </c>
      <c r="G12" s="32" t="s">
        <v>122</v>
      </c>
      <c r="H12" s="32" t="s">
        <v>114</v>
      </c>
      <c r="I12" s="33" t="s">
        <v>140</v>
      </c>
      <c r="J12" s="34"/>
      <c r="K12" s="25" t="str">
        <f>"130,0"</f>
        <v>130,0</v>
      </c>
      <c r="L12" s="25" t="str">
        <f>"92,7160"</f>
        <v>92,7160</v>
      </c>
      <c r="M12" s="23"/>
    </row>
    <row r="13" spans="1:13">
      <c r="A13" s="38" t="s">
        <v>43</v>
      </c>
      <c r="B13" s="29" t="s">
        <v>257</v>
      </c>
      <c r="C13" s="29" t="s">
        <v>258</v>
      </c>
      <c r="D13" s="29" t="s">
        <v>259</v>
      </c>
      <c r="E13" s="30" t="s">
        <v>463</v>
      </c>
      <c r="F13" s="29" t="s">
        <v>260</v>
      </c>
      <c r="G13" s="37" t="s">
        <v>261</v>
      </c>
      <c r="H13" s="37" t="s">
        <v>67</v>
      </c>
      <c r="I13" s="37" t="s">
        <v>48</v>
      </c>
      <c r="J13" s="38"/>
      <c r="K13" s="31" t="str">
        <f>"160,0"</f>
        <v>160,0</v>
      </c>
      <c r="L13" s="31" t="str">
        <f>"115,9840"</f>
        <v>115,9840</v>
      </c>
      <c r="M13" s="29"/>
    </row>
    <row r="15" spans="1:13" ht="16">
      <c r="A15" s="60" t="s">
        <v>44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34" t="s">
        <v>43</v>
      </c>
      <c r="B16" s="23" t="s">
        <v>262</v>
      </c>
      <c r="C16" s="23" t="s">
        <v>263</v>
      </c>
      <c r="D16" s="23" t="s">
        <v>264</v>
      </c>
      <c r="E16" s="24" t="s">
        <v>464</v>
      </c>
      <c r="F16" s="23" t="s">
        <v>83</v>
      </c>
      <c r="G16" s="32" t="s">
        <v>156</v>
      </c>
      <c r="H16" s="32" t="s">
        <v>139</v>
      </c>
      <c r="I16" s="33" t="s">
        <v>149</v>
      </c>
      <c r="J16" s="34"/>
      <c r="K16" s="25" t="str">
        <f>"82,5"</f>
        <v>82,5</v>
      </c>
      <c r="L16" s="25" t="str">
        <f>"55,8855"</f>
        <v>55,8855</v>
      </c>
      <c r="M16" s="23" t="s">
        <v>265</v>
      </c>
    </row>
    <row r="17" spans="1:13">
      <c r="A17" s="36" t="s">
        <v>43</v>
      </c>
      <c r="B17" s="26" t="s">
        <v>266</v>
      </c>
      <c r="C17" s="26" t="s">
        <v>267</v>
      </c>
      <c r="D17" s="26" t="s">
        <v>268</v>
      </c>
      <c r="E17" s="27" t="s">
        <v>463</v>
      </c>
      <c r="F17" s="26" t="s">
        <v>83</v>
      </c>
      <c r="G17" s="35" t="s">
        <v>19</v>
      </c>
      <c r="H17" s="35" t="s">
        <v>208</v>
      </c>
      <c r="I17" s="35" t="s">
        <v>269</v>
      </c>
      <c r="J17" s="36"/>
      <c r="K17" s="28" t="str">
        <f>"172,5"</f>
        <v>172,5</v>
      </c>
      <c r="L17" s="28" t="str">
        <f>"118,8180"</f>
        <v>118,8180</v>
      </c>
      <c r="M17" s="26"/>
    </row>
    <row r="18" spans="1:13">
      <c r="A18" s="36" t="s">
        <v>103</v>
      </c>
      <c r="B18" s="26" t="s">
        <v>45</v>
      </c>
      <c r="C18" s="26" t="s">
        <v>46</v>
      </c>
      <c r="D18" s="26" t="s">
        <v>47</v>
      </c>
      <c r="E18" s="27" t="s">
        <v>463</v>
      </c>
      <c r="F18" s="26" t="s">
        <v>445</v>
      </c>
      <c r="G18" s="35" t="s">
        <v>17</v>
      </c>
      <c r="H18" s="35" t="s">
        <v>18</v>
      </c>
      <c r="I18" s="40" t="s">
        <v>19</v>
      </c>
      <c r="J18" s="36"/>
      <c r="K18" s="28" t="str">
        <f>"145,0"</f>
        <v>145,0</v>
      </c>
      <c r="L18" s="28" t="str">
        <f>"97,7155"</f>
        <v>97,7155</v>
      </c>
      <c r="M18" s="26" t="s">
        <v>22</v>
      </c>
    </row>
    <row r="19" spans="1:13">
      <c r="A19" s="36" t="s">
        <v>250</v>
      </c>
      <c r="B19" s="26" t="s">
        <v>270</v>
      </c>
      <c r="C19" s="26" t="s">
        <v>271</v>
      </c>
      <c r="D19" s="26" t="s">
        <v>272</v>
      </c>
      <c r="E19" s="27" t="s">
        <v>463</v>
      </c>
      <c r="F19" s="26" t="s">
        <v>83</v>
      </c>
      <c r="G19" s="35" t="s">
        <v>169</v>
      </c>
      <c r="H19" s="40" t="s">
        <v>174</v>
      </c>
      <c r="I19" s="36"/>
      <c r="J19" s="36"/>
      <c r="K19" s="28" t="str">
        <f>"117,5"</f>
        <v>117,5</v>
      </c>
      <c r="L19" s="28" t="str">
        <f>"79,4182"</f>
        <v>79,4182</v>
      </c>
      <c r="M19" s="26" t="s">
        <v>273</v>
      </c>
    </row>
    <row r="20" spans="1:13">
      <c r="A20" s="36" t="s">
        <v>43</v>
      </c>
      <c r="B20" s="26" t="s">
        <v>274</v>
      </c>
      <c r="C20" s="26" t="s">
        <v>275</v>
      </c>
      <c r="D20" s="26" t="s">
        <v>52</v>
      </c>
      <c r="E20" s="27" t="s">
        <v>466</v>
      </c>
      <c r="F20" s="26" t="s">
        <v>456</v>
      </c>
      <c r="G20" s="35" t="s">
        <v>48</v>
      </c>
      <c r="H20" s="40" t="s">
        <v>209</v>
      </c>
      <c r="I20" s="40" t="s">
        <v>209</v>
      </c>
      <c r="J20" s="36"/>
      <c r="K20" s="28" t="str">
        <f>"160,0"</f>
        <v>160,0</v>
      </c>
      <c r="L20" s="28" t="str">
        <f>"108,6846"</f>
        <v>108,6846</v>
      </c>
      <c r="M20" s="26" t="s">
        <v>276</v>
      </c>
    </row>
    <row r="21" spans="1:13">
      <c r="A21" s="38" t="s">
        <v>103</v>
      </c>
      <c r="B21" s="29" t="s">
        <v>277</v>
      </c>
      <c r="C21" s="29" t="s">
        <v>278</v>
      </c>
      <c r="D21" s="29" t="s">
        <v>228</v>
      </c>
      <c r="E21" s="30" t="s">
        <v>466</v>
      </c>
      <c r="F21" s="29" t="s">
        <v>83</v>
      </c>
      <c r="G21" s="37" t="s">
        <v>140</v>
      </c>
      <c r="H21" s="39" t="s">
        <v>17</v>
      </c>
      <c r="I21" s="39" t="s">
        <v>18</v>
      </c>
      <c r="J21" s="38"/>
      <c r="K21" s="31" t="str">
        <f>"135,0"</f>
        <v>135,0</v>
      </c>
      <c r="L21" s="31" t="str">
        <f>"97,7088"</f>
        <v>97,7088</v>
      </c>
      <c r="M21" s="29" t="s">
        <v>265</v>
      </c>
    </row>
    <row r="23" spans="1:13" ht="16">
      <c r="A23" s="60" t="s">
        <v>10</v>
      </c>
      <c r="B23" s="60"/>
      <c r="C23" s="61"/>
      <c r="D23" s="61"/>
      <c r="E23" s="61"/>
      <c r="F23" s="61"/>
      <c r="G23" s="61"/>
      <c r="H23" s="61"/>
      <c r="I23" s="61"/>
      <c r="J23" s="61"/>
    </row>
    <row r="24" spans="1:13">
      <c r="A24" s="34" t="s">
        <v>43</v>
      </c>
      <c r="B24" s="23" t="s">
        <v>234</v>
      </c>
      <c r="C24" s="23" t="s">
        <v>235</v>
      </c>
      <c r="D24" s="23" t="s">
        <v>190</v>
      </c>
      <c r="E24" s="24" t="s">
        <v>463</v>
      </c>
      <c r="F24" s="23" t="s">
        <v>445</v>
      </c>
      <c r="G24" s="32" t="s">
        <v>70</v>
      </c>
      <c r="H24" s="32" t="s">
        <v>32</v>
      </c>
      <c r="I24" s="32" t="s">
        <v>84</v>
      </c>
      <c r="J24" s="34"/>
      <c r="K24" s="25" t="str">
        <f>"185,0"</f>
        <v>185,0</v>
      </c>
      <c r="L24" s="25" t="str">
        <f>"118,4370"</f>
        <v>118,4370</v>
      </c>
      <c r="M24" s="23" t="s">
        <v>22</v>
      </c>
    </row>
    <row r="25" spans="1:13">
      <c r="A25" s="36" t="s">
        <v>103</v>
      </c>
      <c r="B25" s="26" t="s">
        <v>236</v>
      </c>
      <c r="C25" s="26" t="s">
        <v>237</v>
      </c>
      <c r="D25" s="26" t="s">
        <v>13</v>
      </c>
      <c r="E25" s="27" t="s">
        <v>463</v>
      </c>
      <c r="F25" s="26" t="s">
        <v>448</v>
      </c>
      <c r="G25" s="35" t="s">
        <v>32</v>
      </c>
      <c r="H25" s="40" t="s">
        <v>14</v>
      </c>
      <c r="I25" s="40" t="s">
        <v>14</v>
      </c>
      <c r="J25" s="36"/>
      <c r="K25" s="28" t="str">
        <f>"180,0"</f>
        <v>180,0</v>
      </c>
      <c r="L25" s="28" t="str">
        <f>"114,9120"</f>
        <v>114,9120</v>
      </c>
      <c r="M25" s="26" t="s">
        <v>198</v>
      </c>
    </row>
    <row r="26" spans="1:13">
      <c r="A26" s="36" t="s">
        <v>43</v>
      </c>
      <c r="B26" s="26" t="s">
        <v>279</v>
      </c>
      <c r="C26" s="26" t="s">
        <v>280</v>
      </c>
      <c r="D26" s="26" t="s">
        <v>281</v>
      </c>
      <c r="E26" s="27" t="s">
        <v>466</v>
      </c>
      <c r="F26" s="26" t="s">
        <v>83</v>
      </c>
      <c r="G26" s="35" t="s">
        <v>18</v>
      </c>
      <c r="H26" s="35" t="s">
        <v>261</v>
      </c>
      <c r="I26" s="35" t="s">
        <v>151</v>
      </c>
      <c r="J26" s="36"/>
      <c r="K26" s="28" t="str">
        <f>"155,0"</f>
        <v>155,0</v>
      </c>
      <c r="L26" s="28" t="str">
        <f>"100,7460"</f>
        <v>100,7460</v>
      </c>
      <c r="M26" s="26"/>
    </row>
    <row r="27" spans="1:13">
      <c r="A27" s="38" t="s">
        <v>103</v>
      </c>
      <c r="B27" s="29" t="s">
        <v>282</v>
      </c>
      <c r="C27" s="29" t="s">
        <v>283</v>
      </c>
      <c r="D27" s="29" t="s">
        <v>284</v>
      </c>
      <c r="E27" s="30" t="s">
        <v>466</v>
      </c>
      <c r="F27" s="29" t="s">
        <v>448</v>
      </c>
      <c r="G27" s="37" t="s">
        <v>17</v>
      </c>
      <c r="H27" s="37" t="s">
        <v>19</v>
      </c>
      <c r="I27" s="39" t="s">
        <v>48</v>
      </c>
      <c r="J27" s="38"/>
      <c r="K27" s="31" t="str">
        <f>"150,0"</f>
        <v>150,0</v>
      </c>
      <c r="L27" s="31" t="str">
        <f>"103,8761"</f>
        <v>103,8761</v>
      </c>
      <c r="M27" s="29"/>
    </row>
    <row r="29" spans="1:13" ht="16">
      <c r="A29" s="60" t="s">
        <v>88</v>
      </c>
      <c r="B29" s="60"/>
      <c r="C29" s="61"/>
      <c r="D29" s="61"/>
      <c r="E29" s="61"/>
      <c r="F29" s="61"/>
      <c r="G29" s="61"/>
      <c r="H29" s="61"/>
      <c r="I29" s="61"/>
      <c r="J29" s="61"/>
    </row>
    <row r="30" spans="1:13">
      <c r="A30" s="22" t="s">
        <v>43</v>
      </c>
      <c r="B30" s="7" t="s">
        <v>285</v>
      </c>
      <c r="C30" s="7" t="s">
        <v>286</v>
      </c>
      <c r="D30" s="7" t="s">
        <v>287</v>
      </c>
      <c r="E30" s="8" t="s">
        <v>463</v>
      </c>
      <c r="F30" s="7" t="s">
        <v>450</v>
      </c>
      <c r="G30" s="20" t="s">
        <v>17</v>
      </c>
      <c r="H30" s="20" t="s">
        <v>61</v>
      </c>
      <c r="I30" s="21" t="s">
        <v>18</v>
      </c>
      <c r="J30" s="22"/>
      <c r="K30" s="9" t="str">
        <f>"142,5"</f>
        <v>142,5</v>
      </c>
      <c r="L30" s="9" t="str">
        <f>"87,5948"</f>
        <v>87,5948</v>
      </c>
      <c r="M30" s="7"/>
    </row>
    <row r="32" spans="1:13" ht="16">
      <c r="A32" s="60" t="s">
        <v>23</v>
      </c>
      <c r="B32" s="60"/>
      <c r="C32" s="61"/>
      <c r="D32" s="61"/>
      <c r="E32" s="61"/>
      <c r="F32" s="61"/>
      <c r="G32" s="61"/>
      <c r="H32" s="61"/>
      <c r="I32" s="61"/>
      <c r="J32" s="61"/>
    </row>
    <row r="33" spans="1:13">
      <c r="A33" s="22" t="s">
        <v>43</v>
      </c>
      <c r="B33" s="7" t="s">
        <v>288</v>
      </c>
      <c r="C33" s="7" t="s">
        <v>289</v>
      </c>
      <c r="D33" s="7" t="s">
        <v>290</v>
      </c>
      <c r="E33" s="8" t="s">
        <v>463</v>
      </c>
      <c r="F33" s="7" t="s">
        <v>108</v>
      </c>
      <c r="G33" s="20" t="s">
        <v>14</v>
      </c>
      <c r="H33" s="21" t="s">
        <v>170</v>
      </c>
      <c r="I33" s="21" t="s">
        <v>170</v>
      </c>
      <c r="J33" s="22"/>
      <c r="K33" s="9" t="str">
        <f>"190,0"</f>
        <v>190,0</v>
      </c>
      <c r="L33" s="9" t="str">
        <f>"111,9100"</f>
        <v>111,9100</v>
      </c>
      <c r="M33" s="7" t="s">
        <v>87</v>
      </c>
    </row>
    <row r="35" spans="1:13" ht="16">
      <c r="A35" s="60" t="s">
        <v>203</v>
      </c>
      <c r="B35" s="60"/>
      <c r="C35" s="61"/>
      <c r="D35" s="61"/>
      <c r="E35" s="61"/>
      <c r="F35" s="61"/>
      <c r="G35" s="61"/>
      <c r="H35" s="61"/>
      <c r="I35" s="61"/>
      <c r="J35" s="61"/>
    </row>
    <row r="36" spans="1:13">
      <c r="A36" s="34" t="s">
        <v>43</v>
      </c>
      <c r="B36" s="23" t="s">
        <v>291</v>
      </c>
      <c r="C36" s="23" t="s">
        <v>292</v>
      </c>
      <c r="D36" s="23" t="s">
        <v>293</v>
      </c>
      <c r="E36" s="24" t="s">
        <v>463</v>
      </c>
      <c r="F36" s="23" t="s">
        <v>457</v>
      </c>
      <c r="G36" s="32" t="s">
        <v>32</v>
      </c>
      <c r="H36" s="32" t="s">
        <v>14</v>
      </c>
      <c r="I36" s="32" t="s">
        <v>15</v>
      </c>
      <c r="J36" s="34"/>
      <c r="K36" s="25" t="str">
        <f>"205,0"</f>
        <v>205,0</v>
      </c>
      <c r="L36" s="25" t="str">
        <f>"117,3010"</f>
        <v>117,3010</v>
      </c>
      <c r="M36" s="23" t="s">
        <v>34</v>
      </c>
    </row>
    <row r="37" spans="1:13">
      <c r="A37" s="38" t="s">
        <v>103</v>
      </c>
      <c r="B37" s="29" t="s">
        <v>204</v>
      </c>
      <c r="C37" s="29" t="s">
        <v>205</v>
      </c>
      <c r="D37" s="29" t="s">
        <v>206</v>
      </c>
      <c r="E37" s="30" t="s">
        <v>463</v>
      </c>
      <c r="F37" s="29" t="s">
        <v>207</v>
      </c>
      <c r="G37" s="37" t="s">
        <v>48</v>
      </c>
      <c r="H37" s="37" t="s">
        <v>208</v>
      </c>
      <c r="I37" s="37" t="s">
        <v>209</v>
      </c>
      <c r="J37" s="38"/>
      <c r="K37" s="31" t="str">
        <f>"167,5"</f>
        <v>167,5</v>
      </c>
      <c r="L37" s="31" t="str">
        <f>"95,4918"</f>
        <v>95,4918</v>
      </c>
      <c r="M37" s="29" t="s">
        <v>87</v>
      </c>
    </row>
    <row r="39" spans="1:13">
      <c r="K39" s="18"/>
      <c r="M39" s="6"/>
    </row>
    <row r="40" spans="1:13">
      <c r="C40" s="3"/>
      <c r="D40" s="3"/>
      <c r="E40" s="3"/>
      <c r="F40" s="3"/>
      <c r="G40" s="3"/>
      <c r="K40" s="18"/>
      <c r="M40" s="6"/>
    </row>
    <row r="41" spans="1:13" ht="18">
      <c r="B41" s="11" t="s">
        <v>35</v>
      </c>
      <c r="C41" s="11"/>
      <c r="G41" s="3"/>
      <c r="K41" s="18"/>
      <c r="M41" s="6"/>
    </row>
    <row r="42" spans="1:13" ht="16">
      <c r="B42" s="12" t="s">
        <v>36</v>
      </c>
      <c r="C42" s="12"/>
      <c r="G42" s="3"/>
      <c r="K42" s="18"/>
      <c r="M42" s="6"/>
    </row>
    <row r="43" spans="1:13" ht="14">
      <c r="B43" s="13"/>
      <c r="C43" s="14" t="s">
        <v>37</v>
      </c>
      <c r="G43" s="3"/>
      <c r="K43" s="18"/>
      <c r="M43" s="6"/>
    </row>
    <row r="44" spans="1:13" ht="14">
      <c r="B44" s="15" t="s">
        <v>38</v>
      </c>
      <c r="C44" s="15" t="s">
        <v>39</v>
      </c>
      <c r="D44" s="15" t="s">
        <v>454</v>
      </c>
      <c r="E44" s="16" t="s">
        <v>217</v>
      </c>
      <c r="F44" s="15" t="s">
        <v>41</v>
      </c>
      <c r="G44" s="3"/>
      <c r="K44" s="18"/>
      <c r="M44" s="6"/>
    </row>
    <row r="45" spans="1:13">
      <c r="B45" s="5" t="s">
        <v>266</v>
      </c>
      <c r="C45" s="5" t="s">
        <v>37</v>
      </c>
      <c r="D45" s="18" t="s">
        <v>49</v>
      </c>
      <c r="E45" s="19">
        <v>172.5</v>
      </c>
      <c r="F45" s="17">
        <v>118.81799608468999</v>
      </c>
      <c r="G45" s="3"/>
      <c r="K45" s="18"/>
      <c r="M45" s="6"/>
    </row>
    <row r="46" spans="1:13">
      <c r="B46" s="5" t="s">
        <v>234</v>
      </c>
      <c r="C46" s="5" t="s">
        <v>37</v>
      </c>
      <c r="D46" s="18" t="s">
        <v>42</v>
      </c>
      <c r="E46" s="19">
        <v>185</v>
      </c>
      <c r="F46" s="17">
        <v>118.43700349330901</v>
      </c>
      <c r="G46" s="5"/>
      <c r="K46" s="18"/>
      <c r="M46" s="6"/>
    </row>
    <row r="47" spans="1:13">
      <c r="B47" s="5" t="s">
        <v>291</v>
      </c>
      <c r="C47" s="5" t="s">
        <v>37</v>
      </c>
      <c r="D47" s="18" t="s">
        <v>218</v>
      </c>
      <c r="E47" s="19">
        <v>205</v>
      </c>
      <c r="F47" s="17">
        <v>117.301000058651</v>
      </c>
    </row>
  </sheetData>
  <mergeCells count="19">
    <mergeCell ref="A35:J35"/>
    <mergeCell ref="B3:B4"/>
    <mergeCell ref="A8:J8"/>
    <mergeCell ref="A11:J11"/>
    <mergeCell ref="A15:J15"/>
    <mergeCell ref="A23:J23"/>
    <mergeCell ref="A29:J29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5DFA-421D-4263-84C8-C1CB714115A5}">
  <dimension ref="A1:M41"/>
  <sheetViews>
    <sheetView workbookViewId="0">
      <selection activeCell="E32" sqref="E32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5.33203125" style="5" bestFit="1" customWidth="1"/>
    <col min="4" max="4" width="21" style="5" bestFit="1" customWidth="1"/>
    <col min="5" max="5" width="10.1640625" style="10" bestFit="1" customWidth="1"/>
    <col min="6" max="6" width="37.6640625" style="5" bestFit="1" customWidth="1"/>
    <col min="7" max="7" width="5.5" style="18" customWidth="1"/>
    <col min="8" max="9" width="5.33203125" style="18" customWidth="1"/>
    <col min="10" max="10" width="4.6640625" style="18" customWidth="1"/>
    <col min="11" max="11" width="10.5" style="19" bestFit="1" customWidth="1"/>
    <col min="12" max="12" width="8.3320312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5" t="s">
        <v>437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460</v>
      </c>
      <c r="B3" s="66" t="s">
        <v>0</v>
      </c>
      <c r="C3" s="55" t="s">
        <v>461</v>
      </c>
      <c r="D3" s="55" t="s">
        <v>6</v>
      </c>
      <c r="E3" s="57" t="s">
        <v>462</v>
      </c>
      <c r="F3" s="59" t="s">
        <v>5</v>
      </c>
      <c r="G3" s="59" t="s">
        <v>8</v>
      </c>
      <c r="H3" s="59"/>
      <c r="I3" s="59"/>
      <c r="J3" s="59"/>
      <c r="K3" s="68" t="s">
        <v>213</v>
      </c>
      <c r="L3" s="57" t="s">
        <v>3</v>
      </c>
      <c r="M3" s="62" t="s">
        <v>2</v>
      </c>
    </row>
    <row r="4" spans="1:13" s="1" customFormat="1" ht="21" customHeight="1" thickBot="1">
      <c r="A4" s="54"/>
      <c r="B4" s="67"/>
      <c r="C4" s="56"/>
      <c r="D4" s="56"/>
      <c r="E4" s="58"/>
      <c r="F4" s="56"/>
      <c r="G4" s="4">
        <v>1</v>
      </c>
      <c r="H4" s="4">
        <v>2</v>
      </c>
      <c r="I4" s="4">
        <v>3</v>
      </c>
      <c r="J4" s="4" t="s">
        <v>4</v>
      </c>
      <c r="K4" s="69"/>
      <c r="L4" s="58"/>
      <c r="M4" s="63"/>
    </row>
    <row r="5" spans="1:13" ht="16">
      <c r="A5" s="64" t="s">
        <v>115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22" t="s">
        <v>43</v>
      </c>
      <c r="B6" s="7" t="s">
        <v>219</v>
      </c>
      <c r="C6" s="7" t="s">
        <v>220</v>
      </c>
      <c r="D6" s="7" t="s">
        <v>155</v>
      </c>
      <c r="E6" s="8" t="s">
        <v>463</v>
      </c>
      <c r="F6" s="7" t="s">
        <v>444</v>
      </c>
      <c r="G6" s="20" t="s">
        <v>221</v>
      </c>
      <c r="H6" s="20" t="s">
        <v>18</v>
      </c>
      <c r="I6" s="21" t="s">
        <v>62</v>
      </c>
      <c r="J6" s="22"/>
      <c r="K6" s="41" t="str">
        <f>"145,0"</f>
        <v>145,0</v>
      </c>
      <c r="L6" s="9" t="str">
        <f>"123,6705"</f>
        <v>123,6705</v>
      </c>
      <c r="M6" s="7" t="s">
        <v>87</v>
      </c>
    </row>
    <row r="8" spans="1:13" ht="16">
      <c r="A8" s="60" t="s">
        <v>157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22" t="s">
        <v>43</v>
      </c>
      <c r="B9" s="7" t="s">
        <v>222</v>
      </c>
      <c r="C9" s="7" t="s">
        <v>223</v>
      </c>
      <c r="D9" s="7" t="s">
        <v>224</v>
      </c>
      <c r="E9" s="8" t="s">
        <v>463</v>
      </c>
      <c r="F9" s="7" t="s">
        <v>83</v>
      </c>
      <c r="G9" s="20" t="s">
        <v>112</v>
      </c>
      <c r="H9" s="20" t="s">
        <v>121</v>
      </c>
      <c r="I9" s="20" t="s">
        <v>113</v>
      </c>
      <c r="J9" s="22"/>
      <c r="K9" s="41" t="str">
        <f>"60,0"</f>
        <v>60,0</v>
      </c>
      <c r="L9" s="9" t="str">
        <f>"48,9960"</f>
        <v>48,9960</v>
      </c>
      <c r="M9" s="7" t="s">
        <v>225</v>
      </c>
    </row>
    <row r="11" spans="1:13" ht="16">
      <c r="A11" s="60" t="s">
        <v>44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34" t="s">
        <v>43</v>
      </c>
      <c r="B12" s="23" t="s">
        <v>226</v>
      </c>
      <c r="C12" s="23" t="s">
        <v>227</v>
      </c>
      <c r="D12" s="23" t="s">
        <v>228</v>
      </c>
      <c r="E12" s="24" t="s">
        <v>463</v>
      </c>
      <c r="F12" s="23" t="s">
        <v>458</v>
      </c>
      <c r="G12" s="32" t="s">
        <v>84</v>
      </c>
      <c r="H12" s="33" t="s">
        <v>14</v>
      </c>
      <c r="I12" s="33" t="s">
        <v>170</v>
      </c>
      <c r="J12" s="34"/>
      <c r="K12" s="42" t="str">
        <f>"185,0"</f>
        <v>185,0</v>
      </c>
      <c r="L12" s="25" t="str">
        <f>"124,2090"</f>
        <v>124,2090</v>
      </c>
      <c r="M12" s="23"/>
    </row>
    <row r="13" spans="1:13">
      <c r="A13" s="38" t="s">
        <v>103</v>
      </c>
      <c r="B13" s="29" t="s">
        <v>229</v>
      </c>
      <c r="C13" s="29" t="s">
        <v>230</v>
      </c>
      <c r="D13" s="29" t="s">
        <v>231</v>
      </c>
      <c r="E13" s="30" t="s">
        <v>463</v>
      </c>
      <c r="F13" s="29" t="s">
        <v>178</v>
      </c>
      <c r="G13" s="37" t="s">
        <v>151</v>
      </c>
      <c r="H13" s="37" t="s">
        <v>48</v>
      </c>
      <c r="I13" s="39" t="s">
        <v>232</v>
      </c>
      <c r="J13" s="38"/>
      <c r="K13" s="43" t="str">
        <f>"160,0"</f>
        <v>160,0</v>
      </c>
      <c r="L13" s="31" t="str">
        <f>"109,3120"</f>
        <v>109,3120</v>
      </c>
      <c r="M13" s="29" t="s">
        <v>233</v>
      </c>
    </row>
    <row r="15" spans="1:13" ht="16">
      <c r="A15" s="60" t="s">
        <v>10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34" t="s">
        <v>43</v>
      </c>
      <c r="B16" s="23" t="s">
        <v>72</v>
      </c>
      <c r="C16" s="23" t="s">
        <v>73</v>
      </c>
      <c r="D16" s="23" t="s">
        <v>13</v>
      </c>
      <c r="E16" s="24" t="s">
        <v>463</v>
      </c>
      <c r="F16" s="23" t="s">
        <v>448</v>
      </c>
      <c r="G16" s="32" t="s">
        <v>14</v>
      </c>
      <c r="H16" s="32" t="s">
        <v>75</v>
      </c>
      <c r="I16" s="32" t="s">
        <v>76</v>
      </c>
      <c r="J16" s="34"/>
      <c r="K16" s="42" t="str">
        <f>"207,5"</f>
        <v>207,5</v>
      </c>
      <c r="L16" s="25" t="str">
        <f>"132,4680"</f>
        <v>132,4680</v>
      </c>
      <c r="M16" s="23" t="s">
        <v>79</v>
      </c>
    </row>
    <row r="17" spans="1:13">
      <c r="A17" s="36" t="s">
        <v>103</v>
      </c>
      <c r="B17" s="26" t="s">
        <v>234</v>
      </c>
      <c r="C17" s="26" t="s">
        <v>235</v>
      </c>
      <c r="D17" s="26" t="s">
        <v>190</v>
      </c>
      <c r="E17" s="27" t="s">
        <v>463</v>
      </c>
      <c r="F17" s="26" t="s">
        <v>445</v>
      </c>
      <c r="G17" s="35" t="s">
        <v>70</v>
      </c>
      <c r="H17" s="35" t="s">
        <v>32</v>
      </c>
      <c r="I17" s="35" t="s">
        <v>84</v>
      </c>
      <c r="J17" s="36"/>
      <c r="K17" s="44" t="str">
        <f>"185,0"</f>
        <v>185,0</v>
      </c>
      <c r="L17" s="28" t="str">
        <f>"118,4370"</f>
        <v>118,4370</v>
      </c>
      <c r="M17" s="26" t="s">
        <v>22</v>
      </c>
    </row>
    <row r="18" spans="1:13">
      <c r="A18" s="36" t="s">
        <v>250</v>
      </c>
      <c r="B18" s="26" t="s">
        <v>80</v>
      </c>
      <c r="C18" s="26" t="s">
        <v>81</v>
      </c>
      <c r="D18" s="26" t="s">
        <v>82</v>
      </c>
      <c r="E18" s="27" t="s">
        <v>463</v>
      </c>
      <c r="F18" s="26" t="s">
        <v>83</v>
      </c>
      <c r="G18" s="35" t="s">
        <v>32</v>
      </c>
      <c r="H18" s="35" t="s">
        <v>84</v>
      </c>
      <c r="I18" s="40" t="s">
        <v>85</v>
      </c>
      <c r="J18" s="36"/>
      <c r="K18" s="44" t="str">
        <f>"185,0"</f>
        <v>185,0</v>
      </c>
      <c r="L18" s="28" t="str">
        <f>"118,2335"</f>
        <v>118,2335</v>
      </c>
      <c r="M18" s="26" t="s">
        <v>87</v>
      </c>
    </row>
    <row r="19" spans="1:13">
      <c r="A19" s="36" t="s">
        <v>251</v>
      </c>
      <c r="B19" s="26" t="s">
        <v>236</v>
      </c>
      <c r="C19" s="26" t="s">
        <v>237</v>
      </c>
      <c r="D19" s="26" t="s">
        <v>13</v>
      </c>
      <c r="E19" s="27" t="s">
        <v>463</v>
      </c>
      <c r="F19" s="26" t="s">
        <v>448</v>
      </c>
      <c r="G19" s="35" t="s">
        <v>70</v>
      </c>
      <c r="H19" s="35" t="s">
        <v>202</v>
      </c>
      <c r="I19" s="40" t="s">
        <v>14</v>
      </c>
      <c r="J19" s="36"/>
      <c r="K19" s="44" t="str">
        <f>"182,5"</f>
        <v>182,5</v>
      </c>
      <c r="L19" s="28" t="str">
        <f>"116,5080"</f>
        <v>116,5080</v>
      </c>
      <c r="M19" s="26" t="s">
        <v>198</v>
      </c>
    </row>
    <row r="20" spans="1:13">
      <c r="A20" s="38" t="s">
        <v>252</v>
      </c>
      <c r="B20" s="29" t="s">
        <v>238</v>
      </c>
      <c r="C20" s="29" t="s">
        <v>239</v>
      </c>
      <c r="D20" s="29" t="s">
        <v>240</v>
      </c>
      <c r="E20" s="30" t="s">
        <v>463</v>
      </c>
      <c r="F20" s="29" t="s">
        <v>447</v>
      </c>
      <c r="G20" s="37" t="s">
        <v>209</v>
      </c>
      <c r="H20" s="39" t="s">
        <v>70</v>
      </c>
      <c r="I20" s="39" t="s">
        <v>70</v>
      </c>
      <c r="J20" s="38"/>
      <c r="K20" s="43" t="str">
        <f>"167,5"</f>
        <v>167,5</v>
      </c>
      <c r="L20" s="31" t="str">
        <f>"107,4178"</f>
        <v>107,4178</v>
      </c>
      <c r="M20" s="29"/>
    </row>
    <row r="22" spans="1:13" ht="16">
      <c r="A22" s="60" t="s">
        <v>88</v>
      </c>
      <c r="B22" s="60"/>
      <c r="C22" s="61"/>
      <c r="D22" s="61"/>
      <c r="E22" s="61"/>
      <c r="F22" s="61"/>
      <c r="G22" s="61"/>
      <c r="H22" s="61"/>
      <c r="I22" s="61"/>
      <c r="J22" s="61"/>
    </row>
    <row r="23" spans="1:13">
      <c r="A23" s="34" t="s">
        <v>43</v>
      </c>
      <c r="B23" s="23" t="s">
        <v>241</v>
      </c>
      <c r="C23" s="23" t="s">
        <v>242</v>
      </c>
      <c r="D23" s="23" t="s">
        <v>91</v>
      </c>
      <c r="E23" s="24" t="s">
        <v>463</v>
      </c>
      <c r="F23" s="23" t="s">
        <v>447</v>
      </c>
      <c r="G23" s="32" t="s">
        <v>16</v>
      </c>
      <c r="H23" s="32" t="s">
        <v>54</v>
      </c>
      <c r="I23" s="33" t="s">
        <v>243</v>
      </c>
      <c r="J23" s="34"/>
      <c r="K23" s="42" t="str">
        <f>"225,0"</f>
        <v>225,0</v>
      </c>
      <c r="L23" s="25" t="str">
        <f>"136,9350"</f>
        <v>136,9350</v>
      </c>
      <c r="M23" s="23" t="s">
        <v>413</v>
      </c>
    </row>
    <row r="24" spans="1:13">
      <c r="A24" s="38" t="s">
        <v>103</v>
      </c>
      <c r="B24" s="29" t="s">
        <v>244</v>
      </c>
      <c r="C24" s="29" t="s">
        <v>245</v>
      </c>
      <c r="D24" s="29" t="s">
        <v>246</v>
      </c>
      <c r="E24" s="30" t="s">
        <v>463</v>
      </c>
      <c r="F24" s="29" t="s">
        <v>445</v>
      </c>
      <c r="G24" s="37" t="s">
        <v>32</v>
      </c>
      <c r="H24" s="37" t="s">
        <v>84</v>
      </c>
      <c r="I24" s="39" t="s">
        <v>14</v>
      </c>
      <c r="J24" s="38"/>
      <c r="K24" s="43" t="str">
        <f>"185,0"</f>
        <v>185,0</v>
      </c>
      <c r="L24" s="31" t="str">
        <f>"112,6835"</f>
        <v>112,6835</v>
      </c>
      <c r="M24" s="29" t="s">
        <v>22</v>
      </c>
    </row>
    <row r="26" spans="1:13" ht="16">
      <c r="A26" s="60" t="s">
        <v>23</v>
      </c>
      <c r="B26" s="60"/>
      <c r="C26" s="61"/>
      <c r="D26" s="61"/>
      <c r="E26" s="61"/>
      <c r="F26" s="61"/>
      <c r="G26" s="61"/>
      <c r="H26" s="61"/>
      <c r="I26" s="61"/>
      <c r="J26" s="61"/>
    </row>
    <row r="27" spans="1:13">
      <c r="A27" s="22" t="s">
        <v>253</v>
      </c>
      <c r="B27" s="7" t="s">
        <v>100</v>
      </c>
      <c r="C27" s="7" t="s">
        <v>101</v>
      </c>
      <c r="D27" s="7" t="s">
        <v>99</v>
      </c>
      <c r="E27" s="8" t="s">
        <v>463</v>
      </c>
      <c r="F27" s="7" t="s">
        <v>445</v>
      </c>
      <c r="G27" s="21" t="s">
        <v>32</v>
      </c>
      <c r="H27" s="21" t="s">
        <v>32</v>
      </c>
      <c r="I27" s="21" t="s">
        <v>32</v>
      </c>
      <c r="J27" s="22"/>
      <c r="K27" s="41">
        <v>0</v>
      </c>
      <c r="L27" s="9" t="str">
        <f>"0,0000"</f>
        <v>0,0000</v>
      </c>
      <c r="M27" s="7" t="s">
        <v>22</v>
      </c>
    </row>
    <row r="29" spans="1:13" ht="16">
      <c r="A29" s="60" t="s">
        <v>203</v>
      </c>
      <c r="B29" s="60"/>
      <c r="C29" s="61"/>
      <c r="D29" s="61"/>
      <c r="E29" s="61"/>
      <c r="F29" s="61"/>
      <c r="G29" s="61"/>
      <c r="H29" s="61"/>
      <c r="I29" s="61"/>
      <c r="J29" s="61"/>
    </row>
    <row r="30" spans="1:13">
      <c r="A30" s="34" t="s">
        <v>43</v>
      </c>
      <c r="B30" s="23" t="s">
        <v>214</v>
      </c>
      <c r="C30" s="23" t="s">
        <v>215</v>
      </c>
      <c r="D30" s="23" t="s">
        <v>216</v>
      </c>
      <c r="E30" s="24" t="s">
        <v>463</v>
      </c>
      <c r="F30" s="23" t="s">
        <v>452</v>
      </c>
      <c r="G30" s="32" t="s">
        <v>32</v>
      </c>
      <c r="H30" s="32" t="s">
        <v>179</v>
      </c>
      <c r="I30" s="32" t="s">
        <v>15</v>
      </c>
      <c r="J30" s="34"/>
      <c r="K30" s="42" t="str">
        <f>"205,0"</f>
        <v>205,0</v>
      </c>
      <c r="L30" s="25" t="str">
        <f>"117,3215"</f>
        <v>117,3215</v>
      </c>
      <c r="M30" s="23" t="s">
        <v>414</v>
      </c>
    </row>
    <row r="31" spans="1:13">
      <c r="A31" s="38" t="s">
        <v>103</v>
      </c>
      <c r="B31" s="29" t="s">
        <v>247</v>
      </c>
      <c r="C31" s="29" t="s">
        <v>248</v>
      </c>
      <c r="D31" s="29" t="s">
        <v>249</v>
      </c>
      <c r="E31" s="30" t="s">
        <v>463</v>
      </c>
      <c r="F31" s="29" t="s">
        <v>83</v>
      </c>
      <c r="G31" s="37" t="s">
        <v>179</v>
      </c>
      <c r="H31" s="39" t="s">
        <v>53</v>
      </c>
      <c r="I31" s="39" t="s">
        <v>53</v>
      </c>
      <c r="J31" s="38"/>
      <c r="K31" s="43" t="str">
        <f>"200,0"</f>
        <v>200,0</v>
      </c>
      <c r="L31" s="31" t="str">
        <f>"114,0600"</f>
        <v>114,0600</v>
      </c>
      <c r="M31" s="29" t="s">
        <v>87</v>
      </c>
    </row>
    <row r="33" spans="2:13">
      <c r="G33" s="5"/>
      <c r="M33" s="6"/>
    </row>
    <row r="34" spans="2:13">
      <c r="M34" s="6"/>
    </row>
    <row r="35" spans="2:13" ht="18">
      <c r="B35" s="11" t="s">
        <v>35</v>
      </c>
      <c r="C35" s="11"/>
      <c r="M35" s="6"/>
    </row>
    <row r="36" spans="2:13" ht="16">
      <c r="B36" s="12" t="s">
        <v>36</v>
      </c>
      <c r="C36" s="12"/>
      <c r="M36" s="6"/>
    </row>
    <row r="37" spans="2:13" ht="14">
      <c r="B37" s="13"/>
      <c r="C37" s="14" t="s">
        <v>37</v>
      </c>
      <c r="M37" s="6"/>
    </row>
    <row r="38" spans="2:13" ht="14">
      <c r="B38" s="15" t="s">
        <v>38</v>
      </c>
      <c r="C38" s="15" t="s">
        <v>39</v>
      </c>
      <c r="D38" s="15" t="s">
        <v>454</v>
      </c>
      <c r="E38" s="16" t="s">
        <v>217</v>
      </c>
      <c r="F38" s="15" t="s">
        <v>41</v>
      </c>
      <c r="M38" s="6"/>
    </row>
    <row r="39" spans="2:13">
      <c r="B39" s="5" t="s">
        <v>241</v>
      </c>
      <c r="C39" s="5" t="s">
        <v>37</v>
      </c>
      <c r="D39" s="18" t="s">
        <v>111</v>
      </c>
      <c r="E39" s="19">
        <v>225</v>
      </c>
      <c r="F39" s="17">
        <v>136.935004591942</v>
      </c>
      <c r="M39" s="6"/>
    </row>
    <row r="40" spans="2:13">
      <c r="B40" s="5" t="s">
        <v>72</v>
      </c>
      <c r="C40" s="5" t="s">
        <v>37</v>
      </c>
      <c r="D40" s="18" t="s">
        <v>109</v>
      </c>
      <c r="E40" s="19">
        <v>207.5</v>
      </c>
      <c r="F40" s="17">
        <v>132.46800377964999</v>
      </c>
      <c r="M40" s="6"/>
    </row>
    <row r="41" spans="2:13">
      <c r="B41" s="5" t="s">
        <v>226</v>
      </c>
      <c r="C41" s="5" t="s">
        <v>37</v>
      </c>
      <c r="D41" s="18" t="s">
        <v>139</v>
      </c>
      <c r="E41" s="19">
        <v>185</v>
      </c>
      <c r="F41" s="17">
        <v>124.20900195837</v>
      </c>
      <c r="G41" s="5"/>
      <c r="M41" s="6"/>
    </row>
  </sheetData>
  <mergeCells count="18">
    <mergeCell ref="A29:J29"/>
    <mergeCell ref="K3:K4"/>
    <mergeCell ref="L3:L4"/>
    <mergeCell ref="M3:M4"/>
    <mergeCell ref="A5:J5"/>
    <mergeCell ref="B3:B4"/>
    <mergeCell ref="A8:J8"/>
    <mergeCell ref="A11:J11"/>
    <mergeCell ref="A15:J15"/>
    <mergeCell ref="A22:J22"/>
    <mergeCell ref="A26:J26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WEPF Двоеборье экип</vt:lpstr>
      <vt:lpstr>WRPF Жим лежа без экип ДК</vt:lpstr>
      <vt:lpstr>WRPF Жим лежа без экип</vt:lpstr>
      <vt:lpstr>WRPF Военный жим ДК</vt:lpstr>
      <vt:lpstr>WRPF Военный жим</vt:lpstr>
      <vt:lpstr>WEPF Жим софт однопетельная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Пауэрспорт</vt:lpstr>
      <vt:lpstr>СПР Жим стоя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2022-09-22T09:32:26Z</dcterms:modified>
</cp:coreProperties>
</file>