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6520" windowHeight="6855" tabRatio="881" activeTab="5"/>
  </bookViews>
  <sheets>
    <sheet name="AWPC жим лежа без экипировки" sheetId="5" r:id="rId1"/>
    <sheet name="AWPC жим лежа в многослойной" sheetId="7" r:id="rId2"/>
    <sheet name="AWPC жим лежа в однослойной" sheetId="8" r:id="rId3"/>
    <sheet name="AWPC жим лежа в ст софт эк" sheetId="9" r:id="rId4"/>
    <sheet name="AWPC классичесический пауэр" sheetId="10" r:id="rId5"/>
    <sheet name="AWPC пауэрлифтинг без эк" sheetId="12" r:id="rId6"/>
    <sheet name="AWPC пауэрлифтинг однослой" sheetId="13" r:id="rId7"/>
    <sheet name="AWPC тяга становая без эк" sheetId="14" r:id="rId8"/>
    <sheet name="AWPC тяга становая в мн. эк." sheetId="15" r:id="rId9"/>
    <sheet name="AWPC тяга становая в одн. эк." sheetId="16" r:id="rId10"/>
    <sheet name="WPC жим лежа без эк." sheetId="17" r:id="rId11"/>
    <sheet name="WPC жим лежа в од. эк." sheetId="18" r:id="rId12"/>
    <sheet name="WPC классичесический пауэр." sheetId="19" r:id="rId13"/>
    <sheet name="WPC пауэрлифтинг без эк." sheetId="21" r:id="rId14"/>
    <sheet name="WPC пауэрлифтинг в од. эк." sheetId="22" r:id="rId15"/>
    <sheet name="WPC тяга становая без эк." sheetId="23" r:id="rId16"/>
    <sheet name="WPC тяга становая в од. эк." sheetId="24" r:id="rId17"/>
  </sheets>
  <definedNames>
    <definedName name="_xlnm._FilterDatabase" localSheetId="0" hidden="1">'AWPC жим лежа без экипировки'!$A$1:$K$3</definedName>
    <definedName name="_xlnm._FilterDatabase" localSheetId="1" hidden="1">'AWPC жим лежа в многослойной'!$A$1:$K$3</definedName>
    <definedName name="_xlnm._FilterDatabase" localSheetId="2" hidden="1">'AWPC жим лежа в однослойной'!$A$1:$K$3</definedName>
    <definedName name="_xlnm._FilterDatabase" localSheetId="3" hidden="1">'AWPC жим лежа в ст софт эк'!$A$1:$K$3</definedName>
    <definedName name="_xlnm._FilterDatabase" localSheetId="4" hidden="1">'AWPC классичесический пауэр'!$A$1:$S$3</definedName>
    <definedName name="_xlnm._FilterDatabase" localSheetId="5" hidden="1">'AWPC пауэрлифтинг без эк'!$A$1:$S$3</definedName>
    <definedName name="_xlnm._FilterDatabase" localSheetId="6" hidden="1">'AWPC пауэрлифтинг однослой'!$A$1:$S$3</definedName>
    <definedName name="_xlnm._FilterDatabase" localSheetId="7" hidden="1">'AWPC тяга становая без эк'!$A$1:$K$3</definedName>
    <definedName name="_xlnm._FilterDatabase" localSheetId="8" hidden="1">'AWPC тяга становая в мн. эк.'!$A$1:$K$3</definedName>
    <definedName name="_xlnm._FilterDatabase" localSheetId="9" hidden="1">'AWPC тяга становая в одн. эк.'!$A$1:$K$3</definedName>
    <definedName name="_xlnm._FilterDatabase" localSheetId="10" hidden="1">'WPC жим лежа без эк.'!$A$1:$S$3</definedName>
    <definedName name="_xlnm._FilterDatabase" localSheetId="11" hidden="1">'WPC жим лежа в од. эк.'!$A$1:$K$3</definedName>
    <definedName name="_xlnm._FilterDatabase" localSheetId="12" hidden="1">'WPC классичесический пауэр.'!$A$1:$S$3</definedName>
    <definedName name="_xlnm._FilterDatabase" localSheetId="13" hidden="1">'WPC пауэрлифтинг без эк.'!$A$1:$S$3</definedName>
    <definedName name="_xlnm._FilterDatabase" localSheetId="14" hidden="1">'WPC пауэрлифтинг в од. эк.'!$A$1:$S$3</definedName>
    <definedName name="_xlnm._FilterDatabase" localSheetId="15" hidden="1">'WPC тяга становая без эк.'!$A$1:$S$3</definedName>
    <definedName name="_xlnm._FilterDatabase" localSheetId="16" hidden="1">'WPC тяга становая в од. эк.'!$A$1:$K$3</definedName>
  </definedNames>
  <calcPr calcId="152511" refMode="R1C1"/>
</workbook>
</file>

<file path=xl/calcChain.xml><?xml version="1.0" encoding="utf-8"?>
<calcChain xmlns="http://schemas.openxmlformats.org/spreadsheetml/2006/main">
  <c r="D6" i="24" l="1"/>
  <c r="K6" i="24"/>
  <c r="L6" i="24"/>
  <c r="D6" i="23" l="1"/>
  <c r="S6" i="23"/>
  <c r="T6" i="23"/>
  <c r="D9" i="23"/>
  <c r="S9" i="23"/>
  <c r="T9" i="23"/>
  <c r="D6" i="22" l="1"/>
  <c r="S6" i="22"/>
  <c r="T6" i="22"/>
  <c r="D6" i="21" l="1"/>
  <c r="S6" i="21"/>
  <c r="T6" i="21"/>
  <c r="D6" i="19" l="1"/>
  <c r="S6" i="19"/>
  <c r="T6" i="19"/>
  <c r="D6" i="18" l="1"/>
  <c r="K6" i="18"/>
  <c r="L6" i="18"/>
  <c r="D6" i="17" l="1"/>
  <c r="S6" i="17"/>
  <c r="T6" i="17"/>
  <c r="D9" i="17"/>
  <c r="S9" i="17"/>
  <c r="T9" i="17"/>
  <c r="D6" i="16" l="1"/>
  <c r="K6" i="16"/>
  <c r="L6" i="16"/>
  <c r="D6" i="15" l="1"/>
  <c r="K6" i="15"/>
  <c r="L6" i="15"/>
  <c r="D6" i="14" l="1"/>
  <c r="K6" i="14"/>
  <c r="L6" i="14"/>
  <c r="D9" i="14"/>
  <c r="K9" i="14"/>
  <c r="L9" i="14"/>
  <c r="D10" i="14"/>
  <c r="K10" i="14"/>
  <c r="L10" i="14"/>
  <c r="D13" i="14"/>
  <c r="K13" i="14"/>
  <c r="L13" i="14"/>
  <c r="D16" i="14"/>
  <c r="K16" i="14"/>
  <c r="L16" i="14"/>
  <c r="D17" i="14"/>
  <c r="K17" i="14"/>
  <c r="L17" i="14"/>
  <c r="D20" i="14"/>
  <c r="K20" i="14"/>
  <c r="L20" i="14"/>
  <c r="D21" i="14"/>
  <c r="K21" i="14"/>
  <c r="L21" i="14"/>
  <c r="D22" i="14"/>
  <c r="K22" i="14"/>
  <c r="L22" i="14"/>
  <c r="D25" i="14"/>
  <c r="K25" i="14"/>
  <c r="L25" i="14"/>
  <c r="D26" i="14"/>
  <c r="K26" i="14"/>
  <c r="L26" i="14"/>
  <c r="D29" i="14"/>
  <c r="K29" i="14"/>
  <c r="L29" i="14"/>
  <c r="D32" i="14"/>
  <c r="K32" i="14"/>
  <c r="L32" i="14"/>
  <c r="D33" i="14"/>
  <c r="K33" i="14"/>
  <c r="L33" i="14"/>
  <c r="D6" i="13" l="1"/>
  <c r="S6" i="13"/>
  <c r="T6" i="13"/>
  <c r="D9" i="13"/>
  <c r="S9" i="13"/>
  <c r="T9" i="13"/>
  <c r="D6" i="12" l="1"/>
  <c r="S6" i="12"/>
  <c r="T6" i="12"/>
  <c r="D9" i="12"/>
  <c r="S9" i="12"/>
  <c r="T9" i="12"/>
  <c r="D12" i="12"/>
  <c r="S12" i="12"/>
  <c r="T12" i="12"/>
  <c r="D15" i="12"/>
  <c r="S15" i="12"/>
  <c r="T15" i="12"/>
  <c r="D18" i="12"/>
  <c r="S18" i="12"/>
  <c r="T18" i="12"/>
  <c r="D6" i="10" l="1"/>
  <c r="S6" i="10"/>
  <c r="T6" i="10"/>
  <c r="D7" i="10"/>
  <c r="S7" i="10"/>
  <c r="T7" i="10"/>
  <c r="D10" i="10"/>
  <c r="S10" i="10"/>
  <c r="T10" i="10"/>
  <c r="D13" i="10"/>
  <c r="S13" i="10"/>
  <c r="T13" i="10"/>
  <c r="D16" i="10"/>
  <c r="S16" i="10"/>
  <c r="T16" i="10"/>
  <c r="D19" i="10"/>
  <c r="S19" i="10"/>
  <c r="T19" i="10"/>
  <c r="D6" i="9" l="1"/>
  <c r="K6" i="9"/>
  <c r="L6" i="9"/>
  <c r="D9" i="9"/>
  <c r="K9" i="9"/>
  <c r="L9" i="9"/>
  <c r="D12" i="9"/>
  <c r="K12" i="9"/>
  <c r="L12" i="9"/>
  <c r="D6" i="8" l="1"/>
  <c r="K6" i="8"/>
  <c r="L6" i="8"/>
  <c r="D7" i="8"/>
  <c r="K7" i="8"/>
  <c r="L7" i="8"/>
  <c r="D6" i="7" l="1"/>
  <c r="K6" i="7"/>
  <c r="L6" i="7"/>
  <c r="L30" i="5" l="1"/>
  <c r="K30" i="5"/>
  <c r="D30" i="5"/>
  <c r="L29" i="5"/>
  <c r="K29" i="5"/>
  <c r="D29" i="5"/>
  <c r="L26" i="5"/>
  <c r="K26" i="5"/>
  <c r="D26" i="5"/>
  <c r="L23" i="5"/>
  <c r="K23" i="5"/>
  <c r="D23" i="5"/>
  <c r="L22" i="5"/>
  <c r="K22" i="5"/>
  <c r="D22" i="5"/>
  <c r="L19" i="5"/>
  <c r="K19" i="5"/>
  <c r="D19" i="5"/>
  <c r="L18" i="5"/>
  <c r="K18" i="5"/>
  <c r="D18" i="5"/>
  <c r="L17" i="5"/>
  <c r="K17" i="5"/>
  <c r="D17" i="5"/>
  <c r="L16" i="5"/>
  <c r="K16" i="5"/>
  <c r="D16" i="5"/>
  <c r="L15" i="5"/>
  <c r="K15" i="5"/>
  <c r="D15" i="5"/>
  <c r="L12" i="5"/>
  <c r="K12" i="5"/>
  <c r="D12" i="5"/>
  <c r="L9" i="5"/>
  <c r="K9" i="5"/>
  <c r="D9" i="5"/>
  <c r="L6" i="5"/>
  <c r="K6" i="5"/>
  <c r="D6" i="5"/>
</calcChain>
</file>

<file path=xl/sharedStrings.xml><?xml version="1.0" encoding="utf-8"?>
<sst xmlns="http://schemas.openxmlformats.org/spreadsheetml/2006/main" count="1419" uniqueCount="420">
  <si>
    <t>ФИО</t>
  </si>
  <si>
    <t>Тренер</t>
  </si>
  <si>
    <t>Очки</t>
  </si>
  <si>
    <t>Команда</t>
  </si>
  <si>
    <t>Рек</t>
  </si>
  <si>
    <t>Возрастная группа
Дата рождения/Возраст</t>
  </si>
  <si>
    <t>Собственный 
Вес</t>
  </si>
  <si>
    <t>Город/Область</t>
  </si>
  <si>
    <t>Gloss</t>
  </si>
  <si>
    <t>Жим лёжа</t>
  </si>
  <si>
    <t>ВЕСОВАЯ КАТЕГОРИЯ   60</t>
  </si>
  <si>
    <t>Гостева Валентина</t>
  </si>
  <si>
    <t>1. Гостева Валентина</t>
  </si>
  <si>
    <t>Открытая (07.08.1955)/64</t>
  </si>
  <si>
    <t>57,20</t>
  </si>
  <si>
    <t xml:space="preserve">лично </t>
  </si>
  <si>
    <t xml:space="preserve">Курск/Курская область </t>
  </si>
  <si>
    <t>60,0</t>
  </si>
  <si>
    <t>65,0</t>
  </si>
  <si>
    <t xml:space="preserve"> </t>
  </si>
  <si>
    <t>ВЕСОВАЯ КАТЕГОРИЯ   75</t>
  </si>
  <si>
    <t>Ткаченко Виталий</t>
  </si>
  <si>
    <t>1. Ткаченко Виталий</t>
  </si>
  <si>
    <t>Открытая (01.12.1980)/39</t>
  </si>
  <si>
    <t>74,50</t>
  </si>
  <si>
    <t xml:space="preserve">Ростов-на-Дону/Ростовская область </t>
  </si>
  <si>
    <t>135,0</t>
  </si>
  <si>
    <t>137,5</t>
  </si>
  <si>
    <t>ВЕСОВАЯ КАТЕГОРИЯ   82.5</t>
  </si>
  <si>
    <t>Широков Алексей</t>
  </si>
  <si>
    <t>1. Широков Алексей</t>
  </si>
  <si>
    <t>Юноши 18 - 19 (11.06.2000)/19</t>
  </si>
  <si>
    <t>82,10</t>
  </si>
  <si>
    <t>102,5</t>
  </si>
  <si>
    <t>105,0</t>
  </si>
  <si>
    <t>112,5</t>
  </si>
  <si>
    <t>ВЕСОВАЯ КАТЕГОРИЯ   90</t>
  </si>
  <si>
    <t>Шутько Богдан</t>
  </si>
  <si>
    <t>1. Шутько Богдан</t>
  </si>
  <si>
    <t>Юноши 16 - 17 (09.06.2002)/17</t>
  </si>
  <si>
    <t>87,80</t>
  </si>
  <si>
    <t xml:space="preserve">Белгород/Белгородская область </t>
  </si>
  <si>
    <t>125,0</t>
  </si>
  <si>
    <t>132,5</t>
  </si>
  <si>
    <t>Иноземцев Николай</t>
  </si>
  <si>
    <t>1. Иноземцев Николай</t>
  </si>
  <si>
    <t>Открытая (08.04.1992)/27</t>
  </si>
  <si>
    <t>83,30</t>
  </si>
  <si>
    <t>150,0</t>
  </si>
  <si>
    <t>160,0</t>
  </si>
  <si>
    <t>170,0</t>
  </si>
  <si>
    <t>Ярунин Александр</t>
  </si>
  <si>
    <t>2. Ярунин Александр</t>
  </si>
  <si>
    <t>Открытая (04.09.1982)/37</t>
  </si>
  <si>
    <t>86,30</t>
  </si>
  <si>
    <t xml:space="preserve">Москва </t>
  </si>
  <si>
    <t>142,5</t>
  </si>
  <si>
    <t>152,5</t>
  </si>
  <si>
    <t>Юреня Николай</t>
  </si>
  <si>
    <t>3. Юреня Николай</t>
  </si>
  <si>
    <t>Открытая (03.08.1983)/36</t>
  </si>
  <si>
    <t>86,10</t>
  </si>
  <si>
    <t>Кобзев Алексей</t>
  </si>
  <si>
    <t>1. Кобзев Алексей</t>
  </si>
  <si>
    <t>Ветераны 40 - 44 (25.03.1977)/42</t>
  </si>
  <si>
    <t xml:space="preserve">Елец/Липецкая область </t>
  </si>
  <si>
    <t>120,0</t>
  </si>
  <si>
    <t>130,0</t>
  </si>
  <si>
    <t>ВЕСОВАЯ КАТЕГОРИЯ   100</t>
  </si>
  <si>
    <t>Латышев Владислав</t>
  </si>
  <si>
    <t>1. Латышев Владислав</t>
  </si>
  <si>
    <t>Открытая (11.05.1995)/24</t>
  </si>
  <si>
    <t>97,10</t>
  </si>
  <si>
    <t xml:space="preserve">Орёл/Орловская область </t>
  </si>
  <si>
    <t>140,0</t>
  </si>
  <si>
    <t>Бородулин Алексей</t>
  </si>
  <si>
    <t>2. Бородулин Алексей</t>
  </si>
  <si>
    <t>Открытая (02.04.1984)/35</t>
  </si>
  <si>
    <t>94,40</t>
  </si>
  <si>
    <t>ВЕСОВАЯ КАТЕГОРИЯ   110</t>
  </si>
  <si>
    <t>Мотинов Алексей</t>
  </si>
  <si>
    <t>1. Мотинов Алексей</t>
  </si>
  <si>
    <t>Открытая (06.11.1989)/30</t>
  </si>
  <si>
    <t>106,90</t>
  </si>
  <si>
    <t>190,0</t>
  </si>
  <si>
    <t>200,0</t>
  </si>
  <si>
    <t>210,0</t>
  </si>
  <si>
    <t>ВЕСОВАЯ КАТЕГОРИЯ   125</t>
  </si>
  <si>
    <t>Кокоткин Александр</t>
  </si>
  <si>
    <t>1. Кокоткин Александр</t>
  </si>
  <si>
    <t>Ветераны 45 - 49 (05.02.1974)/46</t>
  </si>
  <si>
    <t>117,90</t>
  </si>
  <si>
    <t>180,0</t>
  </si>
  <si>
    <t>Чернышев Владимир</t>
  </si>
  <si>
    <t>1. Чернышев Владимир</t>
  </si>
  <si>
    <t>Ветераны 70 - 74 (04.09.1948)/71</t>
  </si>
  <si>
    <t>116,80</t>
  </si>
  <si>
    <t xml:space="preserve">Липецк/Липецкая область 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</si>
  <si>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</si>
  <si>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</si>
  <si>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</si>
  <si>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</si>
  <si>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</si>
  <si>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</si>
  <si>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</si>
  <si>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</si>
  <si>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</si>
  <si>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</si>
  <si>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</si>
  <si>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</si>
  <si>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Gloss </t>
  </si>
  <si>
    <t>60</t>
  </si>
  <si>
    <t>66,7095</t>
  </si>
  <si>
    <t xml:space="preserve">Мужчины </t>
  </si>
  <si>
    <t xml:space="preserve">Юноши </t>
  </si>
  <si>
    <t xml:space="preserve">Юноши 16 - 17 </t>
  </si>
  <si>
    <t>90</t>
  </si>
  <si>
    <t>82,2163</t>
  </si>
  <si>
    <t xml:space="preserve">Юноши 18 - 19 </t>
  </si>
  <si>
    <t>82.5</t>
  </si>
  <si>
    <t>67,8983</t>
  </si>
  <si>
    <t>110</t>
  </si>
  <si>
    <t>119,1330</t>
  </si>
  <si>
    <t>102,5040</t>
  </si>
  <si>
    <t>95,5946</t>
  </si>
  <si>
    <t>75</t>
  </si>
  <si>
    <t>93,4133</t>
  </si>
  <si>
    <t>100</t>
  </si>
  <si>
    <t>88,3275</t>
  </si>
  <si>
    <t>83,5450</t>
  </si>
  <si>
    <t>78,4625</t>
  </si>
  <si>
    <t xml:space="preserve">Ветераны </t>
  </si>
  <si>
    <t xml:space="preserve">Ветераны 70 - 74 </t>
  </si>
  <si>
    <t>125</t>
  </si>
  <si>
    <t>121,1203</t>
  </si>
  <si>
    <t xml:space="preserve">Ветераны 45 - 49 </t>
  </si>
  <si>
    <t>100,4299</t>
  </si>
  <si>
    <t xml:space="preserve">Ветераны 40 - 44 </t>
  </si>
  <si>
    <t>82,2783</t>
  </si>
  <si>
    <t>Результат</t>
  </si>
  <si>
    <t>1. Умеренков Игорь</t>
  </si>
  <si>
    <t>Открытая (13.09.1980)/39</t>
  </si>
  <si>
    <t>110,00</t>
  </si>
  <si>
    <t>155,0</t>
  </si>
  <si>
    <t xml:space="preserve">Самост </t>
  </si>
  <si>
    <t>Умеренков Игорь</t>
  </si>
  <si>
    <t>87,1875</t>
  </si>
  <si>
    <t>70,2937</t>
  </si>
  <si>
    <t>62,5</t>
  </si>
  <si>
    <t>52</t>
  </si>
  <si>
    <t>Енина Елена</t>
  </si>
  <si>
    <t>56,5850</t>
  </si>
  <si>
    <t>50,0</t>
  </si>
  <si>
    <t xml:space="preserve">Юниоры 20 - 23 </t>
  </si>
  <si>
    <t>Чипилева Виктория</t>
  </si>
  <si>
    <t xml:space="preserve">Юниорки </t>
  </si>
  <si>
    <t>72,5</t>
  </si>
  <si>
    <t xml:space="preserve">Носорог </t>
  </si>
  <si>
    <t>51,00</t>
  </si>
  <si>
    <t>Открытая (10.05.1989)/30</t>
  </si>
  <si>
    <t>1. Енина Елена</t>
  </si>
  <si>
    <t>45,0</t>
  </si>
  <si>
    <t>50,60</t>
  </si>
  <si>
    <t>Юниорки 20 - 23 (05.05.1996)/23</t>
  </si>
  <si>
    <t>1. Чипилева Виктория</t>
  </si>
  <si>
    <t>ВЕСОВАЯ КАТЕГОРИЯ   52</t>
  </si>
  <si>
    <t>159,4142</t>
  </si>
  <si>
    <t>255,0</t>
  </si>
  <si>
    <t>Тоцкий Анатолий</t>
  </si>
  <si>
    <t>104,5520</t>
  </si>
  <si>
    <t>Федяев Денис</t>
  </si>
  <si>
    <t>105,8570</t>
  </si>
  <si>
    <t>185,0</t>
  </si>
  <si>
    <t>Гришанов Алексей</t>
  </si>
  <si>
    <t>205,0</t>
  </si>
  <si>
    <t xml:space="preserve">Железногорск/Курская область </t>
  </si>
  <si>
    <t xml:space="preserve">СПАРТА </t>
  </si>
  <si>
    <t>104,20</t>
  </si>
  <si>
    <t>Открытая (21.06.1983)/36</t>
  </si>
  <si>
    <t>1. Гришанов Алексей</t>
  </si>
  <si>
    <t>267,5</t>
  </si>
  <si>
    <t>235,0</t>
  </si>
  <si>
    <t>98,40</t>
  </si>
  <si>
    <t>Ветераны 45 - 49 (12.02.1974)/46</t>
  </si>
  <si>
    <t>1. Тоцкий Анатолий</t>
  </si>
  <si>
    <t>172,5</t>
  </si>
  <si>
    <t>80,80</t>
  </si>
  <si>
    <t>Открытая (02.09.1991)/28</t>
  </si>
  <si>
    <t>1. Федяев Денис</t>
  </si>
  <si>
    <t>0,0000</t>
  </si>
  <si>
    <t>345,0</t>
  </si>
  <si>
    <t xml:space="preserve">Юноши 13 - 15 </t>
  </si>
  <si>
    <t>Паршков Виталий</t>
  </si>
  <si>
    <t>269,6733</t>
  </si>
  <si>
    <t>385,0</t>
  </si>
  <si>
    <t>Беленцов Даниил</t>
  </si>
  <si>
    <t>250,4293</t>
  </si>
  <si>
    <t>335,0</t>
  </si>
  <si>
    <t>Михайлова Ирина</t>
  </si>
  <si>
    <t>293,3037</t>
  </si>
  <si>
    <t>295,0</t>
  </si>
  <si>
    <t>Сиротина Анастасия</t>
  </si>
  <si>
    <t xml:space="preserve">Рыльск/Курская область </t>
  </si>
  <si>
    <t xml:space="preserve">Олимп </t>
  </si>
  <si>
    <t>80,20</t>
  </si>
  <si>
    <t>Открытая (19.09.1988)/31</t>
  </si>
  <si>
    <t>-. Муравьев Александр</t>
  </si>
  <si>
    <t>167,5</t>
  </si>
  <si>
    <t>145,0</t>
  </si>
  <si>
    <t>95,0</t>
  </si>
  <si>
    <t>90,0</t>
  </si>
  <si>
    <t>85,0</t>
  </si>
  <si>
    <t>115,0</t>
  </si>
  <si>
    <t>73,30</t>
  </si>
  <si>
    <t>Юноши 16 - 17 (05.04.2002)/17</t>
  </si>
  <si>
    <t>1. Беленцов Даниил</t>
  </si>
  <si>
    <t>82,5</t>
  </si>
  <si>
    <t>80,0</t>
  </si>
  <si>
    <t>75,0</t>
  </si>
  <si>
    <t>0,00</t>
  </si>
  <si>
    <t>Юноши 13 - 15 (02.11.2004)/15</t>
  </si>
  <si>
    <t>1. Паршков Виталий</t>
  </si>
  <si>
    <t xml:space="preserve">Богданов Геннадий </t>
  </si>
  <si>
    <t>70,0</t>
  </si>
  <si>
    <t>90,00</t>
  </si>
  <si>
    <t>Открытая (19.12.1990)/29</t>
  </si>
  <si>
    <t>1. Михайлова Ирина</t>
  </si>
  <si>
    <t>40,0</t>
  </si>
  <si>
    <t>57,50</t>
  </si>
  <si>
    <t>Открытая (03.04.1989)/30</t>
  </si>
  <si>
    <t>-. Идрисова Иман</t>
  </si>
  <si>
    <t>107,5</t>
  </si>
  <si>
    <t>55,0</t>
  </si>
  <si>
    <t>47,5</t>
  </si>
  <si>
    <t>59,50</t>
  </si>
  <si>
    <t>Юниорки 20 - 23 (02.05.1996)/23</t>
  </si>
  <si>
    <t>1. Сиротина Анастасия</t>
  </si>
  <si>
    <t>Сумма</t>
  </si>
  <si>
    <t>Становая тяга</t>
  </si>
  <si>
    <t>Приседание</t>
  </si>
  <si>
    <t>92,5</t>
  </si>
  <si>
    <t>Тяга</t>
  </si>
  <si>
    <t>Присед</t>
  </si>
  <si>
    <t>100,0</t>
  </si>
  <si>
    <t>95,20</t>
  </si>
  <si>
    <t>Юноши 13 - 15 (25.10.2005)/14</t>
  </si>
  <si>
    <t>1. Шатохин Владислав</t>
  </si>
  <si>
    <t>220,0</t>
  </si>
  <si>
    <t xml:space="preserve">Богатыри Орловщины </t>
  </si>
  <si>
    <t>87,30</t>
  </si>
  <si>
    <t>Открытая (02.02.1993)/27</t>
  </si>
  <si>
    <t>1. Двилянский Егор</t>
  </si>
  <si>
    <t>177,5</t>
  </si>
  <si>
    <t>122,5</t>
  </si>
  <si>
    <t>127,5</t>
  </si>
  <si>
    <t>71,90</t>
  </si>
  <si>
    <t>Юниоры 20 - 23 (09.01.1997)/23</t>
  </si>
  <si>
    <t>1. Барышев Дмитрий</t>
  </si>
  <si>
    <t>165,0</t>
  </si>
  <si>
    <t>110,0</t>
  </si>
  <si>
    <t>61,80</t>
  </si>
  <si>
    <t>Юниоры 20 - 23 (28.03.1997)/22</t>
  </si>
  <si>
    <t>1. Короткин Илья</t>
  </si>
  <si>
    <t>ВЕСОВАЯ КАТЕГОРИЯ   67.5</t>
  </si>
  <si>
    <t>30,0</t>
  </si>
  <si>
    <t>27,5</t>
  </si>
  <si>
    <t>25,0</t>
  </si>
  <si>
    <t>52,5</t>
  </si>
  <si>
    <t>54,80</t>
  </si>
  <si>
    <t>Ветераны 40 - 44 (08.08.1978)/41</t>
  </si>
  <si>
    <t>1. Тимофеева Татьяна</t>
  </si>
  <si>
    <t>ВЕСОВАЯ КАТЕГОРИЯ   56</t>
  </si>
  <si>
    <t>385,3230</t>
  </si>
  <si>
    <t>645,0</t>
  </si>
  <si>
    <t>Толстов Александр</t>
  </si>
  <si>
    <t>393,6450</t>
  </si>
  <si>
    <t>350,0</t>
  </si>
  <si>
    <t>240,0</t>
  </si>
  <si>
    <t>230,0</t>
  </si>
  <si>
    <t>175,0</t>
  </si>
  <si>
    <t>232,5</t>
  </si>
  <si>
    <t>215,0</t>
  </si>
  <si>
    <t>94,20</t>
  </si>
  <si>
    <t>Открытая (28.05.1992)/27</t>
  </si>
  <si>
    <t>1. Толстов Александр</t>
  </si>
  <si>
    <t>157,5</t>
  </si>
  <si>
    <t>147,5</t>
  </si>
  <si>
    <t>137,9088</t>
  </si>
  <si>
    <t>202,5</t>
  </si>
  <si>
    <t xml:space="preserve">Ветераны 50 - 54 </t>
  </si>
  <si>
    <t>Нагорный Олег</t>
  </si>
  <si>
    <t>206,1913</t>
  </si>
  <si>
    <t>217,5</t>
  </si>
  <si>
    <t xml:space="preserve">Ветераны 60 - 64 </t>
  </si>
  <si>
    <t>Скокин Виктор</t>
  </si>
  <si>
    <t>232,9236</t>
  </si>
  <si>
    <t>250,0</t>
  </si>
  <si>
    <t>129,8500</t>
  </si>
  <si>
    <t>Кудинов Олег</t>
  </si>
  <si>
    <t>132,5459</t>
  </si>
  <si>
    <t>192,5</t>
  </si>
  <si>
    <t>Дрогайцев Александр</t>
  </si>
  <si>
    <t>140,0460</t>
  </si>
  <si>
    <t>Федюкин Алексей</t>
  </si>
  <si>
    <t>141,1905</t>
  </si>
  <si>
    <t>Муравьев Александр</t>
  </si>
  <si>
    <t>154,6875</t>
  </si>
  <si>
    <t>275,0</t>
  </si>
  <si>
    <t>159,5400</t>
  </si>
  <si>
    <t>67.5</t>
  </si>
  <si>
    <t>Максимов Андрей</t>
  </si>
  <si>
    <t>168,1374</t>
  </si>
  <si>
    <t>242,5</t>
  </si>
  <si>
    <t>Фадейчев Никита</t>
  </si>
  <si>
    <t>130,2290</t>
  </si>
  <si>
    <t>Суханов Дмитрий</t>
  </si>
  <si>
    <t>178,5762</t>
  </si>
  <si>
    <t>86,8700</t>
  </si>
  <si>
    <t>Идрисова Иман</t>
  </si>
  <si>
    <t>129,3405</t>
  </si>
  <si>
    <t>225,0</t>
  </si>
  <si>
    <t>247,5</t>
  </si>
  <si>
    <t>121,70</t>
  </si>
  <si>
    <t>Открытая (01.10.1991)/28</t>
  </si>
  <si>
    <t>1. Федюкин Алексей</t>
  </si>
  <si>
    <t>285,0</t>
  </si>
  <si>
    <t>260,0</t>
  </si>
  <si>
    <t>95,40</t>
  </si>
  <si>
    <t>Ветераны 50 - 54 (27.09.1968)/51</t>
  </si>
  <si>
    <t>1. Нагорный Олег</t>
  </si>
  <si>
    <t>96,00</t>
  </si>
  <si>
    <t>Юноши 18 - 19 (09.12.2000)/19</t>
  </si>
  <si>
    <t>1. Суханов Дмитрий</t>
  </si>
  <si>
    <t>212,5</t>
  </si>
  <si>
    <t xml:space="preserve">Воскресенск/Московская область </t>
  </si>
  <si>
    <t>76,20</t>
  </si>
  <si>
    <t>Ветераны 60 - 64 (20.06.1957)/62</t>
  </si>
  <si>
    <t>1. Скокин Виктор</t>
  </si>
  <si>
    <t>81,60</t>
  </si>
  <si>
    <t>Открытая (14.07.1990)/29</t>
  </si>
  <si>
    <t>2. Кудинов Олег</t>
  </si>
  <si>
    <t>1. Муравьев Александр</t>
  </si>
  <si>
    <t>75,00</t>
  </si>
  <si>
    <t>Открытая (14.12.1991)/28</t>
  </si>
  <si>
    <t>2. Дрогайцев Александр</t>
  </si>
  <si>
    <t>222,5</t>
  </si>
  <si>
    <t>74,30</t>
  </si>
  <si>
    <t>Открытая (14.09.1991)/28</t>
  </si>
  <si>
    <t>1. Фадейчев Никита</t>
  </si>
  <si>
    <t>62,80</t>
  </si>
  <si>
    <t>Открытая (24.10.1991)/28</t>
  </si>
  <si>
    <t>1. Максимов Андрей</t>
  </si>
  <si>
    <t>Ветераны 60 - 64 (07.08.1955)/64</t>
  </si>
  <si>
    <t>1. Идрисова Иман</t>
  </si>
  <si>
    <t>Открытый Кубок Восточной Европы - "Кубок Сварога"
AWPC жим лежа без экипировки
Курск/Курская область 21 - 22 марта 2020 г.</t>
  </si>
  <si>
    <t>Открытый Кубок Восточной Европы - "Кубок Сварога"
AWPC жим лежа в многослойной экипировке
Курск/Курская область 21 - 22 марта 2020 г.</t>
  </si>
  <si>
    <t>Открытый Кубок Восточной Европы - "Кубок Сварога"
AWPC жим лежа в однослойной экипировке
Курск/Курская область 21 - 22 марта 2020 г.</t>
  </si>
  <si>
    <t>Открытый Кубок Восточной Европы - "Кубок Сварога"
AWPC жим лежа в стандартной софт экипировке
Курск/Курская область 21 - 22 марта 2020 г.</t>
  </si>
  <si>
    <t>Открытый Кубок Восточной Европы - "Кубок Сварога"
AWPC классичесический пауэрлифтинг
Курск/Курская область 21 - 22 марта 2020 г.</t>
  </si>
  <si>
    <t>Открытый Кубок Восточной Европы - "Кубок Сварога"
AWPC пауэрлифтинг без экипировки
Курск/Курская область 21 - 22 марта 2020 г.</t>
  </si>
  <si>
    <t>Открытый Кубок Восточной Европы - "Кубок Сварога"
AWPC пауэрлифтинг в однослойной экипировке
Курск/Курская область 21 - 22 марта 2020 г.</t>
  </si>
  <si>
    <t>Открытый Кубок Восточной Европы - "Кубок Сварога"
AWPC тяга становая без экипировки
Курск/Курская область 21 - 22 марта 2020 г.</t>
  </si>
  <si>
    <t>160,3125</t>
  </si>
  <si>
    <t>157,4580</t>
  </si>
  <si>
    <t>108,70</t>
  </si>
  <si>
    <t>Открытая (27.10.1987)/32</t>
  </si>
  <si>
    <t>1. Маскуров Гирихан</t>
  </si>
  <si>
    <t>67,20</t>
  </si>
  <si>
    <t>Юниоры 20 - 23 (24.07.1997)/22</t>
  </si>
  <si>
    <t>1. Дранев Владимир</t>
  </si>
  <si>
    <t>134,6880</t>
  </si>
  <si>
    <t>Анцышкин Сергей</t>
  </si>
  <si>
    <t>98,30</t>
  </si>
  <si>
    <t>Открытая (23.02.1990)/30</t>
  </si>
  <si>
    <t>1. Анцышкин Сергей</t>
  </si>
  <si>
    <t>400,5880</t>
  </si>
  <si>
    <t>680,0</t>
  </si>
  <si>
    <t>Эмирсалиев Усеин</t>
  </si>
  <si>
    <t>280,0</t>
  </si>
  <si>
    <t>245,0</t>
  </si>
  <si>
    <t>97,00</t>
  </si>
  <si>
    <t>Открытая (13.05.1995)/24</t>
  </si>
  <si>
    <t>1. Эмирсалиев Усеин</t>
  </si>
  <si>
    <t>406,9562</t>
  </si>
  <si>
    <t>745,0</t>
  </si>
  <si>
    <t>Чикунов Евгений</t>
  </si>
  <si>
    <t>282,5</t>
  </si>
  <si>
    <t>187,5</t>
  </si>
  <si>
    <t>270,0</t>
  </si>
  <si>
    <t>124,30</t>
  </si>
  <si>
    <t>Открытая (16.05.1988)/31</t>
  </si>
  <si>
    <t>1. Чикунов Евгений</t>
  </si>
  <si>
    <t>430,4160</t>
  </si>
  <si>
    <t>735,0</t>
  </si>
  <si>
    <t>257,5</t>
  </si>
  <si>
    <t>152,6952</t>
  </si>
  <si>
    <t>Бахтин Сергей</t>
  </si>
  <si>
    <t>158,0150</t>
  </si>
  <si>
    <t>Мотайло Дмитрий</t>
  </si>
  <si>
    <t>103,00</t>
  </si>
  <si>
    <t>Открытая (06.06.1985)/34</t>
  </si>
  <si>
    <t>1. Мотайло Дмитрий</t>
  </si>
  <si>
    <t>277,5</t>
  </si>
  <si>
    <t>Ветераны 40 - 44 (06.10.1975)/44</t>
  </si>
  <si>
    <t>1. Бахтин Сергей</t>
  </si>
  <si>
    <t>Жим</t>
  </si>
  <si>
    <t>184,4970</t>
  </si>
  <si>
    <t>Богданов Геннадий</t>
  </si>
  <si>
    <t>252,5</t>
  </si>
  <si>
    <t>Ветераны 50 - 54 (12.01.1968)/52</t>
  </si>
  <si>
    <t>1. Богданов Геннадий</t>
  </si>
  <si>
    <t>Открытый Кубок Восточной Европы - "Кубок Сварога"
AWPC тяга становая в многослойной экипировке
Курск/Курская область 21 - 22 марта 2020 г.</t>
  </si>
  <si>
    <t>Открытый Кубок Восточной Европы - "Кубок Сварога"
AWPC тяга становая в однослойной экипировке
Курск/Курская область 21 - 22 марта 2020 г.</t>
  </si>
  <si>
    <t>Открытый Кубок Восточной Европы - "Кубок Сварога"
WPC жим лежа без экипировки
Курск/Курская область 21 - 22 марта 2020 г.</t>
  </si>
  <si>
    <t>Открытый Кубок Восточной Европы - "Кубок Сварога"
WPC жим лежа в однослойной экипировке
Курск/Курская область 21 - 22 марта 2020 г.</t>
  </si>
  <si>
    <t>Открытый Кубок Восточной Европы - "Кубок Сварога"
WPC классичесический пауэрлифтинг
Курск/Курская область 21 - 22 марта 2020 г.</t>
  </si>
  <si>
    <t>Открытый Кубок Восточной Европы - "Кубок Сварога"
WPC пауэрлифтинг без экипировки
Курск/Курская область 21 - 22 марта 2020 г.</t>
  </si>
  <si>
    <t>Открытый Кубок Восточной Европы - "Кубок Сварога"
WPC пауэрлифтинг в однослойной экипировке
Курск/Курская область 21 - 22 марта 2020 г.</t>
  </si>
  <si>
    <t>Открытый Кубок Восточной Европы - "Кубок Сварога"
WPC тяга становая без экипировки
Курск/Курская область 21 - 22 марта 2020 г.</t>
  </si>
  <si>
    <t>Открытый Кубок Восточной Европы - "Кубок Сварога"
WPC тяга становая в однослойной экипировке
Курск/Курская область 21 - 22 марта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</si>
</sst>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left"/>
    </xf>
    <xf numFmtId="49" fontId="6" fillId="0" borderId="14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left"/>
    </xf>
    <xf numFmtId="49" fontId="6" fillId="0" borderId="15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left"/>
    </xf>
    <xf numFmtId="49" fontId="6" fillId="0" borderId="16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M67"/>
  <sheetViews>
    <sheetView zoomScaleNormal="100" workbookViewId="0">
      <selection sqref="A1:M2"/>
    </sheetView>
  </sheetViews>
  <sheetFormatPr defaultColWidth="9.140625" defaultRowHeight="12.75" x14ac:dyDescent="0.2"/>
  <cols>
    <col min="1" max="1" width="24.7109375" style="4" bestFit="1" customWidth="1"/>
    <col min="2" max="2" width="29.85546875" style="4" bestFit="1" customWidth="1"/>
    <col min="3" max="3" width="10.140625" style="4" bestFit="1" customWidth="1"/>
    <col min="4" max="4" width="8.28515625" style="4" bestFit="1" customWidth="1"/>
    <col min="5" max="5" width="21.7109375" style="4" bestFit="1" customWidth="1"/>
    <col min="6" max="6" width="34" style="4" bestFit="1" customWidth="1"/>
    <col min="7" max="9" width="5.5703125" style="3" bestFit="1" customWidth="1"/>
    <col min="10" max="10" width="4.5703125" style="3" bestFit="1" customWidth="1"/>
    <col min="11" max="11" width="7.7109375" style="4" bestFit="1" customWidth="1"/>
    <col min="12" max="12" width="8.5703125" style="3" bestFit="1" customWidth="1"/>
    <col min="13" max="13" width="8.28515625" style="4" bestFit="1" customWidth="1"/>
    <col min="14" max="16384" width="9.140625" style="3"/>
  </cols>
  <sheetData>
    <row r="1" spans="1:13" s="2" customFormat="1" ht="28.9" customHeight="1" x14ac:dyDescent="0.2">
      <c r="A1" s="33" t="s">
        <v>354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s="2" customFormat="1" ht="61.9" customHeight="1" thickBot="1" x14ac:dyDescent="0.25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3" spans="1:13" s="1" customFormat="1" ht="12.75" customHeight="1" x14ac:dyDescent="0.2">
      <c r="A3" s="39" t="s">
        <v>0</v>
      </c>
      <c r="B3" s="41" t="s">
        <v>5</v>
      </c>
      <c r="C3" s="41" t="s">
        <v>6</v>
      </c>
      <c r="D3" s="31" t="s">
        <v>8</v>
      </c>
      <c r="E3" s="31" t="s">
        <v>3</v>
      </c>
      <c r="F3" s="31" t="s">
        <v>7</v>
      </c>
      <c r="G3" s="31" t="s">
        <v>9</v>
      </c>
      <c r="H3" s="31"/>
      <c r="I3" s="31"/>
      <c r="J3" s="31"/>
      <c r="K3" s="31" t="s">
        <v>139</v>
      </c>
      <c r="L3" s="31" t="s">
        <v>2</v>
      </c>
      <c r="M3" s="42" t="s">
        <v>1</v>
      </c>
    </row>
    <row r="4" spans="1:13" s="1" customFormat="1" ht="21" customHeight="1" thickBot="1" x14ac:dyDescent="0.25">
      <c r="A4" s="40"/>
      <c r="B4" s="32"/>
      <c r="C4" s="32"/>
      <c r="D4" s="32"/>
      <c r="E4" s="32"/>
      <c r="F4" s="32"/>
      <c r="G4" s="5">
        <v>1</v>
      </c>
      <c r="H4" s="5">
        <v>2</v>
      </c>
      <c r="I4" s="5">
        <v>3</v>
      </c>
      <c r="J4" s="5" t="s">
        <v>4</v>
      </c>
      <c r="K4" s="32"/>
      <c r="L4" s="32"/>
      <c r="M4" s="43"/>
    </row>
    <row r="5" spans="1:13" ht="15" x14ac:dyDescent="0.2">
      <c r="A5" s="29" t="s">
        <v>10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3" x14ac:dyDescent="0.2">
      <c r="A6" s="7" t="s">
        <v>12</v>
      </c>
      <c r="B6" s="7" t="s">
        <v>13</v>
      </c>
      <c r="C6" s="7" t="s">
        <v>14</v>
      </c>
      <c r="D6" s="7" t="str">
        <f>"1,0263"</f>
        <v>1,0263</v>
      </c>
      <c r="E6" s="7" t="s">
        <v>15</v>
      </c>
      <c r="F6" s="7" t="s">
        <v>16</v>
      </c>
      <c r="G6" s="9" t="s">
        <v>17</v>
      </c>
      <c r="H6" s="8" t="s">
        <v>18</v>
      </c>
      <c r="I6" s="9" t="s">
        <v>18</v>
      </c>
      <c r="J6" s="8"/>
      <c r="K6" s="7" t="str">
        <f>"65,0"</f>
        <v>65,0</v>
      </c>
      <c r="L6" s="9" t="str">
        <f>"66,7095"</f>
        <v>66,7095</v>
      </c>
      <c r="M6" s="7" t="s">
        <v>19</v>
      </c>
    </row>
    <row r="8" spans="1:13" ht="15" x14ac:dyDescent="0.2">
      <c r="A8" s="27" t="s">
        <v>20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3" x14ac:dyDescent="0.2">
      <c r="A9" s="7" t="s">
        <v>22</v>
      </c>
      <c r="B9" s="7" t="s">
        <v>23</v>
      </c>
      <c r="C9" s="7" t="s">
        <v>24</v>
      </c>
      <c r="D9" s="7" t="str">
        <f>"0,6920"</f>
        <v>0,6920</v>
      </c>
      <c r="E9" s="7" t="s">
        <v>15</v>
      </c>
      <c r="F9" s="7" t="s">
        <v>25</v>
      </c>
      <c r="G9" s="8" t="s">
        <v>26</v>
      </c>
      <c r="H9" s="9" t="s">
        <v>26</v>
      </c>
      <c r="I9" s="8" t="s">
        <v>27</v>
      </c>
      <c r="J9" s="8"/>
      <c r="K9" s="7" t="str">
        <f>"135,0"</f>
        <v>135,0</v>
      </c>
      <c r="L9" s="9" t="str">
        <f>"93,4133"</f>
        <v>93,4133</v>
      </c>
      <c r="M9" s="7" t="s">
        <v>19</v>
      </c>
    </row>
    <row r="11" spans="1:13" ht="15" x14ac:dyDescent="0.2">
      <c r="A11" s="27" t="s">
        <v>28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spans="1:13" x14ac:dyDescent="0.2">
      <c r="A12" s="7" t="s">
        <v>30</v>
      </c>
      <c r="B12" s="7" t="s">
        <v>31</v>
      </c>
      <c r="C12" s="7" t="s">
        <v>32</v>
      </c>
      <c r="D12" s="7" t="str">
        <f>"0,6467"</f>
        <v>0,6467</v>
      </c>
      <c r="E12" s="7" t="s">
        <v>15</v>
      </c>
      <c r="F12" s="7" t="s">
        <v>16</v>
      </c>
      <c r="G12" s="9" t="s">
        <v>33</v>
      </c>
      <c r="H12" s="9" t="s">
        <v>34</v>
      </c>
      <c r="I12" s="8" t="s">
        <v>35</v>
      </c>
      <c r="J12" s="8"/>
      <c r="K12" s="7" t="str">
        <f>"105,0"</f>
        <v>105,0</v>
      </c>
      <c r="L12" s="9" t="str">
        <f>"67,8983"</f>
        <v>67,8983</v>
      </c>
      <c r="M12" s="7" t="s">
        <v>19</v>
      </c>
    </row>
    <row r="14" spans="1:13" ht="15" x14ac:dyDescent="0.2">
      <c r="A14" s="27" t="s">
        <v>36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3" x14ac:dyDescent="0.2">
      <c r="A15" s="10" t="s">
        <v>38</v>
      </c>
      <c r="B15" s="10" t="s">
        <v>39</v>
      </c>
      <c r="C15" s="10" t="s">
        <v>40</v>
      </c>
      <c r="D15" s="10" t="str">
        <f>"0,6205"</f>
        <v>0,6205</v>
      </c>
      <c r="E15" s="10" t="s">
        <v>15</v>
      </c>
      <c r="F15" s="10" t="s">
        <v>41</v>
      </c>
      <c r="G15" s="12" t="s">
        <v>42</v>
      </c>
      <c r="H15" s="12" t="s">
        <v>43</v>
      </c>
      <c r="I15" s="11" t="s">
        <v>26</v>
      </c>
      <c r="J15" s="11"/>
      <c r="K15" s="10" t="str">
        <f>"132,5"</f>
        <v>132,5</v>
      </c>
      <c r="L15" s="12" t="str">
        <f>"82,2163"</f>
        <v>82,2163</v>
      </c>
      <c r="M15" s="10" t="s">
        <v>19</v>
      </c>
    </row>
    <row r="16" spans="1:13" x14ac:dyDescent="0.2">
      <c r="A16" s="13" t="s">
        <v>45</v>
      </c>
      <c r="B16" s="13" t="s">
        <v>46</v>
      </c>
      <c r="C16" s="13" t="s">
        <v>47</v>
      </c>
      <c r="D16" s="13" t="str">
        <f>"0,6406"</f>
        <v>0,6406</v>
      </c>
      <c r="E16" s="13" t="s">
        <v>15</v>
      </c>
      <c r="F16" s="13" t="s">
        <v>16</v>
      </c>
      <c r="G16" s="14" t="s">
        <v>48</v>
      </c>
      <c r="H16" s="15" t="s">
        <v>49</v>
      </c>
      <c r="I16" s="14" t="s">
        <v>50</v>
      </c>
      <c r="J16" s="14"/>
      <c r="K16" s="13" t="str">
        <f>"160,0"</f>
        <v>160,0</v>
      </c>
      <c r="L16" s="15" t="str">
        <f>"102,5040"</f>
        <v>102,5040</v>
      </c>
      <c r="M16" s="13" t="s">
        <v>19</v>
      </c>
    </row>
    <row r="17" spans="1:13" x14ac:dyDescent="0.2">
      <c r="A17" s="13" t="s">
        <v>52</v>
      </c>
      <c r="B17" s="13" t="s">
        <v>53</v>
      </c>
      <c r="C17" s="13" t="s">
        <v>54</v>
      </c>
      <c r="D17" s="13" t="str">
        <f>"0,6269"</f>
        <v>0,6269</v>
      </c>
      <c r="E17" s="13" t="s">
        <v>15</v>
      </c>
      <c r="F17" s="13" t="s">
        <v>55</v>
      </c>
      <c r="G17" s="15" t="s">
        <v>56</v>
      </c>
      <c r="H17" s="14" t="s">
        <v>57</v>
      </c>
      <c r="I17" s="15" t="s">
        <v>57</v>
      </c>
      <c r="J17" s="14"/>
      <c r="K17" s="13" t="str">
        <f>"152,5"</f>
        <v>152,5</v>
      </c>
      <c r="L17" s="15" t="str">
        <f>"95,5946"</f>
        <v>95,5946</v>
      </c>
      <c r="M17" s="13" t="s">
        <v>19</v>
      </c>
    </row>
    <row r="18" spans="1:13" x14ac:dyDescent="0.2">
      <c r="A18" s="13" t="s">
        <v>59</v>
      </c>
      <c r="B18" s="13" t="s">
        <v>60</v>
      </c>
      <c r="C18" s="13" t="s">
        <v>61</v>
      </c>
      <c r="D18" s="13" t="str">
        <f>"0,6277"</f>
        <v>0,6277</v>
      </c>
      <c r="E18" s="13" t="s">
        <v>15</v>
      </c>
      <c r="F18" s="13" t="s">
        <v>41</v>
      </c>
      <c r="G18" s="15" t="s">
        <v>42</v>
      </c>
      <c r="H18" s="14" t="s">
        <v>43</v>
      </c>
      <c r="I18" s="14" t="s">
        <v>43</v>
      </c>
      <c r="J18" s="14"/>
      <c r="K18" s="13" t="str">
        <f>"125,0"</f>
        <v>125,0</v>
      </c>
      <c r="L18" s="15" t="str">
        <f>"78,4625"</f>
        <v>78,4625</v>
      </c>
      <c r="M18" s="13" t="s">
        <v>19</v>
      </c>
    </row>
    <row r="19" spans="1:13" x14ac:dyDescent="0.2">
      <c r="A19" s="16" t="s">
        <v>63</v>
      </c>
      <c r="B19" s="16" t="s">
        <v>64</v>
      </c>
      <c r="C19" s="16" t="s">
        <v>40</v>
      </c>
      <c r="D19" s="16" t="str">
        <f>"0,6205"</f>
        <v>0,6205</v>
      </c>
      <c r="E19" s="16" t="s">
        <v>15</v>
      </c>
      <c r="F19" s="16" t="s">
        <v>65</v>
      </c>
      <c r="G19" s="18" t="s">
        <v>66</v>
      </c>
      <c r="H19" s="18" t="s">
        <v>67</v>
      </c>
      <c r="I19" s="17" t="s">
        <v>27</v>
      </c>
      <c r="J19" s="17"/>
      <c r="K19" s="16" t="str">
        <f>"130,0"</f>
        <v>130,0</v>
      </c>
      <c r="L19" s="18" t="str">
        <f>"82,2783"</f>
        <v>82,2783</v>
      </c>
      <c r="M19" s="16" t="s">
        <v>19</v>
      </c>
    </row>
    <row r="21" spans="1:13" ht="15" x14ac:dyDescent="0.2">
      <c r="A21" s="27" t="s">
        <v>68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1:13" x14ac:dyDescent="0.2">
      <c r="A22" s="10" t="s">
        <v>70</v>
      </c>
      <c r="B22" s="10" t="s">
        <v>71</v>
      </c>
      <c r="C22" s="10" t="s">
        <v>72</v>
      </c>
      <c r="D22" s="10" t="str">
        <f>"0,5889"</f>
        <v>0,5889</v>
      </c>
      <c r="E22" s="10" t="s">
        <v>15</v>
      </c>
      <c r="F22" s="10" t="s">
        <v>73</v>
      </c>
      <c r="G22" s="12" t="s">
        <v>67</v>
      </c>
      <c r="H22" s="12" t="s">
        <v>74</v>
      </c>
      <c r="I22" s="12" t="s">
        <v>48</v>
      </c>
      <c r="J22" s="11"/>
      <c r="K22" s="10" t="str">
        <f>"150,0"</f>
        <v>150,0</v>
      </c>
      <c r="L22" s="12" t="str">
        <f>"88,3275"</f>
        <v>88,3275</v>
      </c>
      <c r="M22" s="10" t="s">
        <v>19</v>
      </c>
    </row>
    <row r="23" spans="1:13" x14ac:dyDescent="0.2">
      <c r="A23" s="16" t="s">
        <v>76</v>
      </c>
      <c r="B23" s="16" t="s">
        <v>77</v>
      </c>
      <c r="C23" s="16" t="s">
        <v>78</v>
      </c>
      <c r="D23" s="16" t="str">
        <f>"0,5968"</f>
        <v>0,5968</v>
      </c>
      <c r="E23" s="16" t="s">
        <v>15</v>
      </c>
      <c r="F23" s="16" t="s">
        <v>55</v>
      </c>
      <c r="G23" s="18" t="s">
        <v>74</v>
      </c>
      <c r="H23" s="17" t="s">
        <v>48</v>
      </c>
      <c r="I23" s="17" t="s">
        <v>48</v>
      </c>
      <c r="J23" s="17"/>
      <c r="K23" s="16" t="str">
        <f>"140,0"</f>
        <v>140,0</v>
      </c>
      <c r="L23" s="18" t="str">
        <f>"83,5450"</f>
        <v>83,5450</v>
      </c>
      <c r="M23" s="16" t="s">
        <v>19</v>
      </c>
    </row>
    <row r="25" spans="1:13" ht="15" x14ac:dyDescent="0.2">
      <c r="A25" s="27" t="s">
        <v>79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6" spans="1:13" x14ac:dyDescent="0.2">
      <c r="A26" s="7" t="s">
        <v>81</v>
      </c>
      <c r="B26" s="7" t="s">
        <v>82</v>
      </c>
      <c r="C26" s="7" t="s">
        <v>83</v>
      </c>
      <c r="D26" s="7" t="str">
        <f>"0,5673"</f>
        <v>0,5673</v>
      </c>
      <c r="E26" s="7" t="s">
        <v>15</v>
      </c>
      <c r="F26" s="7" t="s">
        <v>16</v>
      </c>
      <c r="G26" s="9" t="s">
        <v>84</v>
      </c>
      <c r="H26" s="9" t="s">
        <v>85</v>
      </c>
      <c r="I26" s="9" t="s">
        <v>86</v>
      </c>
      <c r="J26" s="8"/>
      <c r="K26" s="7" t="str">
        <f>"210,0"</f>
        <v>210,0</v>
      </c>
      <c r="L26" s="9" t="str">
        <f>"119,1330"</f>
        <v>119,1330</v>
      </c>
      <c r="M26" s="7" t="s">
        <v>19</v>
      </c>
    </row>
    <row r="28" spans="1:13" ht="15" x14ac:dyDescent="0.2">
      <c r="A28" s="27" t="s">
        <v>87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</row>
    <row r="29" spans="1:13" x14ac:dyDescent="0.2">
      <c r="A29" s="10" t="s">
        <v>89</v>
      </c>
      <c r="B29" s="10" t="s">
        <v>90</v>
      </c>
      <c r="C29" s="10" t="s">
        <v>91</v>
      </c>
      <c r="D29" s="10" t="str">
        <f>"0,5531"</f>
        <v>0,5531</v>
      </c>
      <c r="E29" s="10" t="s">
        <v>15</v>
      </c>
      <c r="F29" s="10" t="s">
        <v>65</v>
      </c>
      <c r="G29" s="12" t="s">
        <v>49</v>
      </c>
      <c r="H29" s="12" t="s">
        <v>50</v>
      </c>
      <c r="I29" s="11" t="s">
        <v>92</v>
      </c>
      <c r="J29" s="11"/>
      <c r="K29" s="10" t="str">
        <f>"170,0"</f>
        <v>170,0</v>
      </c>
      <c r="L29" s="12" t="str">
        <f>"100,4299"</f>
        <v>100,4299</v>
      </c>
      <c r="M29" s="10" t="s">
        <v>19</v>
      </c>
    </row>
    <row r="30" spans="1:13" x14ac:dyDescent="0.2">
      <c r="A30" s="16" t="s">
        <v>94</v>
      </c>
      <c r="B30" s="16" t="s">
        <v>95</v>
      </c>
      <c r="C30" s="16" t="s">
        <v>96</v>
      </c>
      <c r="D30" s="16" t="str">
        <f>"0,5543"</f>
        <v>0,5543</v>
      </c>
      <c r="E30" s="16" t="s">
        <v>15</v>
      </c>
      <c r="F30" s="16" t="s">
        <v>97</v>
      </c>
      <c r="G30" s="18" t="s">
        <v>42</v>
      </c>
      <c r="H30" s="18" t="s">
        <v>67</v>
      </c>
      <c r="I30" s="17" t="s">
        <v>43</v>
      </c>
      <c r="J30" s="17"/>
      <c r="K30" s="16" t="str">
        <f>"130,0"</f>
        <v>130,0</v>
      </c>
      <c r="L30" s="18" t="str">
        <f>"121,1203"</f>
        <v>121,1203</v>
      </c>
      <c r="M30" s="16" t="s">
        <v>19</v>
      </c>
    </row>
    <row r="32" spans="1:13" ht="15" x14ac:dyDescent="0.2">
      <c r="E32" s="19" t="s">
        <v>98</v>
      </c>
    </row>
    <row r="33" spans="1:5" ht="15" x14ac:dyDescent="0.2">
      <c r="E33" s="19" t="s">
        <v>99</v>
      </c>
    </row>
    <row r="34" spans="1:5" ht="15" x14ac:dyDescent="0.2">
      <c r="E34" s="19" t="s">
        <v>100</v>
      </c>
    </row>
    <row r="35" spans="1:5" ht="15" x14ac:dyDescent="0.2">
      <c r="E35" s="19" t="s">
        <v>101</v>
      </c>
    </row>
    <row r="36" spans="1:5" ht="15" x14ac:dyDescent="0.2">
      <c r="E36" s="19" t="s">
        <v>101</v>
      </c>
    </row>
    <row r="37" spans="1:5" ht="15" x14ac:dyDescent="0.2">
      <c r="E37" s="19" t="s">
        <v>102</v>
      </c>
    </row>
    <row r="38" spans="1:5" ht="15" x14ac:dyDescent="0.2">
      <c r="E38" s="19"/>
    </row>
    <row r="40" spans="1:5" ht="18" x14ac:dyDescent="0.25">
      <c r="A40" s="20" t="s">
        <v>103</v>
      </c>
      <c r="B40" s="20"/>
    </row>
    <row r="41" spans="1:5" ht="15" x14ac:dyDescent="0.2">
      <c r="A41" s="21" t="s">
        <v>104</v>
      </c>
      <c r="B41" s="21"/>
    </row>
    <row r="42" spans="1:5" ht="14.25" x14ac:dyDescent="0.2">
      <c r="A42" s="23"/>
      <c r="B42" s="24" t="s">
        <v>105</v>
      </c>
    </row>
    <row r="43" spans="1:5" ht="15" x14ac:dyDescent="0.2">
      <c r="A43" s="25" t="s">
        <v>106</v>
      </c>
      <c r="B43" s="25" t="s">
        <v>107</v>
      </c>
      <c r="C43" s="25" t="s">
        <v>108</v>
      </c>
      <c r="D43" s="25" t="s">
        <v>109</v>
      </c>
      <c r="E43" s="25" t="s">
        <v>110</v>
      </c>
    </row>
    <row r="44" spans="1:5" x14ac:dyDescent="0.2">
      <c r="A44" s="22" t="s">
        <v>11</v>
      </c>
      <c r="B44" s="4" t="s">
        <v>105</v>
      </c>
      <c r="C44" s="4" t="s">
        <v>111</v>
      </c>
      <c r="D44" s="4" t="s">
        <v>18</v>
      </c>
      <c r="E44" s="26" t="s">
        <v>112</v>
      </c>
    </row>
    <row r="47" spans="1:5" ht="15" x14ac:dyDescent="0.2">
      <c r="A47" s="21" t="s">
        <v>113</v>
      </c>
      <c r="B47" s="21"/>
    </row>
    <row r="48" spans="1:5" ht="14.25" x14ac:dyDescent="0.2">
      <c r="A48" s="23"/>
      <c r="B48" s="24" t="s">
        <v>114</v>
      </c>
    </row>
    <row r="49" spans="1:5" ht="15" x14ac:dyDescent="0.2">
      <c r="A49" s="25" t="s">
        <v>106</v>
      </c>
      <c r="B49" s="25" t="s">
        <v>107</v>
      </c>
      <c r="C49" s="25" t="s">
        <v>108</v>
      </c>
      <c r="D49" s="25" t="s">
        <v>109</v>
      </c>
      <c r="E49" s="25" t="s">
        <v>110</v>
      </c>
    </row>
    <row r="50" spans="1:5" x14ac:dyDescent="0.2">
      <c r="A50" s="22" t="s">
        <v>37</v>
      </c>
      <c r="B50" s="4" t="s">
        <v>115</v>
      </c>
      <c r="C50" s="4" t="s">
        <v>116</v>
      </c>
      <c r="D50" s="4" t="s">
        <v>43</v>
      </c>
      <c r="E50" s="26" t="s">
        <v>117</v>
      </c>
    </row>
    <row r="51" spans="1:5" x14ac:dyDescent="0.2">
      <c r="A51" s="22" t="s">
        <v>29</v>
      </c>
      <c r="B51" s="4" t="s">
        <v>118</v>
      </c>
      <c r="C51" s="4" t="s">
        <v>119</v>
      </c>
      <c r="D51" s="4" t="s">
        <v>34</v>
      </c>
      <c r="E51" s="26" t="s">
        <v>120</v>
      </c>
    </row>
    <row r="53" spans="1:5" ht="14.25" x14ac:dyDescent="0.2">
      <c r="A53" s="23"/>
      <c r="B53" s="24" t="s">
        <v>105</v>
      </c>
    </row>
    <row r="54" spans="1:5" ht="15" x14ac:dyDescent="0.2">
      <c r="A54" s="25" t="s">
        <v>106</v>
      </c>
      <c r="B54" s="25" t="s">
        <v>107</v>
      </c>
      <c r="C54" s="25" t="s">
        <v>108</v>
      </c>
      <c r="D54" s="25" t="s">
        <v>109</v>
      </c>
      <c r="E54" s="25" t="s">
        <v>110</v>
      </c>
    </row>
    <row r="55" spans="1:5" x14ac:dyDescent="0.2">
      <c r="A55" s="22" t="s">
        <v>80</v>
      </c>
      <c r="B55" s="4" t="s">
        <v>105</v>
      </c>
      <c r="C55" s="4" t="s">
        <v>121</v>
      </c>
      <c r="D55" s="4" t="s">
        <v>86</v>
      </c>
      <c r="E55" s="26" t="s">
        <v>122</v>
      </c>
    </row>
    <row r="56" spans="1:5" x14ac:dyDescent="0.2">
      <c r="A56" s="22" t="s">
        <v>44</v>
      </c>
      <c r="B56" s="4" t="s">
        <v>105</v>
      </c>
      <c r="C56" s="4" t="s">
        <v>116</v>
      </c>
      <c r="D56" s="4" t="s">
        <v>49</v>
      </c>
      <c r="E56" s="26" t="s">
        <v>123</v>
      </c>
    </row>
    <row r="57" spans="1:5" x14ac:dyDescent="0.2">
      <c r="A57" s="22" t="s">
        <v>51</v>
      </c>
      <c r="B57" s="4" t="s">
        <v>105</v>
      </c>
      <c r="C57" s="4" t="s">
        <v>116</v>
      </c>
      <c r="D57" s="4" t="s">
        <v>57</v>
      </c>
      <c r="E57" s="26" t="s">
        <v>124</v>
      </c>
    </row>
    <row r="58" spans="1:5" x14ac:dyDescent="0.2">
      <c r="A58" s="22" t="s">
        <v>21</v>
      </c>
      <c r="B58" s="4" t="s">
        <v>105</v>
      </c>
      <c r="C58" s="4" t="s">
        <v>125</v>
      </c>
      <c r="D58" s="4" t="s">
        <v>26</v>
      </c>
      <c r="E58" s="26" t="s">
        <v>126</v>
      </c>
    </row>
    <row r="59" spans="1:5" x14ac:dyDescent="0.2">
      <c r="A59" s="22" t="s">
        <v>69</v>
      </c>
      <c r="B59" s="4" t="s">
        <v>105</v>
      </c>
      <c r="C59" s="4" t="s">
        <v>127</v>
      </c>
      <c r="D59" s="4" t="s">
        <v>48</v>
      </c>
      <c r="E59" s="26" t="s">
        <v>128</v>
      </c>
    </row>
    <row r="60" spans="1:5" x14ac:dyDescent="0.2">
      <c r="A60" s="22" t="s">
        <v>75</v>
      </c>
      <c r="B60" s="4" t="s">
        <v>105</v>
      </c>
      <c r="C60" s="4" t="s">
        <v>127</v>
      </c>
      <c r="D60" s="4" t="s">
        <v>74</v>
      </c>
      <c r="E60" s="26" t="s">
        <v>129</v>
      </c>
    </row>
    <row r="61" spans="1:5" x14ac:dyDescent="0.2">
      <c r="A61" s="22" t="s">
        <v>58</v>
      </c>
      <c r="B61" s="4" t="s">
        <v>105</v>
      </c>
      <c r="C61" s="4" t="s">
        <v>116</v>
      </c>
      <c r="D61" s="4" t="s">
        <v>42</v>
      </c>
      <c r="E61" s="26" t="s">
        <v>130</v>
      </c>
    </row>
    <row r="63" spans="1:5" ht="14.25" x14ac:dyDescent="0.2">
      <c r="A63" s="23"/>
      <c r="B63" s="24" t="s">
        <v>131</v>
      </c>
    </row>
    <row r="64" spans="1:5" ht="15" x14ac:dyDescent="0.2">
      <c r="A64" s="25" t="s">
        <v>106</v>
      </c>
      <c r="B64" s="25" t="s">
        <v>107</v>
      </c>
      <c r="C64" s="25" t="s">
        <v>108</v>
      </c>
      <c r="D64" s="25" t="s">
        <v>109</v>
      </c>
      <c r="E64" s="25" t="s">
        <v>110</v>
      </c>
    </row>
    <row r="65" spans="1:5" x14ac:dyDescent="0.2">
      <c r="A65" s="22" t="s">
        <v>93</v>
      </c>
      <c r="B65" s="4" t="s">
        <v>132</v>
      </c>
      <c r="C65" s="4" t="s">
        <v>133</v>
      </c>
      <c r="D65" s="4" t="s">
        <v>67</v>
      </c>
      <c r="E65" s="26" t="s">
        <v>134</v>
      </c>
    </row>
    <row r="66" spans="1:5" x14ac:dyDescent="0.2">
      <c r="A66" s="22" t="s">
        <v>88</v>
      </c>
      <c r="B66" s="4" t="s">
        <v>135</v>
      </c>
      <c r="C66" s="4" t="s">
        <v>133</v>
      </c>
      <c r="D66" s="4" t="s">
        <v>50</v>
      </c>
      <c r="E66" s="26" t="s">
        <v>136</v>
      </c>
    </row>
    <row r="67" spans="1:5" x14ac:dyDescent="0.2">
      <c r="A67" s="22" t="s">
        <v>62</v>
      </c>
      <c r="B67" s="4" t="s">
        <v>137</v>
      </c>
      <c r="C67" s="4" t="s">
        <v>116</v>
      </c>
      <c r="D67" s="4" t="s">
        <v>67</v>
      </c>
      <c r="E67" s="26" t="s">
        <v>138</v>
      </c>
    </row>
  </sheetData>
  <mergeCells count="18">
    <mergeCell ref="D3:D4"/>
    <mergeCell ref="K3:K4"/>
    <mergeCell ref="L3:L4"/>
    <mergeCell ref="A1:M2"/>
    <mergeCell ref="G3:J3"/>
    <mergeCell ref="A3:A4"/>
    <mergeCell ref="B3:B4"/>
    <mergeCell ref="C3:C4"/>
    <mergeCell ref="M3:M4"/>
    <mergeCell ref="F3:F4"/>
    <mergeCell ref="E3:E4"/>
    <mergeCell ref="A25:L25"/>
    <mergeCell ref="A28:L28"/>
    <mergeCell ref="A5:L5"/>
    <mergeCell ref="A8:L8"/>
    <mergeCell ref="A11:L11"/>
    <mergeCell ref="A14:L14"/>
    <mergeCell ref="A21:L21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Normal="100" workbookViewId="0">
      <selection activeCell="A13" sqref="A13"/>
    </sheetView>
  </sheetViews>
  <sheetFormatPr defaultColWidth="9.140625" defaultRowHeight="12.75" x14ac:dyDescent="0.2"/>
  <cols>
    <col min="1" max="1" width="24.7109375" style="4" bestFit="1" customWidth="1"/>
    <col min="2" max="2" width="25.28515625" style="4" bestFit="1" customWidth="1"/>
    <col min="3" max="3" width="10.140625" style="4" bestFit="1" customWidth="1"/>
    <col min="4" max="4" width="8.28515625" style="4" bestFit="1" customWidth="1"/>
    <col min="5" max="6" width="21.7109375" style="4" bestFit="1" customWidth="1"/>
    <col min="7" max="9" width="5.5703125" style="3" bestFit="1" customWidth="1"/>
    <col min="10" max="10" width="4.5703125" style="3" bestFit="1" customWidth="1"/>
    <col min="11" max="11" width="7.7109375" style="4" bestFit="1" customWidth="1"/>
    <col min="12" max="12" width="8.5703125" style="3" bestFit="1" customWidth="1"/>
    <col min="13" max="13" width="8.28515625" style="4" bestFit="1" customWidth="1"/>
    <col min="14" max="16384" width="9.140625" style="3"/>
  </cols>
  <sheetData>
    <row r="1" spans="1:13" s="2" customFormat="1" ht="28.9" customHeight="1" x14ac:dyDescent="0.2">
      <c r="A1" s="33" t="s">
        <v>412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s="2" customFormat="1" ht="61.9" customHeight="1" thickBot="1" x14ac:dyDescent="0.25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3" spans="1:13" s="1" customFormat="1" ht="25.15" customHeight="1" x14ac:dyDescent="0.2">
      <c r="A3" s="39" t="s">
        <v>0</v>
      </c>
      <c r="B3" s="41" t="s">
        <v>5</v>
      </c>
      <c r="C3" s="41" t="s">
        <v>6</v>
      </c>
      <c r="D3" s="31" t="s">
        <v>8</v>
      </c>
      <c r="E3" s="31" t="s">
        <v>3</v>
      </c>
      <c r="F3" s="31" t="s">
        <v>7</v>
      </c>
      <c r="G3" s="31" t="s">
        <v>238</v>
      </c>
      <c r="H3" s="31"/>
      <c r="I3" s="31"/>
      <c r="J3" s="31"/>
      <c r="K3" s="31" t="s">
        <v>139</v>
      </c>
      <c r="L3" s="31" t="s">
        <v>2</v>
      </c>
      <c r="M3" s="42" t="s">
        <v>1</v>
      </c>
    </row>
    <row r="4" spans="1:13" s="1" customFormat="1" ht="21" customHeight="1" thickBot="1" x14ac:dyDescent="0.25">
      <c r="A4" s="40"/>
      <c r="B4" s="32"/>
      <c r="C4" s="32"/>
      <c r="D4" s="32"/>
      <c r="E4" s="32"/>
      <c r="F4" s="32"/>
      <c r="G4" s="6">
        <v>1</v>
      </c>
      <c r="H4" s="6">
        <v>2</v>
      </c>
      <c r="I4" s="6">
        <v>3</v>
      </c>
      <c r="J4" s="6" t="s">
        <v>4</v>
      </c>
      <c r="K4" s="32"/>
      <c r="L4" s="32"/>
      <c r="M4" s="43"/>
    </row>
    <row r="5" spans="1:13" ht="15" x14ac:dyDescent="0.2">
      <c r="A5" s="29" t="s">
        <v>165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3" x14ac:dyDescent="0.2">
      <c r="A6" s="7" t="s">
        <v>160</v>
      </c>
      <c r="B6" s="7" t="s">
        <v>159</v>
      </c>
      <c r="C6" s="7" t="s">
        <v>158</v>
      </c>
      <c r="D6" s="7" t="str">
        <f>"1,1247"</f>
        <v>1,1247</v>
      </c>
      <c r="E6" s="7" t="s">
        <v>157</v>
      </c>
      <c r="F6" s="7" t="s">
        <v>16</v>
      </c>
      <c r="G6" s="9" t="s">
        <v>74</v>
      </c>
      <c r="H6" s="8" t="s">
        <v>285</v>
      </c>
      <c r="I6" s="8" t="s">
        <v>285</v>
      </c>
      <c r="J6" s="8"/>
      <c r="K6" s="7" t="str">
        <f>"140,0"</f>
        <v>140,0</v>
      </c>
      <c r="L6" s="9" t="str">
        <f>"157,4580"</f>
        <v>157,4580</v>
      </c>
      <c r="M6" s="7" t="s">
        <v>19</v>
      </c>
    </row>
    <row r="8" spans="1:13" ht="15" x14ac:dyDescent="0.2">
      <c r="E8" s="19" t="s">
        <v>98</v>
      </c>
    </row>
    <row r="9" spans="1:13" ht="15" x14ac:dyDescent="0.2">
      <c r="E9" s="19" t="s">
        <v>99</v>
      </c>
    </row>
    <row r="10" spans="1:13" ht="15" x14ac:dyDescent="0.2">
      <c r="E10" s="19" t="s">
        <v>100</v>
      </c>
    </row>
    <row r="11" spans="1:13" ht="15" x14ac:dyDescent="0.2">
      <c r="E11" s="19" t="s">
        <v>101</v>
      </c>
    </row>
    <row r="12" spans="1:13" ht="15" x14ac:dyDescent="0.2">
      <c r="E12" s="19" t="s">
        <v>101</v>
      </c>
    </row>
    <row r="13" spans="1:13" ht="15" x14ac:dyDescent="0.2">
      <c r="E13" s="19" t="s">
        <v>102</v>
      </c>
    </row>
    <row r="14" spans="1:13" ht="15" x14ac:dyDescent="0.2">
      <c r="E14" s="19"/>
    </row>
    <row r="16" spans="1:13" ht="18" x14ac:dyDescent="0.25">
      <c r="A16" s="20" t="s">
        <v>103</v>
      </c>
      <c r="B16" s="20"/>
    </row>
    <row r="17" spans="1:5" ht="15" x14ac:dyDescent="0.2">
      <c r="A17" s="21" t="s">
        <v>104</v>
      </c>
      <c r="B17" s="21"/>
    </row>
    <row r="18" spans="1:5" ht="14.25" x14ac:dyDescent="0.2">
      <c r="A18" s="23"/>
      <c r="B18" s="24" t="s">
        <v>105</v>
      </c>
    </row>
    <row r="19" spans="1:5" ht="15" x14ac:dyDescent="0.2">
      <c r="A19" s="25" t="s">
        <v>106</v>
      </c>
      <c r="B19" s="25" t="s">
        <v>107</v>
      </c>
      <c r="C19" s="25" t="s">
        <v>108</v>
      </c>
      <c r="D19" s="25" t="s">
        <v>109</v>
      </c>
      <c r="E19" s="25" t="s">
        <v>110</v>
      </c>
    </row>
    <row r="20" spans="1:5" x14ac:dyDescent="0.2">
      <c r="A20" s="22" t="s">
        <v>150</v>
      </c>
      <c r="B20" s="4" t="s">
        <v>105</v>
      </c>
      <c r="C20" s="4" t="s">
        <v>149</v>
      </c>
      <c r="D20" s="4" t="s">
        <v>74</v>
      </c>
      <c r="E20" s="26" t="s">
        <v>363</v>
      </c>
    </row>
  </sheetData>
  <mergeCells count="12">
    <mergeCell ref="A5:L5"/>
    <mergeCell ref="D3:D4"/>
    <mergeCell ref="K3:K4"/>
    <mergeCell ref="L3:L4"/>
    <mergeCell ref="A1:M2"/>
    <mergeCell ref="G3:J3"/>
    <mergeCell ref="A3:A4"/>
    <mergeCell ref="B3:B4"/>
    <mergeCell ref="C3:C4"/>
    <mergeCell ref="M3:M4"/>
    <mergeCell ref="F3:F4"/>
    <mergeCell ref="E3:E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zoomScaleNormal="100" workbookViewId="0">
      <selection activeCell="K15" sqref="K15"/>
    </sheetView>
  </sheetViews>
  <sheetFormatPr defaultColWidth="9.140625" defaultRowHeight="12.75" x14ac:dyDescent="0.2"/>
  <cols>
    <col min="1" max="1" width="25.85546875" style="4" bestFit="1" customWidth="1"/>
    <col min="2" max="2" width="27.85546875" style="4" customWidth="1"/>
    <col min="3" max="3" width="10" style="4" customWidth="1"/>
    <col min="4" max="4" width="6.5703125" style="4" bestFit="1" customWidth="1"/>
    <col min="5" max="5" width="23.7109375" style="4" bestFit="1" customWidth="1"/>
    <col min="6" max="6" width="21.140625" style="4" bestFit="1" customWidth="1"/>
    <col min="7" max="7" width="5.5703125" style="3" bestFit="1" customWidth="1"/>
    <col min="8" max="8" width="7" style="3" customWidth="1"/>
    <col min="9" max="9" width="6.28515625" style="3" bestFit="1" customWidth="1"/>
    <col min="10" max="10" width="5.5703125" style="3" bestFit="1" customWidth="1"/>
    <col min="11" max="13" width="7" style="3" bestFit="1" customWidth="1"/>
    <col min="14" max="14" width="5.5703125" style="3" bestFit="1" customWidth="1"/>
    <col min="15" max="16" width="7" style="3" bestFit="1" customWidth="1"/>
    <col min="17" max="17" width="6.28515625" style="3" bestFit="1" customWidth="1"/>
    <col min="18" max="18" width="5.5703125" style="3" bestFit="1" customWidth="1"/>
    <col min="19" max="19" width="7.85546875" style="4" bestFit="1" customWidth="1"/>
    <col min="20" max="20" width="8.5703125" style="3" bestFit="1" customWidth="1"/>
    <col min="21" max="21" width="23" style="4" bestFit="1" customWidth="1"/>
    <col min="22" max="16384" width="9.140625" style="3"/>
  </cols>
  <sheetData>
    <row r="1" spans="1:21" s="2" customFormat="1" ht="15" customHeight="1" x14ac:dyDescent="0.2">
      <c r="A1" s="33" t="s">
        <v>413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5"/>
    </row>
    <row r="2" spans="1:21" s="2" customFormat="1" ht="99" customHeight="1" thickBot="1" x14ac:dyDescent="0.25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8"/>
    </row>
    <row r="3" spans="1:21" s="1" customFormat="1" ht="12.75" customHeight="1" x14ac:dyDescent="0.2">
      <c r="A3" s="39" t="s">
        <v>0</v>
      </c>
      <c r="B3" s="41" t="s">
        <v>5</v>
      </c>
      <c r="C3" s="41" t="s">
        <v>6</v>
      </c>
      <c r="D3" s="31" t="s">
        <v>8</v>
      </c>
      <c r="E3" s="31" t="s">
        <v>3</v>
      </c>
      <c r="F3" s="31" t="s">
        <v>7</v>
      </c>
      <c r="G3" s="31" t="s">
        <v>242</v>
      </c>
      <c r="H3" s="31"/>
      <c r="I3" s="31"/>
      <c r="J3" s="31"/>
      <c r="K3" s="31" t="s">
        <v>9</v>
      </c>
      <c r="L3" s="31"/>
      <c r="M3" s="31"/>
      <c r="N3" s="31"/>
      <c r="O3" s="31" t="s">
        <v>241</v>
      </c>
      <c r="P3" s="31"/>
      <c r="Q3" s="31"/>
      <c r="R3" s="31"/>
      <c r="S3" s="31" t="s">
        <v>237</v>
      </c>
      <c r="T3" s="31" t="s">
        <v>2</v>
      </c>
      <c r="U3" s="42" t="s">
        <v>1</v>
      </c>
    </row>
    <row r="4" spans="1:21" s="1" customFormat="1" ht="66" customHeight="1" thickBot="1" x14ac:dyDescent="0.25">
      <c r="A4" s="40"/>
      <c r="B4" s="32"/>
      <c r="C4" s="32"/>
      <c r="D4" s="32"/>
      <c r="E4" s="32"/>
      <c r="F4" s="32"/>
      <c r="G4" s="6">
        <v>1</v>
      </c>
      <c r="H4" s="6">
        <v>2</v>
      </c>
      <c r="I4" s="6">
        <v>3</v>
      </c>
      <c r="J4" s="6" t="s">
        <v>4</v>
      </c>
      <c r="K4" s="6">
        <v>1</v>
      </c>
      <c r="L4" s="6">
        <v>2</v>
      </c>
      <c r="M4" s="6">
        <v>3</v>
      </c>
      <c r="N4" s="6" t="s">
        <v>4</v>
      </c>
      <c r="O4" s="6">
        <v>1</v>
      </c>
      <c r="P4" s="6">
        <v>2</v>
      </c>
      <c r="Q4" s="6">
        <v>3</v>
      </c>
      <c r="R4" s="6" t="s">
        <v>4</v>
      </c>
      <c r="S4" s="32"/>
      <c r="T4" s="32"/>
      <c r="U4" s="43"/>
    </row>
    <row r="5" spans="1:21" ht="15" x14ac:dyDescent="0.2">
      <c r="A5" s="29" t="s">
        <v>263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1" x14ac:dyDescent="0.2">
      <c r="A6" s="7" t="s">
        <v>369</v>
      </c>
      <c r="B6" s="7" t="s">
        <v>368</v>
      </c>
      <c r="C6" s="7" t="s">
        <v>367</v>
      </c>
      <c r="D6" s="7" t="str">
        <f>"0,7513"</f>
        <v>0,7513</v>
      </c>
      <c r="E6" s="7" t="s">
        <v>15</v>
      </c>
      <c r="F6" s="7" t="s">
        <v>41</v>
      </c>
      <c r="G6" s="8"/>
      <c r="H6" s="8"/>
      <c r="I6" s="8"/>
      <c r="J6" s="8"/>
      <c r="K6" s="9" t="s">
        <v>74</v>
      </c>
      <c r="L6" s="9" t="s">
        <v>286</v>
      </c>
      <c r="M6" s="8" t="s">
        <v>48</v>
      </c>
      <c r="N6" s="8"/>
      <c r="O6" s="8"/>
      <c r="P6" s="8"/>
      <c r="Q6" s="8"/>
      <c r="R6" s="8"/>
      <c r="S6" s="7" t="str">
        <f>"147,5"</f>
        <v>147,5</v>
      </c>
      <c r="T6" s="9" t="str">
        <f>"110,8094"</f>
        <v>110,8094</v>
      </c>
      <c r="U6" s="7" t="s">
        <v>19</v>
      </c>
    </row>
    <row r="8" spans="1:21" ht="15" x14ac:dyDescent="0.2">
      <c r="A8" s="27" t="s">
        <v>79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21" x14ac:dyDescent="0.2">
      <c r="A9" s="7" t="s">
        <v>366</v>
      </c>
      <c r="B9" s="7" t="s">
        <v>365</v>
      </c>
      <c r="C9" s="7" t="s">
        <v>364</v>
      </c>
      <c r="D9" s="7" t="str">
        <f>"0,5644"</f>
        <v>0,5644</v>
      </c>
      <c r="E9" s="7" t="s">
        <v>15</v>
      </c>
      <c r="F9" s="7" t="s">
        <v>55</v>
      </c>
      <c r="G9" s="8"/>
      <c r="H9" s="8"/>
      <c r="I9" s="8"/>
      <c r="J9" s="8"/>
      <c r="K9" s="8" t="s">
        <v>49</v>
      </c>
      <c r="L9" s="9" t="s">
        <v>49</v>
      </c>
      <c r="M9" s="8" t="s">
        <v>185</v>
      </c>
      <c r="N9" s="8"/>
      <c r="O9" s="8"/>
      <c r="P9" s="8"/>
      <c r="Q9" s="8"/>
      <c r="R9" s="8"/>
      <c r="S9" s="7" t="str">
        <f>"160,0"</f>
        <v>160,0</v>
      </c>
      <c r="T9" s="9" t="str">
        <f>"90,3040"</f>
        <v>90,3040</v>
      </c>
      <c r="U9" s="7" t="s">
        <v>19</v>
      </c>
    </row>
    <row r="11" spans="1:21" ht="15" x14ac:dyDescent="0.2">
      <c r="E11" s="19" t="s">
        <v>98</v>
      </c>
    </row>
    <row r="12" spans="1:21" ht="15" x14ac:dyDescent="0.2">
      <c r="E12" s="19" t="s">
        <v>99</v>
      </c>
    </row>
    <row r="13" spans="1:21" ht="15" x14ac:dyDescent="0.2">
      <c r="E13" s="19" t="s">
        <v>100</v>
      </c>
    </row>
    <row r="14" spans="1:21" ht="15" x14ac:dyDescent="0.2">
      <c r="E14" s="19" t="s">
        <v>101</v>
      </c>
    </row>
    <row r="15" spans="1:21" ht="15" x14ac:dyDescent="0.2">
      <c r="E15" s="19" t="s">
        <v>101</v>
      </c>
    </row>
    <row r="16" spans="1:21" ht="15" x14ac:dyDescent="0.2">
      <c r="E16" s="19" t="s">
        <v>102</v>
      </c>
    </row>
    <row r="17" spans="1:5" ht="15" x14ac:dyDescent="0.2">
      <c r="E17" s="19"/>
    </row>
    <row r="19" spans="1:5" ht="18" x14ac:dyDescent="0.25">
      <c r="A19" s="20" t="s">
        <v>103</v>
      </c>
      <c r="B19" s="20"/>
    </row>
  </sheetData>
  <mergeCells count="15">
    <mergeCell ref="A5:T5"/>
    <mergeCell ref="A8:T8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Normal="100" workbookViewId="0">
      <selection activeCell="G14" sqref="G14"/>
    </sheetView>
  </sheetViews>
  <sheetFormatPr defaultColWidth="9.140625" defaultRowHeight="12.75" x14ac:dyDescent="0.2"/>
  <cols>
    <col min="1" max="1" width="24.7109375" style="4" bestFit="1" customWidth="1"/>
    <col min="2" max="2" width="25.28515625" style="4" bestFit="1" customWidth="1"/>
    <col min="3" max="3" width="10.140625" style="4" bestFit="1" customWidth="1"/>
    <col min="4" max="4" width="8.28515625" style="4" bestFit="1" customWidth="1"/>
    <col min="5" max="5" width="21.7109375" style="4" bestFit="1" customWidth="1"/>
    <col min="6" max="6" width="29.140625" style="4" bestFit="1" customWidth="1"/>
    <col min="7" max="9" width="5.5703125" style="3" bestFit="1" customWidth="1"/>
    <col min="10" max="10" width="4.5703125" style="3" bestFit="1" customWidth="1"/>
    <col min="11" max="11" width="7.7109375" style="4" bestFit="1" customWidth="1"/>
    <col min="12" max="12" width="8.5703125" style="3" bestFit="1" customWidth="1"/>
    <col min="13" max="13" width="8.28515625" style="4" bestFit="1" customWidth="1"/>
    <col min="14" max="16384" width="9.140625" style="3"/>
  </cols>
  <sheetData>
    <row r="1" spans="1:13" s="2" customFormat="1" ht="28.9" customHeight="1" x14ac:dyDescent="0.2">
      <c r="A1" s="33" t="s">
        <v>414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s="2" customFormat="1" ht="61.9" customHeight="1" thickBot="1" x14ac:dyDescent="0.25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3" spans="1:13" s="1" customFormat="1" ht="12.75" customHeight="1" x14ac:dyDescent="0.2">
      <c r="A3" s="39" t="s">
        <v>0</v>
      </c>
      <c r="B3" s="41" t="s">
        <v>5</v>
      </c>
      <c r="C3" s="41" t="s">
        <v>6</v>
      </c>
      <c r="D3" s="31" t="s">
        <v>8</v>
      </c>
      <c r="E3" s="31" t="s">
        <v>3</v>
      </c>
      <c r="F3" s="31" t="s">
        <v>7</v>
      </c>
      <c r="G3" s="31" t="s">
        <v>9</v>
      </c>
      <c r="H3" s="31"/>
      <c r="I3" s="31"/>
      <c r="J3" s="31"/>
      <c r="K3" s="31" t="s">
        <v>139</v>
      </c>
      <c r="L3" s="31" t="s">
        <v>2</v>
      </c>
      <c r="M3" s="42" t="s">
        <v>1</v>
      </c>
    </row>
    <row r="4" spans="1:13" s="1" customFormat="1" ht="46.15" customHeight="1" thickBot="1" x14ac:dyDescent="0.25">
      <c r="A4" s="40"/>
      <c r="B4" s="32"/>
      <c r="C4" s="32"/>
      <c r="D4" s="32"/>
      <c r="E4" s="32"/>
      <c r="F4" s="32"/>
      <c r="G4" s="6">
        <v>1</v>
      </c>
      <c r="H4" s="6">
        <v>2</v>
      </c>
      <c r="I4" s="6">
        <v>3</v>
      </c>
      <c r="J4" s="6" t="s">
        <v>4</v>
      </c>
      <c r="K4" s="32"/>
      <c r="L4" s="32"/>
      <c r="M4" s="43"/>
    </row>
    <row r="5" spans="1:13" ht="15" x14ac:dyDescent="0.2">
      <c r="A5" s="29" t="s">
        <v>68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3" x14ac:dyDescent="0.2">
      <c r="A6" s="7" t="s">
        <v>374</v>
      </c>
      <c r="B6" s="7" t="s">
        <v>373</v>
      </c>
      <c r="C6" s="7" t="s">
        <v>372</v>
      </c>
      <c r="D6" s="7" t="str">
        <f>"0,5856"</f>
        <v>0,5856</v>
      </c>
      <c r="E6" s="7" t="s">
        <v>176</v>
      </c>
      <c r="F6" s="7" t="s">
        <v>175</v>
      </c>
      <c r="G6" s="9" t="s">
        <v>247</v>
      </c>
      <c r="H6" s="9" t="s">
        <v>320</v>
      </c>
      <c r="I6" s="9" t="s">
        <v>278</v>
      </c>
      <c r="J6" s="8"/>
      <c r="K6" s="7" t="str">
        <f>"230,0"</f>
        <v>230,0</v>
      </c>
      <c r="L6" s="9" t="str">
        <f>"134,6880"</f>
        <v>134,6880</v>
      </c>
      <c r="M6" s="7" t="s">
        <v>19</v>
      </c>
    </row>
    <row r="8" spans="1:13" ht="15" x14ac:dyDescent="0.2">
      <c r="E8" s="19" t="s">
        <v>98</v>
      </c>
    </row>
    <row r="9" spans="1:13" ht="15" x14ac:dyDescent="0.2">
      <c r="E9" s="19" t="s">
        <v>99</v>
      </c>
    </row>
    <row r="10" spans="1:13" ht="15" x14ac:dyDescent="0.2">
      <c r="E10" s="19" t="s">
        <v>100</v>
      </c>
    </row>
    <row r="11" spans="1:13" ht="15" x14ac:dyDescent="0.2">
      <c r="E11" s="19" t="s">
        <v>101</v>
      </c>
    </row>
    <row r="12" spans="1:13" ht="15" x14ac:dyDescent="0.2">
      <c r="E12" s="19" t="s">
        <v>101</v>
      </c>
    </row>
    <row r="13" spans="1:13" ht="15" x14ac:dyDescent="0.2">
      <c r="E13" s="19" t="s">
        <v>102</v>
      </c>
    </row>
    <row r="14" spans="1:13" ht="15" x14ac:dyDescent="0.2">
      <c r="E14" s="19"/>
    </row>
    <row r="16" spans="1:13" ht="18" x14ac:dyDescent="0.25">
      <c r="A16" s="20" t="s">
        <v>103</v>
      </c>
      <c r="B16" s="20"/>
    </row>
    <row r="17" spans="1:5" ht="15" x14ac:dyDescent="0.2">
      <c r="A17" s="21" t="s">
        <v>113</v>
      </c>
      <c r="B17" s="21"/>
    </row>
    <row r="18" spans="1:5" ht="14.25" x14ac:dyDescent="0.2">
      <c r="A18" s="23"/>
      <c r="B18" s="24" t="s">
        <v>105</v>
      </c>
    </row>
    <row r="19" spans="1:5" ht="15" x14ac:dyDescent="0.2">
      <c r="A19" s="25" t="s">
        <v>106</v>
      </c>
      <c r="B19" s="25" t="s">
        <v>107</v>
      </c>
      <c r="C19" s="25" t="s">
        <v>108</v>
      </c>
      <c r="D19" s="25" t="s">
        <v>109</v>
      </c>
      <c r="E19" s="25" t="s">
        <v>110</v>
      </c>
    </row>
    <row r="20" spans="1:5" x14ac:dyDescent="0.2">
      <c r="A20" s="22" t="s">
        <v>371</v>
      </c>
      <c r="B20" s="4" t="s">
        <v>105</v>
      </c>
      <c r="C20" s="4" t="s">
        <v>127</v>
      </c>
      <c r="D20" s="4" t="s">
        <v>278</v>
      </c>
      <c r="E20" s="26" t="s">
        <v>370</v>
      </c>
    </row>
  </sheetData>
  <mergeCells count="12">
    <mergeCell ref="A5:L5"/>
    <mergeCell ref="D3:D4"/>
    <mergeCell ref="K3:K4"/>
    <mergeCell ref="L3:L4"/>
    <mergeCell ref="A1:M2"/>
    <mergeCell ref="G3:J3"/>
    <mergeCell ref="A3:A4"/>
    <mergeCell ref="B3:B4"/>
    <mergeCell ref="C3:C4"/>
    <mergeCell ref="M3:M4"/>
    <mergeCell ref="F3:F4"/>
    <mergeCell ref="E3:E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zoomScaleNormal="100" workbookViewId="0">
      <selection activeCell="I12" sqref="I12"/>
    </sheetView>
  </sheetViews>
  <sheetFormatPr defaultColWidth="9.140625" defaultRowHeight="12.75" x14ac:dyDescent="0.2"/>
  <cols>
    <col min="1" max="1" width="24.7109375" style="4" bestFit="1" customWidth="1"/>
    <col min="2" max="2" width="25.28515625" style="4" bestFit="1" customWidth="1"/>
    <col min="3" max="3" width="10.140625" style="4" bestFit="1" customWidth="1"/>
    <col min="4" max="4" width="8.28515625" style="4" bestFit="1" customWidth="1"/>
    <col min="5" max="5" width="21.7109375" style="4" bestFit="1" customWidth="1"/>
    <col min="6" max="6" width="23.7109375" style="4" bestFit="1" customWidth="1"/>
    <col min="7" max="9" width="5.5703125" style="3" bestFit="1" customWidth="1"/>
    <col min="10" max="10" width="4.5703125" style="3" bestFit="1" customWidth="1"/>
    <col min="11" max="13" width="5.5703125" style="3" bestFit="1" customWidth="1"/>
    <col min="14" max="14" width="4.5703125" style="3" bestFit="1" customWidth="1"/>
    <col min="15" max="17" width="5.5703125" style="3" bestFit="1" customWidth="1"/>
    <col min="18" max="18" width="4.5703125" style="3" bestFit="1" customWidth="1"/>
    <col min="19" max="19" width="7.7109375" style="4" bestFit="1" customWidth="1"/>
    <col min="20" max="20" width="8.5703125" style="3" bestFit="1" customWidth="1"/>
    <col min="21" max="21" width="8.28515625" style="4" bestFit="1" customWidth="1"/>
    <col min="22" max="16384" width="9.140625" style="3"/>
  </cols>
  <sheetData>
    <row r="1" spans="1:21" s="2" customFormat="1" ht="28.9" customHeight="1" x14ac:dyDescent="0.2">
      <c r="A1" s="33" t="s">
        <v>415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5"/>
    </row>
    <row r="2" spans="1:21" s="2" customFormat="1" ht="61.9" customHeight="1" thickBot="1" x14ac:dyDescent="0.25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8"/>
    </row>
    <row r="3" spans="1:21" s="1" customFormat="1" ht="12.75" customHeight="1" x14ac:dyDescent="0.2">
      <c r="A3" s="39" t="s">
        <v>0</v>
      </c>
      <c r="B3" s="41" t="s">
        <v>5</v>
      </c>
      <c r="C3" s="41" t="s">
        <v>6</v>
      </c>
      <c r="D3" s="31" t="s">
        <v>8</v>
      </c>
      <c r="E3" s="31" t="s">
        <v>3</v>
      </c>
      <c r="F3" s="31" t="s">
        <v>7</v>
      </c>
      <c r="G3" s="31" t="s">
        <v>239</v>
      </c>
      <c r="H3" s="31"/>
      <c r="I3" s="31"/>
      <c r="J3" s="31"/>
      <c r="K3" s="31" t="s">
        <v>9</v>
      </c>
      <c r="L3" s="31"/>
      <c r="M3" s="31"/>
      <c r="N3" s="31"/>
      <c r="O3" s="31" t="s">
        <v>238</v>
      </c>
      <c r="P3" s="31"/>
      <c r="Q3" s="31"/>
      <c r="R3" s="31"/>
      <c r="S3" s="31" t="s">
        <v>237</v>
      </c>
      <c r="T3" s="31" t="s">
        <v>2</v>
      </c>
      <c r="U3" s="42" t="s">
        <v>1</v>
      </c>
    </row>
    <row r="4" spans="1:21" s="1" customFormat="1" ht="34.15" customHeight="1" thickBot="1" x14ac:dyDescent="0.25">
      <c r="A4" s="40"/>
      <c r="B4" s="32"/>
      <c r="C4" s="32"/>
      <c r="D4" s="32"/>
      <c r="E4" s="32"/>
      <c r="F4" s="32"/>
      <c r="G4" s="6">
        <v>1</v>
      </c>
      <c r="H4" s="6">
        <v>2</v>
      </c>
      <c r="I4" s="6">
        <v>3</v>
      </c>
      <c r="J4" s="6" t="s">
        <v>4</v>
      </c>
      <c r="K4" s="6">
        <v>1</v>
      </c>
      <c r="L4" s="6">
        <v>2</v>
      </c>
      <c r="M4" s="6">
        <v>3</v>
      </c>
      <c r="N4" s="6" t="s">
        <v>4</v>
      </c>
      <c r="O4" s="6">
        <v>1</v>
      </c>
      <c r="P4" s="6">
        <v>2</v>
      </c>
      <c r="Q4" s="6">
        <v>3</v>
      </c>
      <c r="R4" s="6" t="s">
        <v>4</v>
      </c>
      <c r="S4" s="32"/>
      <c r="T4" s="32"/>
      <c r="U4" s="43"/>
    </row>
    <row r="5" spans="1:21" ht="15" x14ac:dyDescent="0.2">
      <c r="A5" s="29" t="s">
        <v>68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1" x14ac:dyDescent="0.2">
      <c r="A6" s="7" t="s">
        <v>382</v>
      </c>
      <c r="B6" s="7" t="s">
        <v>381</v>
      </c>
      <c r="C6" s="7" t="s">
        <v>380</v>
      </c>
      <c r="D6" s="7" t="str">
        <f>"0,5891"</f>
        <v>0,5891</v>
      </c>
      <c r="E6" s="7" t="s">
        <v>248</v>
      </c>
      <c r="F6" s="7" t="s">
        <v>73</v>
      </c>
      <c r="G6" s="9" t="s">
        <v>278</v>
      </c>
      <c r="H6" s="8" t="s">
        <v>379</v>
      </c>
      <c r="I6" s="9" t="s">
        <v>379</v>
      </c>
      <c r="J6" s="8"/>
      <c r="K6" s="8" t="s">
        <v>258</v>
      </c>
      <c r="L6" s="9" t="s">
        <v>50</v>
      </c>
      <c r="M6" s="9" t="s">
        <v>279</v>
      </c>
      <c r="N6" s="8"/>
      <c r="O6" s="9" t="s">
        <v>326</v>
      </c>
      <c r="P6" s="8" t="s">
        <v>378</v>
      </c>
      <c r="Q6" s="8" t="s">
        <v>378</v>
      </c>
      <c r="R6" s="8"/>
      <c r="S6" s="7" t="str">
        <f>"680,0"</f>
        <v>680,0</v>
      </c>
      <c r="T6" s="9" t="str">
        <f>"400,5880"</f>
        <v>400,5880</v>
      </c>
      <c r="U6" s="7" t="s">
        <v>19</v>
      </c>
    </row>
    <row r="8" spans="1:21" ht="15" x14ac:dyDescent="0.2">
      <c r="E8" s="19" t="s">
        <v>98</v>
      </c>
    </row>
    <row r="9" spans="1:21" ht="15" x14ac:dyDescent="0.2">
      <c r="E9" s="19" t="s">
        <v>99</v>
      </c>
    </row>
    <row r="10" spans="1:21" ht="15" x14ac:dyDescent="0.2">
      <c r="E10" s="19" t="s">
        <v>100</v>
      </c>
    </row>
    <row r="11" spans="1:21" ht="15" x14ac:dyDescent="0.2">
      <c r="E11" s="19" t="s">
        <v>101</v>
      </c>
    </row>
    <row r="12" spans="1:21" ht="15" x14ac:dyDescent="0.2">
      <c r="E12" s="19" t="s">
        <v>101</v>
      </c>
    </row>
    <row r="13" spans="1:21" ht="15" x14ac:dyDescent="0.2">
      <c r="E13" s="19" t="s">
        <v>102</v>
      </c>
    </row>
    <row r="14" spans="1:21" ht="15" x14ac:dyDescent="0.2">
      <c r="E14" s="19"/>
    </row>
    <row r="16" spans="1:21" ht="18" x14ac:dyDescent="0.25">
      <c r="A16" s="20" t="s">
        <v>103</v>
      </c>
      <c r="B16" s="20"/>
    </row>
    <row r="17" spans="1:5" ht="15" x14ac:dyDescent="0.2">
      <c r="A17" s="21" t="s">
        <v>113</v>
      </c>
      <c r="B17" s="21"/>
    </row>
    <row r="18" spans="1:5" ht="14.25" x14ac:dyDescent="0.2">
      <c r="A18" s="23"/>
      <c r="B18" s="24" t="s">
        <v>105</v>
      </c>
    </row>
    <row r="19" spans="1:5" ht="15" x14ac:dyDescent="0.2">
      <c r="A19" s="25" t="s">
        <v>106</v>
      </c>
      <c r="B19" s="25" t="s">
        <v>107</v>
      </c>
      <c r="C19" s="25" t="s">
        <v>108</v>
      </c>
      <c r="D19" s="25" t="s">
        <v>109</v>
      </c>
      <c r="E19" s="25" t="s">
        <v>110</v>
      </c>
    </row>
    <row r="20" spans="1:5" x14ac:dyDescent="0.2">
      <c r="A20" s="22" t="s">
        <v>377</v>
      </c>
      <c r="B20" s="4" t="s">
        <v>105</v>
      </c>
      <c r="C20" s="4" t="s">
        <v>127</v>
      </c>
      <c r="D20" s="4" t="s">
        <v>376</v>
      </c>
      <c r="E20" s="26" t="s">
        <v>375</v>
      </c>
    </row>
  </sheetData>
  <mergeCells count="14">
    <mergeCell ref="A5:T5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zoomScaleNormal="100" workbookViewId="0">
      <selection activeCell="I11" sqref="I11"/>
    </sheetView>
  </sheetViews>
  <sheetFormatPr defaultColWidth="9.140625" defaultRowHeight="12.75" x14ac:dyDescent="0.2"/>
  <cols>
    <col min="1" max="1" width="24.7109375" style="4" bestFit="1" customWidth="1"/>
    <col min="2" max="2" width="25.28515625" style="4" bestFit="1" customWidth="1"/>
    <col min="3" max="3" width="10.140625" style="4" bestFit="1" customWidth="1"/>
    <col min="4" max="4" width="8.28515625" style="4" bestFit="1" customWidth="1"/>
    <col min="5" max="5" width="21.7109375" style="4" bestFit="1" customWidth="1"/>
    <col min="6" max="6" width="23.7109375" style="4" bestFit="1" customWidth="1"/>
    <col min="7" max="9" width="5.5703125" style="3" bestFit="1" customWidth="1"/>
    <col min="10" max="10" width="4.5703125" style="3" bestFit="1" customWidth="1"/>
    <col min="11" max="13" width="5.5703125" style="3" bestFit="1" customWidth="1"/>
    <col min="14" max="14" width="4.5703125" style="3" bestFit="1" customWidth="1"/>
    <col min="15" max="17" width="5.5703125" style="3" bestFit="1" customWidth="1"/>
    <col min="18" max="18" width="4.5703125" style="3" bestFit="1" customWidth="1"/>
    <col min="19" max="19" width="7.7109375" style="4" bestFit="1" customWidth="1"/>
    <col min="20" max="20" width="8.5703125" style="3" bestFit="1" customWidth="1"/>
    <col min="21" max="21" width="8.28515625" style="4" bestFit="1" customWidth="1"/>
    <col min="22" max="16384" width="9.140625" style="3"/>
  </cols>
  <sheetData>
    <row r="1" spans="1:21" s="2" customFormat="1" ht="28.9" customHeight="1" x14ac:dyDescent="0.2">
      <c r="A1" s="33" t="s">
        <v>416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5"/>
    </row>
    <row r="2" spans="1:21" s="2" customFormat="1" ht="61.9" customHeight="1" thickBot="1" x14ac:dyDescent="0.25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8"/>
    </row>
    <row r="3" spans="1:21" s="1" customFormat="1" ht="12.75" customHeight="1" x14ac:dyDescent="0.2">
      <c r="A3" s="39" t="s">
        <v>0</v>
      </c>
      <c r="B3" s="41" t="s">
        <v>5</v>
      </c>
      <c r="C3" s="41" t="s">
        <v>6</v>
      </c>
      <c r="D3" s="31" t="s">
        <v>8</v>
      </c>
      <c r="E3" s="31" t="s">
        <v>3</v>
      </c>
      <c r="F3" s="31" t="s">
        <v>7</v>
      </c>
      <c r="G3" s="31" t="s">
        <v>239</v>
      </c>
      <c r="H3" s="31"/>
      <c r="I3" s="31"/>
      <c r="J3" s="31"/>
      <c r="K3" s="31" t="s">
        <v>9</v>
      </c>
      <c r="L3" s="31"/>
      <c r="M3" s="31"/>
      <c r="N3" s="31"/>
      <c r="O3" s="31" t="s">
        <v>238</v>
      </c>
      <c r="P3" s="31"/>
      <c r="Q3" s="31"/>
      <c r="R3" s="31"/>
      <c r="S3" s="31" t="s">
        <v>237</v>
      </c>
      <c r="T3" s="31" t="s">
        <v>2</v>
      </c>
      <c r="U3" s="42" t="s">
        <v>1</v>
      </c>
    </row>
    <row r="4" spans="1:21" s="1" customFormat="1" ht="45" customHeight="1" thickBot="1" x14ac:dyDescent="0.25">
      <c r="A4" s="40"/>
      <c r="B4" s="32"/>
      <c r="C4" s="32"/>
      <c r="D4" s="32"/>
      <c r="E4" s="32"/>
      <c r="F4" s="32"/>
      <c r="G4" s="6">
        <v>1</v>
      </c>
      <c r="H4" s="6">
        <v>2</v>
      </c>
      <c r="I4" s="6">
        <v>3</v>
      </c>
      <c r="J4" s="6" t="s">
        <v>4</v>
      </c>
      <c r="K4" s="6">
        <v>1</v>
      </c>
      <c r="L4" s="6">
        <v>2</v>
      </c>
      <c r="M4" s="6">
        <v>3</v>
      </c>
      <c r="N4" s="6" t="s">
        <v>4</v>
      </c>
      <c r="O4" s="6">
        <v>1</v>
      </c>
      <c r="P4" s="6">
        <v>2</v>
      </c>
      <c r="Q4" s="6">
        <v>3</v>
      </c>
      <c r="R4" s="6" t="s">
        <v>4</v>
      </c>
      <c r="S4" s="32"/>
      <c r="T4" s="32"/>
      <c r="U4" s="43"/>
    </row>
    <row r="5" spans="1:21" ht="15" x14ac:dyDescent="0.2">
      <c r="A5" s="29" t="s">
        <v>87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1" x14ac:dyDescent="0.2">
      <c r="A6" s="7" t="s">
        <v>391</v>
      </c>
      <c r="B6" s="7" t="s">
        <v>390</v>
      </c>
      <c r="C6" s="7" t="s">
        <v>389</v>
      </c>
      <c r="D6" s="7" t="str">
        <f>"0,5462"</f>
        <v>0,5462</v>
      </c>
      <c r="E6" s="7" t="s">
        <v>248</v>
      </c>
      <c r="F6" s="7" t="s">
        <v>73</v>
      </c>
      <c r="G6" s="9" t="s">
        <v>326</v>
      </c>
      <c r="H6" s="9" t="s">
        <v>388</v>
      </c>
      <c r="I6" s="9" t="s">
        <v>307</v>
      </c>
      <c r="J6" s="8"/>
      <c r="K6" s="9" t="s">
        <v>92</v>
      </c>
      <c r="L6" s="9" t="s">
        <v>172</v>
      </c>
      <c r="M6" s="8" t="s">
        <v>387</v>
      </c>
      <c r="N6" s="8"/>
      <c r="O6" s="9" t="s">
        <v>326</v>
      </c>
      <c r="P6" s="9" t="s">
        <v>386</v>
      </c>
      <c r="Q6" s="9" t="s">
        <v>325</v>
      </c>
      <c r="R6" s="8"/>
      <c r="S6" s="7" t="str">
        <f>"745,0"</f>
        <v>745,0</v>
      </c>
      <c r="T6" s="9" t="str">
        <f>"406,9562"</f>
        <v>406,9562</v>
      </c>
      <c r="U6" s="7" t="s">
        <v>19</v>
      </c>
    </row>
    <row r="8" spans="1:21" ht="15" x14ac:dyDescent="0.2">
      <c r="E8" s="19" t="s">
        <v>98</v>
      </c>
    </row>
    <row r="9" spans="1:21" ht="15" x14ac:dyDescent="0.2">
      <c r="E9" s="19" t="s">
        <v>99</v>
      </c>
    </row>
    <row r="10" spans="1:21" ht="15" x14ac:dyDescent="0.2">
      <c r="E10" s="19" t="s">
        <v>100</v>
      </c>
    </row>
    <row r="11" spans="1:21" ht="15" x14ac:dyDescent="0.2">
      <c r="E11" s="19" t="s">
        <v>101</v>
      </c>
    </row>
    <row r="12" spans="1:21" ht="15" x14ac:dyDescent="0.2">
      <c r="E12" s="19" t="s">
        <v>101</v>
      </c>
    </row>
    <row r="13" spans="1:21" ht="15" x14ac:dyDescent="0.2">
      <c r="E13" s="19" t="s">
        <v>102</v>
      </c>
    </row>
    <row r="14" spans="1:21" ht="15" x14ac:dyDescent="0.2">
      <c r="E14" s="19"/>
    </row>
    <row r="16" spans="1:21" ht="18" x14ac:dyDescent="0.25">
      <c r="A16" s="20" t="s">
        <v>103</v>
      </c>
      <c r="B16" s="20"/>
    </row>
    <row r="17" spans="1:5" ht="15" x14ac:dyDescent="0.2">
      <c r="A17" s="21" t="s">
        <v>113</v>
      </c>
      <c r="B17" s="21"/>
    </row>
    <row r="18" spans="1:5" ht="14.25" x14ac:dyDescent="0.2">
      <c r="A18" s="23"/>
      <c r="B18" s="24" t="s">
        <v>105</v>
      </c>
    </row>
    <row r="19" spans="1:5" ht="15" x14ac:dyDescent="0.2">
      <c r="A19" s="25" t="s">
        <v>106</v>
      </c>
      <c r="B19" s="25" t="s">
        <v>107</v>
      </c>
      <c r="C19" s="25" t="s">
        <v>108</v>
      </c>
      <c r="D19" s="25" t="s">
        <v>109</v>
      </c>
      <c r="E19" s="25" t="s">
        <v>110</v>
      </c>
    </row>
    <row r="20" spans="1:5" x14ac:dyDescent="0.2">
      <c r="A20" s="22" t="s">
        <v>385</v>
      </c>
      <c r="B20" s="4" t="s">
        <v>105</v>
      </c>
      <c r="C20" s="4" t="s">
        <v>133</v>
      </c>
      <c r="D20" s="4" t="s">
        <v>384</v>
      </c>
      <c r="E20" s="26" t="s">
        <v>383</v>
      </c>
    </row>
  </sheetData>
  <mergeCells count="14">
    <mergeCell ref="A5:T5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zoomScaleNormal="100" workbookViewId="0">
      <selection activeCell="J17" sqref="J17"/>
    </sheetView>
  </sheetViews>
  <sheetFormatPr defaultColWidth="9.140625" defaultRowHeight="12.75" x14ac:dyDescent="0.2"/>
  <cols>
    <col min="1" max="1" width="24.7109375" style="4" bestFit="1" customWidth="1"/>
    <col min="2" max="2" width="25.28515625" style="4" bestFit="1" customWidth="1"/>
    <col min="3" max="3" width="10.140625" style="4" bestFit="1" customWidth="1"/>
    <col min="4" max="4" width="8.28515625" style="4" bestFit="1" customWidth="1"/>
    <col min="5" max="5" width="21.7109375" style="4" bestFit="1" customWidth="1"/>
    <col min="6" max="6" width="29.140625" style="4" bestFit="1" customWidth="1"/>
    <col min="7" max="9" width="5.5703125" style="3" bestFit="1" customWidth="1"/>
    <col min="10" max="10" width="4.5703125" style="3" bestFit="1" customWidth="1"/>
    <col min="11" max="13" width="5.5703125" style="3" bestFit="1" customWidth="1"/>
    <col min="14" max="14" width="4.5703125" style="3" bestFit="1" customWidth="1"/>
    <col min="15" max="17" width="5.5703125" style="3" bestFit="1" customWidth="1"/>
    <col min="18" max="18" width="4.5703125" style="3" bestFit="1" customWidth="1"/>
    <col min="19" max="19" width="7.7109375" style="4" bestFit="1" customWidth="1"/>
    <col min="20" max="20" width="8.5703125" style="3" bestFit="1" customWidth="1"/>
    <col min="21" max="21" width="8.28515625" style="4" bestFit="1" customWidth="1"/>
    <col min="22" max="16384" width="9.140625" style="3"/>
  </cols>
  <sheetData>
    <row r="1" spans="1:21" s="2" customFormat="1" ht="28.9" customHeight="1" x14ac:dyDescent="0.2">
      <c r="A1" s="33" t="s">
        <v>417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5"/>
    </row>
    <row r="2" spans="1:21" s="2" customFormat="1" ht="61.9" customHeight="1" thickBot="1" x14ac:dyDescent="0.25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8"/>
    </row>
    <row r="3" spans="1:21" s="1" customFormat="1" ht="12.75" customHeight="1" x14ac:dyDescent="0.2">
      <c r="A3" s="39" t="s">
        <v>0</v>
      </c>
      <c r="B3" s="41" t="s">
        <v>5</v>
      </c>
      <c r="C3" s="41" t="s">
        <v>6</v>
      </c>
      <c r="D3" s="31" t="s">
        <v>8</v>
      </c>
      <c r="E3" s="31" t="s">
        <v>3</v>
      </c>
      <c r="F3" s="31" t="s">
        <v>7</v>
      </c>
      <c r="G3" s="31" t="s">
        <v>239</v>
      </c>
      <c r="H3" s="31"/>
      <c r="I3" s="31"/>
      <c r="J3" s="31"/>
      <c r="K3" s="31" t="s">
        <v>9</v>
      </c>
      <c r="L3" s="31"/>
      <c r="M3" s="31"/>
      <c r="N3" s="31"/>
      <c r="O3" s="31" t="s">
        <v>238</v>
      </c>
      <c r="P3" s="31"/>
      <c r="Q3" s="31"/>
      <c r="R3" s="31"/>
      <c r="S3" s="31" t="s">
        <v>237</v>
      </c>
      <c r="T3" s="31" t="s">
        <v>2</v>
      </c>
      <c r="U3" s="42" t="s">
        <v>1</v>
      </c>
    </row>
    <row r="4" spans="1:21" s="1" customFormat="1" ht="36.6" customHeight="1" thickBot="1" x14ac:dyDescent="0.25">
      <c r="A4" s="40"/>
      <c r="B4" s="32"/>
      <c r="C4" s="32"/>
      <c r="D4" s="32"/>
      <c r="E4" s="32"/>
      <c r="F4" s="32"/>
      <c r="G4" s="6">
        <v>1</v>
      </c>
      <c r="H4" s="6">
        <v>2</v>
      </c>
      <c r="I4" s="6">
        <v>3</v>
      </c>
      <c r="J4" s="6" t="s">
        <v>4</v>
      </c>
      <c r="K4" s="6">
        <v>1</v>
      </c>
      <c r="L4" s="6">
        <v>2</v>
      </c>
      <c r="M4" s="6">
        <v>3</v>
      </c>
      <c r="N4" s="6" t="s">
        <v>4</v>
      </c>
      <c r="O4" s="6">
        <v>1</v>
      </c>
      <c r="P4" s="6">
        <v>2</v>
      </c>
      <c r="Q4" s="6">
        <v>3</v>
      </c>
      <c r="R4" s="6" t="s">
        <v>4</v>
      </c>
      <c r="S4" s="32"/>
      <c r="T4" s="32"/>
      <c r="U4" s="43"/>
    </row>
    <row r="5" spans="1:21" ht="15" x14ac:dyDescent="0.2">
      <c r="A5" s="29" t="s">
        <v>68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1" x14ac:dyDescent="0.2">
      <c r="A6" s="7" t="s">
        <v>374</v>
      </c>
      <c r="B6" s="7" t="s">
        <v>373</v>
      </c>
      <c r="C6" s="7" t="s">
        <v>372</v>
      </c>
      <c r="D6" s="7" t="str">
        <f>"0,5856"</f>
        <v>0,5856</v>
      </c>
      <c r="E6" s="7" t="s">
        <v>176</v>
      </c>
      <c r="F6" s="7" t="s">
        <v>175</v>
      </c>
      <c r="G6" s="9" t="s">
        <v>277</v>
      </c>
      <c r="H6" s="9" t="s">
        <v>296</v>
      </c>
      <c r="I6" s="9" t="s">
        <v>394</v>
      </c>
      <c r="J6" s="8"/>
      <c r="K6" s="9" t="s">
        <v>247</v>
      </c>
      <c r="L6" s="9" t="s">
        <v>320</v>
      </c>
      <c r="M6" s="9" t="s">
        <v>278</v>
      </c>
      <c r="N6" s="8"/>
      <c r="O6" s="9" t="s">
        <v>277</v>
      </c>
      <c r="P6" s="9" t="s">
        <v>321</v>
      </c>
      <c r="Q6" s="8" t="s">
        <v>394</v>
      </c>
      <c r="R6" s="8"/>
      <c r="S6" s="7" t="str">
        <f>"735,0"</f>
        <v>735,0</v>
      </c>
      <c r="T6" s="9" t="str">
        <f>"430,4160"</f>
        <v>430,4160</v>
      </c>
      <c r="U6" s="7" t="s">
        <v>19</v>
      </c>
    </row>
    <row r="8" spans="1:21" ht="15" x14ac:dyDescent="0.2">
      <c r="E8" s="19" t="s">
        <v>98</v>
      </c>
    </row>
    <row r="9" spans="1:21" ht="15" x14ac:dyDescent="0.2">
      <c r="E9" s="19" t="s">
        <v>99</v>
      </c>
    </row>
    <row r="10" spans="1:21" ht="15" x14ac:dyDescent="0.2">
      <c r="E10" s="19" t="s">
        <v>100</v>
      </c>
    </row>
    <row r="11" spans="1:21" ht="15" x14ac:dyDescent="0.2">
      <c r="E11" s="19" t="s">
        <v>101</v>
      </c>
    </row>
    <row r="12" spans="1:21" ht="15" x14ac:dyDescent="0.2">
      <c r="E12" s="19" t="s">
        <v>101</v>
      </c>
    </row>
    <row r="13" spans="1:21" ht="15" x14ac:dyDescent="0.2">
      <c r="E13" s="19" t="s">
        <v>102</v>
      </c>
    </row>
    <row r="14" spans="1:21" ht="15" x14ac:dyDescent="0.2">
      <c r="E14" s="19"/>
    </row>
    <row r="16" spans="1:21" ht="18" x14ac:dyDescent="0.25">
      <c r="A16" s="20" t="s">
        <v>103</v>
      </c>
      <c r="B16" s="20"/>
    </row>
    <row r="17" spans="1:5" ht="15" x14ac:dyDescent="0.2">
      <c r="A17" s="21" t="s">
        <v>113</v>
      </c>
      <c r="B17" s="21"/>
    </row>
    <row r="18" spans="1:5" ht="14.25" x14ac:dyDescent="0.2">
      <c r="A18" s="23"/>
      <c r="B18" s="24" t="s">
        <v>105</v>
      </c>
    </row>
    <row r="19" spans="1:5" ht="15" x14ac:dyDescent="0.2">
      <c r="A19" s="25" t="s">
        <v>106</v>
      </c>
      <c r="B19" s="25" t="s">
        <v>107</v>
      </c>
      <c r="C19" s="25" t="s">
        <v>108</v>
      </c>
      <c r="D19" s="25" t="s">
        <v>109</v>
      </c>
      <c r="E19" s="25" t="s">
        <v>110</v>
      </c>
    </row>
    <row r="20" spans="1:5" x14ac:dyDescent="0.2">
      <c r="A20" s="22" t="s">
        <v>371</v>
      </c>
      <c r="B20" s="4" t="s">
        <v>105</v>
      </c>
      <c r="C20" s="4" t="s">
        <v>127</v>
      </c>
      <c r="D20" s="4" t="s">
        <v>393</v>
      </c>
      <c r="E20" s="26" t="s">
        <v>392</v>
      </c>
    </row>
  </sheetData>
  <mergeCells count="14">
    <mergeCell ref="A5:T5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zoomScaleNormal="100" workbookViewId="0">
      <selection activeCell="V3" sqref="A3:XFD3"/>
    </sheetView>
  </sheetViews>
  <sheetFormatPr defaultColWidth="9.140625" defaultRowHeight="12.75" x14ac:dyDescent="0.2"/>
  <cols>
    <col min="1" max="1" width="25.85546875" style="4" bestFit="1" customWidth="1"/>
    <col min="2" max="2" width="27.85546875" style="4" customWidth="1"/>
    <col min="3" max="3" width="10" style="4" customWidth="1"/>
    <col min="4" max="4" width="6.5703125" style="4" bestFit="1" customWidth="1"/>
    <col min="5" max="5" width="23.7109375" style="4" bestFit="1" customWidth="1"/>
    <col min="6" max="6" width="21.140625" style="4" bestFit="1" customWidth="1"/>
    <col min="7" max="7" width="5.5703125" style="3" bestFit="1" customWidth="1"/>
    <col min="8" max="8" width="7" style="3" customWidth="1"/>
    <col min="9" max="9" width="6.28515625" style="3" bestFit="1" customWidth="1"/>
    <col min="10" max="10" width="5.5703125" style="3" bestFit="1" customWidth="1"/>
    <col min="11" max="13" width="7" style="3" bestFit="1" customWidth="1"/>
    <col min="14" max="14" width="5.5703125" style="3" bestFit="1" customWidth="1"/>
    <col min="15" max="16" width="7" style="3" bestFit="1" customWidth="1"/>
    <col min="17" max="17" width="6.28515625" style="3" bestFit="1" customWidth="1"/>
    <col min="18" max="18" width="5.5703125" style="3" bestFit="1" customWidth="1"/>
    <col min="19" max="19" width="7.85546875" style="4" bestFit="1" customWidth="1"/>
    <col min="20" max="20" width="8.5703125" style="3" bestFit="1" customWidth="1"/>
    <col min="21" max="21" width="23" style="4" bestFit="1" customWidth="1"/>
    <col min="22" max="16384" width="9.140625" style="3"/>
  </cols>
  <sheetData>
    <row r="1" spans="1:21" s="2" customFormat="1" ht="15" customHeight="1" x14ac:dyDescent="0.2">
      <c r="A1" s="33" t="s">
        <v>418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5"/>
    </row>
    <row r="2" spans="1:21" s="2" customFormat="1" ht="93.6" customHeight="1" thickBot="1" x14ac:dyDescent="0.25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8"/>
    </row>
    <row r="3" spans="1:21" s="1" customFormat="1" ht="12.75" customHeight="1" x14ac:dyDescent="0.2">
      <c r="A3" s="39" t="s">
        <v>0</v>
      </c>
      <c r="B3" s="41" t="s">
        <v>5</v>
      </c>
      <c r="C3" s="41" t="s">
        <v>6</v>
      </c>
      <c r="D3" s="31" t="s">
        <v>8</v>
      </c>
      <c r="E3" s="31" t="s">
        <v>3</v>
      </c>
      <c r="F3" s="31" t="s">
        <v>7</v>
      </c>
      <c r="G3" s="31" t="s">
        <v>242</v>
      </c>
      <c r="H3" s="31"/>
      <c r="I3" s="31"/>
      <c r="J3" s="31"/>
      <c r="K3" s="31" t="s">
        <v>405</v>
      </c>
      <c r="L3" s="31"/>
      <c r="M3" s="31"/>
      <c r="N3" s="31"/>
      <c r="O3" s="31" t="s">
        <v>238</v>
      </c>
      <c r="P3" s="31"/>
      <c r="Q3" s="31"/>
      <c r="R3" s="31"/>
      <c r="S3" s="31" t="s">
        <v>237</v>
      </c>
      <c r="T3" s="31" t="s">
        <v>2</v>
      </c>
      <c r="U3" s="42" t="s">
        <v>1</v>
      </c>
    </row>
    <row r="4" spans="1:21" s="1" customFormat="1" ht="43.15" customHeight="1" thickBot="1" x14ac:dyDescent="0.25">
      <c r="A4" s="40"/>
      <c r="B4" s="32"/>
      <c r="C4" s="32"/>
      <c r="D4" s="32"/>
      <c r="E4" s="32"/>
      <c r="F4" s="32"/>
      <c r="G4" s="6">
        <v>1</v>
      </c>
      <c r="H4" s="6">
        <v>2</v>
      </c>
      <c r="I4" s="6">
        <v>3</v>
      </c>
      <c r="J4" s="6" t="s">
        <v>4</v>
      </c>
      <c r="K4" s="6">
        <v>1</v>
      </c>
      <c r="L4" s="6">
        <v>2</v>
      </c>
      <c r="M4" s="6">
        <v>3</v>
      </c>
      <c r="N4" s="6" t="s">
        <v>4</v>
      </c>
      <c r="O4" s="6">
        <v>1</v>
      </c>
      <c r="P4" s="6">
        <v>2</v>
      </c>
      <c r="Q4" s="6">
        <v>3</v>
      </c>
      <c r="R4" s="6" t="s">
        <v>4</v>
      </c>
      <c r="S4" s="32"/>
      <c r="T4" s="32"/>
      <c r="U4" s="43"/>
    </row>
    <row r="5" spans="1:21" ht="15" x14ac:dyDescent="0.2">
      <c r="A5" s="29" t="s">
        <v>68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1" x14ac:dyDescent="0.2">
      <c r="A6" s="7" t="s">
        <v>404</v>
      </c>
      <c r="B6" s="7" t="s">
        <v>403</v>
      </c>
      <c r="C6" s="7" t="s">
        <v>372</v>
      </c>
      <c r="D6" s="7" t="str">
        <f>"0,5856"</f>
        <v>0,5856</v>
      </c>
      <c r="E6" s="7" t="s">
        <v>248</v>
      </c>
      <c r="F6" s="7" t="s">
        <v>73</v>
      </c>
      <c r="G6" s="8"/>
      <c r="H6" s="8"/>
      <c r="I6" s="8"/>
      <c r="J6" s="8"/>
      <c r="K6" s="8"/>
      <c r="L6" s="8"/>
      <c r="M6" s="8"/>
      <c r="N6" s="8"/>
      <c r="O6" s="9" t="s">
        <v>296</v>
      </c>
      <c r="P6" s="8" t="s">
        <v>402</v>
      </c>
      <c r="Q6" s="8"/>
      <c r="R6" s="8"/>
      <c r="S6" s="7" t="str">
        <f>"250,0"</f>
        <v>250,0</v>
      </c>
      <c r="T6" s="9" t="str">
        <f>"152,6952"</f>
        <v>152,6952</v>
      </c>
      <c r="U6" s="7" t="s">
        <v>19</v>
      </c>
    </row>
    <row r="8" spans="1:21" ht="15" x14ac:dyDescent="0.2">
      <c r="A8" s="27" t="s">
        <v>79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21" x14ac:dyDescent="0.2">
      <c r="A9" s="7" t="s">
        <v>401</v>
      </c>
      <c r="B9" s="7" t="s">
        <v>400</v>
      </c>
      <c r="C9" s="7" t="s">
        <v>399</v>
      </c>
      <c r="D9" s="7" t="str">
        <f>"0,5746"</f>
        <v>0,5746</v>
      </c>
      <c r="E9" s="7" t="s">
        <v>15</v>
      </c>
      <c r="F9" s="7" t="s">
        <v>41</v>
      </c>
      <c r="G9" s="8"/>
      <c r="H9" s="8"/>
      <c r="I9" s="8"/>
      <c r="J9" s="8"/>
      <c r="K9" s="8"/>
      <c r="L9" s="8"/>
      <c r="M9" s="8"/>
      <c r="N9" s="8"/>
      <c r="O9" s="9" t="s">
        <v>296</v>
      </c>
      <c r="P9" s="8" t="s">
        <v>326</v>
      </c>
      <c r="Q9" s="9" t="s">
        <v>307</v>
      </c>
      <c r="R9" s="8"/>
      <c r="S9" s="7" t="str">
        <f>"275,0"</f>
        <v>275,0</v>
      </c>
      <c r="T9" s="9" t="str">
        <f>"158,0150"</f>
        <v>158,0150</v>
      </c>
      <c r="U9" s="7" t="s">
        <v>19</v>
      </c>
    </row>
    <row r="11" spans="1:21" ht="15" x14ac:dyDescent="0.2">
      <c r="E11" s="19" t="s">
        <v>98</v>
      </c>
    </row>
    <row r="12" spans="1:21" ht="15" x14ac:dyDescent="0.2">
      <c r="E12" s="19" t="s">
        <v>99</v>
      </c>
    </row>
    <row r="13" spans="1:21" ht="15" x14ac:dyDescent="0.2">
      <c r="E13" s="19" t="s">
        <v>100</v>
      </c>
    </row>
    <row r="14" spans="1:21" ht="15" x14ac:dyDescent="0.2">
      <c r="E14" s="19" t="s">
        <v>101</v>
      </c>
    </row>
    <row r="15" spans="1:21" ht="15" x14ac:dyDescent="0.2">
      <c r="E15" s="19" t="s">
        <v>101</v>
      </c>
    </row>
    <row r="16" spans="1:21" ht="15" x14ac:dyDescent="0.2">
      <c r="E16" s="19" t="s">
        <v>102</v>
      </c>
    </row>
    <row r="17" spans="1:5" ht="15" x14ac:dyDescent="0.2">
      <c r="E17" s="19"/>
    </row>
    <row r="19" spans="1:5" ht="18" x14ac:dyDescent="0.25">
      <c r="A19" s="20" t="s">
        <v>103</v>
      </c>
      <c r="B19" s="20"/>
    </row>
    <row r="20" spans="1:5" ht="15" x14ac:dyDescent="0.2">
      <c r="A20" s="21" t="s">
        <v>113</v>
      </c>
      <c r="B20" s="21"/>
    </row>
    <row r="21" spans="1:5" ht="14.25" x14ac:dyDescent="0.2">
      <c r="A21" s="23"/>
      <c r="B21" s="24" t="s">
        <v>105</v>
      </c>
    </row>
    <row r="22" spans="1:5" ht="15" x14ac:dyDescent="0.2">
      <c r="A22" s="25" t="s">
        <v>106</v>
      </c>
      <c r="B22" s="25" t="s">
        <v>107</v>
      </c>
      <c r="C22" s="25" t="s">
        <v>108</v>
      </c>
      <c r="D22" s="25" t="s">
        <v>109</v>
      </c>
      <c r="E22" s="25" t="s">
        <v>110</v>
      </c>
    </row>
    <row r="23" spans="1:5" x14ac:dyDescent="0.2">
      <c r="A23" s="22" t="s">
        <v>398</v>
      </c>
      <c r="B23" s="4" t="s">
        <v>105</v>
      </c>
      <c r="C23" s="4" t="s">
        <v>121</v>
      </c>
      <c r="D23" s="4" t="s">
        <v>307</v>
      </c>
      <c r="E23" s="26" t="s">
        <v>397</v>
      </c>
    </row>
    <row r="25" spans="1:5" ht="14.25" x14ac:dyDescent="0.2">
      <c r="A25" s="23"/>
      <c r="B25" s="24" t="s">
        <v>131</v>
      </c>
    </row>
    <row r="26" spans="1:5" ht="15" x14ac:dyDescent="0.2">
      <c r="A26" s="25" t="s">
        <v>106</v>
      </c>
      <c r="B26" s="25" t="s">
        <v>107</v>
      </c>
      <c r="C26" s="25" t="s">
        <v>108</v>
      </c>
      <c r="D26" s="25" t="s">
        <v>109</v>
      </c>
      <c r="E26" s="25" t="s">
        <v>110</v>
      </c>
    </row>
    <row r="27" spans="1:5" x14ac:dyDescent="0.2">
      <c r="A27" s="22" t="s">
        <v>396</v>
      </c>
      <c r="B27" s="4" t="s">
        <v>137</v>
      </c>
      <c r="C27" s="4" t="s">
        <v>127</v>
      </c>
      <c r="D27" s="4" t="s">
        <v>296</v>
      </c>
      <c r="E27" s="26" t="s">
        <v>395</v>
      </c>
    </row>
  </sheetData>
  <mergeCells count="15">
    <mergeCell ref="A5:T5"/>
    <mergeCell ref="A8:T8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Normal="100" workbookViewId="0">
      <selection activeCell="I17" sqref="I17"/>
    </sheetView>
  </sheetViews>
  <sheetFormatPr defaultColWidth="9.140625" defaultRowHeight="12.75" x14ac:dyDescent="0.2"/>
  <cols>
    <col min="1" max="1" width="24.7109375" style="4" bestFit="1" customWidth="1"/>
    <col min="2" max="2" width="29.85546875" style="4" bestFit="1" customWidth="1"/>
    <col min="3" max="3" width="10.140625" style="4" bestFit="1" customWidth="1"/>
    <col min="4" max="4" width="8.28515625" style="4" bestFit="1" customWidth="1"/>
    <col min="5" max="5" width="21.7109375" style="4" bestFit="1" customWidth="1"/>
    <col min="6" max="6" width="23.28515625" style="4" bestFit="1" customWidth="1"/>
    <col min="7" max="9" width="5.5703125" style="3" bestFit="1" customWidth="1"/>
    <col min="10" max="10" width="4.5703125" style="3" bestFit="1" customWidth="1"/>
    <col min="11" max="11" width="7.7109375" style="4" bestFit="1" customWidth="1"/>
    <col min="12" max="12" width="8.5703125" style="3" bestFit="1" customWidth="1"/>
    <col min="13" max="13" width="8.28515625" style="4" bestFit="1" customWidth="1"/>
    <col min="14" max="16384" width="9.140625" style="3"/>
  </cols>
  <sheetData>
    <row r="1" spans="1:13" s="2" customFormat="1" ht="28.9" customHeight="1" x14ac:dyDescent="0.2">
      <c r="A1" s="33" t="s">
        <v>419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s="2" customFormat="1" ht="84.6" customHeight="1" thickBot="1" x14ac:dyDescent="0.25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3" spans="1:13" s="1" customFormat="1" ht="12.75" customHeight="1" x14ac:dyDescent="0.2">
      <c r="A3" s="39" t="s">
        <v>0</v>
      </c>
      <c r="B3" s="41" t="s">
        <v>5</v>
      </c>
      <c r="C3" s="41" t="s">
        <v>6</v>
      </c>
      <c r="D3" s="31" t="s">
        <v>8</v>
      </c>
      <c r="E3" s="31" t="s">
        <v>3</v>
      </c>
      <c r="F3" s="31" t="s">
        <v>7</v>
      </c>
      <c r="G3" s="31" t="s">
        <v>238</v>
      </c>
      <c r="H3" s="31"/>
      <c r="I3" s="31"/>
      <c r="J3" s="31"/>
      <c r="K3" s="31" t="s">
        <v>139</v>
      </c>
      <c r="L3" s="31" t="s">
        <v>2</v>
      </c>
      <c r="M3" s="42" t="s">
        <v>1</v>
      </c>
    </row>
    <row r="4" spans="1:13" s="1" customFormat="1" ht="44.45" customHeight="1" thickBot="1" x14ac:dyDescent="0.25">
      <c r="A4" s="40"/>
      <c r="B4" s="32"/>
      <c r="C4" s="32"/>
      <c r="D4" s="32"/>
      <c r="E4" s="32"/>
      <c r="F4" s="32"/>
      <c r="G4" s="6">
        <v>1</v>
      </c>
      <c r="H4" s="6">
        <v>2</v>
      </c>
      <c r="I4" s="6">
        <v>3</v>
      </c>
      <c r="J4" s="6" t="s">
        <v>4</v>
      </c>
      <c r="K4" s="32"/>
      <c r="L4" s="32"/>
      <c r="M4" s="43"/>
    </row>
    <row r="5" spans="1:13" ht="15" x14ac:dyDescent="0.2">
      <c r="A5" s="29" t="s">
        <v>20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3" x14ac:dyDescent="0.2">
      <c r="A6" s="7" t="s">
        <v>410</v>
      </c>
      <c r="B6" s="7" t="s">
        <v>409</v>
      </c>
      <c r="C6" s="7" t="s">
        <v>342</v>
      </c>
      <c r="D6" s="7" t="str">
        <f>"0,6885"</f>
        <v>0,6885</v>
      </c>
      <c r="E6" s="7" t="s">
        <v>15</v>
      </c>
      <c r="F6" s="7" t="s">
        <v>202</v>
      </c>
      <c r="G6" s="9" t="s">
        <v>85</v>
      </c>
      <c r="H6" s="9" t="s">
        <v>278</v>
      </c>
      <c r="I6" s="8" t="s">
        <v>408</v>
      </c>
      <c r="J6" s="8"/>
      <c r="K6" s="7" t="str">
        <f>"230,0"</f>
        <v>230,0</v>
      </c>
      <c r="L6" s="9" t="str">
        <f>"184,4970"</f>
        <v>184,4970</v>
      </c>
      <c r="M6" s="7" t="s">
        <v>19</v>
      </c>
    </row>
    <row r="8" spans="1:13" ht="15" x14ac:dyDescent="0.2">
      <c r="E8" s="19" t="s">
        <v>98</v>
      </c>
    </row>
    <row r="9" spans="1:13" ht="15" x14ac:dyDescent="0.2">
      <c r="E9" s="19" t="s">
        <v>99</v>
      </c>
    </row>
    <row r="10" spans="1:13" ht="15" x14ac:dyDescent="0.2">
      <c r="E10" s="19" t="s">
        <v>100</v>
      </c>
    </row>
    <row r="11" spans="1:13" ht="15" x14ac:dyDescent="0.2">
      <c r="E11" s="19" t="s">
        <v>101</v>
      </c>
    </row>
    <row r="12" spans="1:13" ht="15" x14ac:dyDescent="0.2">
      <c r="E12" s="19" t="s">
        <v>101</v>
      </c>
    </row>
    <row r="13" spans="1:13" ht="15" x14ac:dyDescent="0.2">
      <c r="E13" s="19" t="s">
        <v>102</v>
      </c>
    </row>
    <row r="14" spans="1:13" ht="15" x14ac:dyDescent="0.2">
      <c r="E14" s="19"/>
    </row>
    <row r="16" spans="1:13" ht="18" x14ac:dyDescent="0.25">
      <c r="A16" s="20" t="s">
        <v>103</v>
      </c>
      <c r="B16" s="20"/>
    </row>
    <row r="17" spans="1:5" ht="15" x14ac:dyDescent="0.2">
      <c r="A17" s="21" t="s">
        <v>113</v>
      </c>
      <c r="B17" s="21"/>
    </row>
    <row r="18" spans="1:5" ht="14.25" x14ac:dyDescent="0.2">
      <c r="A18" s="23"/>
      <c r="B18" s="24" t="s">
        <v>131</v>
      </c>
    </row>
    <row r="19" spans="1:5" ht="15" x14ac:dyDescent="0.2">
      <c r="A19" s="25" t="s">
        <v>106</v>
      </c>
      <c r="B19" s="25" t="s">
        <v>107</v>
      </c>
      <c r="C19" s="25" t="s">
        <v>108</v>
      </c>
      <c r="D19" s="25" t="s">
        <v>109</v>
      </c>
      <c r="E19" s="25" t="s">
        <v>110</v>
      </c>
    </row>
    <row r="20" spans="1:5" x14ac:dyDescent="0.2">
      <c r="A20" s="22" t="s">
        <v>407</v>
      </c>
      <c r="B20" s="4" t="s">
        <v>289</v>
      </c>
      <c r="C20" s="4" t="s">
        <v>125</v>
      </c>
      <c r="D20" s="4" t="s">
        <v>278</v>
      </c>
      <c r="E20" s="26" t="s">
        <v>406</v>
      </c>
    </row>
  </sheetData>
  <mergeCells count="12">
    <mergeCell ref="A5:L5"/>
    <mergeCell ref="D3:D4"/>
    <mergeCell ref="K3:K4"/>
    <mergeCell ref="L3:L4"/>
    <mergeCell ref="A1:M2"/>
    <mergeCell ref="G3:J3"/>
    <mergeCell ref="A3:A4"/>
    <mergeCell ref="B3:B4"/>
    <mergeCell ref="C3:C4"/>
    <mergeCell ref="M3:M4"/>
    <mergeCell ref="F3:F4"/>
    <mergeCell ref="E3:E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Normal="100" workbookViewId="0">
      <selection activeCell="G11" sqref="G11"/>
    </sheetView>
  </sheetViews>
  <sheetFormatPr defaultColWidth="9.140625" defaultRowHeight="12.75" x14ac:dyDescent="0.2"/>
  <cols>
    <col min="1" max="1" width="24.7109375" style="4" bestFit="1" customWidth="1"/>
    <col min="2" max="2" width="25.28515625" style="4" bestFit="1" customWidth="1"/>
    <col min="3" max="3" width="10.140625" style="4" bestFit="1" customWidth="1"/>
    <col min="4" max="4" width="8.28515625" style="4" bestFit="1" customWidth="1"/>
    <col min="5" max="6" width="21.7109375" style="4" bestFit="1" customWidth="1"/>
    <col min="7" max="8" width="5.5703125" style="3" bestFit="1" customWidth="1"/>
    <col min="9" max="9" width="2.140625" style="3" bestFit="1" customWidth="1"/>
    <col min="10" max="10" width="4.5703125" style="3" bestFit="1" customWidth="1"/>
    <col min="11" max="11" width="7.7109375" style="4" bestFit="1" customWidth="1"/>
    <col min="12" max="12" width="7.5703125" style="3" bestFit="1" customWidth="1"/>
    <col min="13" max="13" width="8.28515625" style="4" bestFit="1" customWidth="1"/>
    <col min="14" max="16384" width="9.140625" style="3"/>
  </cols>
  <sheetData>
    <row r="1" spans="1:13" s="2" customFormat="1" ht="28.9" customHeight="1" x14ac:dyDescent="0.2">
      <c r="A1" s="33" t="s">
        <v>355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s="2" customFormat="1" ht="61.9" customHeight="1" thickBot="1" x14ac:dyDescent="0.25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3" spans="1:13" s="1" customFormat="1" ht="12.75" customHeight="1" x14ac:dyDescent="0.2">
      <c r="A3" s="39" t="s">
        <v>0</v>
      </c>
      <c r="B3" s="41" t="s">
        <v>5</v>
      </c>
      <c r="C3" s="41" t="s">
        <v>6</v>
      </c>
      <c r="D3" s="31" t="s">
        <v>8</v>
      </c>
      <c r="E3" s="31" t="s">
        <v>3</v>
      </c>
      <c r="F3" s="31" t="s">
        <v>7</v>
      </c>
      <c r="G3" s="31" t="s">
        <v>9</v>
      </c>
      <c r="H3" s="31"/>
      <c r="I3" s="31"/>
      <c r="J3" s="31"/>
      <c r="K3" s="31" t="s">
        <v>139</v>
      </c>
      <c r="L3" s="31" t="s">
        <v>2</v>
      </c>
      <c r="M3" s="42" t="s">
        <v>1</v>
      </c>
    </row>
    <row r="4" spans="1:13" s="1" customFormat="1" ht="21" customHeight="1" thickBot="1" x14ac:dyDescent="0.25">
      <c r="A4" s="40"/>
      <c r="B4" s="32"/>
      <c r="C4" s="32"/>
      <c r="D4" s="32"/>
      <c r="E4" s="32"/>
      <c r="F4" s="32"/>
      <c r="G4" s="6">
        <v>1</v>
      </c>
      <c r="H4" s="6">
        <v>2</v>
      </c>
      <c r="I4" s="6">
        <v>3</v>
      </c>
      <c r="J4" s="6" t="s">
        <v>4</v>
      </c>
      <c r="K4" s="32"/>
      <c r="L4" s="32"/>
      <c r="M4" s="43"/>
    </row>
    <row r="5" spans="1:13" ht="15" x14ac:dyDescent="0.2">
      <c r="A5" s="29" t="s">
        <v>79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3" x14ac:dyDescent="0.2">
      <c r="A6" s="7" t="s">
        <v>140</v>
      </c>
      <c r="B6" s="7" t="s">
        <v>141</v>
      </c>
      <c r="C6" s="7" t="s">
        <v>142</v>
      </c>
      <c r="D6" s="7" t="str">
        <f>"0,5625"</f>
        <v>0,5625</v>
      </c>
      <c r="E6" s="7" t="s">
        <v>15</v>
      </c>
      <c r="F6" s="7" t="s">
        <v>16</v>
      </c>
      <c r="G6" s="9" t="s">
        <v>48</v>
      </c>
      <c r="H6" s="9" t="s">
        <v>143</v>
      </c>
      <c r="I6" s="8"/>
      <c r="J6" s="8"/>
      <c r="K6" s="7" t="str">
        <f>"155,0"</f>
        <v>155,0</v>
      </c>
      <c r="L6" s="9" t="str">
        <f>"87,1875"</f>
        <v>87,1875</v>
      </c>
      <c r="M6" s="7" t="s">
        <v>144</v>
      </c>
    </row>
    <row r="8" spans="1:13" ht="15" x14ac:dyDescent="0.2">
      <c r="E8" s="19" t="s">
        <v>98</v>
      </c>
    </row>
    <row r="9" spans="1:13" ht="15" x14ac:dyDescent="0.2">
      <c r="E9" s="19" t="s">
        <v>99</v>
      </c>
    </row>
    <row r="10" spans="1:13" ht="15" x14ac:dyDescent="0.2">
      <c r="E10" s="19" t="s">
        <v>100</v>
      </c>
    </row>
    <row r="11" spans="1:13" ht="15" x14ac:dyDescent="0.2">
      <c r="E11" s="19" t="s">
        <v>101</v>
      </c>
    </row>
    <row r="12" spans="1:13" ht="15" x14ac:dyDescent="0.2">
      <c r="E12" s="19" t="s">
        <v>101</v>
      </c>
    </row>
    <row r="13" spans="1:13" ht="15" x14ac:dyDescent="0.2">
      <c r="E13" s="19" t="s">
        <v>102</v>
      </c>
    </row>
    <row r="14" spans="1:13" ht="15" x14ac:dyDescent="0.2">
      <c r="E14" s="19"/>
    </row>
    <row r="16" spans="1:13" ht="18" x14ac:dyDescent="0.25">
      <c r="A16" s="20" t="s">
        <v>103</v>
      </c>
      <c r="B16" s="20"/>
    </row>
    <row r="17" spans="1:5" ht="15" x14ac:dyDescent="0.2">
      <c r="A17" s="21" t="s">
        <v>113</v>
      </c>
      <c r="B17" s="21"/>
    </row>
    <row r="18" spans="1:5" ht="14.25" x14ac:dyDescent="0.2">
      <c r="A18" s="23"/>
      <c r="B18" s="24" t="s">
        <v>105</v>
      </c>
    </row>
    <row r="19" spans="1:5" ht="15" x14ac:dyDescent="0.2">
      <c r="A19" s="25" t="s">
        <v>106</v>
      </c>
      <c r="B19" s="25" t="s">
        <v>107</v>
      </c>
      <c r="C19" s="25" t="s">
        <v>108</v>
      </c>
      <c r="D19" s="25" t="s">
        <v>109</v>
      </c>
      <c r="E19" s="25" t="s">
        <v>110</v>
      </c>
    </row>
    <row r="20" spans="1:5" x14ac:dyDescent="0.2">
      <c r="A20" s="22" t="s">
        <v>145</v>
      </c>
      <c r="B20" s="4" t="s">
        <v>105</v>
      </c>
      <c r="C20" s="4" t="s">
        <v>121</v>
      </c>
      <c r="D20" s="4" t="s">
        <v>143</v>
      </c>
      <c r="E20" s="26" t="s">
        <v>146</v>
      </c>
    </row>
  </sheetData>
  <mergeCells count="12">
    <mergeCell ref="A5:L5"/>
    <mergeCell ref="D3:D4"/>
    <mergeCell ref="K3:K4"/>
    <mergeCell ref="L3:L4"/>
    <mergeCell ref="A1:M2"/>
    <mergeCell ref="G3:J3"/>
    <mergeCell ref="A3:A4"/>
    <mergeCell ref="B3:B4"/>
    <mergeCell ref="C3:C4"/>
    <mergeCell ref="M3:M4"/>
    <mergeCell ref="F3:F4"/>
    <mergeCell ref="E3:E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zoomScaleNormal="100" workbookViewId="0">
      <selection sqref="A1:M2"/>
    </sheetView>
  </sheetViews>
  <sheetFormatPr defaultColWidth="9.140625" defaultRowHeight="12.75" x14ac:dyDescent="0.2"/>
  <cols>
    <col min="1" max="1" width="24.7109375" style="4" bestFit="1" customWidth="1"/>
    <col min="2" max="2" width="28.85546875" style="4" bestFit="1" customWidth="1"/>
    <col min="3" max="3" width="10.140625" style="4" bestFit="1" customWidth="1"/>
    <col min="4" max="4" width="8.28515625" style="4" bestFit="1" customWidth="1"/>
    <col min="5" max="6" width="21.7109375" style="4" bestFit="1" customWidth="1"/>
    <col min="7" max="8" width="4.5703125" style="3" bestFit="1" customWidth="1"/>
    <col min="9" max="9" width="2.140625" style="3" bestFit="1" customWidth="1"/>
    <col min="10" max="10" width="4.5703125" style="3" bestFit="1" customWidth="1"/>
    <col min="11" max="11" width="7.7109375" style="4" bestFit="1" customWidth="1"/>
    <col min="12" max="12" width="7.5703125" style="3" bestFit="1" customWidth="1"/>
    <col min="13" max="13" width="8.28515625" style="4" bestFit="1" customWidth="1"/>
    <col min="14" max="16384" width="9.140625" style="3"/>
  </cols>
  <sheetData>
    <row r="1" spans="1:13" s="2" customFormat="1" ht="28.9" customHeight="1" x14ac:dyDescent="0.2">
      <c r="A1" s="33" t="s">
        <v>356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s="2" customFormat="1" ht="61.9" customHeight="1" thickBot="1" x14ac:dyDescent="0.25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3" spans="1:13" s="1" customFormat="1" ht="12.75" customHeight="1" x14ac:dyDescent="0.2">
      <c r="A3" s="39" t="s">
        <v>0</v>
      </c>
      <c r="B3" s="41" t="s">
        <v>5</v>
      </c>
      <c r="C3" s="41" t="s">
        <v>6</v>
      </c>
      <c r="D3" s="31" t="s">
        <v>8</v>
      </c>
      <c r="E3" s="31" t="s">
        <v>3</v>
      </c>
      <c r="F3" s="31" t="s">
        <v>7</v>
      </c>
      <c r="G3" s="31" t="s">
        <v>9</v>
      </c>
      <c r="H3" s="31"/>
      <c r="I3" s="31"/>
      <c r="J3" s="31"/>
      <c r="K3" s="31" t="s">
        <v>139</v>
      </c>
      <c r="L3" s="31" t="s">
        <v>2</v>
      </c>
      <c r="M3" s="42" t="s">
        <v>1</v>
      </c>
    </row>
    <row r="4" spans="1:13" s="1" customFormat="1" ht="33" customHeight="1" thickBot="1" x14ac:dyDescent="0.25">
      <c r="A4" s="40"/>
      <c r="B4" s="32"/>
      <c r="C4" s="32"/>
      <c r="D4" s="32"/>
      <c r="E4" s="32"/>
      <c r="F4" s="32"/>
      <c r="G4" s="6">
        <v>1</v>
      </c>
      <c r="H4" s="6">
        <v>2</v>
      </c>
      <c r="I4" s="6">
        <v>3</v>
      </c>
      <c r="J4" s="6" t="s">
        <v>4</v>
      </c>
      <c r="K4" s="32"/>
      <c r="L4" s="32"/>
      <c r="M4" s="43"/>
    </row>
    <row r="5" spans="1:13" ht="15" x14ac:dyDescent="0.2">
      <c r="A5" s="29" t="s">
        <v>165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3" x14ac:dyDescent="0.2">
      <c r="A6" s="10" t="s">
        <v>164</v>
      </c>
      <c r="B6" s="10" t="s">
        <v>163</v>
      </c>
      <c r="C6" s="10" t="s">
        <v>162</v>
      </c>
      <c r="D6" s="10" t="str">
        <f>"1,1317"</f>
        <v>1,1317</v>
      </c>
      <c r="E6" s="10" t="s">
        <v>157</v>
      </c>
      <c r="F6" s="10" t="s">
        <v>16</v>
      </c>
      <c r="G6" s="12" t="s">
        <v>161</v>
      </c>
      <c r="H6" s="12" t="s">
        <v>152</v>
      </c>
      <c r="I6" s="11"/>
      <c r="J6" s="11"/>
      <c r="K6" s="10" t="str">
        <f>"50,0"</f>
        <v>50,0</v>
      </c>
      <c r="L6" s="12" t="str">
        <f>"56,5850"</f>
        <v>56,5850</v>
      </c>
      <c r="M6" s="10" t="s">
        <v>19</v>
      </c>
    </row>
    <row r="7" spans="1:13" x14ac:dyDescent="0.2">
      <c r="A7" s="16" t="s">
        <v>160</v>
      </c>
      <c r="B7" s="16" t="s">
        <v>159</v>
      </c>
      <c r="C7" s="16" t="s">
        <v>158</v>
      </c>
      <c r="D7" s="16" t="str">
        <f>"1,1247"</f>
        <v>1,1247</v>
      </c>
      <c r="E7" s="16" t="s">
        <v>157</v>
      </c>
      <c r="F7" s="16" t="s">
        <v>16</v>
      </c>
      <c r="G7" s="18" t="s">
        <v>148</v>
      </c>
      <c r="H7" s="17" t="s">
        <v>156</v>
      </c>
      <c r="I7" s="17"/>
      <c r="J7" s="17"/>
      <c r="K7" s="16" t="str">
        <f>"62,5"</f>
        <v>62,5</v>
      </c>
      <c r="L7" s="18" t="str">
        <f>"70,2937"</f>
        <v>70,2937</v>
      </c>
      <c r="M7" s="16" t="s">
        <v>19</v>
      </c>
    </row>
    <row r="9" spans="1:13" ht="15" x14ac:dyDescent="0.2">
      <c r="E9" s="19" t="s">
        <v>98</v>
      </c>
    </row>
    <row r="10" spans="1:13" ht="15" x14ac:dyDescent="0.2">
      <c r="E10" s="19" t="s">
        <v>99</v>
      </c>
    </row>
    <row r="11" spans="1:13" ht="15" x14ac:dyDescent="0.2">
      <c r="E11" s="19" t="s">
        <v>100</v>
      </c>
    </row>
    <row r="12" spans="1:13" ht="15" x14ac:dyDescent="0.2">
      <c r="E12" s="19" t="s">
        <v>101</v>
      </c>
    </row>
    <row r="13" spans="1:13" ht="15" x14ac:dyDescent="0.2">
      <c r="E13" s="19" t="s">
        <v>101</v>
      </c>
    </row>
    <row r="14" spans="1:13" ht="15" x14ac:dyDescent="0.2">
      <c r="E14" s="19" t="s">
        <v>102</v>
      </c>
    </row>
    <row r="15" spans="1:13" ht="15" x14ac:dyDescent="0.2">
      <c r="E15" s="19"/>
    </row>
    <row r="17" spans="1:5" ht="18" x14ac:dyDescent="0.25">
      <c r="A17" s="20" t="s">
        <v>103</v>
      </c>
      <c r="B17" s="20"/>
    </row>
    <row r="18" spans="1:5" ht="15" x14ac:dyDescent="0.2">
      <c r="A18" s="21" t="s">
        <v>104</v>
      </c>
      <c r="B18" s="21"/>
    </row>
    <row r="19" spans="1:5" ht="14.25" x14ac:dyDescent="0.2">
      <c r="A19" s="23"/>
      <c r="B19" s="24" t="s">
        <v>155</v>
      </c>
    </row>
    <row r="20" spans="1:5" ht="15" x14ac:dyDescent="0.2">
      <c r="A20" s="25" t="s">
        <v>106</v>
      </c>
      <c r="B20" s="25" t="s">
        <v>107</v>
      </c>
      <c r="C20" s="25" t="s">
        <v>108</v>
      </c>
      <c r="D20" s="25" t="s">
        <v>109</v>
      </c>
      <c r="E20" s="25" t="s">
        <v>110</v>
      </c>
    </row>
    <row r="21" spans="1:5" x14ac:dyDescent="0.2">
      <c r="A21" s="22" t="s">
        <v>154</v>
      </c>
      <c r="B21" s="4" t="s">
        <v>153</v>
      </c>
      <c r="C21" s="4" t="s">
        <v>149</v>
      </c>
      <c r="D21" s="4" t="s">
        <v>152</v>
      </c>
      <c r="E21" s="26" t="s">
        <v>151</v>
      </c>
    </row>
    <row r="23" spans="1:5" ht="14.25" x14ac:dyDescent="0.2">
      <c r="A23" s="23"/>
      <c r="B23" s="24" t="s">
        <v>105</v>
      </c>
    </row>
    <row r="24" spans="1:5" ht="15" x14ac:dyDescent="0.2">
      <c r="A24" s="25" t="s">
        <v>106</v>
      </c>
      <c r="B24" s="25" t="s">
        <v>107</v>
      </c>
      <c r="C24" s="25" t="s">
        <v>108</v>
      </c>
      <c r="D24" s="25" t="s">
        <v>109</v>
      </c>
      <c r="E24" s="25" t="s">
        <v>110</v>
      </c>
    </row>
    <row r="25" spans="1:5" x14ac:dyDescent="0.2">
      <c r="A25" s="22" t="s">
        <v>150</v>
      </c>
      <c r="B25" s="4" t="s">
        <v>105</v>
      </c>
      <c r="C25" s="4" t="s">
        <v>149</v>
      </c>
      <c r="D25" s="4" t="s">
        <v>148</v>
      </c>
      <c r="E25" s="26" t="s">
        <v>147</v>
      </c>
    </row>
  </sheetData>
  <mergeCells count="12">
    <mergeCell ref="A5:L5"/>
    <mergeCell ref="D3:D4"/>
    <mergeCell ref="K3:K4"/>
    <mergeCell ref="L3:L4"/>
    <mergeCell ref="A1:M2"/>
    <mergeCell ref="G3:J3"/>
    <mergeCell ref="A3:A4"/>
    <mergeCell ref="B3:B4"/>
    <mergeCell ref="C3:C4"/>
    <mergeCell ref="M3:M4"/>
    <mergeCell ref="F3:F4"/>
    <mergeCell ref="E3:E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zoomScaleNormal="100" workbookViewId="0">
      <selection sqref="A1:M2"/>
    </sheetView>
  </sheetViews>
  <sheetFormatPr defaultColWidth="9.140625" defaultRowHeight="12.75" x14ac:dyDescent="0.2"/>
  <cols>
    <col min="1" max="1" width="24.7109375" style="4" bestFit="1" customWidth="1"/>
    <col min="2" max="2" width="29.85546875" style="4" bestFit="1" customWidth="1"/>
    <col min="3" max="3" width="10.140625" style="4" bestFit="1" customWidth="1"/>
    <col min="4" max="4" width="8.28515625" style="4" bestFit="1" customWidth="1"/>
    <col min="5" max="5" width="21.7109375" style="4" bestFit="1" customWidth="1"/>
    <col min="6" max="6" width="29.140625" style="4" bestFit="1" customWidth="1"/>
    <col min="7" max="9" width="5.5703125" style="3" bestFit="1" customWidth="1"/>
    <col min="10" max="10" width="4.5703125" style="3" bestFit="1" customWidth="1"/>
    <col min="11" max="11" width="7.7109375" style="4" bestFit="1" customWidth="1"/>
    <col min="12" max="12" width="8.5703125" style="3" bestFit="1" customWidth="1"/>
    <col min="13" max="13" width="8.28515625" style="4" bestFit="1" customWidth="1"/>
    <col min="14" max="16384" width="9.140625" style="3"/>
  </cols>
  <sheetData>
    <row r="1" spans="1:13" s="2" customFormat="1" ht="28.9" customHeight="1" x14ac:dyDescent="0.2">
      <c r="A1" s="33" t="s">
        <v>357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s="2" customFormat="1" ht="61.9" customHeight="1" thickBot="1" x14ac:dyDescent="0.25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3" spans="1:13" s="1" customFormat="1" ht="12.75" customHeight="1" x14ac:dyDescent="0.2">
      <c r="A3" s="39" t="s">
        <v>0</v>
      </c>
      <c r="B3" s="41" t="s">
        <v>5</v>
      </c>
      <c r="C3" s="41" t="s">
        <v>6</v>
      </c>
      <c r="D3" s="31" t="s">
        <v>8</v>
      </c>
      <c r="E3" s="31" t="s">
        <v>3</v>
      </c>
      <c r="F3" s="31" t="s">
        <v>7</v>
      </c>
      <c r="G3" s="31" t="s">
        <v>9</v>
      </c>
      <c r="H3" s="31"/>
      <c r="I3" s="31"/>
      <c r="J3" s="31"/>
      <c r="K3" s="31" t="s">
        <v>139</v>
      </c>
      <c r="L3" s="31" t="s">
        <v>2</v>
      </c>
      <c r="M3" s="42" t="s">
        <v>1</v>
      </c>
    </row>
    <row r="4" spans="1:13" s="1" customFormat="1" ht="21" customHeight="1" thickBot="1" x14ac:dyDescent="0.25">
      <c r="A4" s="40"/>
      <c r="B4" s="32"/>
      <c r="C4" s="32"/>
      <c r="D4" s="32"/>
      <c r="E4" s="32"/>
      <c r="F4" s="32"/>
      <c r="G4" s="6">
        <v>1</v>
      </c>
      <c r="H4" s="6">
        <v>2</v>
      </c>
      <c r="I4" s="6">
        <v>3</v>
      </c>
      <c r="J4" s="6" t="s">
        <v>4</v>
      </c>
      <c r="K4" s="32"/>
      <c r="L4" s="32"/>
      <c r="M4" s="43"/>
    </row>
    <row r="5" spans="1:13" ht="15" x14ac:dyDescent="0.2">
      <c r="A5" s="29" t="s">
        <v>28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3" x14ac:dyDescent="0.2">
      <c r="A6" s="7" t="s">
        <v>188</v>
      </c>
      <c r="B6" s="7" t="s">
        <v>187</v>
      </c>
      <c r="C6" s="7" t="s">
        <v>186</v>
      </c>
      <c r="D6" s="7" t="str">
        <f>"0,6535"</f>
        <v>0,6535</v>
      </c>
      <c r="E6" s="7" t="s">
        <v>176</v>
      </c>
      <c r="F6" s="7" t="s">
        <v>175</v>
      </c>
      <c r="G6" s="9" t="s">
        <v>48</v>
      </c>
      <c r="H6" s="9" t="s">
        <v>49</v>
      </c>
      <c r="I6" s="8" t="s">
        <v>185</v>
      </c>
      <c r="J6" s="8"/>
      <c r="K6" s="7" t="str">
        <f>"160,0"</f>
        <v>160,0</v>
      </c>
      <c r="L6" s="9" t="str">
        <f>"104,5520"</f>
        <v>104,5520</v>
      </c>
      <c r="M6" s="7" t="s">
        <v>19</v>
      </c>
    </row>
    <row r="8" spans="1:13" ht="15" x14ac:dyDescent="0.2">
      <c r="A8" s="27" t="s">
        <v>68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3" x14ac:dyDescent="0.2">
      <c r="A9" s="7" t="s">
        <v>184</v>
      </c>
      <c r="B9" s="7" t="s">
        <v>183</v>
      </c>
      <c r="C9" s="7" t="s">
        <v>182</v>
      </c>
      <c r="D9" s="7" t="str">
        <f>"0,5853"</f>
        <v>0,5853</v>
      </c>
      <c r="E9" s="7" t="s">
        <v>176</v>
      </c>
      <c r="F9" s="7" t="s">
        <v>175</v>
      </c>
      <c r="G9" s="8" t="s">
        <v>181</v>
      </c>
      <c r="H9" s="9" t="s">
        <v>167</v>
      </c>
      <c r="I9" s="8" t="s">
        <v>180</v>
      </c>
      <c r="J9" s="8"/>
      <c r="K9" s="7" t="str">
        <f>"255,0"</f>
        <v>255,0</v>
      </c>
      <c r="L9" s="9" t="str">
        <f>"159,4142"</f>
        <v>159,4142</v>
      </c>
      <c r="M9" s="7" t="s">
        <v>19</v>
      </c>
    </row>
    <row r="11" spans="1:13" ht="15" x14ac:dyDescent="0.2">
      <c r="A11" s="27" t="s">
        <v>79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spans="1:13" x14ac:dyDescent="0.2">
      <c r="A12" s="7" t="s">
        <v>179</v>
      </c>
      <c r="B12" s="7" t="s">
        <v>178</v>
      </c>
      <c r="C12" s="7" t="s">
        <v>177</v>
      </c>
      <c r="D12" s="7" t="str">
        <f>"0,5722"</f>
        <v>0,5722</v>
      </c>
      <c r="E12" s="7" t="s">
        <v>176</v>
      </c>
      <c r="F12" s="7" t="s">
        <v>175</v>
      </c>
      <c r="G12" s="9" t="s">
        <v>172</v>
      </c>
      <c r="H12" s="8" t="s">
        <v>174</v>
      </c>
      <c r="I12" s="8" t="s">
        <v>174</v>
      </c>
      <c r="J12" s="8"/>
      <c r="K12" s="7" t="str">
        <f>"185,0"</f>
        <v>185,0</v>
      </c>
      <c r="L12" s="9" t="str">
        <f>"105,8570"</f>
        <v>105,8570</v>
      </c>
      <c r="M12" s="7" t="s">
        <v>19</v>
      </c>
    </row>
    <row r="14" spans="1:13" ht="15" x14ac:dyDescent="0.2">
      <c r="E14" s="19" t="s">
        <v>98</v>
      </c>
    </row>
    <row r="15" spans="1:13" ht="15" x14ac:dyDescent="0.2">
      <c r="E15" s="19" t="s">
        <v>99</v>
      </c>
    </row>
    <row r="16" spans="1:13" ht="15" x14ac:dyDescent="0.2">
      <c r="E16" s="19" t="s">
        <v>100</v>
      </c>
    </row>
    <row r="17" spans="1:5" ht="15" x14ac:dyDescent="0.2">
      <c r="E17" s="19" t="s">
        <v>101</v>
      </c>
    </row>
    <row r="18" spans="1:5" ht="15" x14ac:dyDescent="0.2">
      <c r="E18" s="19" t="s">
        <v>101</v>
      </c>
    </row>
    <row r="19" spans="1:5" ht="15" x14ac:dyDescent="0.2">
      <c r="E19" s="19" t="s">
        <v>102</v>
      </c>
    </row>
    <row r="20" spans="1:5" ht="15" x14ac:dyDescent="0.2">
      <c r="E20" s="19"/>
    </row>
    <row r="22" spans="1:5" ht="18" x14ac:dyDescent="0.25">
      <c r="A22" s="20" t="s">
        <v>103</v>
      </c>
      <c r="B22" s="20"/>
    </row>
    <row r="23" spans="1:5" ht="15" x14ac:dyDescent="0.2">
      <c r="A23" s="21" t="s">
        <v>113</v>
      </c>
      <c r="B23" s="21"/>
    </row>
    <row r="24" spans="1:5" ht="14.25" x14ac:dyDescent="0.2">
      <c r="A24" s="23"/>
      <c r="B24" s="24" t="s">
        <v>105</v>
      </c>
    </row>
    <row r="25" spans="1:5" ht="15" x14ac:dyDescent="0.2">
      <c r="A25" s="25" t="s">
        <v>106</v>
      </c>
      <c r="B25" s="25" t="s">
        <v>107</v>
      </c>
      <c r="C25" s="25" t="s">
        <v>108</v>
      </c>
      <c r="D25" s="25" t="s">
        <v>109</v>
      </c>
      <c r="E25" s="25" t="s">
        <v>110</v>
      </c>
    </row>
    <row r="26" spans="1:5" x14ac:dyDescent="0.2">
      <c r="A26" s="22" t="s">
        <v>173</v>
      </c>
      <c r="B26" s="4" t="s">
        <v>105</v>
      </c>
      <c r="C26" s="4" t="s">
        <v>121</v>
      </c>
      <c r="D26" s="4" t="s">
        <v>172</v>
      </c>
      <c r="E26" s="26" t="s">
        <v>171</v>
      </c>
    </row>
    <row r="27" spans="1:5" x14ac:dyDescent="0.2">
      <c r="A27" s="22" t="s">
        <v>170</v>
      </c>
      <c r="B27" s="4" t="s">
        <v>105</v>
      </c>
      <c r="C27" s="4" t="s">
        <v>119</v>
      </c>
      <c r="D27" s="4" t="s">
        <v>49</v>
      </c>
      <c r="E27" s="26" t="s">
        <v>169</v>
      </c>
    </row>
    <row r="29" spans="1:5" ht="14.25" x14ac:dyDescent="0.2">
      <c r="A29" s="23"/>
      <c r="B29" s="24" t="s">
        <v>131</v>
      </c>
    </row>
    <row r="30" spans="1:5" ht="15" x14ac:dyDescent="0.2">
      <c r="A30" s="25" t="s">
        <v>106</v>
      </c>
      <c r="B30" s="25" t="s">
        <v>107</v>
      </c>
      <c r="C30" s="25" t="s">
        <v>108</v>
      </c>
      <c r="D30" s="25" t="s">
        <v>109</v>
      </c>
      <c r="E30" s="25" t="s">
        <v>110</v>
      </c>
    </row>
    <row r="31" spans="1:5" x14ac:dyDescent="0.2">
      <c r="A31" s="22" t="s">
        <v>168</v>
      </c>
      <c r="B31" s="4" t="s">
        <v>135</v>
      </c>
      <c r="C31" s="4" t="s">
        <v>127</v>
      </c>
      <c r="D31" s="4" t="s">
        <v>167</v>
      </c>
      <c r="E31" s="26" t="s">
        <v>166</v>
      </c>
    </row>
  </sheetData>
  <mergeCells count="14">
    <mergeCell ref="A5:L5"/>
    <mergeCell ref="A8:L8"/>
    <mergeCell ref="A11:L11"/>
    <mergeCell ref="D3:D4"/>
    <mergeCell ref="K3:K4"/>
    <mergeCell ref="L3:L4"/>
    <mergeCell ref="A1:M2"/>
    <mergeCell ref="G3:J3"/>
    <mergeCell ref="A3:A4"/>
    <mergeCell ref="B3:B4"/>
    <mergeCell ref="C3:C4"/>
    <mergeCell ref="M3:M4"/>
    <mergeCell ref="F3:F4"/>
    <mergeCell ref="E3:E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zoomScaleNormal="100" workbookViewId="0">
      <selection activeCell="H4" sqref="H4"/>
    </sheetView>
  </sheetViews>
  <sheetFormatPr defaultColWidth="9.140625" defaultRowHeight="12.75" x14ac:dyDescent="0.2"/>
  <cols>
    <col min="1" max="1" width="24.7109375" style="4" bestFit="1" customWidth="1"/>
    <col min="2" max="2" width="28.85546875" style="4" bestFit="1" customWidth="1"/>
    <col min="3" max="3" width="10.140625" style="4" bestFit="1" customWidth="1"/>
    <col min="4" max="4" width="8.28515625" style="4" bestFit="1" customWidth="1"/>
    <col min="5" max="5" width="21.7109375" style="4" bestFit="1" customWidth="1"/>
    <col min="6" max="6" width="23.28515625" style="4" bestFit="1" customWidth="1"/>
    <col min="7" max="9" width="5.5703125" style="3" bestFit="1" customWidth="1"/>
    <col min="10" max="10" width="4.5703125" style="3" bestFit="1" customWidth="1"/>
    <col min="11" max="11" width="5.5703125" style="3" bestFit="1" customWidth="1"/>
    <col min="12" max="14" width="4.5703125" style="3" bestFit="1" customWidth="1"/>
    <col min="15" max="17" width="5.5703125" style="3" bestFit="1" customWidth="1"/>
    <col min="18" max="18" width="4.5703125" style="3" bestFit="1" customWidth="1"/>
    <col min="19" max="19" width="7.7109375" style="4" bestFit="1" customWidth="1"/>
    <col min="20" max="20" width="8.5703125" style="3" bestFit="1" customWidth="1"/>
    <col min="21" max="21" width="18.42578125" style="4" bestFit="1" customWidth="1"/>
    <col min="22" max="16384" width="9.140625" style="3"/>
  </cols>
  <sheetData>
    <row r="1" spans="1:21" s="2" customFormat="1" ht="28.9" customHeight="1" x14ac:dyDescent="0.2">
      <c r="A1" s="33" t="s">
        <v>358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5"/>
    </row>
    <row r="2" spans="1:21" s="2" customFormat="1" ht="61.9" customHeight="1" thickBot="1" x14ac:dyDescent="0.25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8"/>
    </row>
    <row r="3" spans="1:21" s="1" customFormat="1" ht="12.75" customHeight="1" x14ac:dyDescent="0.2">
      <c r="A3" s="39" t="s">
        <v>0</v>
      </c>
      <c r="B3" s="41" t="s">
        <v>5</v>
      </c>
      <c r="C3" s="41" t="s">
        <v>6</v>
      </c>
      <c r="D3" s="31" t="s">
        <v>8</v>
      </c>
      <c r="E3" s="31" t="s">
        <v>3</v>
      </c>
      <c r="F3" s="31" t="s">
        <v>7</v>
      </c>
      <c r="G3" s="31" t="s">
        <v>239</v>
      </c>
      <c r="H3" s="31"/>
      <c r="I3" s="31"/>
      <c r="J3" s="31"/>
      <c r="K3" s="31" t="s">
        <v>9</v>
      </c>
      <c r="L3" s="31"/>
      <c r="M3" s="31"/>
      <c r="N3" s="31"/>
      <c r="O3" s="31" t="s">
        <v>238</v>
      </c>
      <c r="P3" s="31"/>
      <c r="Q3" s="31"/>
      <c r="R3" s="31"/>
      <c r="S3" s="31" t="s">
        <v>237</v>
      </c>
      <c r="T3" s="31" t="s">
        <v>2</v>
      </c>
      <c r="U3" s="42" t="s">
        <v>1</v>
      </c>
    </row>
    <row r="4" spans="1:21" s="1" customFormat="1" ht="21" customHeight="1" thickBot="1" x14ac:dyDescent="0.25">
      <c r="A4" s="40"/>
      <c r="B4" s="32"/>
      <c r="C4" s="32"/>
      <c r="D4" s="32"/>
      <c r="E4" s="32"/>
      <c r="F4" s="32"/>
      <c r="G4" s="6">
        <v>1</v>
      </c>
      <c r="H4" s="6">
        <v>2</v>
      </c>
      <c r="I4" s="6">
        <v>3</v>
      </c>
      <c r="J4" s="6" t="s">
        <v>4</v>
      </c>
      <c r="K4" s="6">
        <v>1</v>
      </c>
      <c r="L4" s="6">
        <v>2</v>
      </c>
      <c r="M4" s="6">
        <v>3</v>
      </c>
      <c r="N4" s="6" t="s">
        <v>4</v>
      </c>
      <c r="O4" s="6">
        <v>1</v>
      </c>
      <c r="P4" s="6">
        <v>2</v>
      </c>
      <c r="Q4" s="6">
        <v>3</v>
      </c>
      <c r="R4" s="6" t="s">
        <v>4</v>
      </c>
      <c r="S4" s="32"/>
      <c r="T4" s="32"/>
      <c r="U4" s="43"/>
    </row>
    <row r="5" spans="1:21" ht="15" x14ac:dyDescent="0.2">
      <c r="A5" s="29" t="s">
        <v>10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1" x14ac:dyDescent="0.2">
      <c r="A6" s="10" t="s">
        <v>236</v>
      </c>
      <c r="B6" s="10" t="s">
        <v>235</v>
      </c>
      <c r="C6" s="10" t="s">
        <v>234</v>
      </c>
      <c r="D6" s="10" t="str">
        <f>"0,9942"</f>
        <v>0,9942</v>
      </c>
      <c r="E6" s="10" t="s">
        <v>203</v>
      </c>
      <c r="F6" s="10" t="s">
        <v>202</v>
      </c>
      <c r="G6" s="12" t="s">
        <v>231</v>
      </c>
      <c r="H6" s="12" t="s">
        <v>66</v>
      </c>
      <c r="I6" s="11" t="s">
        <v>43</v>
      </c>
      <c r="J6" s="11"/>
      <c r="K6" s="12" t="s">
        <v>233</v>
      </c>
      <c r="L6" s="12" t="s">
        <v>232</v>
      </c>
      <c r="M6" s="11" t="s">
        <v>17</v>
      </c>
      <c r="N6" s="11"/>
      <c r="O6" s="12" t="s">
        <v>231</v>
      </c>
      <c r="P6" s="12" t="s">
        <v>66</v>
      </c>
      <c r="Q6" s="11" t="s">
        <v>27</v>
      </c>
      <c r="R6" s="11"/>
      <c r="S6" s="10" t="str">
        <f>"295,0"</f>
        <v>295,0</v>
      </c>
      <c r="T6" s="12" t="str">
        <f>"293,3037"</f>
        <v>293,3037</v>
      </c>
      <c r="U6" s="10" t="s">
        <v>19</v>
      </c>
    </row>
    <row r="7" spans="1:21" x14ac:dyDescent="0.2">
      <c r="A7" s="16" t="s">
        <v>230</v>
      </c>
      <c r="B7" s="16" t="s">
        <v>229</v>
      </c>
      <c r="C7" s="16" t="s">
        <v>228</v>
      </c>
      <c r="D7" s="16" t="str">
        <f>"1,0220"</f>
        <v>1,0220</v>
      </c>
      <c r="E7" s="16" t="s">
        <v>203</v>
      </c>
      <c r="F7" s="16" t="s">
        <v>202</v>
      </c>
      <c r="G7" s="17" t="s">
        <v>210</v>
      </c>
      <c r="H7" s="17" t="s">
        <v>210</v>
      </c>
      <c r="I7" s="17" t="s">
        <v>210</v>
      </c>
      <c r="J7" s="17"/>
      <c r="K7" s="17" t="s">
        <v>227</v>
      </c>
      <c r="L7" s="17"/>
      <c r="M7" s="17"/>
      <c r="N7" s="17"/>
      <c r="O7" s="17" t="s">
        <v>211</v>
      </c>
      <c r="P7" s="17"/>
      <c r="Q7" s="17"/>
      <c r="R7" s="17"/>
      <c r="S7" s="16" t="str">
        <f>"0.00"</f>
        <v>0.00</v>
      </c>
      <c r="T7" s="18" t="str">
        <f>"0,0000"</f>
        <v>0,0000</v>
      </c>
      <c r="U7" s="16" t="s">
        <v>19</v>
      </c>
    </row>
    <row r="9" spans="1:21" ht="15" x14ac:dyDescent="0.2">
      <c r="A9" s="27" t="s">
        <v>36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21" x14ac:dyDescent="0.2">
      <c r="A10" s="7" t="s">
        <v>226</v>
      </c>
      <c r="B10" s="7" t="s">
        <v>225</v>
      </c>
      <c r="C10" s="7" t="s">
        <v>224</v>
      </c>
      <c r="D10" s="7" t="str">
        <f>"0,7476"</f>
        <v>0,7476</v>
      </c>
      <c r="E10" s="7" t="s">
        <v>203</v>
      </c>
      <c r="F10" s="7" t="s">
        <v>202</v>
      </c>
      <c r="G10" s="8" t="s">
        <v>66</v>
      </c>
      <c r="H10" s="8" t="s">
        <v>67</v>
      </c>
      <c r="I10" s="9" t="s">
        <v>67</v>
      </c>
      <c r="J10" s="8"/>
      <c r="K10" s="9" t="s">
        <v>17</v>
      </c>
      <c r="L10" s="8" t="s">
        <v>18</v>
      </c>
      <c r="M10" s="8" t="s">
        <v>223</v>
      </c>
      <c r="N10" s="8"/>
      <c r="O10" s="9" t="s">
        <v>208</v>
      </c>
      <c r="P10" s="8" t="s">
        <v>48</v>
      </c>
      <c r="Q10" s="8"/>
      <c r="R10" s="8"/>
      <c r="S10" s="7" t="str">
        <f>"335,0"</f>
        <v>335,0</v>
      </c>
      <c r="T10" s="9" t="str">
        <f>"250,4293"</f>
        <v>250,4293</v>
      </c>
      <c r="U10" s="7" t="s">
        <v>222</v>
      </c>
    </row>
    <row r="12" spans="1:21" ht="15" x14ac:dyDescent="0.2">
      <c r="A12" s="27" t="s">
        <v>165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</row>
    <row r="13" spans="1:21" x14ac:dyDescent="0.2">
      <c r="A13" s="7" t="s">
        <v>221</v>
      </c>
      <c r="B13" s="7" t="s">
        <v>220</v>
      </c>
      <c r="C13" s="7" t="s">
        <v>219</v>
      </c>
      <c r="D13" s="7" t="str">
        <f>"0,0000"</f>
        <v>0,0000</v>
      </c>
      <c r="E13" s="7" t="s">
        <v>157</v>
      </c>
      <c r="F13" s="7" t="s">
        <v>16</v>
      </c>
      <c r="G13" s="9" t="s">
        <v>34</v>
      </c>
      <c r="H13" s="9" t="s">
        <v>212</v>
      </c>
      <c r="I13" s="9" t="s">
        <v>66</v>
      </c>
      <c r="J13" s="8"/>
      <c r="K13" s="9" t="s">
        <v>218</v>
      </c>
      <c r="L13" s="9" t="s">
        <v>217</v>
      </c>
      <c r="M13" s="9" t="s">
        <v>216</v>
      </c>
      <c r="N13" s="8"/>
      <c r="O13" s="9" t="s">
        <v>42</v>
      </c>
      <c r="P13" s="9" t="s">
        <v>26</v>
      </c>
      <c r="Q13" s="9" t="s">
        <v>56</v>
      </c>
      <c r="R13" s="8"/>
      <c r="S13" s="7" t="str">
        <f>"345,0"</f>
        <v>345,0</v>
      </c>
      <c r="T13" s="9" t="str">
        <f>"0,0000"</f>
        <v>0,0000</v>
      </c>
      <c r="U13" s="7" t="s">
        <v>19</v>
      </c>
    </row>
    <row r="15" spans="1:21" ht="15" x14ac:dyDescent="0.2">
      <c r="A15" s="27" t="s">
        <v>20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</row>
    <row r="16" spans="1:21" x14ac:dyDescent="0.2">
      <c r="A16" s="7" t="s">
        <v>215</v>
      </c>
      <c r="B16" s="7" t="s">
        <v>214</v>
      </c>
      <c r="C16" s="7" t="s">
        <v>213</v>
      </c>
      <c r="D16" s="7" t="str">
        <f>"0,7005"</f>
        <v>0,7005</v>
      </c>
      <c r="E16" s="7" t="s">
        <v>157</v>
      </c>
      <c r="F16" s="7" t="s">
        <v>16</v>
      </c>
      <c r="G16" s="9" t="s">
        <v>212</v>
      </c>
      <c r="H16" s="8" t="s">
        <v>42</v>
      </c>
      <c r="I16" s="9" t="s">
        <v>67</v>
      </c>
      <c r="J16" s="8"/>
      <c r="K16" s="9" t="s">
        <v>211</v>
      </c>
      <c r="L16" s="9" t="s">
        <v>210</v>
      </c>
      <c r="M16" s="9" t="s">
        <v>209</v>
      </c>
      <c r="N16" s="8"/>
      <c r="O16" s="9" t="s">
        <v>208</v>
      </c>
      <c r="P16" s="9" t="s">
        <v>49</v>
      </c>
      <c r="Q16" s="8" t="s">
        <v>207</v>
      </c>
      <c r="R16" s="8"/>
      <c r="S16" s="7" t="str">
        <f>"385,0"</f>
        <v>385,0</v>
      </c>
      <c r="T16" s="9" t="str">
        <f>"269,6733"</f>
        <v>269,6733</v>
      </c>
      <c r="U16" s="7" t="s">
        <v>19</v>
      </c>
    </row>
    <row r="18" spans="1:21" ht="15" x14ac:dyDescent="0.2">
      <c r="A18" s="27" t="s">
        <v>28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</row>
    <row r="19" spans="1:21" x14ac:dyDescent="0.2">
      <c r="A19" s="7" t="s">
        <v>206</v>
      </c>
      <c r="B19" s="7" t="s">
        <v>205</v>
      </c>
      <c r="C19" s="7" t="s">
        <v>204</v>
      </c>
      <c r="D19" s="7" t="str">
        <f>"0,6567"</f>
        <v>0,6567</v>
      </c>
      <c r="E19" s="7" t="s">
        <v>203</v>
      </c>
      <c r="F19" s="7" t="s">
        <v>202</v>
      </c>
      <c r="G19" s="8" t="s">
        <v>84</v>
      </c>
      <c r="H19" s="8" t="s">
        <v>84</v>
      </c>
      <c r="I19" s="8" t="s">
        <v>85</v>
      </c>
      <c r="J19" s="8"/>
      <c r="K19" s="8" t="s">
        <v>34</v>
      </c>
      <c r="L19" s="8"/>
      <c r="M19" s="8"/>
      <c r="N19" s="8"/>
      <c r="O19" s="8" t="s">
        <v>92</v>
      </c>
      <c r="P19" s="8"/>
      <c r="Q19" s="8"/>
      <c r="R19" s="8"/>
      <c r="S19" s="7" t="str">
        <f>"0.00"</f>
        <v>0.00</v>
      </c>
      <c r="T19" s="9" t="str">
        <f>"0,0000"</f>
        <v>0,0000</v>
      </c>
      <c r="U19" s="7" t="s">
        <v>19</v>
      </c>
    </row>
    <row r="21" spans="1:21" ht="15" x14ac:dyDescent="0.2">
      <c r="E21" s="19" t="s">
        <v>98</v>
      </c>
    </row>
    <row r="22" spans="1:21" ht="15" x14ac:dyDescent="0.2">
      <c r="E22" s="19" t="s">
        <v>99</v>
      </c>
    </row>
    <row r="23" spans="1:21" ht="15" x14ac:dyDescent="0.2">
      <c r="E23" s="19" t="s">
        <v>100</v>
      </c>
    </row>
    <row r="24" spans="1:21" ht="15" x14ac:dyDescent="0.2">
      <c r="E24" s="19" t="s">
        <v>101</v>
      </c>
    </row>
    <row r="25" spans="1:21" ht="15" x14ac:dyDescent="0.2">
      <c r="E25" s="19" t="s">
        <v>101</v>
      </c>
    </row>
    <row r="26" spans="1:21" ht="15" x14ac:dyDescent="0.2">
      <c r="E26" s="19" t="s">
        <v>102</v>
      </c>
    </row>
    <row r="27" spans="1:21" ht="15" x14ac:dyDescent="0.2">
      <c r="E27" s="19"/>
    </row>
    <row r="29" spans="1:21" ht="18" x14ac:dyDescent="0.25">
      <c r="A29" s="20" t="s">
        <v>103</v>
      </c>
      <c r="B29" s="20"/>
    </row>
    <row r="30" spans="1:21" ht="15" x14ac:dyDescent="0.2">
      <c r="A30" s="21" t="s">
        <v>104</v>
      </c>
      <c r="B30" s="21"/>
    </row>
    <row r="31" spans="1:21" ht="14.25" x14ac:dyDescent="0.2">
      <c r="A31" s="23"/>
      <c r="B31" s="24" t="s">
        <v>155</v>
      </c>
    </row>
    <row r="32" spans="1:21" ht="15" x14ac:dyDescent="0.2">
      <c r="A32" s="25" t="s">
        <v>106</v>
      </c>
      <c r="B32" s="25" t="s">
        <v>107</v>
      </c>
      <c r="C32" s="25" t="s">
        <v>108</v>
      </c>
      <c r="D32" s="25" t="s">
        <v>109</v>
      </c>
      <c r="E32" s="25" t="s">
        <v>110</v>
      </c>
    </row>
    <row r="33" spans="1:5" x14ac:dyDescent="0.2">
      <c r="A33" s="22" t="s">
        <v>201</v>
      </c>
      <c r="B33" s="4" t="s">
        <v>153</v>
      </c>
      <c r="C33" s="4" t="s">
        <v>111</v>
      </c>
      <c r="D33" s="4" t="s">
        <v>200</v>
      </c>
      <c r="E33" s="26" t="s">
        <v>199</v>
      </c>
    </row>
    <row r="35" spans="1:5" ht="14.25" x14ac:dyDescent="0.2">
      <c r="A35" s="23"/>
      <c r="B35" s="24" t="s">
        <v>105</v>
      </c>
    </row>
    <row r="36" spans="1:5" ht="15" x14ac:dyDescent="0.2">
      <c r="A36" s="25" t="s">
        <v>106</v>
      </c>
      <c r="B36" s="25" t="s">
        <v>107</v>
      </c>
      <c r="C36" s="25" t="s">
        <v>108</v>
      </c>
      <c r="D36" s="25" t="s">
        <v>109</v>
      </c>
      <c r="E36" s="25" t="s">
        <v>110</v>
      </c>
    </row>
    <row r="37" spans="1:5" x14ac:dyDescent="0.2">
      <c r="A37" s="22" t="s">
        <v>198</v>
      </c>
      <c r="B37" s="4" t="s">
        <v>105</v>
      </c>
      <c r="C37" s="4" t="s">
        <v>116</v>
      </c>
      <c r="D37" s="4" t="s">
        <v>197</v>
      </c>
      <c r="E37" s="26" t="s">
        <v>196</v>
      </c>
    </row>
    <row r="40" spans="1:5" ht="15" x14ac:dyDescent="0.2">
      <c r="A40" s="21" t="s">
        <v>113</v>
      </c>
      <c r="B40" s="21"/>
    </row>
    <row r="41" spans="1:5" ht="14.25" x14ac:dyDescent="0.2">
      <c r="A41" s="23"/>
      <c r="B41" s="24" t="s">
        <v>114</v>
      </c>
    </row>
    <row r="42" spans="1:5" ht="15" x14ac:dyDescent="0.2">
      <c r="A42" s="25" t="s">
        <v>106</v>
      </c>
      <c r="B42" s="25" t="s">
        <v>107</v>
      </c>
      <c r="C42" s="25" t="s">
        <v>108</v>
      </c>
      <c r="D42" s="25" t="s">
        <v>109</v>
      </c>
      <c r="E42" s="25" t="s">
        <v>110</v>
      </c>
    </row>
    <row r="43" spans="1:5" x14ac:dyDescent="0.2">
      <c r="A43" s="22" t="s">
        <v>195</v>
      </c>
      <c r="B43" s="4" t="s">
        <v>115</v>
      </c>
      <c r="C43" s="4" t="s">
        <v>125</v>
      </c>
      <c r="D43" s="4" t="s">
        <v>194</v>
      </c>
      <c r="E43" s="26" t="s">
        <v>193</v>
      </c>
    </row>
    <row r="44" spans="1:5" x14ac:dyDescent="0.2">
      <c r="A44" s="22" t="s">
        <v>192</v>
      </c>
      <c r="B44" s="4" t="s">
        <v>191</v>
      </c>
      <c r="C44" s="4" t="s">
        <v>149</v>
      </c>
      <c r="D44" s="4" t="s">
        <v>190</v>
      </c>
      <c r="E44" s="26" t="s">
        <v>189</v>
      </c>
    </row>
  </sheetData>
  <mergeCells count="18">
    <mergeCell ref="A15:T15"/>
    <mergeCell ref="A18:T18"/>
    <mergeCell ref="U3:U4"/>
    <mergeCell ref="F3:F4"/>
    <mergeCell ref="E3:E4"/>
    <mergeCell ref="A5:T5"/>
    <mergeCell ref="A9:T9"/>
    <mergeCell ref="A12:T12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tabSelected="1" zoomScaleNormal="100" workbookViewId="0">
      <selection activeCell="H24" sqref="H24"/>
    </sheetView>
  </sheetViews>
  <sheetFormatPr defaultColWidth="9.140625" defaultRowHeight="12.75" x14ac:dyDescent="0.2"/>
  <cols>
    <col min="1" max="1" width="25.85546875" style="4" bestFit="1" customWidth="1"/>
    <col min="2" max="2" width="27.85546875" style="4" customWidth="1"/>
    <col min="3" max="3" width="10" style="4" customWidth="1"/>
    <col min="4" max="4" width="6.5703125" style="4" bestFit="1" customWidth="1"/>
    <col min="5" max="5" width="23.7109375" style="4" bestFit="1" customWidth="1"/>
    <col min="6" max="6" width="21.140625" style="4" bestFit="1" customWidth="1"/>
    <col min="7" max="7" width="5.5703125" style="3" bestFit="1" customWidth="1"/>
    <col min="8" max="8" width="7" style="3" customWidth="1"/>
    <col min="9" max="9" width="6.28515625" style="3" bestFit="1" customWidth="1"/>
    <col min="10" max="10" width="5.5703125" style="3" bestFit="1" customWidth="1"/>
    <col min="11" max="13" width="7" style="3" bestFit="1" customWidth="1"/>
    <col min="14" max="14" width="5.5703125" style="3" bestFit="1" customWidth="1"/>
    <col min="15" max="16" width="7" style="3" bestFit="1" customWidth="1"/>
    <col min="17" max="17" width="6.28515625" style="3" bestFit="1" customWidth="1"/>
    <col min="18" max="18" width="5.5703125" style="3" bestFit="1" customWidth="1"/>
    <col min="19" max="19" width="7.85546875" style="4" bestFit="1" customWidth="1"/>
    <col min="20" max="20" width="8.5703125" style="3" bestFit="1" customWidth="1"/>
    <col min="21" max="21" width="23" style="4" bestFit="1" customWidth="1"/>
    <col min="22" max="16384" width="9.140625" style="3"/>
  </cols>
  <sheetData>
    <row r="1" spans="1:21" s="2" customFormat="1" ht="15" customHeight="1" x14ac:dyDescent="0.2">
      <c r="A1" s="33" t="s">
        <v>359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5"/>
    </row>
    <row r="2" spans="1:21" s="2" customFormat="1" ht="109.15" customHeight="1" thickBot="1" x14ac:dyDescent="0.25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8"/>
    </row>
    <row r="3" spans="1:21" s="1" customFormat="1" ht="12.75" customHeight="1" x14ac:dyDescent="0.2">
      <c r="A3" s="39" t="s">
        <v>0</v>
      </c>
      <c r="B3" s="41" t="s">
        <v>5</v>
      </c>
      <c r="C3" s="41" t="s">
        <v>6</v>
      </c>
      <c r="D3" s="31" t="s">
        <v>8</v>
      </c>
      <c r="E3" s="31" t="s">
        <v>3</v>
      </c>
      <c r="F3" s="31" t="s">
        <v>7</v>
      </c>
      <c r="G3" s="31" t="s">
        <v>239</v>
      </c>
      <c r="H3" s="31"/>
      <c r="I3" s="31"/>
      <c r="J3" s="31"/>
      <c r="K3" s="31" t="s">
        <v>9</v>
      </c>
      <c r="L3" s="31"/>
      <c r="M3" s="31"/>
      <c r="N3" s="31"/>
      <c r="O3" s="31" t="s">
        <v>238</v>
      </c>
      <c r="P3" s="31"/>
      <c r="Q3" s="31"/>
      <c r="R3" s="31"/>
      <c r="S3" s="31" t="s">
        <v>237</v>
      </c>
      <c r="T3" s="31" t="s">
        <v>2</v>
      </c>
      <c r="U3" s="42" t="s">
        <v>1</v>
      </c>
    </row>
    <row r="4" spans="1:21" s="1" customFormat="1" ht="36" customHeight="1" thickBot="1" x14ac:dyDescent="0.25">
      <c r="A4" s="40"/>
      <c r="B4" s="32"/>
      <c r="C4" s="32"/>
      <c r="D4" s="32"/>
      <c r="E4" s="32"/>
      <c r="F4" s="32"/>
      <c r="G4" s="6">
        <v>1</v>
      </c>
      <c r="H4" s="6">
        <v>2</v>
      </c>
      <c r="I4" s="6">
        <v>3</v>
      </c>
      <c r="J4" s="6" t="s">
        <v>4</v>
      </c>
      <c r="K4" s="6">
        <v>1</v>
      </c>
      <c r="L4" s="6">
        <v>2</v>
      </c>
      <c r="M4" s="6">
        <v>3</v>
      </c>
      <c r="N4" s="6" t="s">
        <v>4</v>
      </c>
      <c r="O4" s="6">
        <v>1</v>
      </c>
      <c r="P4" s="6">
        <v>2</v>
      </c>
      <c r="Q4" s="6">
        <v>3</v>
      </c>
      <c r="R4" s="6" t="s">
        <v>4</v>
      </c>
      <c r="S4" s="32"/>
      <c r="T4" s="32"/>
      <c r="U4" s="43"/>
    </row>
    <row r="5" spans="1:21" ht="15" x14ac:dyDescent="0.2">
      <c r="A5" s="29" t="s">
        <v>271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1" x14ac:dyDescent="0.2">
      <c r="A6" s="7" t="s">
        <v>270</v>
      </c>
      <c r="B6" s="7" t="s">
        <v>269</v>
      </c>
      <c r="C6" s="7" t="s">
        <v>268</v>
      </c>
      <c r="D6" s="7" t="str">
        <f>"1,0622"</f>
        <v>1,0622</v>
      </c>
      <c r="E6" s="7" t="s">
        <v>15</v>
      </c>
      <c r="F6" s="7" t="s">
        <v>16</v>
      </c>
      <c r="G6" s="9" t="s">
        <v>233</v>
      </c>
      <c r="H6" s="9" t="s">
        <v>267</v>
      </c>
      <c r="I6" s="8" t="s">
        <v>232</v>
      </c>
      <c r="J6" s="8"/>
      <c r="K6" s="9" t="s">
        <v>266</v>
      </c>
      <c r="L6" s="9" t="s">
        <v>265</v>
      </c>
      <c r="M6" s="8" t="s">
        <v>264</v>
      </c>
      <c r="N6" s="8"/>
      <c r="O6" s="9" t="s">
        <v>218</v>
      </c>
      <c r="P6" s="9" t="s">
        <v>217</v>
      </c>
      <c r="Q6" s="9" t="s">
        <v>211</v>
      </c>
      <c r="R6" s="8"/>
      <c r="S6" s="7" t="str">
        <f>"165,0"</f>
        <v>165,0</v>
      </c>
      <c r="T6" s="9" t="str">
        <f>"177,0156"</f>
        <v>177,0156</v>
      </c>
      <c r="U6" s="7" t="s">
        <v>19</v>
      </c>
    </row>
    <row r="8" spans="1:21" ht="15" x14ac:dyDescent="0.2">
      <c r="A8" s="27" t="s">
        <v>263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21" x14ac:dyDescent="0.2">
      <c r="A9" s="7" t="s">
        <v>262</v>
      </c>
      <c r="B9" s="7" t="s">
        <v>261</v>
      </c>
      <c r="C9" s="7" t="s">
        <v>260</v>
      </c>
      <c r="D9" s="7" t="str">
        <f>"0,8097"</f>
        <v>0,8097</v>
      </c>
      <c r="E9" s="7" t="s">
        <v>15</v>
      </c>
      <c r="F9" s="7" t="s">
        <v>16</v>
      </c>
      <c r="G9" s="9" t="s">
        <v>26</v>
      </c>
      <c r="H9" s="8" t="s">
        <v>74</v>
      </c>
      <c r="I9" s="9" t="s">
        <v>56</v>
      </c>
      <c r="J9" s="8"/>
      <c r="K9" s="9" t="s">
        <v>34</v>
      </c>
      <c r="L9" s="9" t="s">
        <v>259</v>
      </c>
      <c r="M9" s="9" t="s">
        <v>35</v>
      </c>
      <c r="N9" s="8"/>
      <c r="O9" s="9" t="s">
        <v>49</v>
      </c>
      <c r="P9" s="9" t="s">
        <v>258</v>
      </c>
      <c r="Q9" s="9" t="s">
        <v>50</v>
      </c>
      <c r="R9" s="8"/>
      <c r="S9" s="7" t="str">
        <f>"425,0"</f>
        <v>425,0</v>
      </c>
      <c r="T9" s="9" t="str">
        <f>"344,1225"</f>
        <v>344,1225</v>
      </c>
      <c r="U9" s="7" t="s">
        <v>19</v>
      </c>
    </row>
    <row r="11" spans="1:21" ht="15" x14ac:dyDescent="0.2">
      <c r="A11" s="27" t="s">
        <v>20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</row>
    <row r="12" spans="1:21" x14ac:dyDescent="0.2">
      <c r="A12" s="7" t="s">
        <v>257</v>
      </c>
      <c r="B12" s="7" t="s">
        <v>256</v>
      </c>
      <c r="C12" s="7" t="s">
        <v>255</v>
      </c>
      <c r="D12" s="7" t="str">
        <f>"0,7110"</f>
        <v>0,7110</v>
      </c>
      <c r="E12" s="7" t="s">
        <v>15</v>
      </c>
      <c r="F12" s="7" t="s">
        <v>16</v>
      </c>
      <c r="G12" s="9" t="s">
        <v>66</v>
      </c>
      <c r="H12" s="9" t="s">
        <v>254</v>
      </c>
      <c r="I12" s="9" t="s">
        <v>43</v>
      </c>
      <c r="J12" s="8"/>
      <c r="K12" s="9" t="s">
        <v>212</v>
      </c>
      <c r="L12" s="9" t="s">
        <v>66</v>
      </c>
      <c r="M12" s="9" t="s">
        <v>253</v>
      </c>
      <c r="N12" s="8"/>
      <c r="O12" s="9" t="s">
        <v>143</v>
      </c>
      <c r="P12" s="9" t="s">
        <v>207</v>
      </c>
      <c r="Q12" s="9" t="s">
        <v>252</v>
      </c>
      <c r="R12" s="8"/>
      <c r="S12" s="7" t="str">
        <f>"432,5"</f>
        <v>432,5</v>
      </c>
      <c r="T12" s="9" t="str">
        <f>"307,4859"</f>
        <v>307,4859</v>
      </c>
      <c r="U12" s="7" t="s">
        <v>19</v>
      </c>
    </row>
    <row r="14" spans="1:21" ht="15" x14ac:dyDescent="0.2">
      <c r="A14" s="27" t="s">
        <v>36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</row>
    <row r="15" spans="1:21" x14ac:dyDescent="0.2">
      <c r="A15" s="7" t="s">
        <v>251</v>
      </c>
      <c r="B15" s="7" t="s">
        <v>250</v>
      </c>
      <c r="C15" s="7" t="s">
        <v>249</v>
      </c>
      <c r="D15" s="7" t="str">
        <f>"0,6226"</f>
        <v>0,6226</v>
      </c>
      <c r="E15" s="7" t="s">
        <v>248</v>
      </c>
      <c r="F15" s="7" t="s">
        <v>73</v>
      </c>
      <c r="G15" s="9" t="s">
        <v>50</v>
      </c>
      <c r="H15" s="9" t="s">
        <v>92</v>
      </c>
      <c r="I15" s="8" t="s">
        <v>84</v>
      </c>
      <c r="J15" s="8"/>
      <c r="K15" s="8" t="s">
        <v>67</v>
      </c>
      <c r="L15" s="9" t="s">
        <v>67</v>
      </c>
      <c r="M15" s="8" t="s">
        <v>74</v>
      </c>
      <c r="N15" s="8"/>
      <c r="O15" s="9" t="s">
        <v>85</v>
      </c>
      <c r="P15" s="9" t="s">
        <v>86</v>
      </c>
      <c r="Q15" s="8" t="s">
        <v>247</v>
      </c>
      <c r="R15" s="8"/>
      <c r="S15" s="7" t="str">
        <f>"520,0"</f>
        <v>520,0</v>
      </c>
      <c r="T15" s="9" t="str">
        <f>"323,7520"</f>
        <v>323,7520</v>
      </c>
      <c r="U15" s="7" t="s">
        <v>19</v>
      </c>
    </row>
    <row r="17" spans="1:21" ht="15" x14ac:dyDescent="0.2">
      <c r="A17" s="27" t="s">
        <v>68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spans="1:21" x14ac:dyDescent="0.2">
      <c r="A18" s="7" t="s">
        <v>246</v>
      </c>
      <c r="B18" s="7" t="s">
        <v>245</v>
      </c>
      <c r="C18" s="7" t="s">
        <v>244</v>
      </c>
      <c r="D18" s="7" t="str">
        <f>"0,5943"</f>
        <v>0,5943</v>
      </c>
      <c r="E18" s="7" t="s">
        <v>157</v>
      </c>
      <c r="F18" s="7" t="s">
        <v>16</v>
      </c>
      <c r="G18" s="9" t="s">
        <v>212</v>
      </c>
      <c r="H18" s="9" t="s">
        <v>42</v>
      </c>
      <c r="I18" s="9" t="s">
        <v>43</v>
      </c>
      <c r="J18" s="8"/>
      <c r="K18" s="9" t="s">
        <v>240</v>
      </c>
      <c r="L18" s="9" t="s">
        <v>243</v>
      </c>
      <c r="M18" s="9" t="s">
        <v>34</v>
      </c>
      <c r="N18" s="8"/>
      <c r="O18" s="9" t="s">
        <v>74</v>
      </c>
      <c r="P18" s="8" t="s">
        <v>143</v>
      </c>
      <c r="Q18" s="9" t="s">
        <v>49</v>
      </c>
      <c r="R18" s="8"/>
      <c r="S18" s="7" t="str">
        <f>"397,5"</f>
        <v>397,5</v>
      </c>
      <c r="T18" s="9" t="str">
        <f>"236,2342"</f>
        <v>236,2342</v>
      </c>
      <c r="U18" s="7" t="s">
        <v>19</v>
      </c>
    </row>
    <row r="20" spans="1:21" ht="15" x14ac:dyDescent="0.2">
      <c r="E20" s="19" t="s">
        <v>98</v>
      </c>
    </row>
    <row r="21" spans="1:21" ht="15" x14ac:dyDescent="0.2">
      <c r="E21" s="19" t="s">
        <v>99</v>
      </c>
    </row>
    <row r="22" spans="1:21" ht="15" x14ac:dyDescent="0.2">
      <c r="E22" s="19" t="s">
        <v>100</v>
      </c>
    </row>
    <row r="23" spans="1:21" ht="15" x14ac:dyDescent="0.2">
      <c r="E23" s="19" t="s">
        <v>101</v>
      </c>
    </row>
    <row r="24" spans="1:21" ht="15" x14ac:dyDescent="0.2">
      <c r="E24" s="19" t="s">
        <v>101</v>
      </c>
    </row>
    <row r="25" spans="1:21" ht="15" x14ac:dyDescent="0.2">
      <c r="E25" s="19" t="s">
        <v>102</v>
      </c>
    </row>
    <row r="26" spans="1:21" ht="15" x14ac:dyDescent="0.2">
      <c r="E26" s="19"/>
    </row>
    <row r="28" spans="1:21" ht="18" x14ac:dyDescent="0.25">
      <c r="A28" s="20" t="s">
        <v>103</v>
      </c>
      <c r="B28" s="20"/>
    </row>
  </sheetData>
  <mergeCells count="18">
    <mergeCell ref="A14:T14"/>
    <mergeCell ref="A17:T17"/>
    <mergeCell ref="U3:U4"/>
    <mergeCell ref="F3:F4"/>
    <mergeCell ref="E3:E4"/>
    <mergeCell ref="A5:T5"/>
    <mergeCell ref="A8:T8"/>
    <mergeCell ref="A11:T11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zoomScaleNormal="100" workbookViewId="0">
      <selection activeCell="P20" sqref="P20"/>
    </sheetView>
  </sheetViews>
  <sheetFormatPr defaultColWidth="9.140625" defaultRowHeight="12.75" x14ac:dyDescent="0.2"/>
  <cols>
    <col min="1" max="1" width="24.7109375" style="4" bestFit="1" customWidth="1"/>
    <col min="2" max="2" width="25.28515625" style="4" bestFit="1" customWidth="1"/>
    <col min="3" max="3" width="10.140625" style="4" bestFit="1" customWidth="1"/>
    <col min="4" max="4" width="8.28515625" style="4" bestFit="1" customWidth="1"/>
    <col min="5" max="5" width="21.7109375" style="4" bestFit="1" customWidth="1"/>
    <col min="6" max="6" width="23.28515625" style="4" bestFit="1" customWidth="1"/>
    <col min="7" max="9" width="5.5703125" style="3" bestFit="1" customWidth="1"/>
    <col min="10" max="10" width="4.5703125" style="3" bestFit="1" customWidth="1"/>
    <col min="11" max="13" width="5.5703125" style="3" bestFit="1" customWidth="1"/>
    <col min="14" max="14" width="4.5703125" style="3" bestFit="1" customWidth="1"/>
    <col min="15" max="17" width="5.5703125" style="3" bestFit="1" customWidth="1"/>
    <col min="18" max="18" width="4.5703125" style="3" bestFit="1" customWidth="1"/>
    <col min="19" max="19" width="7.7109375" style="4" bestFit="1" customWidth="1"/>
    <col min="20" max="20" width="8.5703125" style="3" bestFit="1" customWidth="1"/>
    <col min="21" max="21" width="8.28515625" style="4" bestFit="1" customWidth="1"/>
    <col min="22" max="16384" width="9.140625" style="3"/>
  </cols>
  <sheetData>
    <row r="1" spans="1:21" s="2" customFormat="1" ht="28.9" customHeight="1" x14ac:dyDescent="0.2">
      <c r="A1" s="33" t="s">
        <v>360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5"/>
    </row>
    <row r="2" spans="1:21" s="2" customFormat="1" ht="87" customHeight="1" thickBot="1" x14ac:dyDescent="0.25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8"/>
    </row>
    <row r="3" spans="1:21" s="1" customFormat="1" ht="12.75" customHeight="1" x14ac:dyDescent="0.2">
      <c r="A3" s="39" t="s">
        <v>0</v>
      </c>
      <c r="B3" s="41" t="s">
        <v>5</v>
      </c>
      <c r="C3" s="41" t="s">
        <v>6</v>
      </c>
      <c r="D3" s="31" t="s">
        <v>8</v>
      </c>
      <c r="E3" s="31" t="s">
        <v>3</v>
      </c>
      <c r="F3" s="31" t="s">
        <v>7</v>
      </c>
      <c r="G3" s="31" t="s">
        <v>239</v>
      </c>
      <c r="H3" s="31"/>
      <c r="I3" s="31"/>
      <c r="J3" s="31"/>
      <c r="K3" s="31" t="s">
        <v>9</v>
      </c>
      <c r="L3" s="31"/>
      <c r="M3" s="31"/>
      <c r="N3" s="31"/>
      <c r="O3" s="31" t="s">
        <v>238</v>
      </c>
      <c r="P3" s="31"/>
      <c r="Q3" s="31"/>
      <c r="R3" s="31"/>
      <c r="S3" s="31" t="s">
        <v>237</v>
      </c>
      <c r="T3" s="31" t="s">
        <v>2</v>
      </c>
      <c r="U3" s="42" t="s">
        <v>1</v>
      </c>
    </row>
    <row r="4" spans="1:21" s="1" customFormat="1" ht="38.450000000000003" customHeight="1" thickBot="1" x14ac:dyDescent="0.25">
      <c r="A4" s="40"/>
      <c r="B4" s="32"/>
      <c r="C4" s="32"/>
      <c r="D4" s="32"/>
      <c r="E4" s="32"/>
      <c r="F4" s="32"/>
      <c r="G4" s="6">
        <v>1</v>
      </c>
      <c r="H4" s="6">
        <v>2</v>
      </c>
      <c r="I4" s="6">
        <v>3</v>
      </c>
      <c r="J4" s="6" t="s">
        <v>4</v>
      </c>
      <c r="K4" s="6">
        <v>1</v>
      </c>
      <c r="L4" s="6">
        <v>2</v>
      </c>
      <c r="M4" s="6">
        <v>3</v>
      </c>
      <c r="N4" s="6" t="s">
        <v>4</v>
      </c>
      <c r="O4" s="6">
        <v>1</v>
      </c>
      <c r="P4" s="6">
        <v>2</v>
      </c>
      <c r="Q4" s="6">
        <v>3</v>
      </c>
      <c r="R4" s="6" t="s">
        <v>4</v>
      </c>
      <c r="S4" s="32"/>
      <c r="T4" s="32"/>
      <c r="U4" s="43"/>
    </row>
    <row r="5" spans="1:21" ht="15" x14ac:dyDescent="0.2">
      <c r="A5" s="29" t="s">
        <v>165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1" x14ac:dyDescent="0.2">
      <c r="A6" s="7" t="s">
        <v>160</v>
      </c>
      <c r="B6" s="7" t="s">
        <v>159</v>
      </c>
      <c r="C6" s="7" t="s">
        <v>158</v>
      </c>
      <c r="D6" s="7" t="str">
        <f>"1,1247"</f>
        <v>1,1247</v>
      </c>
      <c r="E6" s="7" t="s">
        <v>157</v>
      </c>
      <c r="F6" s="7" t="s">
        <v>16</v>
      </c>
      <c r="G6" s="9" t="s">
        <v>74</v>
      </c>
      <c r="H6" s="9" t="s">
        <v>286</v>
      </c>
      <c r="I6" s="8"/>
      <c r="J6" s="8"/>
      <c r="K6" s="9" t="s">
        <v>148</v>
      </c>
      <c r="L6" s="8" t="s">
        <v>156</v>
      </c>
      <c r="M6" s="8"/>
      <c r="N6" s="8"/>
      <c r="O6" s="9" t="s">
        <v>74</v>
      </c>
      <c r="P6" s="8" t="s">
        <v>285</v>
      </c>
      <c r="Q6" s="8" t="s">
        <v>285</v>
      </c>
      <c r="R6" s="8"/>
      <c r="S6" s="7" t="str">
        <f>"350,0"</f>
        <v>350,0</v>
      </c>
      <c r="T6" s="9" t="str">
        <f>"393,6450"</f>
        <v>393,6450</v>
      </c>
      <c r="U6" s="7" t="s">
        <v>19</v>
      </c>
    </row>
    <row r="8" spans="1:21" ht="15" x14ac:dyDescent="0.2">
      <c r="A8" s="27" t="s">
        <v>68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21" x14ac:dyDescent="0.2">
      <c r="A9" s="7" t="s">
        <v>284</v>
      </c>
      <c r="B9" s="7" t="s">
        <v>283</v>
      </c>
      <c r="C9" s="7" t="s">
        <v>282</v>
      </c>
      <c r="D9" s="7" t="str">
        <f>"0,5974"</f>
        <v>0,5974</v>
      </c>
      <c r="E9" s="7" t="s">
        <v>203</v>
      </c>
      <c r="F9" s="7" t="s">
        <v>202</v>
      </c>
      <c r="G9" s="9" t="s">
        <v>281</v>
      </c>
      <c r="H9" s="9" t="s">
        <v>280</v>
      </c>
      <c r="I9" s="8" t="s">
        <v>277</v>
      </c>
      <c r="J9" s="8"/>
      <c r="K9" s="9" t="s">
        <v>258</v>
      </c>
      <c r="L9" s="9" t="s">
        <v>185</v>
      </c>
      <c r="M9" s="8" t="s">
        <v>279</v>
      </c>
      <c r="N9" s="8"/>
      <c r="O9" s="9" t="s">
        <v>86</v>
      </c>
      <c r="P9" s="9" t="s">
        <v>278</v>
      </c>
      <c r="Q9" s="9" t="s">
        <v>277</v>
      </c>
      <c r="R9" s="8"/>
      <c r="S9" s="7" t="str">
        <f>"645,0"</f>
        <v>645,0</v>
      </c>
      <c r="T9" s="9" t="str">
        <f>"385,3230"</f>
        <v>385,3230</v>
      </c>
      <c r="U9" s="7" t="s">
        <v>19</v>
      </c>
    </row>
    <row r="11" spans="1:21" ht="15" x14ac:dyDescent="0.2">
      <c r="E11" s="19" t="s">
        <v>98</v>
      </c>
    </row>
    <row r="12" spans="1:21" ht="15" x14ac:dyDescent="0.2">
      <c r="E12" s="19" t="s">
        <v>99</v>
      </c>
    </row>
    <row r="13" spans="1:21" ht="15" x14ac:dyDescent="0.2">
      <c r="E13" s="19" t="s">
        <v>100</v>
      </c>
    </row>
    <row r="14" spans="1:21" ht="15" x14ac:dyDescent="0.2">
      <c r="E14" s="19" t="s">
        <v>101</v>
      </c>
    </row>
    <row r="15" spans="1:21" ht="15" x14ac:dyDescent="0.2">
      <c r="E15" s="19" t="s">
        <v>101</v>
      </c>
    </row>
    <row r="16" spans="1:21" ht="15" x14ac:dyDescent="0.2">
      <c r="E16" s="19" t="s">
        <v>102</v>
      </c>
    </row>
    <row r="17" spans="1:5" ht="15" x14ac:dyDescent="0.2">
      <c r="E17" s="19"/>
    </row>
    <row r="19" spans="1:5" ht="18" x14ac:dyDescent="0.25">
      <c r="A19" s="20" t="s">
        <v>103</v>
      </c>
      <c r="B19" s="20"/>
    </row>
    <row r="20" spans="1:5" ht="15" x14ac:dyDescent="0.2">
      <c r="A20" s="21" t="s">
        <v>104</v>
      </c>
      <c r="B20" s="21"/>
    </row>
    <row r="21" spans="1:5" ht="14.25" x14ac:dyDescent="0.2">
      <c r="A21" s="23"/>
      <c r="B21" s="24" t="s">
        <v>105</v>
      </c>
    </row>
    <row r="22" spans="1:5" ht="15" x14ac:dyDescent="0.2">
      <c r="A22" s="25" t="s">
        <v>106</v>
      </c>
      <c r="B22" s="25" t="s">
        <v>107</v>
      </c>
      <c r="C22" s="25" t="s">
        <v>108</v>
      </c>
      <c r="D22" s="25" t="s">
        <v>109</v>
      </c>
      <c r="E22" s="25" t="s">
        <v>110</v>
      </c>
    </row>
    <row r="23" spans="1:5" x14ac:dyDescent="0.2">
      <c r="A23" s="22" t="s">
        <v>150</v>
      </c>
      <c r="B23" s="4" t="s">
        <v>105</v>
      </c>
      <c r="C23" s="4" t="s">
        <v>149</v>
      </c>
      <c r="D23" s="4" t="s">
        <v>276</v>
      </c>
      <c r="E23" s="26" t="s">
        <v>275</v>
      </c>
    </row>
    <row r="26" spans="1:5" ht="15" x14ac:dyDescent="0.2">
      <c r="A26" s="21" t="s">
        <v>113</v>
      </c>
      <c r="B26" s="21"/>
    </row>
    <row r="27" spans="1:5" ht="14.25" x14ac:dyDescent="0.2">
      <c r="A27" s="23"/>
      <c r="B27" s="24" t="s">
        <v>105</v>
      </c>
    </row>
    <row r="28" spans="1:5" ht="15" x14ac:dyDescent="0.2">
      <c r="A28" s="25" t="s">
        <v>106</v>
      </c>
      <c r="B28" s="25" t="s">
        <v>107</v>
      </c>
      <c r="C28" s="25" t="s">
        <v>108</v>
      </c>
      <c r="D28" s="25" t="s">
        <v>109</v>
      </c>
      <c r="E28" s="25" t="s">
        <v>110</v>
      </c>
    </row>
    <row r="29" spans="1:5" x14ac:dyDescent="0.2">
      <c r="A29" s="22" t="s">
        <v>274</v>
      </c>
      <c r="B29" s="4" t="s">
        <v>105</v>
      </c>
      <c r="C29" s="4" t="s">
        <v>127</v>
      </c>
      <c r="D29" s="4" t="s">
        <v>273</v>
      </c>
      <c r="E29" s="26" t="s">
        <v>272</v>
      </c>
    </row>
  </sheetData>
  <mergeCells count="15">
    <mergeCell ref="A5:T5"/>
    <mergeCell ref="A8:T8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zoomScaleNormal="100" workbookViewId="0">
      <selection activeCell="N23" sqref="N23"/>
    </sheetView>
  </sheetViews>
  <sheetFormatPr defaultColWidth="9.140625" defaultRowHeight="12.75" x14ac:dyDescent="0.2"/>
  <cols>
    <col min="1" max="1" width="24.7109375" style="4" bestFit="1" customWidth="1"/>
    <col min="2" max="2" width="29.85546875" style="4" bestFit="1" customWidth="1"/>
    <col min="3" max="3" width="10.140625" style="4" bestFit="1" customWidth="1"/>
    <col min="4" max="4" width="8.28515625" style="4" bestFit="1" customWidth="1"/>
    <col min="5" max="5" width="21.7109375" style="4" bestFit="1" customWidth="1"/>
    <col min="6" max="6" width="31" style="4" bestFit="1" customWidth="1"/>
    <col min="7" max="9" width="5.5703125" style="3" bestFit="1" customWidth="1"/>
    <col min="10" max="10" width="4.5703125" style="3" bestFit="1" customWidth="1"/>
    <col min="11" max="11" width="7.7109375" style="4" bestFit="1" customWidth="1"/>
    <col min="12" max="12" width="8.5703125" style="3" bestFit="1" customWidth="1"/>
    <col min="13" max="13" width="8.28515625" style="4" bestFit="1" customWidth="1"/>
    <col min="14" max="16384" width="9.140625" style="3"/>
  </cols>
  <sheetData>
    <row r="1" spans="1:13" s="2" customFormat="1" ht="28.9" customHeight="1" x14ac:dyDescent="0.2">
      <c r="A1" s="33" t="s">
        <v>361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s="2" customFormat="1" ht="61.9" customHeight="1" thickBot="1" x14ac:dyDescent="0.25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3" spans="1:13" s="1" customFormat="1" ht="12.75" customHeight="1" x14ac:dyDescent="0.2">
      <c r="A3" s="39" t="s">
        <v>0</v>
      </c>
      <c r="B3" s="41" t="s">
        <v>5</v>
      </c>
      <c r="C3" s="41" t="s">
        <v>6</v>
      </c>
      <c r="D3" s="31" t="s">
        <v>8</v>
      </c>
      <c r="E3" s="31" t="s">
        <v>3</v>
      </c>
      <c r="F3" s="31" t="s">
        <v>7</v>
      </c>
      <c r="G3" s="31" t="s">
        <v>238</v>
      </c>
      <c r="H3" s="31"/>
      <c r="I3" s="31"/>
      <c r="J3" s="31"/>
      <c r="K3" s="31" t="s">
        <v>139</v>
      </c>
      <c r="L3" s="31" t="s">
        <v>2</v>
      </c>
      <c r="M3" s="42" t="s">
        <v>1</v>
      </c>
    </row>
    <row r="4" spans="1:13" s="1" customFormat="1" ht="40.15" customHeight="1" thickBot="1" x14ac:dyDescent="0.25">
      <c r="A4" s="40"/>
      <c r="B4" s="32"/>
      <c r="C4" s="32"/>
      <c r="D4" s="32"/>
      <c r="E4" s="32"/>
      <c r="F4" s="32"/>
      <c r="G4" s="6">
        <v>1</v>
      </c>
      <c r="H4" s="6">
        <v>2</v>
      </c>
      <c r="I4" s="6">
        <v>3</v>
      </c>
      <c r="J4" s="6" t="s">
        <v>4</v>
      </c>
      <c r="K4" s="32"/>
      <c r="L4" s="32"/>
      <c r="M4" s="43"/>
    </row>
    <row r="5" spans="1:13" ht="15" x14ac:dyDescent="0.2">
      <c r="A5" s="29" t="s">
        <v>165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3" x14ac:dyDescent="0.2">
      <c r="A6" s="7" t="s">
        <v>160</v>
      </c>
      <c r="B6" s="7" t="s">
        <v>159</v>
      </c>
      <c r="C6" s="7" t="s">
        <v>158</v>
      </c>
      <c r="D6" s="7" t="str">
        <f>"1,1247"</f>
        <v>1,1247</v>
      </c>
      <c r="E6" s="7" t="s">
        <v>157</v>
      </c>
      <c r="F6" s="7" t="s">
        <v>16</v>
      </c>
      <c r="G6" s="8" t="s">
        <v>212</v>
      </c>
      <c r="H6" s="8" t="s">
        <v>212</v>
      </c>
      <c r="I6" s="9" t="s">
        <v>212</v>
      </c>
      <c r="J6" s="8"/>
      <c r="K6" s="7" t="str">
        <f>"115,0"</f>
        <v>115,0</v>
      </c>
      <c r="L6" s="9" t="str">
        <f>"129,3405"</f>
        <v>129,3405</v>
      </c>
      <c r="M6" s="7" t="s">
        <v>19</v>
      </c>
    </row>
    <row r="8" spans="1:13" ht="15" x14ac:dyDescent="0.2">
      <c r="A8" s="27" t="s">
        <v>10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3" x14ac:dyDescent="0.2">
      <c r="A9" s="10" t="s">
        <v>353</v>
      </c>
      <c r="B9" s="10" t="s">
        <v>229</v>
      </c>
      <c r="C9" s="10" t="s">
        <v>228</v>
      </c>
      <c r="D9" s="10" t="str">
        <f>"1,0220"</f>
        <v>1,0220</v>
      </c>
      <c r="E9" s="10" t="s">
        <v>203</v>
      </c>
      <c r="F9" s="10" t="s">
        <v>202</v>
      </c>
      <c r="G9" s="12" t="s">
        <v>217</v>
      </c>
      <c r="H9" s="12" t="s">
        <v>211</v>
      </c>
      <c r="I9" s="11" t="s">
        <v>210</v>
      </c>
      <c r="J9" s="11"/>
      <c r="K9" s="10" t="str">
        <f>"85,0"</f>
        <v>85,0</v>
      </c>
      <c r="L9" s="12" t="str">
        <f>"86,8700"</f>
        <v>86,8700</v>
      </c>
      <c r="M9" s="10" t="s">
        <v>19</v>
      </c>
    </row>
    <row r="10" spans="1:13" x14ac:dyDescent="0.2">
      <c r="A10" s="16" t="s">
        <v>12</v>
      </c>
      <c r="B10" s="16" t="s">
        <v>352</v>
      </c>
      <c r="C10" s="16" t="s">
        <v>14</v>
      </c>
      <c r="D10" s="16" t="str">
        <f>"1,0263"</f>
        <v>1,0263</v>
      </c>
      <c r="E10" s="16" t="s">
        <v>15</v>
      </c>
      <c r="F10" s="16" t="s">
        <v>16</v>
      </c>
      <c r="G10" s="18" t="s">
        <v>259</v>
      </c>
      <c r="H10" s="18" t="s">
        <v>212</v>
      </c>
      <c r="I10" s="18" t="s">
        <v>66</v>
      </c>
      <c r="J10" s="17"/>
      <c r="K10" s="16" t="str">
        <f>"120,0"</f>
        <v>120,0</v>
      </c>
      <c r="L10" s="18" t="str">
        <f>"178,5762"</f>
        <v>178,5762</v>
      </c>
      <c r="M10" s="16" t="s">
        <v>19</v>
      </c>
    </row>
    <row r="12" spans="1:13" ht="15" x14ac:dyDescent="0.2">
      <c r="A12" s="27" t="s">
        <v>263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3" x14ac:dyDescent="0.2">
      <c r="A13" s="7" t="s">
        <v>351</v>
      </c>
      <c r="B13" s="7" t="s">
        <v>350</v>
      </c>
      <c r="C13" s="7" t="s">
        <v>349</v>
      </c>
      <c r="D13" s="7" t="str">
        <f>"0,7977"</f>
        <v>0,7977</v>
      </c>
      <c r="E13" s="7" t="s">
        <v>15</v>
      </c>
      <c r="F13" s="7" t="s">
        <v>16</v>
      </c>
      <c r="G13" s="9" t="s">
        <v>85</v>
      </c>
      <c r="H13" s="8" t="s">
        <v>86</v>
      </c>
      <c r="I13" s="8" t="s">
        <v>86</v>
      </c>
      <c r="J13" s="8"/>
      <c r="K13" s="7" t="str">
        <f>"200,0"</f>
        <v>200,0</v>
      </c>
      <c r="L13" s="9" t="str">
        <f>"159,5400"</f>
        <v>159,5400</v>
      </c>
      <c r="M13" s="7" t="s">
        <v>19</v>
      </c>
    </row>
    <row r="15" spans="1:13" ht="15" x14ac:dyDescent="0.2">
      <c r="A15" s="27" t="s">
        <v>20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3" x14ac:dyDescent="0.2">
      <c r="A16" s="10" t="s">
        <v>348</v>
      </c>
      <c r="B16" s="10" t="s">
        <v>347</v>
      </c>
      <c r="C16" s="10" t="s">
        <v>346</v>
      </c>
      <c r="D16" s="10" t="str">
        <f>"0,6934"</f>
        <v>0,6934</v>
      </c>
      <c r="E16" s="10" t="s">
        <v>15</v>
      </c>
      <c r="F16" s="10" t="s">
        <v>16</v>
      </c>
      <c r="G16" s="12" t="s">
        <v>345</v>
      </c>
      <c r="H16" s="12" t="s">
        <v>280</v>
      </c>
      <c r="I16" s="12" t="s">
        <v>312</v>
      </c>
      <c r="J16" s="11"/>
      <c r="K16" s="10" t="str">
        <f>"242,5"</f>
        <v>242,5</v>
      </c>
      <c r="L16" s="12" t="str">
        <f>"168,1374"</f>
        <v>168,1374</v>
      </c>
      <c r="M16" s="10" t="s">
        <v>19</v>
      </c>
    </row>
    <row r="17" spans="1:13" x14ac:dyDescent="0.2">
      <c r="A17" s="16" t="s">
        <v>344</v>
      </c>
      <c r="B17" s="16" t="s">
        <v>343</v>
      </c>
      <c r="C17" s="16" t="s">
        <v>342</v>
      </c>
      <c r="D17" s="16" t="str">
        <f>"0,6885"</f>
        <v>0,6885</v>
      </c>
      <c r="E17" s="16" t="s">
        <v>248</v>
      </c>
      <c r="F17" s="16" t="s">
        <v>73</v>
      </c>
      <c r="G17" s="18" t="s">
        <v>92</v>
      </c>
      <c r="H17" s="18" t="s">
        <v>300</v>
      </c>
      <c r="I17" s="17" t="s">
        <v>288</v>
      </c>
      <c r="J17" s="17"/>
      <c r="K17" s="16" t="str">
        <f>"192,5"</f>
        <v>192,5</v>
      </c>
      <c r="L17" s="18" t="str">
        <f>"132,5459"</f>
        <v>132,5459</v>
      </c>
      <c r="M17" s="16" t="s">
        <v>19</v>
      </c>
    </row>
    <row r="19" spans="1:13" ht="15" x14ac:dyDescent="0.2">
      <c r="A19" s="27" t="s">
        <v>28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1:13" x14ac:dyDescent="0.2">
      <c r="A20" s="10" t="s">
        <v>341</v>
      </c>
      <c r="B20" s="10" t="s">
        <v>205</v>
      </c>
      <c r="C20" s="10" t="s">
        <v>204</v>
      </c>
      <c r="D20" s="10" t="str">
        <f>"0,6567"</f>
        <v>0,6567</v>
      </c>
      <c r="E20" s="10" t="s">
        <v>203</v>
      </c>
      <c r="F20" s="10" t="s">
        <v>202</v>
      </c>
      <c r="G20" s="12" t="s">
        <v>92</v>
      </c>
      <c r="H20" s="12" t="s">
        <v>85</v>
      </c>
      <c r="I20" s="12" t="s">
        <v>281</v>
      </c>
      <c r="J20" s="11"/>
      <c r="K20" s="10" t="str">
        <f>"215,0"</f>
        <v>215,0</v>
      </c>
      <c r="L20" s="12" t="str">
        <f>"141,1905"</f>
        <v>141,1905</v>
      </c>
      <c r="M20" s="10" t="s">
        <v>19</v>
      </c>
    </row>
    <row r="21" spans="1:13" x14ac:dyDescent="0.2">
      <c r="A21" s="13" t="s">
        <v>340</v>
      </c>
      <c r="B21" s="13" t="s">
        <v>339</v>
      </c>
      <c r="C21" s="13" t="s">
        <v>338</v>
      </c>
      <c r="D21" s="13" t="str">
        <f>"0,6492"</f>
        <v>0,6492</v>
      </c>
      <c r="E21" s="13" t="s">
        <v>176</v>
      </c>
      <c r="F21" s="13" t="s">
        <v>202</v>
      </c>
      <c r="G21" s="15" t="s">
        <v>92</v>
      </c>
      <c r="H21" s="15" t="s">
        <v>84</v>
      </c>
      <c r="I21" s="15" t="s">
        <v>85</v>
      </c>
      <c r="J21" s="14"/>
      <c r="K21" s="13" t="str">
        <f>"200,0"</f>
        <v>200,0</v>
      </c>
      <c r="L21" s="15" t="str">
        <f>"129,8500"</f>
        <v>129,8500</v>
      </c>
      <c r="M21" s="13" t="s">
        <v>19</v>
      </c>
    </row>
    <row r="22" spans="1:13" x14ac:dyDescent="0.2">
      <c r="A22" s="16" t="s">
        <v>337</v>
      </c>
      <c r="B22" s="16" t="s">
        <v>336</v>
      </c>
      <c r="C22" s="16" t="s">
        <v>335</v>
      </c>
      <c r="D22" s="16" t="str">
        <f>"0,6805"</f>
        <v>0,6805</v>
      </c>
      <c r="E22" s="16" t="s">
        <v>15</v>
      </c>
      <c r="F22" s="16" t="s">
        <v>334</v>
      </c>
      <c r="G22" s="18" t="s">
        <v>174</v>
      </c>
      <c r="H22" s="18" t="s">
        <v>333</v>
      </c>
      <c r="I22" s="18" t="s">
        <v>292</v>
      </c>
      <c r="J22" s="17"/>
      <c r="K22" s="16" t="str">
        <f>"217,5"</f>
        <v>217,5</v>
      </c>
      <c r="L22" s="18" t="str">
        <f>"206,1913"</f>
        <v>206,1913</v>
      </c>
      <c r="M22" s="16" t="s">
        <v>19</v>
      </c>
    </row>
    <row r="24" spans="1:13" ht="15" x14ac:dyDescent="0.2">
      <c r="A24" s="27" t="s">
        <v>68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1:13" x14ac:dyDescent="0.2">
      <c r="A25" s="10" t="s">
        <v>332</v>
      </c>
      <c r="B25" s="10" t="s">
        <v>331</v>
      </c>
      <c r="C25" s="10" t="s">
        <v>330</v>
      </c>
      <c r="D25" s="10" t="str">
        <f>"0,5919"</f>
        <v>0,5919</v>
      </c>
      <c r="E25" s="10" t="s">
        <v>203</v>
      </c>
      <c r="F25" s="10" t="s">
        <v>202</v>
      </c>
      <c r="G25" s="12" t="s">
        <v>86</v>
      </c>
      <c r="H25" s="12" t="s">
        <v>247</v>
      </c>
      <c r="I25" s="11" t="s">
        <v>280</v>
      </c>
      <c r="J25" s="11"/>
      <c r="K25" s="10" t="str">
        <f>"220,0"</f>
        <v>220,0</v>
      </c>
      <c r="L25" s="12" t="str">
        <f>"130,2290"</f>
        <v>130,2290</v>
      </c>
      <c r="M25" s="10" t="s">
        <v>19</v>
      </c>
    </row>
    <row r="26" spans="1:13" x14ac:dyDescent="0.2">
      <c r="A26" s="16" t="s">
        <v>329</v>
      </c>
      <c r="B26" s="16" t="s">
        <v>328</v>
      </c>
      <c r="C26" s="16" t="s">
        <v>327</v>
      </c>
      <c r="D26" s="16" t="str">
        <f>"0,5938"</f>
        <v>0,5938</v>
      </c>
      <c r="E26" s="16" t="s">
        <v>15</v>
      </c>
      <c r="F26" s="16" t="s">
        <v>65</v>
      </c>
      <c r="G26" s="18" t="s">
        <v>279</v>
      </c>
      <c r="H26" s="18" t="s">
        <v>300</v>
      </c>
      <c r="I26" s="18" t="s">
        <v>288</v>
      </c>
      <c r="J26" s="17"/>
      <c r="K26" s="16" t="str">
        <f>"202,5"</f>
        <v>202,5</v>
      </c>
      <c r="L26" s="18" t="str">
        <f>"137,9088"</f>
        <v>137,9088</v>
      </c>
      <c r="M26" s="16" t="s">
        <v>19</v>
      </c>
    </row>
    <row r="28" spans="1:13" ht="15" x14ac:dyDescent="0.2">
      <c r="A28" s="27" t="s">
        <v>79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</row>
    <row r="29" spans="1:13" x14ac:dyDescent="0.2">
      <c r="A29" s="7" t="s">
        <v>140</v>
      </c>
      <c r="B29" s="7" t="s">
        <v>141</v>
      </c>
      <c r="C29" s="7" t="s">
        <v>142</v>
      </c>
      <c r="D29" s="7" t="str">
        <f>"0,5625"</f>
        <v>0,5625</v>
      </c>
      <c r="E29" s="7" t="s">
        <v>15</v>
      </c>
      <c r="F29" s="7" t="s">
        <v>16</v>
      </c>
      <c r="G29" s="9" t="s">
        <v>326</v>
      </c>
      <c r="H29" s="9" t="s">
        <v>307</v>
      </c>
      <c r="I29" s="8" t="s">
        <v>325</v>
      </c>
      <c r="J29" s="8"/>
      <c r="K29" s="7" t="str">
        <f>"275,0"</f>
        <v>275,0</v>
      </c>
      <c r="L29" s="9" t="str">
        <f>"154,6875"</f>
        <v>154,6875</v>
      </c>
      <c r="M29" s="7" t="s">
        <v>144</v>
      </c>
    </row>
    <row r="31" spans="1:13" ht="15" x14ac:dyDescent="0.2">
      <c r="A31" s="27" t="s">
        <v>87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1:13" x14ac:dyDescent="0.2">
      <c r="A32" s="10" t="s">
        <v>324</v>
      </c>
      <c r="B32" s="10" t="s">
        <v>323</v>
      </c>
      <c r="C32" s="10" t="s">
        <v>322</v>
      </c>
      <c r="D32" s="10" t="str">
        <f>"0,5492"</f>
        <v>0,5492</v>
      </c>
      <c r="E32" s="10" t="s">
        <v>248</v>
      </c>
      <c r="F32" s="10" t="s">
        <v>73</v>
      </c>
      <c r="G32" s="12" t="s">
        <v>320</v>
      </c>
      <c r="H32" s="12" t="s">
        <v>321</v>
      </c>
      <c r="I32" s="12" t="s">
        <v>167</v>
      </c>
      <c r="J32" s="11"/>
      <c r="K32" s="10" t="str">
        <f>"255,0"</f>
        <v>255,0</v>
      </c>
      <c r="L32" s="12" t="str">
        <f>"140,0460"</f>
        <v>140,0460</v>
      </c>
      <c r="M32" s="10" t="s">
        <v>19</v>
      </c>
    </row>
    <row r="33" spans="1:13" x14ac:dyDescent="0.2">
      <c r="A33" s="16" t="s">
        <v>94</v>
      </c>
      <c r="B33" s="16" t="s">
        <v>95</v>
      </c>
      <c r="C33" s="16" t="s">
        <v>96</v>
      </c>
      <c r="D33" s="16" t="str">
        <f>"0,5543"</f>
        <v>0,5543</v>
      </c>
      <c r="E33" s="16" t="s">
        <v>15</v>
      </c>
      <c r="F33" s="16" t="s">
        <v>97</v>
      </c>
      <c r="G33" s="18" t="s">
        <v>320</v>
      </c>
      <c r="H33" s="18" t="s">
        <v>277</v>
      </c>
      <c r="I33" s="18" t="s">
        <v>296</v>
      </c>
      <c r="J33" s="17"/>
      <c r="K33" s="16" t="str">
        <f>"250,0"</f>
        <v>250,0</v>
      </c>
      <c r="L33" s="18" t="str">
        <f>"232,9236"</f>
        <v>232,9236</v>
      </c>
      <c r="M33" s="16" t="s">
        <v>19</v>
      </c>
    </row>
    <row r="35" spans="1:13" ht="15" x14ac:dyDescent="0.2">
      <c r="E35" s="19" t="s">
        <v>98</v>
      </c>
    </row>
    <row r="36" spans="1:13" ht="15" x14ac:dyDescent="0.2">
      <c r="E36" s="19" t="s">
        <v>99</v>
      </c>
    </row>
    <row r="37" spans="1:13" ht="15" x14ac:dyDescent="0.2">
      <c r="E37" s="19" t="s">
        <v>100</v>
      </c>
    </row>
    <row r="38" spans="1:13" ht="15" x14ac:dyDescent="0.2">
      <c r="E38" s="19" t="s">
        <v>101</v>
      </c>
    </row>
    <row r="39" spans="1:13" ht="15" x14ac:dyDescent="0.2">
      <c r="E39" s="19" t="s">
        <v>101</v>
      </c>
    </row>
    <row r="40" spans="1:13" ht="15" x14ac:dyDescent="0.2">
      <c r="E40" s="19" t="s">
        <v>102</v>
      </c>
    </row>
    <row r="41" spans="1:13" ht="15" x14ac:dyDescent="0.2">
      <c r="E41" s="19"/>
    </row>
    <row r="43" spans="1:13" ht="18" x14ac:dyDescent="0.25">
      <c r="A43" s="20" t="s">
        <v>103</v>
      </c>
      <c r="B43" s="20"/>
    </row>
    <row r="44" spans="1:13" ht="15" x14ac:dyDescent="0.2">
      <c r="A44" s="21" t="s">
        <v>104</v>
      </c>
      <c r="B44" s="21"/>
    </row>
    <row r="45" spans="1:13" ht="14.25" x14ac:dyDescent="0.2">
      <c r="A45" s="23"/>
      <c r="B45" s="24" t="s">
        <v>105</v>
      </c>
    </row>
    <row r="46" spans="1:13" ht="15" x14ac:dyDescent="0.2">
      <c r="A46" s="25" t="s">
        <v>106</v>
      </c>
      <c r="B46" s="25" t="s">
        <v>107</v>
      </c>
      <c r="C46" s="25" t="s">
        <v>108</v>
      </c>
      <c r="D46" s="25" t="s">
        <v>109</v>
      </c>
      <c r="E46" s="25" t="s">
        <v>110</v>
      </c>
    </row>
    <row r="47" spans="1:13" x14ac:dyDescent="0.2">
      <c r="A47" s="22" t="s">
        <v>150</v>
      </c>
      <c r="B47" s="4" t="s">
        <v>105</v>
      </c>
      <c r="C47" s="4" t="s">
        <v>149</v>
      </c>
      <c r="D47" s="4" t="s">
        <v>212</v>
      </c>
      <c r="E47" s="26" t="s">
        <v>319</v>
      </c>
    </row>
    <row r="48" spans="1:13" x14ac:dyDescent="0.2">
      <c r="A48" s="22" t="s">
        <v>318</v>
      </c>
      <c r="B48" s="4" t="s">
        <v>105</v>
      </c>
      <c r="C48" s="4" t="s">
        <v>111</v>
      </c>
      <c r="D48" s="4" t="s">
        <v>211</v>
      </c>
      <c r="E48" s="26" t="s">
        <v>317</v>
      </c>
    </row>
    <row r="50" spans="1:5" ht="14.25" x14ac:dyDescent="0.2">
      <c r="A50" s="23"/>
      <c r="B50" s="24" t="s">
        <v>131</v>
      </c>
    </row>
    <row r="51" spans="1:5" ht="15" x14ac:dyDescent="0.2">
      <c r="A51" s="25" t="s">
        <v>106</v>
      </c>
      <c r="B51" s="25" t="s">
        <v>107</v>
      </c>
      <c r="C51" s="25" t="s">
        <v>108</v>
      </c>
      <c r="D51" s="25" t="s">
        <v>109</v>
      </c>
      <c r="E51" s="25" t="s">
        <v>110</v>
      </c>
    </row>
    <row r="52" spans="1:5" x14ac:dyDescent="0.2">
      <c r="A52" s="22" t="s">
        <v>11</v>
      </c>
      <c r="B52" s="4" t="s">
        <v>293</v>
      </c>
      <c r="C52" s="4" t="s">
        <v>111</v>
      </c>
      <c r="D52" s="4" t="s">
        <v>66</v>
      </c>
      <c r="E52" s="26" t="s">
        <v>316</v>
      </c>
    </row>
    <row r="55" spans="1:5" ht="15" x14ac:dyDescent="0.2">
      <c r="A55" s="21" t="s">
        <v>113</v>
      </c>
      <c r="B55" s="21"/>
    </row>
    <row r="56" spans="1:5" ht="14.25" x14ac:dyDescent="0.2">
      <c r="A56" s="23"/>
      <c r="B56" s="24" t="s">
        <v>114</v>
      </c>
    </row>
    <row r="57" spans="1:5" ht="15" x14ac:dyDescent="0.2">
      <c r="A57" s="25" t="s">
        <v>106</v>
      </c>
      <c r="B57" s="25" t="s">
        <v>107</v>
      </c>
      <c r="C57" s="25" t="s">
        <v>108</v>
      </c>
      <c r="D57" s="25" t="s">
        <v>109</v>
      </c>
      <c r="E57" s="25" t="s">
        <v>110</v>
      </c>
    </row>
    <row r="58" spans="1:5" x14ac:dyDescent="0.2">
      <c r="A58" s="22" t="s">
        <v>315</v>
      </c>
      <c r="B58" s="4" t="s">
        <v>118</v>
      </c>
      <c r="C58" s="4" t="s">
        <v>127</v>
      </c>
      <c r="D58" s="4" t="s">
        <v>247</v>
      </c>
      <c r="E58" s="26" t="s">
        <v>314</v>
      </c>
    </row>
    <row r="60" spans="1:5" ht="14.25" x14ac:dyDescent="0.2">
      <c r="A60" s="23"/>
      <c r="B60" s="24" t="s">
        <v>105</v>
      </c>
    </row>
    <row r="61" spans="1:5" ht="15" x14ac:dyDescent="0.2">
      <c r="A61" s="25" t="s">
        <v>106</v>
      </c>
      <c r="B61" s="25" t="s">
        <v>107</v>
      </c>
      <c r="C61" s="25" t="s">
        <v>108</v>
      </c>
      <c r="D61" s="25" t="s">
        <v>109</v>
      </c>
      <c r="E61" s="25" t="s">
        <v>110</v>
      </c>
    </row>
    <row r="62" spans="1:5" x14ac:dyDescent="0.2">
      <c r="A62" s="22" t="s">
        <v>313</v>
      </c>
      <c r="B62" s="4" t="s">
        <v>105</v>
      </c>
      <c r="C62" s="4" t="s">
        <v>125</v>
      </c>
      <c r="D62" s="4" t="s">
        <v>312</v>
      </c>
      <c r="E62" s="26" t="s">
        <v>311</v>
      </c>
    </row>
    <row r="63" spans="1:5" x14ac:dyDescent="0.2">
      <c r="A63" s="22" t="s">
        <v>310</v>
      </c>
      <c r="B63" s="4" t="s">
        <v>105</v>
      </c>
      <c r="C63" s="4" t="s">
        <v>309</v>
      </c>
      <c r="D63" s="4" t="s">
        <v>85</v>
      </c>
      <c r="E63" s="26" t="s">
        <v>308</v>
      </c>
    </row>
    <row r="64" spans="1:5" x14ac:dyDescent="0.2">
      <c r="A64" s="22" t="s">
        <v>145</v>
      </c>
      <c r="B64" s="4" t="s">
        <v>105</v>
      </c>
      <c r="C64" s="4" t="s">
        <v>121</v>
      </c>
      <c r="D64" s="4" t="s">
        <v>307</v>
      </c>
      <c r="E64" s="26" t="s">
        <v>306</v>
      </c>
    </row>
    <row r="65" spans="1:5" x14ac:dyDescent="0.2">
      <c r="A65" s="22" t="s">
        <v>305</v>
      </c>
      <c r="B65" s="4" t="s">
        <v>105</v>
      </c>
      <c r="C65" s="4" t="s">
        <v>119</v>
      </c>
      <c r="D65" s="4" t="s">
        <v>281</v>
      </c>
      <c r="E65" s="26" t="s">
        <v>304</v>
      </c>
    </row>
    <row r="66" spans="1:5" x14ac:dyDescent="0.2">
      <c r="A66" s="22" t="s">
        <v>303</v>
      </c>
      <c r="B66" s="4" t="s">
        <v>105</v>
      </c>
      <c r="C66" s="4" t="s">
        <v>133</v>
      </c>
      <c r="D66" s="4" t="s">
        <v>167</v>
      </c>
      <c r="E66" s="26" t="s">
        <v>302</v>
      </c>
    </row>
    <row r="67" spans="1:5" x14ac:dyDescent="0.2">
      <c r="A67" s="22" t="s">
        <v>301</v>
      </c>
      <c r="B67" s="4" t="s">
        <v>105</v>
      </c>
      <c r="C67" s="4" t="s">
        <v>125</v>
      </c>
      <c r="D67" s="4" t="s">
        <v>300</v>
      </c>
      <c r="E67" s="26" t="s">
        <v>299</v>
      </c>
    </row>
    <row r="68" spans="1:5" x14ac:dyDescent="0.2">
      <c r="A68" s="22" t="s">
        <v>298</v>
      </c>
      <c r="B68" s="4" t="s">
        <v>105</v>
      </c>
      <c r="C68" s="4" t="s">
        <v>119</v>
      </c>
      <c r="D68" s="4" t="s">
        <v>85</v>
      </c>
      <c r="E68" s="26" t="s">
        <v>297</v>
      </c>
    </row>
    <row r="70" spans="1:5" ht="14.25" x14ac:dyDescent="0.2">
      <c r="A70" s="23"/>
      <c r="B70" s="24" t="s">
        <v>131</v>
      </c>
    </row>
    <row r="71" spans="1:5" ht="15" x14ac:dyDescent="0.2">
      <c r="A71" s="25" t="s">
        <v>106</v>
      </c>
      <c r="B71" s="25" t="s">
        <v>107</v>
      </c>
      <c r="C71" s="25" t="s">
        <v>108</v>
      </c>
      <c r="D71" s="25" t="s">
        <v>109</v>
      </c>
      <c r="E71" s="25" t="s">
        <v>110</v>
      </c>
    </row>
    <row r="72" spans="1:5" x14ac:dyDescent="0.2">
      <c r="A72" s="22" t="s">
        <v>93</v>
      </c>
      <c r="B72" s="4" t="s">
        <v>132</v>
      </c>
      <c r="C72" s="4" t="s">
        <v>133</v>
      </c>
      <c r="D72" s="4" t="s">
        <v>296</v>
      </c>
      <c r="E72" s="26" t="s">
        <v>295</v>
      </c>
    </row>
    <row r="73" spans="1:5" x14ac:dyDescent="0.2">
      <c r="A73" s="22" t="s">
        <v>294</v>
      </c>
      <c r="B73" s="4" t="s">
        <v>293</v>
      </c>
      <c r="C73" s="4" t="s">
        <v>119</v>
      </c>
      <c r="D73" s="4" t="s">
        <v>292</v>
      </c>
      <c r="E73" s="26" t="s">
        <v>291</v>
      </c>
    </row>
    <row r="74" spans="1:5" x14ac:dyDescent="0.2">
      <c r="A74" s="22" t="s">
        <v>290</v>
      </c>
      <c r="B74" s="4" t="s">
        <v>289</v>
      </c>
      <c r="C74" s="4" t="s">
        <v>127</v>
      </c>
      <c r="D74" s="4" t="s">
        <v>288</v>
      </c>
      <c r="E74" s="26" t="s">
        <v>287</v>
      </c>
    </row>
  </sheetData>
  <mergeCells count="19">
    <mergeCell ref="A24:L24"/>
    <mergeCell ref="A28:L28"/>
    <mergeCell ref="A31:L31"/>
    <mergeCell ref="A5:L5"/>
    <mergeCell ref="A8:L8"/>
    <mergeCell ref="A12:L12"/>
    <mergeCell ref="A15:L15"/>
    <mergeCell ref="A19:L19"/>
    <mergeCell ref="A1:M2"/>
    <mergeCell ref="G3:J3"/>
    <mergeCell ref="A3:A4"/>
    <mergeCell ref="B3:B4"/>
    <mergeCell ref="C3:C4"/>
    <mergeCell ref="M3:M4"/>
    <mergeCell ref="F3:F4"/>
    <mergeCell ref="E3:E4"/>
    <mergeCell ref="D3:D4"/>
    <mergeCell ref="K3:K4"/>
    <mergeCell ref="L3:L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Normal="100" workbookViewId="0">
      <selection activeCell="B13" sqref="B13"/>
    </sheetView>
  </sheetViews>
  <sheetFormatPr defaultColWidth="9.140625" defaultRowHeight="12.75" x14ac:dyDescent="0.2"/>
  <cols>
    <col min="1" max="1" width="24.7109375" style="4" bestFit="1" customWidth="1"/>
    <col min="2" max="2" width="25.28515625" style="4" bestFit="1" customWidth="1"/>
    <col min="3" max="3" width="10.140625" style="4" bestFit="1" customWidth="1"/>
    <col min="4" max="4" width="8.28515625" style="4" bestFit="1" customWidth="1"/>
    <col min="5" max="6" width="21.7109375" style="4" bestFit="1" customWidth="1"/>
    <col min="7" max="9" width="5.5703125" style="3" bestFit="1" customWidth="1"/>
    <col min="10" max="10" width="4.5703125" style="3" bestFit="1" customWidth="1"/>
    <col min="11" max="11" width="7.7109375" style="4" bestFit="1" customWidth="1"/>
    <col min="12" max="12" width="8.5703125" style="3" bestFit="1" customWidth="1"/>
    <col min="13" max="13" width="8.28515625" style="4" bestFit="1" customWidth="1"/>
    <col min="14" max="16384" width="9.140625" style="3"/>
  </cols>
  <sheetData>
    <row r="1" spans="1:13" s="2" customFormat="1" ht="28.9" customHeight="1" x14ac:dyDescent="0.2">
      <c r="A1" s="33" t="s">
        <v>411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s="2" customFormat="1" ht="61.9" customHeight="1" thickBot="1" x14ac:dyDescent="0.25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3" spans="1:13" s="1" customFormat="1" ht="12.75" customHeight="1" x14ac:dyDescent="0.2">
      <c r="A3" s="39" t="s">
        <v>0</v>
      </c>
      <c r="B3" s="41" t="s">
        <v>5</v>
      </c>
      <c r="C3" s="41" t="s">
        <v>6</v>
      </c>
      <c r="D3" s="31" t="s">
        <v>8</v>
      </c>
      <c r="E3" s="31" t="s">
        <v>3</v>
      </c>
      <c r="F3" s="31" t="s">
        <v>7</v>
      </c>
      <c r="G3" s="31" t="s">
        <v>238</v>
      </c>
      <c r="H3" s="31"/>
      <c r="I3" s="31"/>
      <c r="J3" s="31"/>
      <c r="K3" s="31" t="s">
        <v>139</v>
      </c>
      <c r="L3" s="31" t="s">
        <v>2</v>
      </c>
      <c r="M3" s="42" t="s">
        <v>1</v>
      </c>
    </row>
    <row r="4" spans="1:13" s="1" customFormat="1" ht="52.15" customHeight="1" thickBot="1" x14ac:dyDescent="0.25">
      <c r="A4" s="40"/>
      <c r="B4" s="32"/>
      <c r="C4" s="32"/>
      <c r="D4" s="32"/>
      <c r="E4" s="32"/>
      <c r="F4" s="32"/>
      <c r="G4" s="6">
        <v>1</v>
      </c>
      <c r="H4" s="6">
        <v>2</v>
      </c>
      <c r="I4" s="6">
        <v>3</v>
      </c>
      <c r="J4" s="6" t="s">
        <v>4</v>
      </c>
      <c r="K4" s="32"/>
      <c r="L4" s="32"/>
      <c r="M4" s="43"/>
    </row>
    <row r="5" spans="1:13" ht="15" x14ac:dyDescent="0.2">
      <c r="A5" s="29" t="s">
        <v>79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3" x14ac:dyDescent="0.2">
      <c r="A6" s="7" t="s">
        <v>140</v>
      </c>
      <c r="B6" s="7" t="s">
        <v>141</v>
      </c>
      <c r="C6" s="7" t="s">
        <v>142</v>
      </c>
      <c r="D6" s="7" t="str">
        <f>"0,5625"</f>
        <v>0,5625</v>
      </c>
      <c r="E6" s="7" t="s">
        <v>15</v>
      </c>
      <c r="F6" s="7" t="s">
        <v>16</v>
      </c>
      <c r="G6" s="8" t="s">
        <v>325</v>
      </c>
      <c r="H6" s="8" t="s">
        <v>325</v>
      </c>
      <c r="I6" s="9" t="s">
        <v>325</v>
      </c>
      <c r="J6" s="8"/>
      <c r="K6" s="7" t="str">
        <f>"285,0"</f>
        <v>285,0</v>
      </c>
      <c r="L6" s="9" t="str">
        <f>"160,3125"</f>
        <v>160,3125</v>
      </c>
      <c r="M6" s="7" t="s">
        <v>144</v>
      </c>
    </row>
    <row r="8" spans="1:13" ht="15" x14ac:dyDescent="0.2">
      <c r="E8" s="19" t="s">
        <v>98</v>
      </c>
    </row>
    <row r="9" spans="1:13" ht="15" x14ac:dyDescent="0.2">
      <c r="E9" s="19" t="s">
        <v>99</v>
      </c>
    </row>
    <row r="10" spans="1:13" ht="15" x14ac:dyDescent="0.2">
      <c r="E10" s="19" t="s">
        <v>100</v>
      </c>
    </row>
    <row r="11" spans="1:13" ht="15" x14ac:dyDescent="0.2">
      <c r="E11" s="19" t="s">
        <v>101</v>
      </c>
    </row>
    <row r="12" spans="1:13" ht="15" x14ac:dyDescent="0.2">
      <c r="E12" s="19" t="s">
        <v>101</v>
      </c>
    </row>
    <row r="13" spans="1:13" ht="15" x14ac:dyDescent="0.2">
      <c r="E13" s="19" t="s">
        <v>102</v>
      </c>
    </row>
    <row r="14" spans="1:13" ht="15" x14ac:dyDescent="0.2">
      <c r="E14" s="19"/>
    </row>
    <row r="16" spans="1:13" ht="18" x14ac:dyDescent="0.25">
      <c r="A16" s="20" t="s">
        <v>103</v>
      </c>
      <c r="B16" s="20"/>
    </row>
    <row r="17" spans="1:5" ht="15" x14ac:dyDescent="0.2">
      <c r="A17" s="21" t="s">
        <v>113</v>
      </c>
      <c r="B17" s="21"/>
    </row>
    <row r="18" spans="1:5" ht="14.25" x14ac:dyDescent="0.2">
      <c r="A18" s="23"/>
      <c r="B18" s="24" t="s">
        <v>105</v>
      </c>
    </row>
    <row r="19" spans="1:5" ht="15" x14ac:dyDescent="0.2">
      <c r="A19" s="25" t="s">
        <v>106</v>
      </c>
      <c r="B19" s="25" t="s">
        <v>107</v>
      </c>
      <c r="C19" s="25" t="s">
        <v>108</v>
      </c>
      <c r="D19" s="25" t="s">
        <v>109</v>
      </c>
      <c r="E19" s="25" t="s">
        <v>110</v>
      </c>
    </row>
    <row r="20" spans="1:5" x14ac:dyDescent="0.2">
      <c r="A20" s="22" t="s">
        <v>145</v>
      </c>
      <c r="B20" s="4" t="s">
        <v>105</v>
      </c>
      <c r="C20" s="4" t="s">
        <v>121</v>
      </c>
      <c r="D20" s="4" t="s">
        <v>325</v>
      </c>
      <c r="E20" s="26" t="s">
        <v>362</v>
      </c>
    </row>
  </sheetData>
  <mergeCells count="12">
    <mergeCell ref="A5:L5"/>
    <mergeCell ref="D3:D4"/>
    <mergeCell ref="K3:K4"/>
    <mergeCell ref="L3:L4"/>
    <mergeCell ref="A1:M2"/>
    <mergeCell ref="G3:J3"/>
    <mergeCell ref="A3:A4"/>
    <mergeCell ref="B3:B4"/>
    <mergeCell ref="C3:C4"/>
    <mergeCell ref="M3:M4"/>
    <mergeCell ref="F3:F4"/>
    <mergeCell ref="E3:E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AWPC жим лежа без экипировки</vt:lpstr>
      <vt:lpstr>AWPC жим лежа в многослойной</vt:lpstr>
      <vt:lpstr>AWPC жим лежа в однослойной</vt:lpstr>
      <vt:lpstr>AWPC жим лежа в ст софт эк</vt:lpstr>
      <vt:lpstr>AWPC классичесический пауэр</vt:lpstr>
      <vt:lpstr>AWPC пауэрлифтинг без эк</vt:lpstr>
      <vt:lpstr>AWPC пауэрлифтинг однослой</vt:lpstr>
      <vt:lpstr>AWPC тяга становая без эк</vt:lpstr>
      <vt:lpstr>AWPC тяга становая в мн. эк.</vt:lpstr>
      <vt:lpstr>AWPC тяга становая в одн. эк.</vt:lpstr>
      <vt:lpstr>WPC жим лежа без эк.</vt:lpstr>
      <vt:lpstr>WPC жим лежа в од. эк.</vt:lpstr>
      <vt:lpstr>WPC классичесический пауэр.</vt:lpstr>
      <vt:lpstr>WPC пауэрлифтинг без эк.</vt:lpstr>
      <vt:lpstr>WPC пауэрлифтинг в од. эк.</vt:lpstr>
      <vt:lpstr>WPC тяга становая без эк.</vt:lpstr>
      <vt:lpstr>WPC тяга становая в од. эк.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Pete</cp:lastModifiedBy>
  <cp:lastPrinted>2015-07-16T19:10:53Z</cp:lastPrinted>
  <dcterms:created xsi:type="dcterms:W3CDTF">2002-06-16T13:36:44Z</dcterms:created>
  <dcterms:modified xsi:type="dcterms:W3CDTF">2020-10-15T12:57:10Z</dcterms:modified>
</cp:coreProperties>
</file>