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нь/"/>
    </mc:Choice>
  </mc:AlternateContent>
  <xr:revisionPtr revIDLastSave="0" documentId="13_ncr:1_{A4A66CDE-97F4-1048-B9AC-663C7ED4C08F}" xr6:coauthVersionLast="45" xr6:coauthVersionMax="45" xr10:uidLastSave="{00000000-0000-0000-0000-000000000000}"/>
  <bookViews>
    <workbookView xWindow="1440" yWindow="600" windowWidth="26840" windowHeight="15980" firstSheet="18" activeTab="18" xr2:uid="{00000000-000D-0000-FFFF-FFFF00000000}"/>
  </bookViews>
  <sheets>
    <sheet name="GPA ПЛ без экипировки ДК" sheetId="6" r:id="rId1"/>
    <sheet name="GPA ПЛ без экипировки" sheetId="12" r:id="rId2"/>
    <sheet name="GPA ПЛ в бинтах ДК" sheetId="10" r:id="rId3"/>
    <sheet name="GPA ПЛ в бинтах" sheetId="8" r:id="rId4"/>
    <sheet name="GPA Двоеборье без экип ДК" sheetId="32" r:id="rId5"/>
    <sheet name="GPA Двоеборье без экип" sheetId="31" r:id="rId6"/>
    <sheet name="IPO Двоеборье экип" sheetId="33" r:id="rId7"/>
    <sheet name="GPA Присед без экипировки" sheetId="27" r:id="rId8"/>
    <sheet name="GPA Присед в бинтах" sheetId="29" r:id="rId9"/>
    <sheet name="GPA Жим без экипировки ДК" sheetId="15" r:id="rId10"/>
    <sheet name="GPA Жим без экипировки" sheetId="13" r:id="rId11"/>
    <sheet name="IPO Жим однослой ДК" sheetId="17" r:id="rId12"/>
    <sheet name="IPO Жим однослой" sheetId="16" r:id="rId13"/>
    <sheet name="СПР Жим софт однопетельная ДК" sheetId="60" r:id="rId14"/>
    <sheet name="СПР Жим софт однопетельная" sheetId="59" r:id="rId15"/>
    <sheet name="СПР Жим софт многопетельная" sheetId="61" r:id="rId16"/>
    <sheet name="GPA Тяга без экипировки ДК" sheetId="20" r:id="rId17"/>
    <sheet name="GPA Тяга без экипировки" sheetId="19" r:id="rId18"/>
    <sheet name="IPO Тяга в экипировке" sheetId="21" r:id="rId1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61" l="1"/>
  <c r="K13" i="61"/>
  <c r="L10" i="61"/>
  <c r="L9" i="61"/>
  <c r="L6" i="61"/>
  <c r="K6" i="61"/>
  <c r="L18" i="60"/>
  <c r="K18" i="60"/>
  <c r="L15" i="60"/>
  <c r="K15" i="60"/>
  <c r="L12" i="60"/>
  <c r="K12" i="60"/>
  <c r="L9" i="60"/>
  <c r="K9" i="60"/>
  <c r="L6" i="60"/>
  <c r="L6" i="59"/>
  <c r="P6" i="33"/>
  <c r="O6" i="33"/>
  <c r="P12" i="32"/>
  <c r="O12" i="32"/>
  <c r="P9" i="32"/>
  <c r="O9" i="32"/>
  <c r="P6" i="32"/>
  <c r="O6" i="32"/>
  <c r="P10" i="31"/>
  <c r="O10" i="31"/>
  <c r="P9" i="31"/>
  <c r="O9" i="31"/>
  <c r="P6" i="31"/>
  <c r="O6" i="31"/>
  <c r="L7" i="29"/>
  <c r="K7" i="29"/>
  <c r="L6" i="29"/>
  <c r="K6" i="29"/>
  <c r="L6" i="27"/>
  <c r="K6" i="27"/>
  <c r="L6" i="21"/>
  <c r="K6" i="21"/>
  <c r="L29" i="20"/>
  <c r="K29" i="20"/>
  <c r="L26" i="20"/>
  <c r="K26" i="20"/>
  <c r="L25" i="20"/>
  <c r="K25" i="20"/>
  <c r="L22" i="20"/>
  <c r="K22" i="20"/>
  <c r="L19" i="20"/>
  <c r="K19" i="20"/>
  <c r="L18" i="20"/>
  <c r="K18" i="20"/>
  <c r="L17" i="20"/>
  <c r="K17" i="20"/>
  <c r="L14" i="20"/>
  <c r="K14" i="20"/>
  <c r="L11" i="20"/>
  <c r="K11" i="20"/>
  <c r="L8" i="20"/>
  <c r="K8" i="20"/>
  <c r="L7" i="20"/>
  <c r="K7" i="20"/>
  <c r="L6" i="20"/>
  <c r="K6" i="20"/>
  <c r="L30" i="19"/>
  <c r="K30" i="19"/>
  <c r="L27" i="19"/>
  <c r="K27" i="19"/>
  <c r="L24" i="19"/>
  <c r="K24" i="19"/>
  <c r="L21" i="19"/>
  <c r="K21" i="19"/>
  <c r="L18" i="19"/>
  <c r="K18" i="19"/>
  <c r="L15" i="19"/>
  <c r="K15" i="19"/>
  <c r="L12" i="19"/>
  <c r="K12" i="19"/>
  <c r="L9" i="19"/>
  <c r="K9" i="19"/>
  <c r="L6" i="19"/>
  <c r="K6" i="19"/>
  <c r="L10" i="17"/>
  <c r="K10" i="17"/>
  <c r="L7" i="17"/>
  <c r="K7" i="17"/>
  <c r="L6" i="17"/>
  <c r="K6" i="17"/>
  <c r="L6" i="16"/>
  <c r="K6" i="16"/>
  <c r="L36" i="15"/>
  <c r="K36" i="15"/>
  <c r="L33" i="15"/>
  <c r="L32" i="15"/>
  <c r="K32" i="15"/>
  <c r="L31" i="15"/>
  <c r="K31" i="15"/>
  <c r="L30" i="15"/>
  <c r="K30" i="15"/>
  <c r="L27" i="15"/>
  <c r="K27" i="15"/>
  <c r="L26" i="15"/>
  <c r="K26" i="15"/>
  <c r="L23" i="15"/>
  <c r="K23" i="15"/>
  <c r="L22" i="15"/>
  <c r="K22" i="15"/>
  <c r="L19" i="15"/>
  <c r="K19" i="15"/>
  <c r="L18" i="15"/>
  <c r="L15" i="15"/>
  <c r="K15" i="15"/>
  <c r="L12" i="15"/>
  <c r="K12" i="15"/>
  <c r="L11" i="15"/>
  <c r="K11" i="15"/>
  <c r="L10" i="15"/>
  <c r="K10" i="15"/>
  <c r="L7" i="15"/>
  <c r="L6" i="15"/>
  <c r="K6" i="15"/>
  <c r="L25" i="13"/>
  <c r="K25" i="13"/>
  <c r="L22" i="13"/>
  <c r="K22" i="13"/>
  <c r="L21" i="13"/>
  <c r="K21" i="13"/>
  <c r="L18" i="13"/>
  <c r="K18" i="13"/>
  <c r="L17" i="13"/>
  <c r="K17" i="13"/>
  <c r="L16" i="13"/>
  <c r="K16" i="13"/>
  <c r="L15" i="13"/>
  <c r="K15" i="13"/>
  <c r="L12" i="13"/>
  <c r="K12" i="13"/>
  <c r="L11" i="13"/>
  <c r="K11" i="13"/>
  <c r="L8" i="13"/>
  <c r="K8" i="13"/>
  <c r="L7" i="13"/>
  <c r="K7" i="13"/>
  <c r="L6" i="13"/>
  <c r="K6" i="13"/>
  <c r="T10" i="12"/>
  <c r="S10" i="12"/>
  <c r="T9" i="12"/>
  <c r="S9" i="12"/>
  <c r="T6" i="12"/>
  <c r="S6" i="12"/>
  <c r="T9" i="10"/>
  <c r="S9" i="10"/>
  <c r="T6" i="10"/>
  <c r="S6" i="10"/>
  <c r="T20" i="8"/>
  <c r="S20" i="8"/>
  <c r="T17" i="8"/>
  <c r="S17" i="8"/>
  <c r="T16" i="8"/>
  <c r="S16" i="8"/>
  <c r="T13" i="8"/>
  <c r="S13" i="8"/>
  <c r="T12" i="8"/>
  <c r="S12" i="8"/>
  <c r="T9" i="8"/>
  <c r="S9" i="8"/>
  <c r="T6" i="8"/>
  <c r="S6" i="8"/>
  <c r="T17" i="6"/>
  <c r="T16" i="6"/>
  <c r="S16" i="6"/>
  <c r="T15" i="6"/>
  <c r="S15" i="6"/>
  <c r="T14" i="6"/>
  <c r="S14" i="6"/>
  <c r="T13" i="6"/>
  <c r="S13" i="6"/>
  <c r="T10" i="6"/>
  <c r="S10" i="6"/>
  <c r="T9" i="6"/>
  <c r="S9" i="6"/>
  <c r="T6" i="6"/>
</calcChain>
</file>

<file path=xl/sharedStrings.xml><?xml version="1.0" encoding="utf-8"?>
<sst xmlns="http://schemas.openxmlformats.org/spreadsheetml/2006/main" count="1413" uniqueCount="429">
  <si>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</si>
  <si>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</si>
  <si>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</si>
  <si>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</si>
  <si>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</si>
  <si>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</si>
  <si>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</si>
  <si>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</si>
  <si>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</si>
  <si>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</si>
  <si>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</si>
  <si>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48</t>
  </si>
  <si>
    <t>Батаева Елена</t>
  </si>
  <si>
    <t>Открытая (13.01.1995)/27</t>
  </si>
  <si>
    <t>47,00</t>
  </si>
  <si>
    <t>65,0</t>
  </si>
  <si>
    <t>ВЕСОВАЯ КАТЕГОРИЯ   67.5</t>
  </si>
  <si>
    <t>Шаврина Валерия</t>
  </si>
  <si>
    <t>61,30</t>
  </si>
  <si>
    <t>90,0</t>
  </si>
  <si>
    <t>95,0</t>
  </si>
  <si>
    <t>100,0</t>
  </si>
  <si>
    <t>50,0</t>
  </si>
  <si>
    <t>52,5</t>
  </si>
  <si>
    <t>55,0</t>
  </si>
  <si>
    <t>87,5</t>
  </si>
  <si>
    <t>92,5</t>
  </si>
  <si>
    <t>97,5</t>
  </si>
  <si>
    <t xml:space="preserve">Плотников Ф. </t>
  </si>
  <si>
    <t>Коблова Ирина</t>
  </si>
  <si>
    <t>Открытая (13.07.1987)/34</t>
  </si>
  <si>
    <t>63,40</t>
  </si>
  <si>
    <t>85,0</t>
  </si>
  <si>
    <t>57,5</t>
  </si>
  <si>
    <t>60,0</t>
  </si>
  <si>
    <t>115,0</t>
  </si>
  <si>
    <t>120,0</t>
  </si>
  <si>
    <t>125,0</t>
  </si>
  <si>
    <t>ВЕСОВАЯ КАТЕГОРИЯ   75</t>
  </si>
  <si>
    <t>Беляев Тимофей</t>
  </si>
  <si>
    <t>70,50</t>
  </si>
  <si>
    <t>80,0</t>
  </si>
  <si>
    <t>67,5</t>
  </si>
  <si>
    <t>110,0</t>
  </si>
  <si>
    <t>Дьяков Кирилл</t>
  </si>
  <si>
    <t>74,50</t>
  </si>
  <si>
    <t>70,0</t>
  </si>
  <si>
    <t>75,0</t>
  </si>
  <si>
    <t>130,0</t>
  </si>
  <si>
    <t>140,0</t>
  </si>
  <si>
    <t>Капитонов Вадим</t>
  </si>
  <si>
    <t>71,20</t>
  </si>
  <si>
    <t>Крайнов Андрей</t>
  </si>
  <si>
    <t>Открытая (28.05.1985)/37</t>
  </si>
  <si>
    <t>150,0</t>
  </si>
  <si>
    <t>160,0</t>
  </si>
  <si>
    <t>200,0</t>
  </si>
  <si>
    <t>207,5</t>
  </si>
  <si>
    <t>Текутов Валерий</t>
  </si>
  <si>
    <t>Открытая (25.06.1996)/25</t>
  </si>
  <si>
    <t>74,60</t>
  </si>
  <si>
    <t>145,0</t>
  </si>
  <si>
    <t xml:space="preserve">ФИО </t>
  </si>
  <si>
    <t xml:space="preserve">Возрастная группа </t>
  </si>
  <si>
    <t xml:space="preserve">Reshel </t>
  </si>
  <si>
    <t xml:space="preserve">Открытая </t>
  </si>
  <si>
    <t xml:space="preserve">Мужчины </t>
  </si>
  <si>
    <t>-</t>
  </si>
  <si>
    <t>1</t>
  </si>
  <si>
    <t>2</t>
  </si>
  <si>
    <t>ВЕСОВАЯ КАТЕГОРИЯ   60</t>
  </si>
  <si>
    <t>Юсупова Роза</t>
  </si>
  <si>
    <t>Открытая (01.04.1981)/41</t>
  </si>
  <si>
    <t>58,40</t>
  </si>
  <si>
    <t>102,5</t>
  </si>
  <si>
    <t>105,0</t>
  </si>
  <si>
    <t>ВЕСОВАЯ КАТЕГОРИЯ   82.5</t>
  </si>
  <si>
    <t>Морозова Марина</t>
  </si>
  <si>
    <t>81,80</t>
  </si>
  <si>
    <t>220,0</t>
  </si>
  <si>
    <t>230,0</t>
  </si>
  <si>
    <t>240,0</t>
  </si>
  <si>
    <t>205,0</t>
  </si>
  <si>
    <t>215,0</t>
  </si>
  <si>
    <t>ВЕСОВАЯ КАТЕГОРИЯ   90</t>
  </si>
  <si>
    <t>Соболев Александр</t>
  </si>
  <si>
    <t>Открытая (18.08.1987)/34</t>
  </si>
  <si>
    <t>88,30</t>
  </si>
  <si>
    <t>162,5</t>
  </si>
  <si>
    <t>190,0</t>
  </si>
  <si>
    <t>210,0</t>
  </si>
  <si>
    <t>Садчиков Александр</t>
  </si>
  <si>
    <t>Открытая (20.06.1987)/34</t>
  </si>
  <si>
    <t>89,10</t>
  </si>
  <si>
    <t>225,0</t>
  </si>
  <si>
    <t>ВЕСОВАЯ КАТЕГОРИЯ   100</t>
  </si>
  <si>
    <t>Пинясов Сергей</t>
  </si>
  <si>
    <t>Открытая (14.11.1994)/27</t>
  </si>
  <si>
    <t>95,20</t>
  </si>
  <si>
    <t>260,0</t>
  </si>
  <si>
    <t>270,0</t>
  </si>
  <si>
    <t>280,0</t>
  </si>
  <si>
    <t>170,0</t>
  </si>
  <si>
    <t>177,5</t>
  </si>
  <si>
    <t>180,0</t>
  </si>
  <si>
    <t>Никитин Андрей</t>
  </si>
  <si>
    <t>Открытая (08.04.1995)/27</t>
  </si>
  <si>
    <t>99,50</t>
  </si>
  <si>
    <t>235,0</t>
  </si>
  <si>
    <t>255,0</t>
  </si>
  <si>
    <t>250,0</t>
  </si>
  <si>
    <t>ВЕСОВАЯ КАТЕГОРИЯ   110</t>
  </si>
  <si>
    <t>Туманов Андрей</t>
  </si>
  <si>
    <t>Открытая (02.04.1995)/27</t>
  </si>
  <si>
    <t>110,00</t>
  </si>
  <si>
    <t>290,0</t>
  </si>
  <si>
    <t>300,0</t>
  </si>
  <si>
    <t>155,0</t>
  </si>
  <si>
    <t>165,0</t>
  </si>
  <si>
    <t xml:space="preserve">Амазян Д. </t>
  </si>
  <si>
    <t>100</t>
  </si>
  <si>
    <t>Жабунин Станислав</t>
  </si>
  <si>
    <t>78,50</t>
  </si>
  <si>
    <t>175,0</t>
  </si>
  <si>
    <t>Ягнаков Иван</t>
  </si>
  <si>
    <t>Открытая (16.02.2001)/21</t>
  </si>
  <si>
    <t>88,10</t>
  </si>
  <si>
    <t>127,5</t>
  </si>
  <si>
    <t>182,5</t>
  </si>
  <si>
    <t>90</t>
  </si>
  <si>
    <t>Щербатых Максим</t>
  </si>
  <si>
    <t>58,70</t>
  </si>
  <si>
    <t>Ляликов Павел</t>
  </si>
  <si>
    <t>Открытая (05.07.1994)/27</t>
  </si>
  <si>
    <t>86,70</t>
  </si>
  <si>
    <t>Конивец Иван</t>
  </si>
  <si>
    <t>Открытая (08.12.1989)/32</t>
  </si>
  <si>
    <t>83,30</t>
  </si>
  <si>
    <t>107,5</t>
  </si>
  <si>
    <t>Спиридонок Станислав</t>
  </si>
  <si>
    <t>Открытая (06.10.1986)/35</t>
  </si>
  <si>
    <t>85,50</t>
  </si>
  <si>
    <t>185,0</t>
  </si>
  <si>
    <t>Кущ Максим</t>
  </si>
  <si>
    <t>Открытая (09.03.1998)/24</t>
  </si>
  <si>
    <t>98,40</t>
  </si>
  <si>
    <t>Мишура Максим</t>
  </si>
  <si>
    <t>Открытая (13.08.1987)/34</t>
  </si>
  <si>
    <t>97,30</t>
  </si>
  <si>
    <t>172,5</t>
  </si>
  <si>
    <t>Карпенко Ярослав</t>
  </si>
  <si>
    <t>105,20</t>
  </si>
  <si>
    <t>112,5</t>
  </si>
  <si>
    <t>Адаев Рустам</t>
  </si>
  <si>
    <t>103,10</t>
  </si>
  <si>
    <t>195,0</t>
  </si>
  <si>
    <t>212,5</t>
  </si>
  <si>
    <t>Захарин Виктор</t>
  </si>
  <si>
    <t>101,20</t>
  </si>
  <si>
    <t>Яковлев Александр</t>
  </si>
  <si>
    <t>104,40</t>
  </si>
  <si>
    <t>ВЕСОВАЯ КАТЕГОРИЯ   125</t>
  </si>
  <si>
    <t>Маевский Алексей</t>
  </si>
  <si>
    <t>Открытая (30.10.1991)/30</t>
  </si>
  <si>
    <t>112,00</t>
  </si>
  <si>
    <t>202,5</t>
  </si>
  <si>
    <t>Симонов Максим</t>
  </si>
  <si>
    <t>Открытая (23.04.1996)/26</t>
  </si>
  <si>
    <t>115,10</t>
  </si>
  <si>
    <t>ВЕСОВАЯ КАТЕГОРИЯ   140</t>
  </si>
  <si>
    <t>Лёвин Денис</t>
  </si>
  <si>
    <t>Открытая (11.11.1989)/32</t>
  </si>
  <si>
    <t>127,10</t>
  </si>
  <si>
    <t xml:space="preserve">Результат </t>
  </si>
  <si>
    <t>125</t>
  </si>
  <si>
    <t>140</t>
  </si>
  <si>
    <t>Результат</t>
  </si>
  <si>
    <t>3</t>
  </si>
  <si>
    <t>ВЕСОВАЯ КАТЕГОРИЯ   56</t>
  </si>
  <si>
    <t>Воробьева Екатерина</t>
  </si>
  <si>
    <t>55,20</t>
  </si>
  <si>
    <t>40,0</t>
  </si>
  <si>
    <t>45,0</t>
  </si>
  <si>
    <t>Ивановская Ольга</t>
  </si>
  <si>
    <t>55,50</t>
  </si>
  <si>
    <t>Маковозова Анастасия</t>
  </si>
  <si>
    <t>Открытая (05.04.1998)/24</t>
  </si>
  <si>
    <t>62,5</t>
  </si>
  <si>
    <t>Иванова Альфия</t>
  </si>
  <si>
    <t>Открытая (10.04.1974)/48</t>
  </si>
  <si>
    <t>ВЕСОВАЯ КАТЕГОРИЯ   52</t>
  </si>
  <si>
    <t>Ширяев Валерий</t>
  </si>
  <si>
    <t>50,80</t>
  </si>
  <si>
    <t>42,5</t>
  </si>
  <si>
    <t>82,5</t>
  </si>
  <si>
    <t>Мадоянц Андрей</t>
  </si>
  <si>
    <t>66,10</t>
  </si>
  <si>
    <t>Айвазян Размик</t>
  </si>
  <si>
    <t>67,00</t>
  </si>
  <si>
    <t>Двизов Юрий</t>
  </si>
  <si>
    <t>117,5</t>
  </si>
  <si>
    <t>Скалазубов Сергей</t>
  </si>
  <si>
    <t>Открытая (27.05.1996)/26</t>
  </si>
  <si>
    <t>84,80</t>
  </si>
  <si>
    <t>152,5</t>
  </si>
  <si>
    <t>Тугушев Рашид</t>
  </si>
  <si>
    <t>Открытая (30.05.1980)/42</t>
  </si>
  <si>
    <t>85,70</t>
  </si>
  <si>
    <t>132,5</t>
  </si>
  <si>
    <t>135,0</t>
  </si>
  <si>
    <t>Пузанов Кирилл</t>
  </si>
  <si>
    <t>92,90</t>
  </si>
  <si>
    <t>137,5</t>
  </si>
  <si>
    <t>Клименков Владимир</t>
  </si>
  <si>
    <t>Открытая (08.06.1984)/38</t>
  </si>
  <si>
    <t>98,00</t>
  </si>
  <si>
    <t>Белосохов Денис</t>
  </si>
  <si>
    <t>Открытая (07.02.1998)/24</t>
  </si>
  <si>
    <t>98,60</t>
  </si>
  <si>
    <t>Нестеров Никита</t>
  </si>
  <si>
    <t>Открытая (29.07.1982)/39</t>
  </si>
  <si>
    <t>98,10</t>
  </si>
  <si>
    <t>Кувакин Владимир</t>
  </si>
  <si>
    <t>Открытая (21.01.1987)/35</t>
  </si>
  <si>
    <t>108,00</t>
  </si>
  <si>
    <t>167,5</t>
  </si>
  <si>
    <t>Самардин Алексей</t>
  </si>
  <si>
    <t>Открытая (08.09.1983)/38</t>
  </si>
  <si>
    <t>79,80</t>
  </si>
  <si>
    <t>Лопырев Владимир</t>
  </si>
  <si>
    <t>Открытая (05.08.1972)/49</t>
  </si>
  <si>
    <t>80,30</t>
  </si>
  <si>
    <t>Александров Константин</t>
  </si>
  <si>
    <t>Открытая (01.10.2008)/13</t>
  </si>
  <si>
    <t>99,10</t>
  </si>
  <si>
    <t>247,5</t>
  </si>
  <si>
    <t>Кострова Алина</t>
  </si>
  <si>
    <t>64,50</t>
  </si>
  <si>
    <t>Малиновская Виктория</t>
  </si>
  <si>
    <t>Открытая (05.10.1983)/38</t>
  </si>
  <si>
    <t>71,10</t>
  </si>
  <si>
    <t>245,0</t>
  </si>
  <si>
    <t>Казарина Елена</t>
  </si>
  <si>
    <t>75,30</t>
  </si>
  <si>
    <t>187,5</t>
  </si>
  <si>
    <t>197,5</t>
  </si>
  <si>
    <t>Дорошенко Данила</t>
  </si>
  <si>
    <t>65,60</t>
  </si>
  <si>
    <t>Никитин Сергей</t>
  </si>
  <si>
    <t>72,90</t>
  </si>
  <si>
    <t>237,5</t>
  </si>
  <si>
    <t>Кумсков Станислав</t>
  </si>
  <si>
    <t>82,40</t>
  </si>
  <si>
    <t>287,5</t>
  </si>
  <si>
    <t>Любецкий Никита</t>
  </si>
  <si>
    <t>86,00</t>
  </si>
  <si>
    <t>Киселев Алексей</t>
  </si>
  <si>
    <t>100,00</t>
  </si>
  <si>
    <t>Чумакова Олеся</t>
  </si>
  <si>
    <t>74,00</t>
  </si>
  <si>
    <t>142,5</t>
  </si>
  <si>
    <t>Лукашева Ольга</t>
  </si>
  <si>
    <t>73,20</t>
  </si>
  <si>
    <t>122,5</t>
  </si>
  <si>
    <t>Козменко Елена</t>
  </si>
  <si>
    <t>73,60</t>
  </si>
  <si>
    <t>Яблонских Светлана</t>
  </si>
  <si>
    <t>157,5</t>
  </si>
  <si>
    <t>Жук Ефим</t>
  </si>
  <si>
    <t>72,80</t>
  </si>
  <si>
    <t>Кадиев Артур</t>
  </si>
  <si>
    <t>Открытая (26.01.1987)/35</t>
  </si>
  <si>
    <t>85,80</t>
  </si>
  <si>
    <t>Корчагин Вадим</t>
  </si>
  <si>
    <t>Открытая (18.11.2003)/18</t>
  </si>
  <si>
    <t>96,40</t>
  </si>
  <si>
    <t>Козлов Артём</t>
  </si>
  <si>
    <t>Открытая (26.12.1991)/30</t>
  </si>
  <si>
    <t>106,90</t>
  </si>
  <si>
    <t>275,0</t>
  </si>
  <si>
    <t>Открытая (10.10.1978)/43</t>
  </si>
  <si>
    <t>Терехов Никита</t>
  </si>
  <si>
    <t>Открытая (10.06.1997)/25</t>
  </si>
  <si>
    <t>91,40</t>
  </si>
  <si>
    <t>Самойлов Сергей</t>
  </si>
  <si>
    <t>93,60</t>
  </si>
  <si>
    <t>Ахмедов Асаф</t>
  </si>
  <si>
    <t>88,20</t>
  </si>
  <si>
    <t>Эликашвили Марина</t>
  </si>
  <si>
    <t>54,00</t>
  </si>
  <si>
    <t>Вахрамеев Владислав</t>
  </si>
  <si>
    <t>Открытая (01.05.1989)/33</t>
  </si>
  <si>
    <t>68,80</t>
  </si>
  <si>
    <t>Раевский Сергей</t>
  </si>
  <si>
    <t>88,70</t>
  </si>
  <si>
    <t>147,5</t>
  </si>
  <si>
    <t>Кремянский Павел</t>
  </si>
  <si>
    <t>Открытая (01.03.1993)/29</t>
  </si>
  <si>
    <t>Тюляков Владимир</t>
  </si>
  <si>
    <t>Открытая (03.09.1989)/32</t>
  </si>
  <si>
    <t>117,50</t>
  </si>
  <si>
    <t>Васильев Дмитрий</t>
  </si>
  <si>
    <t>Открытая (18.09.1989)/32</t>
  </si>
  <si>
    <t>97,00</t>
  </si>
  <si>
    <t>267,5</t>
  </si>
  <si>
    <t>285,0</t>
  </si>
  <si>
    <t>Хмелев Александр</t>
  </si>
  <si>
    <t>Открытая (19.09.1971)/50</t>
  </si>
  <si>
    <t>120,00</t>
  </si>
  <si>
    <t>390,0</t>
  </si>
  <si>
    <t>400,0</t>
  </si>
  <si>
    <t xml:space="preserve">Козырев О. </t>
  </si>
  <si>
    <t>Кусакин Михаил</t>
  </si>
  <si>
    <t>Открытая (28.01.1985)/37</t>
  </si>
  <si>
    <t>136,50</t>
  </si>
  <si>
    <t>420,0</t>
  </si>
  <si>
    <t>Открытый Чемпионат Евразии
СПР Жим лежа в многопетельной софт экипировке
Волжский/Волгоградская область, 18 июня 2022 года</t>
  </si>
  <si>
    <t>Открытый Чемпионат Евразии
СПР Жим лежа в однопетельной софт экипировке ДК
Волжский/Волгоградская область, 18 июня 2022 года</t>
  </si>
  <si>
    <t>Открытый Чемпионат Евразии
СПР Жим лежа в однопетельной софт экипировке
Волжский/Волгоградская область, 18 июня 2022 года</t>
  </si>
  <si>
    <t>Открытый Чемпионат Евразии
IPO Силовое двоеборье в экипировке
Волжский/Волгоградская область, 18 июня 2022 года</t>
  </si>
  <si>
    <t>Открытый Чемпионат Евразии
GPA Силовое двоеборье без экипировки ДК
Волжский/Волгоградская область, 18 июня 2022 года</t>
  </si>
  <si>
    <t>Открытый Чемпионат Евразии
GPA Силовое двоеборье без экипировки
Волжский/Волгоградская область, 18 июня 2022 года</t>
  </si>
  <si>
    <t>Открытый Чемпионат Евразии
GPA Присед в бинтах
Волжский/Волгоградская область, 18 июня 2022 года</t>
  </si>
  <si>
    <t>Открытый Чемпионат Евразии
GPA Присед без экипировки
Волжский/Волгоградская область, 18 июня 2022 года</t>
  </si>
  <si>
    <t>Открытый Чемпионат Евразии
IPO Становая тяга в экипировке
Волжский/Волгоградская область, 18 июня 2022 года</t>
  </si>
  <si>
    <t>Открытый Чемпионат Евразии
GPA Становая тяга без экипировки ДК
Волжский/Волгоградская область, 18 июня 2022 года</t>
  </si>
  <si>
    <t>Открытый Чемпионат Евразии
GPA Становая тяга без экипировки
Волжский/Волгоградская область, 18 июня 2022 года</t>
  </si>
  <si>
    <t>Открытый Чемпионат Евразии
IPO Жим лежа в однослойной экипировке ДК
Волжский/Волгоградская область, 18 июня 2022 года</t>
  </si>
  <si>
    <t>Открытый Чемпионат Евразии
IPO Жим лежа в однослойной экипировке
Волжский/Волгоградская область, 18 июня 2022 года</t>
  </si>
  <si>
    <t>Открытый Чемпионат Евразии
GPA Жим лежа без экипировки ДК
Волжский/Волгоградская область, 18 июня 2022 года</t>
  </si>
  <si>
    <t>Открытый Чемпионат Евразии
GPA Жим лежа без экипировки
Волжский/Волгоградская область, 18 июня 2022 года</t>
  </si>
  <si>
    <t>Открытый Чемпионат Евразии
GPA Пауэрлифтинг без экипировки
Волжский/Волгоградская область, 18 июня 2022 года</t>
  </si>
  <si>
    <t>Открытый Чемпионат Евразии
GPA Пауэрлифтинг в бинтах ДК
Волжский/Волгоградская область, 18 июня 2022 года</t>
  </si>
  <si>
    <t>Открытый Чемпионат Евразии
GPA Пауэрлифтинг в бинтах
Волжский/Волгоградская область, 18 июня 2022 года</t>
  </si>
  <si>
    <t>Открытый Чемпионат Евразии
GPA Пауэрлифтинг без экипировки ДК
Волжский/Волгоградская область, 18 июня 2022 года</t>
  </si>
  <si>
    <t>Мастера 50-59 (19.09.1971)/50</t>
  </si>
  <si>
    <t>Юниорки 20-23 (26.08.1998)/23</t>
  </si>
  <si>
    <t>Мастера 40-49 (20.01.1977)/45</t>
  </si>
  <si>
    <t>Мастера 50-59 (23.07.1965)/56</t>
  </si>
  <si>
    <t>Юниоры 20-23 (26.03.1999)/23</t>
  </si>
  <si>
    <t>Мастера 40-44 (24.02.1982)/40</t>
  </si>
  <si>
    <t>Юноши 13-15 (22.04.2010)/12</t>
  </si>
  <si>
    <t>Мастера 55-59 (02.12.1966)/55</t>
  </si>
  <si>
    <t>Мастера 40-44 (10.10.1978)/43</t>
  </si>
  <si>
    <t>Девушки 18-19 (30.07.2003)/18</t>
  </si>
  <si>
    <t>Мастера 40-44 (24.05.1982)/40</t>
  </si>
  <si>
    <t>Мастера 50-54 (08.07.1969)/52</t>
  </si>
  <si>
    <t>Мастера 40-44 (18.12.1979)/42</t>
  </si>
  <si>
    <t>Юноши 16-17 (07.12.2005)/16</t>
  </si>
  <si>
    <t>Юниоры 20-23 (04.11.1999)/22</t>
  </si>
  <si>
    <t>Мастера 40-44 (14.10.1980)/41</t>
  </si>
  <si>
    <t>Юниоры 20-23 (03.09.2001)/20</t>
  </si>
  <si>
    <t>Мастера 55-59 (28.03.1964)/58</t>
  </si>
  <si>
    <t>Юниоры 20-23 (11.04.2002)/20</t>
  </si>
  <si>
    <t>Мастера 45-49 (27.04.1974)/48</t>
  </si>
  <si>
    <t>Мастера 45-49 (05.08.1972)/49</t>
  </si>
  <si>
    <t>Девушки 13-15 (22.10.2007)/14</t>
  </si>
  <si>
    <t>Мастера 45-49 (04.04.1975)/47</t>
  </si>
  <si>
    <t>Мастера 45-49 (10.04.1974)/48</t>
  </si>
  <si>
    <t>Мастера 45-49 (23.04.1977)/45</t>
  </si>
  <si>
    <t>Мастера 60-64 (28.12.1957)/64</t>
  </si>
  <si>
    <t>Мастера 75-79 (05.02.1947)/75</t>
  </si>
  <si>
    <t>Юноши 18-19 (14.06.2003)/19</t>
  </si>
  <si>
    <t>Юниоры 20-23 (26.04.2002)/20</t>
  </si>
  <si>
    <t>Мастера 40-44 (13.07.1978)/43</t>
  </si>
  <si>
    <t>Юноши 18-19 (28.04.2003)/19</t>
  </si>
  <si>
    <t>Юниоры 20-23 (05.10.2000)/21</t>
  </si>
  <si>
    <t>Юниорки 20-23 (08.05.2000)/22</t>
  </si>
  <si>
    <t>Юноши 13-15 (11.07.2007)/14</t>
  </si>
  <si>
    <t>Юноши 18-19 (11.09.2003)/18</t>
  </si>
  <si>
    <t>Юноши 18-19 (01.06.2004)/18</t>
  </si>
  <si>
    <t xml:space="preserve">Решетов Н. </t>
  </si>
  <si>
    <t xml:space="preserve">Постнов Д. </t>
  </si>
  <si>
    <t xml:space="preserve">Малиновская В. </t>
  </si>
  <si>
    <t xml:space="preserve">Никитин С. </t>
  </si>
  <si>
    <t xml:space="preserve">Ахмедов А. </t>
  </si>
  <si>
    <t xml:space="preserve">Киселев А. </t>
  </si>
  <si>
    <t xml:space="preserve">Лопырев В. </t>
  </si>
  <si>
    <t xml:space="preserve">Медведева Ю. </t>
  </si>
  <si>
    <t xml:space="preserve">Захарин В. </t>
  </si>
  <si>
    <t xml:space="preserve">Двизов Ю. </t>
  </si>
  <si>
    <t xml:space="preserve">Банников Д. </t>
  </si>
  <si>
    <t>Весовая категория</t>
  </si>
  <si>
    <t xml:space="preserve">Ягнаков И. </t>
  </si>
  <si>
    <t xml:space="preserve">Хрулёв В. </t>
  </si>
  <si>
    <t xml:space="preserve">Макаров И. </t>
  </si>
  <si>
    <t xml:space="preserve">Земцов Д. </t>
  </si>
  <si>
    <t xml:space="preserve">Ермишин В. </t>
  </si>
  <si>
    <t xml:space="preserve">Агеев В. </t>
  </si>
  <si>
    <t xml:space="preserve"> Волгоград </t>
  </si>
  <si>
    <t xml:space="preserve">Харабали </t>
  </si>
  <si>
    <t xml:space="preserve">Волжский </t>
  </si>
  <si>
    <t xml:space="preserve">Саратов </t>
  </si>
  <si>
    <t xml:space="preserve">Волгоград </t>
  </si>
  <si>
    <t xml:space="preserve">Астрахань </t>
  </si>
  <si>
    <t xml:space="preserve"> Астрахань </t>
  </si>
  <si>
    <t xml:space="preserve">Аткарск </t>
  </si>
  <si>
    <t xml:space="preserve">Дубовка </t>
  </si>
  <si>
    <t xml:space="preserve">  Светлый Яр </t>
  </si>
  <si>
    <t xml:space="preserve">   Светлый Яр </t>
  </si>
  <si>
    <t xml:space="preserve">  Волгоград </t>
  </si>
  <si>
    <t xml:space="preserve">  Актарск </t>
  </si>
  <si>
    <t xml:space="preserve"> Палласовка </t>
  </si>
  <si>
    <t xml:space="preserve"> Михайловка  </t>
  </si>
  <si>
    <t xml:space="preserve"> Барнаул </t>
  </si>
  <si>
    <t xml:space="preserve">Краснодар </t>
  </si>
  <si>
    <t xml:space="preserve"> Астрахань  </t>
  </si>
  <si>
    <t xml:space="preserve">Домодедово </t>
  </si>
  <si>
    <t xml:space="preserve">Королёв </t>
  </si>
  <si>
    <t xml:space="preserve"> Королёв </t>
  </si>
  <si>
    <t xml:space="preserve"> Палласовка</t>
  </si>
  <si>
    <t xml:space="preserve">   Волгоград </t>
  </si>
  <si>
    <t xml:space="preserve">  Палласовка </t>
  </si>
  <si>
    <t xml:space="preserve">Тель-Авив </t>
  </si>
  <si>
    <t xml:space="preserve"> </t>
  </si>
  <si>
    <t>№</t>
  </si>
  <si>
    <t xml:space="preserve">
Дата рождения/Возраст</t>
  </si>
  <si>
    <t>Возрастная группа</t>
  </si>
  <si>
    <t>O</t>
  </si>
  <si>
    <t>J</t>
  </si>
  <si>
    <t>T1</t>
  </si>
  <si>
    <t>T3</t>
  </si>
  <si>
    <t>M1</t>
  </si>
  <si>
    <t>M4</t>
  </si>
  <si>
    <t>M2</t>
  </si>
  <si>
    <t>M5</t>
  </si>
  <si>
    <t>M8</t>
  </si>
  <si>
    <t>M3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</si>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</sst>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A07D6-AE6F-464D-9E25-F346F0A2BD30}">
  <dimension ref="A1:U17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21.8320312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29" bestFit="1" customWidth="1"/>
    <col min="20" max="20" width="8.5" style="7" bestFit="1" customWidth="1"/>
    <col min="21" max="21" width="20" style="5" bestFit="1" customWidth="1"/>
    <col min="22" max="16384" width="9.1640625" style="3"/>
  </cols>
  <sheetData>
    <row r="1" spans="1:21" s="2" customFormat="1" ht="29" customHeight="1">
      <c r="A1" s="58" t="s">
        <v>334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0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1"/>
      <c r="T4" s="53"/>
      <c r="U4" s="55"/>
    </row>
    <row r="5" spans="1:21" ht="16">
      <c r="A5" s="56" t="s">
        <v>11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31" t="s">
        <v>67</v>
      </c>
      <c r="B6" s="11" t="s">
        <v>12</v>
      </c>
      <c r="C6" s="11" t="s">
        <v>13</v>
      </c>
      <c r="D6" s="11" t="s">
        <v>14</v>
      </c>
      <c r="E6" s="12" t="s">
        <v>418</v>
      </c>
      <c r="F6" s="11" t="s">
        <v>389</v>
      </c>
      <c r="G6" s="30" t="s">
        <v>15</v>
      </c>
      <c r="H6" s="30" t="s">
        <v>15</v>
      </c>
      <c r="I6" s="30" t="s">
        <v>15</v>
      </c>
      <c r="J6" s="31"/>
      <c r="K6" s="31"/>
      <c r="L6" s="31"/>
      <c r="M6" s="31"/>
      <c r="N6" s="31"/>
      <c r="O6" s="31"/>
      <c r="P6" s="31"/>
      <c r="Q6" s="31"/>
      <c r="R6" s="31"/>
      <c r="S6" s="42">
        <v>0</v>
      </c>
      <c r="T6" s="13" t="str">
        <f>"0,0000"</f>
        <v>0,0000</v>
      </c>
      <c r="U6" s="11" t="s">
        <v>387</v>
      </c>
    </row>
    <row r="8" spans="1:21" ht="16">
      <c r="A8" s="46" t="s">
        <v>16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33" t="s">
        <v>68</v>
      </c>
      <c r="B9" s="14" t="s">
        <v>17</v>
      </c>
      <c r="C9" s="14" t="s">
        <v>367</v>
      </c>
      <c r="D9" s="14" t="s">
        <v>18</v>
      </c>
      <c r="E9" s="15" t="s">
        <v>419</v>
      </c>
      <c r="F9" s="14" t="s">
        <v>389</v>
      </c>
      <c r="G9" s="32" t="s">
        <v>19</v>
      </c>
      <c r="H9" s="32" t="s">
        <v>20</v>
      </c>
      <c r="I9" s="32" t="s">
        <v>21</v>
      </c>
      <c r="J9" s="33"/>
      <c r="K9" s="32" t="s">
        <v>22</v>
      </c>
      <c r="L9" s="32" t="s">
        <v>23</v>
      </c>
      <c r="M9" s="32" t="s">
        <v>24</v>
      </c>
      <c r="N9" s="33"/>
      <c r="O9" s="32" t="s">
        <v>25</v>
      </c>
      <c r="P9" s="32" t="s">
        <v>26</v>
      </c>
      <c r="Q9" s="32" t="s">
        <v>27</v>
      </c>
      <c r="R9" s="33"/>
      <c r="S9" s="43" t="str">
        <f>"252,5"</f>
        <v>252,5</v>
      </c>
      <c r="T9" s="16" t="str">
        <f>"441,8245"</f>
        <v>441,8245</v>
      </c>
      <c r="U9" s="14" t="s">
        <v>28</v>
      </c>
    </row>
    <row r="10" spans="1:21">
      <c r="A10" s="35" t="s">
        <v>68</v>
      </c>
      <c r="B10" s="17" t="s">
        <v>29</v>
      </c>
      <c r="C10" s="17" t="s">
        <v>30</v>
      </c>
      <c r="D10" s="17" t="s">
        <v>31</v>
      </c>
      <c r="E10" s="18" t="s">
        <v>418</v>
      </c>
      <c r="F10" s="17" t="s">
        <v>389</v>
      </c>
      <c r="G10" s="34" t="s">
        <v>32</v>
      </c>
      <c r="H10" s="34" t="s">
        <v>19</v>
      </c>
      <c r="I10" s="34" t="s">
        <v>26</v>
      </c>
      <c r="J10" s="35"/>
      <c r="K10" s="34" t="s">
        <v>24</v>
      </c>
      <c r="L10" s="34" t="s">
        <v>33</v>
      </c>
      <c r="M10" s="36" t="s">
        <v>34</v>
      </c>
      <c r="N10" s="35"/>
      <c r="O10" s="34" t="s">
        <v>35</v>
      </c>
      <c r="P10" s="34" t="s">
        <v>36</v>
      </c>
      <c r="Q10" s="34" t="s">
        <v>37</v>
      </c>
      <c r="R10" s="35"/>
      <c r="S10" s="44" t="str">
        <f>"275,0"</f>
        <v>275,0</v>
      </c>
      <c r="T10" s="19" t="str">
        <f>"469,8650"</f>
        <v>469,8650</v>
      </c>
      <c r="U10" s="17" t="s">
        <v>383</v>
      </c>
    </row>
    <row r="12" spans="1:21" ht="16">
      <c r="A12" s="46" t="s">
        <v>38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1">
      <c r="A13" s="33" t="s">
        <v>68</v>
      </c>
      <c r="B13" s="14" t="s">
        <v>39</v>
      </c>
      <c r="C13" s="14" t="s">
        <v>368</v>
      </c>
      <c r="D13" s="14" t="s">
        <v>40</v>
      </c>
      <c r="E13" s="15" t="s">
        <v>420</v>
      </c>
      <c r="F13" s="14" t="s">
        <v>390</v>
      </c>
      <c r="G13" s="32" t="s">
        <v>41</v>
      </c>
      <c r="H13" s="32" t="s">
        <v>19</v>
      </c>
      <c r="I13" s="32" t="s">
        <v>20</v>
      </c>
      <c r="J13" s="33"/>
      <c r="K13" s="32" t="s">
        <v>34</v>
      </c>
      <c r="L13" s="32" t="s">
        <v>15</v>
      </c>
      <c r="M13" s="37" t="s">
        <v>42</v>
      </c>
      <c r="N13" s="33"/>
      <c r="O13" s="37" t="s">
        <v>43</v>
      </c>
      <c r="P13" s="32" t="s">
        <v>43</v>
      </c>
      <c r="Q13" s="32" t="s">
        <v>37</v>
      </c>
      <c r="R13" s="33"/>
      <c r="S13" s="43" t="str">
        <f>"285,0"</f>
        <v>285,0</v>
      </c>
      <c r="T13" s="16" t="str">
        <f>"338,0100"</f>
        <v>338,0100</v>
      </c>
      <c r="U13" s="14" t="s">
        <v>414</v>
      </c>
    </row>
    <row r="14" spans="1:21">
      <c r="A14" s="39" t="s">
        <v>68</v>
      </c>
      <c r="B14" s="20" t="s">
        <v>44</v>
      </c>
      <c r="C14" s="20" t="s">
        <v>369</v>
      </c>
      <c r="D14" s="20" t="s">
        <v>45</v>
      </c>
      <c r="E14" s="21" t="s">
        <v>421</v>
      </c>
      <c r="F14" s="20" t="s">
        <v>391</v>
      </c>
      <c r="G14" s="38" t="s">
        <v>21</v>
      </c>
      <c r="H14" s="38" t="s">
        <v>43</v>
      </c>
      <c r="I14" s="38" t="s">
        <v>36</v>
      </c>
      <c r="J14" s="39"/>
      <c r="K14" s="38" t="s">
        <v>15</v>
      </c>
      <c r="L14" s="38" t="s">
        <v>46</v>
      </c>
      <c r="M14" s="40" t="s">
        <v>47</v>
      </c>
      <c r="N14" s="39"/>
      <c r="O14" s="38" t="s">
        <v>36</v>
      </c>
      <c r="P14" s="38" t="s">
        <v>48</v>
      </c>
      <c r="Q14" s="38" t="s">
        <v>49</v>
      </c>
      <c r="R14" s="39"/>
      <c r="S14" s="45" t="str">
        <f>"330,0"</f>
        <v>330,0</v>
      </c>
      <c r="T14" s="22" t="str">
        <f>"370,9200"</f>
        <v>370,9200</v>
      </c>
      <c r="U14" s="20" t="s">
        <v>373</v>
      </c>
    </row>
    <row r="15" spans="1:21">
      <c r="A15" s="39" t="s">
        <v>69</v>
      </c>
      <c r="B15" s="20" t="s">
        <v>50</v>
      </c>
      <c r="C15" s="20" t="s">
        <v>370</v>
      </c>
      <c r="D15" s="20" t="s">
        <v>51</v>
      </c>
      <c r="E15" s="21" t="s">
        <v>421</v>
      </c>
      <c r="F15" s="20" t="s">
        <v>390</v>
      </c>
      <c r="G15" s="38" t="s">
        <v>46</v>
      </c>
      <c r="H15" s="38" t="s">
        <v>41</v>
      </c>
      <c r="I15" s="38" t="s">
        <v>32</v>
      </c>
      <c r="J15" s="39"/>
      <c r="K15" s="38" t="s">
        <v>41</v>
      </c>
      <c r="L15" s="40" t="s">
        <v>19</v>
      </c>
      <c r="M15" s="40" t="s">
        <v>19</v>
      </c>
      <c r="N15" s="39"/>
      <c r="O15" s="38" t="s">
        <v>43</v>
      </c>
      <c r="P15" s="38" t="s">
        <v>36</v>
      </c>
      <c r="Q15" s="40" t="s">
        <v>37</v>
      </c>
      <c r="R15" s="39"/>
      <c r="S15" s="45" t="str">
        <f>"285,0"</f>
        <v>285,0</v>
      </c>
      <c r="T15" s="22" t="str">
        <f>"334,8180"</f>
        <v>334,8180</v>
      </c>
      <c r="U15" s="20" t="s">
        <v>414</v>
      </c>
    </row>
    <row r="16" spans="1:21">
      <c r="A16" s="39" t="s">
        <v>68</v>
      </c>
      <c r="B16" s="20" t="s">
        <v>52</v>
      </c>
      <c r="C16" s="20" t="s">
        <v>53</v>
      </c>
      <c r="D16" s="20" t="s">
        <v>45</v>
      </c>
      <c r="E16" s="21" t="s">
        <v>418</v>
      </c>
      <c r="F16" s="20" t="s">
        <v>391</v>
      </c>
      <c r="G16" s="40" t="s">
        <v>54</v>
      </c>
      <c r="H16" s="38" t="s">
        <v>54</v>
      </c>
      <c r="I16" s="38" t="s">
        <v>55</v>
      </c>
      <c r="J16" s="39"/>
      <c r="K16" s="38" t="s">
        <v>36</v>
      </c>
      <c r="L16" s="40" t="s">
        <v>37</v>
      </c>
      <c r="M16" s="40" t="s">
        <v>37</v>
      </c>
      <c r="N16" s="39"/>
      <c r="O16" s="40" t="s">
        <v>56</v>
      </c>
      <c r="P16" s="38" t="s">
        <v>56</v>
      </c>
      <c r="Q16" s="40" t="s">
        <v>57</v>
      </c>
      <c r="R16" s="39"/>
      <c r="S16" s="45" t="str">
        <f>"480,0"</f>
        <v>480,0</v>
      </c>
      <c r="T16" s="22" t="str">
        <f>"539,5200"</f>
        <v>539,5200</v>
      </c>
      <c r="U16" s="20" t="s">
        <v>373</v>
      </c>
    </row>
    <row r="17" spans="1:21">
      <c r="A17" s="35" t="s">
        <v>67</v>
      </c>
      <c r="B17" s="17" t="s">
        <v>58</v>
      </c>
      <c r="C17" s="17" t="s">
        <v>59</v>
      </c>
      <c r="D17" s="17" t="s">
        <v>60</v>
      </c>
      <c r="E17" s="18" t="s">
        <v>418</v>
      </c>
      <c r="F17" s="17" t="s">
        <v>389</v>
      </c>
      <c r="G17" s="36" t="s">
        <v>61</v>
      </c>
      <c r="H17" s="36" t="s">
        <v>54</v>
      </c>
      <c r="I17" s="36" t="s">
        <v>54</v>
      </c>
      <c r="J17" s="35"/>
      <c r="K17" s="35"/>
      <c r="L17" s="35"/>
      <c r="M17" s="35"/>
      <c r="N17" s="35"/>
      <c r="O17" s="35"/>
      <c r="P17" s="35"/>
      <c r="Q17" s="35"/>
      <c r="R17" s="35"/>
      <c r="S17" s="44">
        <v>0</v>
      </c>
      <c r="T17" s="19" t="str">
        <f>"0,0000"</f>
        <v>0,0000</v>
      </c>
      <c r="U17" s="17" t="s">
        <v>414</v>
      </c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2:R12"/>
    <mergeCell ref="B3:B4"/>
    <mergeCell ref="S3:S4"/>
    <mergeCell ref="T3:T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FE10C-8FDD-4901-8371-488445BC3C98}">
  <dimension ref="A1:M46"/>
  <sheetViews>
    <sheetView topLeftCell="A9" workbookViewId="0">
      <selection activeCell="E37" sqref="E37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23.6640625" style="5" customWidth="1"/>
    <col min="7" max="9" width="5.5" style="10" customWidth="1"/>
    <col min="10" max="10" width="4.83203125" style="10" customWidth="1"/>
    <col min="11" max="11" width="10.5" style="29" bestFit="1" customWidth="1"/>
    <col min="12" max="12" width="8.5" style="7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58" t="s">
        <v>329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9</v>
      </c>
      <c r="H3" s="70"/>
      <c r="I3" s="70"/>
      <c r="J3" s="70"/>
      <c r="K3" s="50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1"/>
      <c r="L4" s="53"/>
      <c r="M4" s="55"/>
    </row>
    <row r="5" spans="1:13" ht="16">
      <c r="A5" s="56" t="s">
        <v>178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3" t="s">
        <v>68</v>
      </c>
      <c r="B6" s="14" t="s">
        <v>179</v>
      </c>
      <c r="C6" s="14" t="s">
        <v>356</v>
      </c>
      <c r="D6" s="14" t="s">
        <v>180</v>
      </c>
      <c r="E6" s="15" t="s">
        <v>420</v>
      </c>
      <c r="F6" s="14" t="s">
        <v>397</v>
      </c>
      <c r="G6" s="32" t="s">
        <v>181</v>
      </c>
      <c r="H6" s="32" t="s">
        <v>182</v>
      </c>
      <c r="I6" s="37" t="s">
        <v>22</v>
      </c>
      <c r="J6" s="33"/>
      <c r="K6" s="43" t="str">
        <f>"45,0"</f>
        <v>45,0</v>
      </c>
      <c r="L6" s="16" t="str">
        <f>"87,0300"</f>
        <v>87,0300</v>
      </c>
      <c r="M6" s="14" t="s">
        <v>414</v>
      </c>
    </row>
    <row r="7" spans="1:13">
      <c r="A7" s="35" t="s">
        <v>67</v>
      </c>
      <c r="B7" s="17" t="s">
        <v>183</v>
      </c>
      <c r="C7" s="17" t="s">
        <v>357</v>
      </c>
      <c r="D7" s="17" t="s">
        <v>184</v>
      </c>
      <c r="E7" s="18" t="s">
        <v>424</v>
      </c>
      <c r="F7" s="17" t="s">
        <v>391</v>
      </c>
      <c r="G7" s="36" t="s">
        <v>24</v>
      </c>
      <c r="H7" s="36" t="s">
        <v>24</v>
      </c>
      <c r="I7" s="36" t="s">
        <v>24</v>
      </c>
      <c r="J7" s="35"/>
      <c r="K7" s="44">
        <v>0</v>
      </c>
      <c r="L7" s="19" t="str">
        <f>"0,0000"</f>
        <v>0,0000</v>
      </c>
      <c r="M7" s="17" t="s">
        <v>373</v>
      </c>
    </row>
    <row r="9" spans="1:13" ht="16">
      <c r="A9" s="46" t="s">
        <v>70</v>
      </c>
      <c r="B9" s="46"/>
      <c r="C9" s="47"/>
      <c r="D9" s="47"/>
      <c r="E9" s="47"/>
      <c r="F9" s="47"/>
      <c r="G9" s="47"/>
      <c r="H9" s="47"/>
      <c r="I9" s="47"/>
      <c r="J9" s="47"/>
    </row>
    <row r="10" spans="1:13">
      <c r="A10" s="33" t="s">
        <v>68</v>
      </c>
      <c r="B10" s="14" t="s">
        <v>185</v>
      </c>
      <c r="C10" s="14" t="s">
        <v>186</v>
      </c>
      <c r="D10" s="14" t="s">
        <v>73</v>
      </c>
      <c r="E10" s="15" t="s">
        <v>418</v>
      </c>
      <c r="F10" s="14" t="s">
        <v>389</v>
      </c>
      <c r="G10" s="32" t="s">
        <v>34</v>
      </c>
      <c r="H10" s="37" t="s">
        <v>187</v>
      </c>
      <c r="I10" s="37" t="s">
        <v>187</v>
      </c>
      <c r="J10" s="33"/>
      <c r="K10" s="43" t="str">
        <f>"60,0"</f>
        <v>60,0</v>
      </c>
      <c r="L10" s="16" t="str">
        <f>"109,4760"</f>
        <v>109,4760</v>
      </c>
      <c r="M10" s="14" t="s">
        <v>414</v>
      </c>
    </row>
    <row r="11" spans="1:13">
      <c r="A11" s="39" t="s">
        <v>69</v>
      </c>
      <c r="B11" s="20" t="s">
        <v>188</v>
      </c>
      <c r="C11" s="20" t="s">
        <v>189</v>
      </c>
      <c r="D11" s="20" t="s">
        <v>131</v>
      </c>
      <c r="E11" s="21" t="s">
        <v>418</v>
      </c>
      <c r="F11" s="20" t="s">
        <v>389</v>
      </c>
      <c r="G11" s="38" t="s">
        <v>22</v>
      </c>
      <c r="H11" s="38" t="s">
        <v>24</v>
      </c>
      <c r="I11" s="40" t="s">
        <v>33</v>
      </c>
      <c r="J11" s="39"/>
      <c r="K11" s="45" t="str">
        <f>"55,0"</f>
        <v>55,0</v>
      </c>
      <c r="L11" s="22" t="str">
        <f>"99,8910"</f>
        <v>99,8910</v>
      </c>
      <c r="M11" s="20" t="s">
        <v>383</v>
      </c>
    </row>
    <row r="12" spans="1:13">
      <c r="A12" s="35" t="s">
        <v>68</v>
      </c>
      <c r="B12" s="17" t="s">
        <v>188</v>
      </c>
      <c r="C12" s="17" t="s">
        <v>358</v>
      </c>
      <c r="D12" s="17" t="s">
        <v>131</v>
      </c>
      <c r="E12" s="18" t="s">
        <v>424</v>
      </c>
      <c r="F12" s="17" t="s">
        <v>389</v>
      </c>
      <c r="G12" s="34" t="s">
        <v>22</v>
      </c>
      <c r="H12" s="34" t="s">
        <v>24</v>
      </c>
      <c r="I12" s="36" t="s">
        <v>33</v>
      </c>
      <c r="J12" s="35"/>
      <c r="K12" s="44" t="str">
        <f>"55,0"</f>
        <v>55,0</v>
      </c>
      <c r="L12" s="19" t="str">
        <f>"111,2786"</f>
        <v>111,2786</v>
      </c>
      <c r="M12" s="17" t="s">
        <v>383</v>
      </c>
    </row>
    <row r="14" spans="1:13" ht="16">
      <c r="A14" s="46" t="s">
        <v>190</v>
      </c>
      <c r="B14" s="46"/>
      <c r="C14" s="47"/>
      <c r="D14" s="47"/>
      <c r="E14" s="47"/>
      <c r="F14" s="47"/>
      <c r="G14" s="47"/>
      <c r="H14" s="47"/>
      <c r="I14" s="47"/>
      <c r="J14" s="47"/>
    </row>
    <row r="15" spans="1:13">
      <c r="A15" s="31" t="s">
        <v>68</v>
      </c>
      <c r="B15" s="11" t="s">
        <v>191</v>
      </c>
      <c r="C15" s="11" t="s">
        <v>341</v>
      </c>
      <c r="D15" s="11" t="s">
        <v>192</v>
      </c>
      <c r="E15" s="12" t="s">
        <v>420</v>
      </c>
      <c r="F15" s="11" t="s">
        <v>395</v>
      </c>
      <c r="G15" s="41" t="s">
        <v>181</v>
      </c>
      <c r="H15" s="30" t="s">
        <v>193</v>
      </c>
      <c r="I15" s="41" t="s">
        <v>193</v>
      </c>
      <c r="J15" s="31"/>
      <c r="K15" s="42" t="str">
        <f>"42,5"</f>
        <v>42,5</v>
      </c>
      <c r="L15" s="13" t="str">
        <f>"80,6905"</f>
        <v>80,6905</v>
      </c>
      <c r="M15" s="11" t="s">
        <v>377</v>
      </c>
    </row>
    <row r="17" spans="1:13" ht="16">
      <c r="A17" s="46" t="s">
        <v>16</v>
      </c>
      <c r="B17" s="46"/>
      <c r="C17" s="47"/>
      <c r="D17" s="47"/>
      <c r="E17" s="47"/>
      <c r="F17" s="47"/>
      <c r="G17" s="47"/>
      <c r="H17" s="47"/>
      <c r="I17" s="47"/>
      <c r="J17" s="47"/>
    </row>
    <row r="18" spans="1:13">
      <c r="A18" s="33" t="s">
        <v>67</v>
      </c>
      <c r="B18" s="14" t="s">
        <v>195</v>
      </c>
      <c r="C18" s="14" t="s">
        <v>359</v>
      </c>
      <c r="D18" s="14" t="s">
        <v>196</v>
      </c>
      <c r="E18" s="15" t="s">
        <v>424</v>
      </c>
      <c r="F18" s="14" t="s">
        <v>413</v>
      </c>
      <c r="G18" s="37" t="s">
        <v>21</v>
      </c>
      <c r="H18" s="37" t="s">
        <v>138</v>
      </c>
      <c r="I18" s="37" t="s">
        <v>138</v>
      </c>
      <c r="J18" s="33"/>
      <c r="K18" s="43">
        <v>0</v>
      </c>
      <c r="L18" s="16" t="str">
        <f>"0,0000"</f>
        <v>0,0000</v>
      </c>
      <c r="M18" s="14" t="s">
        <v>414</v>
      </c>
    </row>
    <row r="19" spans="1:13">
      <c r="A19" s="35" t="s">
        <v>68</v>
      </c>
      <c r="B19" s="17" t="s">
        <v>197</v>
      </c>
      <c r="C19" s="17" t="s">
        <v>360</v>
      </c>
      <c r="D19" s="17" t="s">
        <v>198</v>
      </c>
      <c r="E19" s="18" t="s">
        <v>425</v>
      </c>
      <c r="F19" s="17" t="s">
        <v>398</v>
      </c>
      <c r="G19" s="36" t="s">
        <v>20</v>
      </c>
      <c r="H19" s="36" t="s">
        <v>20</v>
      </c>
      <c r="I19" s="34" t="s">
        <v>20</v>
      </c>
      <c r="J19" s="35"/>
      <c r="K19" s="44" t="str">
        <f>"95,0"</f>
        <v>95,0</v>
      </c>
      <c r="L19" s="19" t="str">
        <f>"177,6734"</f>
        <v>177,6734</v>
      </c>
      <c r="M19" s="17" t="s">
        <v>380</v>
      </c>
    </row>
    <row r="21" spans="1:13" ht="16">
      <c r="A21" s="46" t="s">
        <v>38</v>
      </c>
      <c r="B21" s="46"/>
      <c r="C21" s="47"/>
      <c r="D21" s="47"/>
      <c r="E21" s="47"/>
      <c r="F21" s="47"/>
      <c r="G21" s="47"/>
      <c r="H21" s="47"/>
      <c r="I21" s="47"/>
      <c r="J21" s="47"/>
    </row>
    <row r="22" spans="1:13">
      <c r="A22" s="33" t="s">
        <v>68</v>
      </c>
      <c r="B22" s="14" t="s">
        <v>52</v>
      </c>
      <c r="C22" s="14" t="s">
        <v>53</v>
      </c>
      <c r="D22" s="14" t="s">
        <v>45</v>
      </c>
      <c r="E22" s="15" t="s">
        <v>418</v>
      </c>
      <c r="F22" s="14" t="s">
        <v>391</v>
      </c>
      <c r="G22" s="32" t="s">
        <v>36</v>
      </c>
      <c r="H22" s="37" t="s">
        <v>37</v>
      </c>
      <c r="I22" s="37" t="s">
        <v>37</v>
      </c>
      <c r="J22" s="33"/>
      <c r="K22" s="43" t="str">
        <f>"120,0"</f>
        <v>120,0</v>
      </c>
      <c r="L22" s="16" t="str">
        <f>"134,8800"</f>
        <v>134,8800</v>
      </c>
      <c r="M22" s="14" t="s">
        <v>373</v>
      </c>
    </row>
    <row r="23" spans="1:13">
      <c r="A23" s="35" t="s">
        <v>68</v>
      </c>
      <c r="B23" s="17" t="s">
        <v>199</v>
      </c>
      <c r="C23" s="17" t="s">
        <v>361</v>
      </c>
      <c r="D23" s="17" t="s">
        <v>45</v>
      </c>
      <c r="E23" s="18" t="s">
        <v>426</v>
      </c>
      <c r="F23" s="17" t="s">
        <v>399</v>
      </c>
      <c r="G23" s="34" t="s">
        <v>35</v>
      </c>
      <c r="H23" s="36" t="s">
        <v>200</v>
      </c>
      <c r="I23" s="36" t="s">
        <v>200</v>
      </c>
      <c r="J23" s="35"/>
      <c r="K23" s="44" t="str">
        <f>"115,0"</f>
        <v>115,0</v>
      </c>
      <c r="L23" s="19" t="str">
        <f>"245,5940"</f>
        <v>245,5940</v>
      </c>
      <c r="M23" s="17" t="s">
        <v>414</v>
      </c>
    </row>
    <row r="25" spans="1:13" ht="16">
      <c r="A25" s="46" t="s">
        <v>84</v>
      </c>
      <c r="B25" s="46"/>
      <c r="C25" s="47"/>
      <c r="D25" s="47"/>
      <c r="E25" s="47"/>
      <c r="F25" s="47"/>
      <c r="G25" s="47"/>
      <c r="H25" s="47"/>
      <c r="I25" s="47"/>
      <c r="J25" s="47"/>
    </row>
    <row r="26" spans="1:13">
      <c r="A26" s="33" t="s">
        <v>68</v>
      </c>
      <c r="B26" s="14" t="s">
        <v>201</v>
      </c>
      <c r="C26" s="14" t="s">
        <v>202</v>
      </c>
      <c r="D26" s="14" t="s">
        <v>203</v>
      </c>
      <c r="E26" s="15" t="s">
        <v>418</v>
      </c>
      <c r="F26" s="14" t="s">
        <v>399</v>
      </c>
      <c r="G26" s="32" t="s">
        <v>61</v>
      </c>
      <c r="H26" s="32" t="s">
        <v>54</v>
      </c>
      <c r="I26" s="32" t="s">
        <v>204</v>
      </c>
      <c r="J26" s="33"/>
      <c r="K26" s="43" t="str">
        <f>"152,5"</f>
        <v>152,5</v>
      </c>
      <c r="L26" s="16" t="str">
        <f>"153,6590"</f>
        <v>153,6590</v>
      </c>
      <c r="M26" s="14" t="s">
        <v>380</v>
      </c>
    </row>
    <row r="27" spans="1:13">
      <c r="A27" s="35" t="s">
        <v>69</v>
      </c>
      <c r="B27" s="17" t="s">
        <v>205</v>
      </c>
      <c r="C27" s="17" t="s">
        <v>206</v>
      </c>
      <c r="D27" s="17" t="s">
        <v>207</v>
      </c>
      <c r="E27" s="18" t="s">
        <v>418</v>
      </c>
      <c r="F27" s="17" t="s">
        <v>400</v>
      </c>
      <c r="G27" s="34" t="s">
        <v>37</v>
      </c>
      <c r="H27" s="34" t="s">
        <v>208</v>
      </c>
      <c r="I27" s="36" t="s">
        <v>209</v>
      </c>
      <c r="J27" s="35"/>
      <c r="K27" s="44" t="str">
        <f>"132,5"</f>
        <v>132,5</v>
      </c>
      <c r="L27" s="19" t="str">
        <f>"132,5530"</f>
        <v>132,5530</v>
      </c>
      <c r="M27" s="17" t="s">
        <v>414</v>
      </c>
    </row>
    <row r="29" spans="1:13" ht="16">
      <c r="A29" s="46" t="s">
        <v>95</v>
      </c>
      <c r="B29" s="46"/>
      <c r="C29" s="47"/>
      <c r="D29" s="47"/>
      <c r="E29" s="47"/>
      <c r="F29" s="47"/>
      <c r="G29" s="47"/>
      <c r="H29" s="47"/>
      <c r="I29" s="47"/>
      <c r="J29" s="47"/>
    </row>
    <row r="30" spans="1:13">
      <c r="A30" s="33" t="s">
        <v>68</v>
      </c>
      <c r="B30" s="14" t="s">
        <v>210</v>
      </c>
      <c r="C30" s="14" t="s">
        <v>349</v>
      </c>
      <c r="D30" s="14" t="s">
        <v>211</v>
      </c>
      <c r="E30" s="15" t="s">
        <v>419</v>
      </c>
      <c r="F30" s="14" t="s">
        <v>401</v>
      </c>
      <c r="G30" s="32" t="s">
        <v>37</v>
      </c>
      <c r="H30" s="37" t="s">
        <v>209</v>
      </c>
      <c r="I30" s="32" t="s">
        <v>212</v>
      </c>
      <c r="J30" s="33"/>
      <c r="K30" s="43" t="str">
        <f>"137,5"</f>
        <v>137,5</v>
      </c>
      <c r="L30" s="16" t="str">
        <f>"130,4600"</f>
        <v>130,4600</v>
      </c>
      <c r="M30" s="14" t="s">
        <v>414</v>
      </c>
    </row>
    <row r="31" spans="1:13">
      <c r="A31" s="39" t="s">
        <v>68</v>
      </c>
      <c r="B31" s="20" t="s">
        <v>213</v>
      </c>
      <c r="C31" s="20" t="s">
        <v>214</v>
      </c>
      <c r="D31" s="20" t="s">
        <v>215</v>
      </c>
      <c r="E31" s="21" t="s">
        <v>418</v>
      </c>
      <c r="F31" s="20" t="s">
        <v>400</v>
      </c>
      <c r="G31" s="38" t="s">
        <v>90</v>
      </c>
      <c r="H31" s="38" t="s">
        <v>83</v>
      </c>
      <c r="I31" s="39"/>
      <c r="J31" s="39"/>
      <c r="K31" s="45" t="str">
        <f>"215,0"</f>
        <v>215,0</v>
      </c>
      <c r="L31" s="22" t="str">
        <f>"198,4450"</f>
        <v>198,4450</v>
      </c>
      <c r="M31" s="20" t="s">
        <v>414</v>
      </c>
    </row>
    <row r="32" spans="1:13">
      <c r="A32" s="39" t="s">
        <v>69</v>
      </c>
      <c r="B32" s="20" t="s">
        <v>216</v>
      </c>
      <c r="C32" s="20" t="s">
        <v>217</v>
      </c>
      <c r="D32" s="20" t="s">
        <v>218</v>
      </c>
      <c r="E32" s="21" t="s">
        <v>418</v>
      </c>
      <c r="F32" s="20" t="s">
        <v>402</v>
      </c>
      <c r="G32" s="38" t="s">
        <v>102</v>
      </c>
      <c r="H32" s="40" t="s">
        <v>123</v>
      </c>
      <c r="I32" s="38" t="s">
        <v>123</v>
      </c>
      <c r="J32" s="39"/>
      <c r="K32" s="45" t="str">
        <f>"175,0"</f>
        <v>175,0</v>
      </c>
      <c r="L32" s="22" t="str">
        <f>"161,1050"</f>
        <v>161,1050</v>
      </c>
      <c r="M32" s="20" t="s">
        <v>375</v>
      </c>
    </row>
    <row r="33" spans="1:13">
      <c r="A33" s="35" t="s">
        <v>67</v>
      </c>
      <c r="B33" s="17" t="s">
        <v>219</v>
      </c>
      <c r="C33" s="17" t="s">
        <v>220</v>
      </c>
      <c r="D33" s="17" t="s">
        <v>221</v>
      </c>
      <c r="E33" s="18" t="s">
        <v>418</v>
      </c>
      <c r="F33" s="17" t="s">
        <v>393</v>
      </c>
      <c r="G33" s="36" t="s">
        <v>102</v>
      </c>
      <c r="H33" s="36" t="s">
        <v>102</v>
      </c>
      <c r="I33" s="36" t="s">
        <v>102</v>
      </c>
      <c r="J33" s="35"/>
      <c r="K33" s="44">
        <v>0</v>
      </c>
      <c r="L33" s="19" t="str">
        <f>"0,0000"</f>
        <v>0,0000</v>
      </c>
      <c r="M33" s="17" t="s">
        <v>380</v>
      </c>
    </row>
    <row r="35" spans="1:13" ht="16">
      <c r="A35" s="46" t="s">
        <v>111</v>
      </c>
      <c r="B35" s="46"/>
      <c r="C35" s="47"/>
      <c r="D35" s="47"/>
      <c r="E35" s="47"/>
      <c r="F35" s="47"/>
      <c r="G35" s="47"/>
      <c r="H35" s="47"/>
      <c r="I35" s="47"/>
      <c r="J35" s="47"/>
    </row>
    <row r="36" spans="1:13">
      <c r="A36" s="31" t="s">
        <v>68</v>
      </c>
      <c r="B36" s="11" t="s">
        <v>222</v>
      </c>
      <c r="C36" s="11" t="s">
        <v>223</v>
      </c>
      <c r="D36" s="11" t="s">
        <v>224</v>
      </c>
      <c r="E36" s="12" t="s">
        <v>418</v>
      </c>
      <c r="F36" s="11" t="s">
        <v>393</v>
      </c>
      <c r="G36" s="41" t="s">
        <v>88</v>
      </c>
      <c r="H36" s="30" t="s">
        <v>225</v>
      </c>
      <c r="I36" s="30" t="s">
        <v>225</v>
      </c>
      <c r="J36" s="31"/>
      <c r="K36" s="42" t="str">
        <f>"162,5"</f>
        <v>162,5</v>
      </c>
      <c r="L36" s="13" t="str">
        <f>"144,6250"</f>
        <v>144,6250</v>
      </c>
      <c r="M36" s="11" t="s">
        <v>380</v>
      </c>
    </row>
    <row r="38" spans="1:13" ht="16">
      <c r="F38" s="8"/>
      <c r="G38" s="5"/>
      <c r="M38" s="7"/>
    </row>
    <row r="39" spans="1:13">
      <c r="G39" s="5"/>
      <c r="M39" s="7"/>
    </row>
    <row r="40" spans="1:13" ht="18">
      <c r="B40" s="9" t="s">
        <v>7</v>
      </c>
      <c r="C40" s="9"/>
      <c r="G40" s="3"/>
      <c r="M40" s="7"/>
    </row>
    <row r="41" spans="1:13" ht="16">
      <c r="B41" s="23" t="s">
        <v>66</v>
      </c>
      <c r="C41" s="23"/>
      <c r="G41" s="3"/>
      <c r="M41" s="7"/>
    </row>
    <row r="42" spans="1:13" ht="14">
      <c r="B42" s="24"/>
      <c r="C42" s="25" t="s">
        <v>65</v>
      </c>
      <c r="G42" s="3"/>
      <c r="M42" s="7"/>
    </row>
    <row r="43" spans="1:13" ht="14">
      <c r="B43" s="26" t="s">
        <v>62</v>
      </c>
      <c r="C43" s="26" t="s">
        <v>63</v>
      </c>
      <c r="D43" s="26" t="s">
        <v>382</v>
      </c>
      <c r="E43" s="27" t="s">
        <v>173</v>
      </c>
      <c r="F43" s="26" t="s">
        <v>64</v>
      </c>
      <c r="G43" s="3"/>
      <c r="M43" s="7"/>
    </row>
    <row r="44" spans="1:13">
      <c r="B44" s="5" t="s">
        <v>213</v>
      </c>
      <c r="C44" s="5" t="s">
        <v>65</v>
      </c>
      <c r="D44" s="10" t="s">
        <v>120</v>
      </c>
      <c r="E44" s="29">
        <v>215</v>
      </c>
      <c r="F44" s="28">
        <v>198.44499528408099</v>
      </c>
      <c r="G44" s="3"/>
      <c r="M44" s="7"/>
    </row>
    <row r="45" spans="1:13">
      <c r="B45" s="5" t="s">
        <v>216</v>
      </c>
      <c r="C45" s="5" t="s">
        <v>65</v>
      </c>
      <c r="D45" s="10" t="s">
        <v>120</v>
      </c>
      <c r="E45" s="29">
        <v>175</v>
      </c>
      <c r="F45" s="28">
        <v>161.104999482632</v>
      </c>
      <c r="G45" s="3"/>
      <c r="M45" s="7"/>
    </row>
    <row r="46" spans="1:13">
      <c r="B46" s="5" t="s">
        <v>201</v>
      </c>
      <c r="C46" s="5" t="s">
        <v>65</v>
      </c>
      <c r="D46" s="10" t="s">
        <v>129</v>
      </c>
      <c r="E46" s="29">
        <v>152.5</v>
      </c>
      <c r="F46" s="28">
        <v>153.65899235010099</v>
      </c>
      <c r="G46" s="3"/>
      <c r="M46" s="7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5:J35"/>
    <mergeCell ref="B3:B4"/>
    <mergeCell ref="A9:J9"/>
    <mergeCell ref="A14:J14"/>
    <mergeCell ref="A17:J17"/>
    <mergeCell ref="A21:J21"/>
    <mergeCell ref="A25:J25"/>
    <mergeCell ref="A29:J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A3D7-4A0E-49F4-B9F2-87E7697E0296}">
  <dimension ref="A1:M34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2.6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9" style="5" bestFit="1" customWidth="1"/>
    <col min="14" max="16384" width="9.1640625" style="3"/>
  </cols>
  <sheetData>
    <row r="1" spans="1:13" s="2" customFormat="1" ht="29" customHeight="1">
      <c r="A1" s="58" t="s">
        <v>330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9</v>
      </c>
      <c r="H3" s="70"/>
      <c r="I3" s="70"/>
      <c r="J3" s="70"/>
      <c r="K3" s="52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84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3" t="s">
        <v>68</v>
      </c>
      <c r="B6" s="14" t="s">
        <v>139</v>
      </c>
      <c r="C6" s="14" t="s">
        <v>140</v>
      </c>
      <c r="D6" s="14" t="s">
        <v>141</v>
      </c>
      <c r="E6" s="15" t="s">
        <v>418</v>
      </c>
      <c r="F6" s="14" t="s">
        <v>389</v>
      </c>
      <c r="G6" s="32" t="s">
        <v>123</v>
      </c>
      <c r="H6" s="32" t="s">
        <v>104</v>
      </c>
      <c r="I6" s="37" t="s">
        <v>142</v>
      </c>
      <c r="J6" s="33"/>
      <c r="K6" s="16" t="str">
        <f>"180,0"</f>
        <v>180,0</v>
      </c>
      <c r="L6" s="16" t="str">
        <f>"180,3600"</f>
        <v>180,3600</v>
      </c>
      <c r="M6" s="14" t="s">
        <v>414</v>
      </c>
    </row>
    <row r="7" spans="1:13">
      <c r="A7" s="39" t="s">
        <v>69</v>
      </c>
      <c r="B7" s="20" t="s">
        <v>132</v>
      </c>
      <c r="C7" s="20" t="s">
        <v>133</v>
      </c>
      <c r="D7" s="20" t="s">
        <v>134</v>
      </c>
      <c r="E7" s="21" t="s">
        <v>418</v>
      </c>
      <c r="F7" s="20" t="s">
        <v>391</v>
      </c>
      <c r="G7" s="38" t="s">
        <v>102</v>
      </c>
      <c r="H7" s="38" t="s">
        <v>104</v>
      </c>
      <c r="I7" s="40" t="s">
        <v>89</v>
      </c>
      <c r="J7" s="39"/>
      <c r="K7" s="22" t="str">
        <f>"180,0"</f>
        <v>180,0</v>
      </c>
      <c r="L7" s="22" t="str">
        <f>"178,6320"</f>
        <v>178,6320</v>
      </c>
      <c r="M7" s="20" t="s">
        <v>414</v>
      </c>
    </row>
    <row r="8" spans="1:13">
      <c r="A8" s="35" t="s">
        <v>177</v>
      </c>
      <c r="B8" s="17" t="s">
        <v>85</v>
      </c>
      <c r="C8" s="17" t="s">
        <v>86</v>
      </c>
      <c r="D8" s="17" t="s">
        <v>87</v>
      </c>
      <c r="E8" s="18" t="s">
        <v>418</v>
      </c>
      <c r="F8" s="17" t="s">
        <v>394</v>
      </c>
      <c r="G8" s="34" t="s">
        <v>54</v>
      </c>
      <c r="H8" s="34" t="s">
        <v>55</v>
      </c>
      <c r="I8" s="36" t="s">
        <v>88</v>
      </c>
      <c r="J8" s="35"/>
      <c r="K8" s="19" t="str">
        <f>"160,0"</f>
        <v>160,0</v>
      </c>
      <c r="L8" s="19" t="str">
        <f>"156,8960"</f>
        <v>156,8960</v>
      </c>
      <c r="M8" s="17" t="s">
        <v>414</v>
      </c>
    </row>
    <row r="10" spans="1:13" ht="16">
      <c r="A10" s="46" t="s">
        <v>95</v>
      </c>
      <c r="B10" s="46"/>
      <c r="C10" s="47"/>
      <c r="D10" s="47"/>
      <c r="E10" s="47"/>
      <c r="F10" s="47"/>
      <c r="G10" s="47"/>
      <c r="H10" s="47"/>
      <c r="I10" s="47"/>
      <c r="J10" s="47"/>
    </row>
    <row r="11" spans="1:13">
      <c r="A11" s="33" t="s">
        <v>68</v>
      </c>
      <c r="B11" s="14" t="s">
        <v>143</v>
      </c>
      <c r="C11" s="14" t="s">
        <v>144</v>
      </c>
      <c r="D11" s="14" t="s">
        <v>145</v>
      </c>
      <c r="E11" s="15" t="s">
        <v>418</v>
      </c>
      <c r="F11" s="14" t="s">
        <v>392</v>
      </c>
      <c r="G11" s="32" t="s">
        <v>88</v>
      </c>
      <c r="H11" s="32" t="s">
        <v>102</v>
      </c>
      <c r="I11" s="32" t="s">
        <v>123</v>
      </c>
      <c r="J11" s="33"/>
      <c r="K11" s="16" t="str">
        <f>"175,0"</f>
        <v>175,0</v>
      </c>
      <c r="L11" s="16" t="str">
        <f>"161,2450"</f>
        <v>161,2450</v>
      </c>
      <c r="M11" s="14" t="s">
        <v>414</v>
      </c>
    </row>
    <row r="12" spans="1:13">
      <c r="A12" s="35" t="s">
        <v>69</v>
      </c>
      <c r="B12" s="17" t="s">
        <v>146</v>
      </c>
      <c r="C12" s="17" t="s">
        <v>147</v>
      </c>
      <c r="D12" s="17" t="s">
        <v>148</v>
      </c>
      <c r="E12" s="18" t="s">
        <v>418</v>
      </c>
      <c r="F12" s="17" t="s">
        <v>403</v>
      </c>
      <c r="G12" s="34" t="s">
        <v>118</v>
      </c>
      <c r="H12" s="34" t="s">
        <v>149</v>
      </c>
      <c r="I12" s="36" t="s">
        <v>103</v>
      </c>
      <c r="J12" s="35"/>
      <c r="K12" s="19" t="str">
        <f>"172,5"</f>
        <v>172,5</v>
      </c>
      <c r="L12" s="19" t="str">
        <f>"159,7005"</f>
        <v>159,7005</v>
      </c>
      <c r="M12" s="17" t="s">
        <v>414</v>
      </c>
    </row>
    <row r="14" spans="1:13" ht="16">
      <c r="A14" s="46" t="s">
        <v>111</v>
      </c>
      <c r="B14" s="46"/>
      <c r="C14" s="47"/>
      <c r="D14" s="47"/>
      <c r="E14" s="47"/>
      <c r="F14" s="47"/>
      <c r="G14" s="47"/>
      <c r="H14" s="47"/>
      <c r="I14" s="47"/>
      <c r="J14" s="47"/>
    </row>
    <row r="15" spans="1:13">
      <c r="A15" s="33" t="s">
        <v>68</v>
      </c>
      <c r="B15" s="14" t="s">
        <v>150</v>
      </c>
      <c r="C15" s="14" t="s">
        <v>362</v>
      </c>
      <c r="D15" s="14" t="s">
        <v>151</v>
      </c>
      <c r="E15" s="15" t="s">
        <v>421</v>
      </c>
      <c r="F15" s="14" t="s">
        <v>404</v>
      </c>
      <c r="G15" s="32" t="s">
        <v>152</v>
      </c>
      <c r="H15" s="32" t="s">
        <v>36</v>
      </c>
      <c r="I15" s="32" t="s">
        <v>37</v>
      </c>
      <c r="J15" s="33"/>
      <c r="K15" s="16" t="str">
        <f>"125,0"</f>
        <v>125,0</v>
      </c>
      <c r="L15" s="16" t="str">
        <f>"112,2500"</f>
        <v>112,2500</v>
      </c>
      <c r="M15" s="14" t="s">
        <v>374</v>
      </c>
    </row>
    <row r="16" spans="1:13">
      <c r="A16" s="39" t="s">
        <v>68</v>
      </c>
      <c r="B16" s="20" t="s">
        <v>153</v>
      </c>
      <c r="C16" s="20" t="s">
        <v>363</v>
      </c>
      <c r="D16" s="20" t="s">
        <v>154</v>
      </c>
      <c r="E16" s="21" t="s">
        <v>419</v>
      </c>
      <c r="F16" s="20" t="s">
        <v>394</v>
      </c>
      <c r="G16" s="38" t="s">
        <v>155</v>
      </c>
      <c r="H16" s="38" t="s">
        <v>82</v>
      </c>
      <c r="I16" s="38" t="s">
        <v>156</v>
      </c>
      <c r="J16" s="39"/>
      <c r="K16" s="22" t="str">
        <f>"212,5"</f>
        <v>212,5</v>
      </c>
      <c r="L16" s="22" t="str">
        <f>"192,1000"</f>
        <v>192,1000</v>
      </c>
      <c r="M16" s="20" t="s">
        <v>384</v>
      </c>
    </row>
    <row r="17" spans="1:13">
      <c r="A17" s="39" t="s">
        <v>69</v>
      </c>
      <c r="B17" s="20" t="s">
        <v>157</v>
      </c>
      <c r="C17" s="20" t="s">
        <v>339</v>
      </c>
      <c r="D17" s="20" t="s">
        <v>158</v>
      </c>
      <c r="E17" s="21" t="s">
        <v>419</v>
      </c>
      <c r="F17" s="20" t="s">
        <v>396</v>
      </c>
      <c r="G17" s="38" t="s">
        <v>48</v>
      </c>
      <c r="H17" s="40" t="s">
        <v>49</v>
      </c>
      <c r="I17" s="40" t="s">
        <v>49</v>
      </c>
      <c r="J17" s="39"/>
      <c r="K17" s="22" t="str">
        <f>"130,0"</f>
        <v>130,0</v>
      </c>
      <c r="L17" s="22" t="str">
        <f>"118,3260"</f>
        <v>118,3260</v>
      </c>
      <c r="M17" s="20" t="s">
        <v>414</v>
      </c>
    </row>
    <row r="18" spans="1:13">
      <c r="A18" s="35" t="s">
        <v>68</v>
      </c>
      <c r="B18" s="17" t="s">
        <v>159</v>
      </c>
      <c r="C18" s="17" t="s">
        <v>364</v>
      </c>
      <c r="D18" s="17" t="s">
        <v>160</v>
      </c>
      <c r="E18" s="18" t="s">
        <v>422</v>
      </c>
      <c r="F18" s="17" t="s">
        <v>405</v>
      </c>
      <c r="G18" s="34" t="s">
        <v>61</v>
      </c>
      <c r="H18" s="36" t="s">
        <v>117</v>
      </c>
      <c r="I18" s="36" t="s">
        <v>117</v>
      </c>
      <c r="J18" s="35"/>
      <c r="K18" s="19" t="str">
        <f>"145,0"</f>
        <v>145,0</v>
      </c>
      <c r="L18" s="19" t="str">
        <f>"134,0646"</f>
        <v>134,0646</v>
      </c>
      <c r="M18" s="17" t="s">
        <v>311</v>
      </c>
    </row>
    <row r="20" spans="1:13" ht="16">
      <c r="A20" s="46" t="s">
        <v>161</v>
      </c>
      <c r="B20" s="46"/>
      <c r="C20" s="47"/>
      <c r="D20" s="47"/>
      <c r="E20" s="47"/>
      <c r="F20" s="47"/>
      <c r="G20" s="47"/>
      <c r="H20" s="47"/>
      <c r="I20" s="47"/>
      <c r="J20" s="47"/>
    </row>
    <row r="21" spans="1:13">
      <c r="A21" s="33" t="s">
        <v>68</v>
      </c>
      <c r="B21" s="14" t="s">
        <v>162</v>
      </c>
      <c r="C21" s="14" t="s">
        <v>163</v>
      </c>
      <c r="D21" s="14" t="s">
        <v>164</v>
      </c>
      <c r="E21" s="15" t="s">
        <v>418</v>
      </c>
      <c r="F21" s="14" t="s">
        <v>393</v>
      </c>
      <c r="G21" s="32" t="s">
        <v>165</v>
      </c>
      <c r="H21" s="32" t="s">
        <v>156</v>
      </c>
      <c r="I21" s="32" t="s">
        <v>83</v>
      </c>
      <c r="J21" s="33"/>
      <c r="K21" s="16" t="str">
        <f>"215,0"</f>
        <v>215,0</v>
      </c>
      <c r="L21" s="16" t="str">
        <f>"188,9850"</f>
        <v>188,9850</v>
      </c>
      <c r="M21" s="14" t="s">
        <v>385</v>
      </c>
    </row>
    <row r="22" spans="1:13">
      <c r="A22" s="35" t="s">
        <v>69</v>
      </c>
      <c r="B22" s="17" t="s">
        <v>166</v>
      </c>
      <c r="C22" s="17" t="s">
        <v>167</v>
      </c>
      <c r="D22" s="17" t="s">
        <v>168</v>
      </c>
      <c r="E22" s="18" t="s">
        <v>418</v>
      </c>
      <c r="F22" s="17" t="s">
        <v>393</v>
      </c>
      <c r="G22" s="34" t="s">
        <v>104</v>
      </c>
      <c r="H22" s="34" t="s">
        <v>89</v>
      </c>
      <c r="I22" s="36" t="s">
        <v>155</v>
      </c>
      <c r="J22" s="35"/>
      <c r="K22" s="19" t="str">
        <f>"190,0"</f>
        <v>190,0</v>
      </c>
      <c r="L22" s="19" t="str">
        <f>"165,7940"</f>
        <v>165,7940</v>
      </c>
      <c r="M22" s="17" t="s">
        <v>386</v>
      </c>
    </row>
    <row r="24" spans="1:13" ht="16">
      <c r="A24" s="46" t="s">
        <v>169</v>
      </c>
      <c r="B24" s="46"/>
      <c r="C24" s="47"/>
      <c r="D24" s="47"/>
      <c r="E24" s="47"/>
      <c r="F24" s="47"/>
      <c r="G24" s="47"/>
      <c r="H24" s="47"/>
      <c r="I24" s="47"/>
      <c r="J24" s="47"/>
    </row>
    <row r="25" spans="1:13">
      <c r="A25" s="31" t="s">
        <v>68</v>
      </c>
      <c r="B25" s="11" t="s">
        <v>170</v>
      </c>
      <c r="C25" s="11" t="s">
        <v>171</v>
      </c>
      <c r="D25" s="11" t="s">
        <v>172</v>
      </c>
      <c r="E25" s="12" t="s">
        <v>418</v>
      </c>
      <c r="F25" s="11" t="s">
        <v>392</v>
      </c>
      <c r="G25" s="41" t="s">
        <v>90</v>
      </c>
      <c r="H25" s="41" t="s">
        <v>83</v>
      </c>
      <c r="I25" s="30" t="s">
        <v>79</v>
      </c>
      <c r="J25" s="31"/>
      <c r="K25" s="13" t="str">
        <f>"215,0"</f>
        <v>215,0</v>
      </c>
      <c r="L25" s="13" t="str">
        <f>"183,8250"</f>
        <v>183,8250</v>
      </c>
      <c r="M25" s="11" t="s">
        <v>414</v>
      </c>
    </row>
    <row r="27" spans="1:13" ht="16">
      <c r="F27" s="8"/>
      <c r="G27" s="5"/>
      <c r="K27" s="10"/>
      <c r="M27" s="7"/>
    </row>
    <row r="28" spans="1:13">
      <c r="G28" s="5"/>
      <c r="K28" s="10"/>
      <c r="M28" s="7"/>
    </row>
    <row r="29" spans="1:13" ht="18">
      <c r="B29" s="9" t="s">
        <v>7</v>
      </c>
      <c r="C29" s="9"/>
      <c r="G29" s="3"/>
      <c r="K29" s="10"/>
      <c r="M29" s="7"/>
    </row>
    <row r="30" spans="1:13" ht="14">
      <c r="B30" s="24"/>
      <c r="C30" s="25" t="s">
        <v>65</v>
      </c>
      <c r="G30" s="3"/>
      <c r="K30" s="10"/>
      <c r="M30" s="7"/>
    </row>
    <row r="31" spans="1:13" ht="14">
      <c r="B31" s="26" t="s">
        <v>62</v>
      </c>
      <c r="C31" s="26" t="s">
        <v>63</v>
      </c>
      <c r="D31" s="26" t="s">
        <v>382</v>
      </c>
      <c r="E31" s="27" t="s">
        <v>173</v>
      </c>
      <c r="F31" s="26" t="s">
        <v>64</v>
      </c>
      <c r="G31" s="3"/>
      <c r="K31" s="10"/>
      <c r="M31" s="7"/>
    </row>
    <row r="32" spans="1:13">
      <c r="B32" s="5" t="s">
        <v>162</v>
      </c>
      <c r="C32" s="5" t="s">
        <v>65</v>
      </c>
      <c r="D32" s="10" t="s">
        <v>174</v>
      </c>
      <c r="E32" s="29">
        <v>215</v>
      </c>
      <c r="F32" s="28">
        <v>188.98500174284001</v>
      </c>
      <c r="G32" s="3"/>
      <c r="K32" s="10"/>
      <c r="M32" s="7"/>
    </row>
    <row r="33" spans="2:13">
      <c r="B33" s="5" t="s">
        <v>170</v>
      </c>
      <c r="C33" s="5" t="s">
        <v>65</v>
      </c>
      <c r="D33" s="10" t="s">
        <v>175</v>
      </c>
      <c r="E33" s="29">
        <v>215</v>
      </c>
      <c r="F33" s="28">
        <v>183.82500410079999</v>
      </c>
      <c r="G33" s="3"/>
      <c r="K33" s="10"/>
      <c r="M33" s="7"/>
    </row>
    <row r="34" spans="2:13">
      <c r="B34" s="5" t="s">
        <v>139</v>
      </c>
      <c r="C34" s="5" t="s">
        <v>65</v>
      </c>
      <c r="D34" s="10" t="s">
        <v>129</v>
      </c>
      <c r="E34" s="29">
        <v>180</v>
      </c>
      <c r="F34" s="28">
        <v>180.35999536514299</v>
      </c>
      <c r="G34" s="3"/>
      <c r="K34" s="10"/>
      <c r="M34" s="7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4:J14"/>
    <mergeCell ref="A20:J20"/>
    <mergeCell ref="A24:J24"/>
    <mergeCell ref="B3:B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BEFB-7D95-4E39-ADBB-D98A1873E76D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8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0.6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58" t="s">
        <v>327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9</v>
      </c>
      <c r="H3" s="70"/>
      <c r="I3" s="70"/>
      <c r="J3" s="70"/>
      <c r="K3" s="52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76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3" t="s">
        <v>68</v>
      </c>
      <c r="B6" s="14" t="s">
        <v>229</v>
      </c>
      <c r="C6" s="14" t="s">
        <v>230</v>
      </c>
      <c r="D6" s="14" t="s">
        <v>231</v>
      </c>
      <c r="E6" s="15" t="s">
        <v>418</v>
      </c>
      <c r="F6" s="14" t="s">
        <v>406</v>
      </c>
      <c r="G6" s="32" t="s">
        <v>89</v>
      </c>
      <c r="H6" s="37" t="s">
        <v>83</v>
      </c>
      <c r="I6" s="37" t="s">
        <v>83</v>
      </c>
      <c r="J6" s="33"/>
      <c r="K6" s="16" t="str">
        <f>"190,0"</f>
        <v>190,0</v>
      </c>
      <c r="L6" s="16" t="str">
        <f>"199,5760"</f>
        <v>199,5760</v>
      </c>
      <c r="M6" s="14" t="s">
        <v>414</v>
      </c>
    </row>
    <row r="7" spans="1:13">
      <c r="A7" s="35" t="s">
        <v>68</v>
      </c>
      <c r="B7" s="17" t="s">
        <v>229</v>
      </c>
      <c r="C7" s="17" t="s">
        <v>355</v>
      </c>
      <c r="D7" s="17" t="s">
        <v>231</v>
      </c>
      <c r="E7" s="18" t="s">
        <v>424</v>
      </c>
      <c r="F7" s="17" t="s">
        <v>406</v>
      </c>
      <c r="G7" s="34" t="s">
        <v>89</v>
      </c>
      <c r="H7" s="36" t="s">
        <v>83</v>
      </c>
      <c r="I7" s="36" t="s">
        <v>83</v>
      </c>
      <c r="J7" s="35"/>
      <c r="K7" s="19" t="str">
        <f>"190,0"</f>
        <v>190,0</v>
      </c>
      <c r="L7" s="19" t="str">
        <f>"225,9200"</f>
        <v>225,9200</v>
      </c>
      <c r="M7" s="17" t="s">
        <v>414</v>
      </c>
    </row>
    <row r="9" spans="1:13" ht="16">
      <c r="A9" s="46" t="s">
        <v>95</v>
      </c>
      <c r="B9" s="46"/>
      <c r="C9" s="47"/>
      <c r="D9" s="47"/>
      <c r="E9" s="47"/>
      <c r="F9" s="47"/>
      <c r="G9" s="47"/>
      <c r="H9" s="47"/>
      <c r="I9" s="47"/>
      <c r="J9" s="47"/>
    </row>
    <row r="10" spans="1:13">
      <c r="A10" s="31" t="s">
        <v>68</v>
      </c>
      <c r="B10" s="11" t="s">
        <v>232</v>
      </c>
      <c r="C10" s="11" t="s">
        <v>233</v>
      </c>
      <c r="D10" s="11" t="s">
        <v>234</v>
      </c>
      <c r="E10" s="12" t="s">
        <v>418</v>
      </c>
      <c r="F10" s="11" t="s">
        <v>389</v>
      </c>
      <c r="G10" s="41" t="s">
        <v>235</v>
      </c>
      <c r="H10" s="31"/>
      <c r="I10" s="31"/>
      <c r="J10" s="31"/>
      <c r="K10" s="13" t="str">
        <f>"247,5"</f>
        <v>247,5</v>
      </c>
      <c r="L10" s="13" t="str">
        <f>"227,3535"</f>
        <v>227,3535</v>
      </c>
      <c r="M10" s="11" t="s">
        <v>414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7F4E8-9B4E-4A1B-BF04-B746CDC1DF63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0.332031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7.83203125" style="5" bestFit="1" customWidth="1"/>
    <col min="14" max="16384" width="9.1640625" style="3"/>
  </cols>
  <sheetData>
    <row r="1" spans="1:13" s="2" customFormat="1" ht="29" customHeight="1">
      <c r="A1" s="58" t="s">
        <v>328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9</v>
      </c>
      <c r="H3" s="70"/>
      <c r="I3" s="70"/>
      <c r="J3" s="70"/>
      <c r="K3" s="52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76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1" t="s">
        <v>68</v>
      </c>
      <c r="B6" s="11" t="s">
        <v>226</v>
      </c>
      <c r="C6" s="11" t="s">
        <v>227</v>
      </c>
      <c r="D6" s="11" t="s">
        <v>228</v>
      </c>
      <c r="E6" s="12" t="s">
        <v>418</v>
      </c>
      <c r="F6" s="11" t="s">
        <v>407</v>
      </c>
      <c r="G6" s="41" t="s">
        <v>89</v>
      </c>
      <c r="H6" s="41" t="s">
        <v>165</v>
      </c>
      <c r="I6" s="31"/>
      <c r="J6" s="31"/>
      <c r="K6" s="13" t="str">
        <f>"202,5"</f>
        <v>202,5</v>
      </c>
      <c r="L6" s="13" t="str">
        <f>"213,9210"</f>
        <v>213,9210</v>
      </c>
      <c r="M6" s="11" t="s">
        <v>381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384C1-9238-4873-9612-A7DD86E19726}">
  <dimension ref="A1:M1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26.6640625" style="5" customWidth="1"/>
    <col min="7" max="9" width="5.5" style="10" customWidth="1"/>
    <col min="10" max="10" width="4.83203125" style="10" customWidth="1"/>
    <col min="11" max="11" width="10.5" style="29" bestFit="1" customWidth="1"/>
    <col min="12" max="12" width="8.5" style="7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58" t="s">
        <v>317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9</v>
      </c>
      <c r="H3" s="70"/>
      <c r="I3" s="70"/>
      <c r="J3" s="70"/>
      <c r="K3" s="50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1"/>
      <c r="L4" s="53"/>
      <c r="M4" s="55"/>
    </row>
    <row r="5" spans="1:13" ht="16">
      <c r="A5" s="56" t="s">
        <v>178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1" t="s">
        <v>67</v>
      </c>
      <c r="B6" s="11" t="s">
        <v>288</v>
      </c>
      <c r="C6" s="11" t="s">
        <v>336</v>
      </c>
      <c r="D6" s="11" t="s">
        <v>289</v>
      </c>
      <c r="E6" s="12" t="s">
        <v>419</v>
      </c>
      <c r="F6" s="11" t="s">
        <v>391</v>
      </c>
      <c r="G6" s="30" t="s">
        <v>26</v>
      </c>
      <c r="H6" s="30" t="s">
        <v>20</v>
      </c>
      <c r="I6" s="30" t="s">
        <v>20</v>
      </c>
      <c r="J6" s="31"/>
      <c r="K6" s="42">
        <v>0</v>
      </c>
      <c r="L6" s="13" t="str">
        <f>"0,0000"</f>
        <v>0,0000</v>
      </c>
      <c r="M6" s="11" t="s">
        <v>371</v>
      </c>
    </row>
    <row r="8" spans="1:13" ht="16">
      <c r="A8" s="46" t="s">
        <v>38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31" t="s">
        <v>68</v>
      </c>
      <c r="B9" s="11" t="s">
        <v>290</v>
      </c>
      <c r="C9" s="11" t="s">
        <v>291</v>
      </c>
      <c r="D9" s="11" t="s">
        <v>292</v>
      </c>
      <c r="E9" s="12" t="s">
        <v>418</v>
      </c>
      <c r="F9" s="11" t="s">
        <v>408</v>
      </c>
      <c r="G9" s="30" t="s">
        <v>209</v>
      </c>
      <c r="H9" s="41" t="s">
        <v>209</v>
      </c>
      <c r="I9" s="30" t="s">
        <v>61</v>
      </c>
      <c r="J9" s="31"/>
      <c r="K9" s="42" t="str">
        <f>"135,0"</f>
        <v>135,0</v>
      </c>
      <c r="L9" s="13" t="str">
        <f>"99,4410"</f>
        <v>99,4410</v>
      </c>
      <c r="M9" s="11" t="s">
        <v>372</v>
      </c>
    </row>
    <row r="11" spans="1:13" ht="16">
      <c r="A11" s="46" t="s">
        <v>84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31" t="s">
        <v>68</v>
      </c>
      <c r="B12" s="11" t="s">
        <v>293</v>
      </c>
      <c r="C12" s="11" t="s">
        <v>337</v>
      </c>
      <c r="D12" s="11" t="s">
        <v>294</v>
      </c>
      <c r="E12" s="12" t="s">
        <v>422</v>
      </c>
      <c r="F12" s="11" t="s">
        <v>409</v>
      </c>
      <c r="G12" s="30" t="s">
        <v>209</v>
      </c>
      <c r="H12" s="41" t="s">
        <v>209</v>
      </c>
      <c r="I12" s="30" t="s">
        <v>295</v>
      </c>
      <c r="J12" s="31"/>
      <c r="K12" s="42" t="str">
        <f>"135,0"</f>
        <v>135,0</v>
      </c>
      <c r="L12" s="13" t="str">
        <f>"87,8549"</f>
        <v>87,8549</v>
      </c>
      <c r="M12" s="11" t="s">
        <v>372</v>
      </c>
    </row>
    <row r="14" spans="1:13" ht="16">
      <c r="A14" s="46" t="s">
        <v>95</v>
      </c>
      <c r="B14" s="46"/>
      <c r="C14" s="47"/>
      <c r="D14" s="47"/>
      <c r="E14" s="47"/>
      <c r="F14" s="47"/>
      <c r="G14" s="47"/>
      <c r="H14" s="47"/>
      <c r="I14" s="47"/>
      <c r="J14" s="47"/>
    </row>
    <row r="15" spans="1:13">
      <c r="A15" s="31" t="s">
        <v>68</v>
      </c>
      <c r="B15" s="11" t="s">
        <v>296</v>
      </c>
      <c r="C15" s="11" t="s">
        <v>297</v>
      </c>
      <c r="D15" s="11" t="s">
        <v>221</v>
      </c>
      <c r="E15" s="12" t="s">
        <v>418</v>
      </c>
      <c r="F15" s="11" t="s">
        <v>408</v>
      </c>
      <c r="G15" s="30" t="s">
        <v>104</v>
      </c>
      <c r="H15" s="41" t="s">
        <v>104</v>
      </c>
      <c r="I15" s="30" t="s">
        <v>165</v>
      </c>
      <c r="J15" s="31"/>
      <c r="K15" s="42" t="str">
        <f>"180,0"</f>
        <v>180,0</v>
      </c>
      <c r="L15" s="13" t="str">
        <f>"105,5070"</f>
        <v>105,5070</v>
      </c>
      <c r="M15" s="11" t="s">
        <v>372</v>
      </c>
    </row>
    <row r="17" spans="1:13" ht="16">
      <c r="A17" s="46" t="s">
        <v>161</v>
      </c>
      <c r="B17" s="46"/>
      <c r="C17" s="47"/>
      <c r="D17" s="47"/>
      <c r="E17" s="47"/>
      <c r="F17" s="47"/>
      <c r="G17" s="47"/>
      <c r="H17" s="47"/>
      <c r="I17" s="47"/>
      <c r="J17" s="47"/>
    </row>
    <row r="18" spans="1:13">
      <c r="A18" s="31" t="s">
        <v>68</v>
      </c>
      <c r="B18" s="11" t="s">
        <v>298</v>
      </c>
      <c r="C18" s="11" t="s">
        <v>299</v>
      </c>
      <c r="D18" s="11" t="s">
        <v>300</v>
      </c>
      <c r="E18" s="12" t="s">
        <v>418</v>
      </c>
      <c r="F18" s="11" t="s">
        <v>389</v>
      </c>
      <c r="G18" s="41" t="s">
        <v>142</v>
      </c>
      <c r="H18" s="41" t="s">
        <v>245</v>
      </c>
      <c r="I18" s="30" t="s">
        <v>56</v>
      </c>
      <c r="J18" s="31"/>
      <c r="K18" s="42" t="str">
        <f>"197,5"</f>
        <v>197,5</v>
      </c>
      <c r="L18" s="13" t="str">
        <f>"109,3162"</f>
        <v>109,3162</v>
      </c>
      <c r="M18" s="11" t="s">
        <v>414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FF442-F73F-462D-A163-BA098F02A51C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6640625" style="5" customWidth="1"/>
    <col min="3" max="3" width="28.5" style="5" bestFit="1" customWidth="1"/>
    <col min="4" max="4" width="15.5" style="5" bestFit="1" customWidth="1"/>
    <col min="5" max="5" width="17" style="6" customWidth="1"/>
    <col min="6" max="6" width="21.1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customWidth="1"/>
    <col min="13" max="13" width="20.6640625" style="5" customWidth="1"/>
    <col min="14" max="16384" width="9.1640625" style="3"/>
  </cols>
  <sheetData>
    <row r="1" spans="1:13" s="2" customFormat="1" ht="29" customHeight="1">
      <c r="A1" s="58" t="s">
        <v>318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9</v>
      </c>
      <c r="H3" s="70"/>
      <c r="I3" s="70"/>
      <c r="J3" s="70"/>
      <c r="K3" s="52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84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1" t="s">
        <v>67</v>
      </c>
      <c r="B6" s="11" t="s">
        <v>286</v>
      </c>
      <c r="C6" s="11" t="s">
        <v>338</v>
      </c>
      <c r="D6" s="11" t="s">
        <v>287</v>
      </c>
      <c r="E6" s="12" t="s">
        <v>424</v>
      </c>
      <c r="F6" s="11" t="s">
        <v>410</v>
      </c>
      <c r="G6" s="30" t="s">
        <v>55</v>
      </c>
      <c r="H6" s="30" t="s">
        <v>102</v>
      </c>
      <c r="I6" s="30" t="s">
        <v>102</v>
      </c>
      <c r="J6" s="31"/>
      <c r="K6" s="42">
        <v>0</v>
      </c>
      <c r="L6" s="13" t="str">
        <f>"0,0000"</f>
        <v>0,0000</v>
      </c>
      <c r="M6" s="11" t="s">
        <v>414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52753-613A-417B-B984-A7AD81C72536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1.5" style="5" customWidth="1"/>
    <col min="7" max="9" width="5.5" style="10" customWidth="1"/>
    <col min="10" max="10" width="4.83203125" style="10" customWidth="1"/>
    <col min="11" max="11" width="10.5" style="29" bestFit="1" customWidth="1"/>
    <col min="12" max="12" width="8.5" style="7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58" t="s">
        <v>316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9</v>
      </c>
      <c r="H3" s="70"/>
      <c r="I3" s="70"/>
      <c r="J3" s="70"/>
      <c r="K3" s="50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1"/>
      <c r="L4" s="53"/>
      <c r="M4" s="55"/>
    </row>
    <row r="5" spans="1:13" ht="16">
      <c r="A5" s="56" t="s">
        <v>95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1" t="s">
        <v>68</v>
      </c>
      <c r="B6" s="11" t="s">
        <v>301</v>
      </c>
      <c r="C6" s="11" t="s">
        <v>302</v>
      </c>
      <c r="D6" s="11" t="s">
        <v>303</v>
      </c>
      <c r="E6" s="12" t="s">
        <v>418</v>
      </c>
      <c r="F6" s="11" t="s">
        <v>391</v>
      </c>
      <c r="G6" s="41" t="s">
        <v>304</v>
      </c>
      <c r="H6" s="30" t="s">
        <v>305</v>
      </c>
      <c r="I6" s="41" t="s">
        <v>305</v>
      </c>
      <c r="J6" s="31"/>
      <c r="K6" s="42" t="str">
        <f>"285,0"</f>
        <v>285,0</v>
      </c>
      <c r="L6" s="13" t="str">
        <f>"167,8935"</f>
        <v>167,8935</v>
      </c>
      <c r="M6" s="11" t="s">
        <v>311</v>
      </c>
    </row>
    <row r="8" spans="1:13" ht="16">
      <c r="A8" s="46" t="s">
        <v>161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33" t="s">
        <v>67</v>
      </c>
      <c r="B9" s="14" t="s">
        <v>306</v>
      </c>
      <c r="C9" s="14" t="s">
        <v>307</v>
      </c>
      <c r="D9" s="14" t="s">
        <v>308</v>
      </c>
      <c r="E9" s="15" t="s">
        <v>418</v>
      </c>
      <c r="F9" s="14" t="s">
        <v>391</v>
      </c>
      <c r="G9" s="37" t="s">
        <v>309</v>
      </c>
      <c r="H9" s="37" t="s">
        <v>310</v>
      </c>
      <c r="I9" s="37" t="s">
        <v>310</v>
      </c>
      <c r="J9" s="33"/>
      <c r="K9" s="43">
        <v>0</v>
      </c>
      <c r="L9" s="16" t="str">
        <f>"0,0000"</f>
        <v>0,0000</v>
      </c>
      <c r="M9" s="14" t="s">
        <v>311</v>
      </c>
    </row>
    <row r="10" spans="1:13">
      <c r="A10" s="35" t="s">
        <v>67</v>
      </c>
      <c r="B10" s="17" t="s">
        <v>306</v>
      </c>
      <c r="C10" s="17" t="s">
        <v>335</v>
      </c>
      <c r="D10" s="17" t="s">
        <v>308</v>
      </c>
      <c r="E10" s="18" t="s">
        <v>424</v>
      </c>
      <c r="F10" s="17" t="s">
        <v>391</v>
      </c>
      <c r="G10" s="36" t="s">
        <v>309</v>
      </c>
      <c r="H10" s="36" t="s">
        <v>310</v>
      </c>
      <c r="I10" s="36" t="s">
        <v>310</v>
      </c>
      <c r="J10" s="35"/>
      <c r="K10" s="44">
        <v>0</v>
      </c>
      <c r="L10" s="19" t="str">
        <f>"0,0000"</f>
        <v>0,0000</v>
      </c>
      <c r="M10" s="17" t="s">
        <v>311</v>
      </c>
    </row>
    <row r="12" spans="1:13" ht="16">
      <c r="A12" s="46" t="s">
        <v>169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31" t="s">
        <v>68</v>
      </c>
      <c r="B13" s="11" t="s">
        <v>312</v>
      </c>
      <c r="C13" s="11" t="s">
        <v>313</v>
      </c>
      <c r="D13" s="11" t="s">
        <v>314</v>
      </c>
      <c r="E13" s="12" t="s">
        <v>418</v>
      </c>
      <c r="F13" s="11" t="s">
        <v>391</v>
      </c>
      <c r="G13" s="30" t="s">
        <v>309</v>
      </c>
      <c r="H13" s="41" t="s">
        <v>310</v>
      </c>
      <c r="I13" s="30" t="s">
        <v>315</v>
      </c>
      <c r="J13" s="31"/>
      <c r="K13" s="42" t="str">
        <f>"400,0"</f>
        <v>400,0</v>
      </c>
      <c r="L13" s="13" t="str">
        <f>"213,6780"</f>
        <v>213,6780</v>
      </c>
      <c r="M13" s="11" t="s">
        <v>311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535C-C53A-41C5-9913-65F6376F831E}">
  <dimension ref="A1:M29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3.1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1.5" style="7" customWidth="1"/>
    <col min="13" max="13" width="21" style="5" customWidth="1"/>
    <col min="14" max="16384" width="9.1640625" style="3"/>
  </cols>
  <sheetData>
    <row r="1" spans="1:13" s="2" customFormat="1" ht="29" customHeight="1">
      <c r="A1" s="58" t="s">
        <v>325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10</v>
      </c>
      <c r="H3" s="70"/>
      <c r="I3" s="70"/>
      <c r="J3" s="70"/>
      <c r="K3" s="52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38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3" t="s">
        <v>68</v>
      </c>
      <c r="B6" s="14" t="s">
        <v>258</v>
      </c>
      <c r="C6" s="14" t="s">
        <v>345</v>
      </c>
      <c r="D6" s="14" t="s">
        <v>259</v>
      </c>
      <c r="E6" s="15" t="s">
        <v>422</v>
      </c>
      <c r="F6" s="14" t="s">
        <v>408</v>
      </c>
      <c r="G6" s="32" t="s">
        <v>127</v>
      </c>
      <c r="H6" s="32" t="s">
        <v>212</v>
      </c>
      <c r="I6" s="32" t="s">
        <v>260</v>
      </c>
      <c r="J6" s="33"/>
      <c r="K6" s="16" t="str">
        <f>"142,5"</f>
        <v>142,5</v>
      </c>
      <c r="L6" s="16" t="str">
        <f>"221,5875"</f>
        <v>221,5875</v>
      </c>
      <c r="M6" s="14" t="s">
        <v>372</v>
      </c>
    </row>
    <row r="7" spans="1:13">
      <c r="A7" s="39" t="s">
        <v>69</v>
      </c>
      <c r="B7" s="20" t="s">
        <v>261</v>
      </c>
      <c r="C7" s="20" t="s">
        <v>340</v>
      </c>
      <c r="D7" s="20" t="s">
        <v>262</v>
      </c>
      <c r="E7" s="21" t="s">
        <v>422</v>
      </c>
      <c r="F7" s="20" t="s">
        <v>394</v>
      </c>
      <c r="G7" s="38" t="s">
        <v>35</v>
      </c>
      <c r="H7" s="38" t="s">
        <v>263</v>
      </c>
      <c r="I7" s="40" t="s">
        <v>127</v>
      </c>
      <c r="J7" s="39"/>
      <c r="K7" s="22" t="str">
        <f>"122,5"</f>
        <v>122,5</v>
      </c>
      <c r="L7" s="22" t="str">
        <f>"191,6635"</f>
        <v>191,6635</v>
      </c>
      <c r="M7" s="20" t="s">
        <v>376</v>
      </c>
    </row>
    <row r="8" spans="1:13">
      <c r="A8" s="35" t="s">
        <v>68</v>
      </c>
      <c r="B8" s="17" t="s">
        <v>264</v>
      </c>
      <c r="C8" s="17" t="s">
        <v>346</v>
      </c>
      <c r="D8" s="17" t="s">
        <v>265</v>
      </c>
      <c r="E8" s="18" t="s">
        <v>427</v>
      </c>
      <c r="F8" s="17" t="s">
        <v>389</v>
      </c>
      <c r="G8" s="34" t="s">
        <v>194</v>
      </c>
      <c r="H8" s="34" t="s">
        <v>25</v>
      </c>
      <c r="I8" s="34" t="s">
        <v>19</v>
      </c>
      <c r="J8" s="35"/>
      <c r="K8" s="19" t="str">
        <f>"90,0"</f>
        <v>90,0</v>
      </c>
      <c r="L8" s="19" t="str">
        <f>"166,6334"</f>
        <v>166,6334</v>
      </c>
      <c r="M8" s="17" t="s">
        <v>28</v>
      </c>
    </row>
    <row r="10" spans="1:13" ht="16">
      <c r="A10" s="46" t="s">
        <v>84</v>
      </c>
      <c r="B10" s="46"/>
      <c r="C10" s="47"/>
      <c r="D10" s="47"/>
      <c r="E10" s="47"/>
      <c r="F10" s="47"/>
      <c r="G10" s="47"/>
      <c r="H10" s="47"/>
      <c r="I10" s="47"/>
      <c r="J10" s="47"/>
    </row>
    <row r="11" spans="1:13">
      <c r="A11" s="31" t="s">
        <v>68</v>
      </c>
      <c r="B11" s="11" t="s">
        <v>266</v>
      </c>
      <c r="C11" s="11" t="s">
        <v>347</v>
      </c>
      <c r="D11" s="11" t="s">
        <v>255</v>
      </c>
      <c r="E11" s="12" t="s">
        <v>422</v>
      </c>
      <c r="F11" s="11" t="s">
        <v>391</v>
      </c>
      <c r="G11" s="41" t="s">
        <v>49</v>
      </c>
      <c r="H11" s="41" t="s">
        <v>54</v>
      </c>
      <c r="I11" s="30" t="s">
        <v>267</v>
      </c>
      <c r="J11" s="31"/>
      <c r="K11" s="13" t="str">
        <f>"150,0"</f>
        <v>150,0</v>
      </c>
      <c r="L11" s="13" t="str">
        <f>"219,7845"</f>
        <v>219,7845</v>
      </c>
      <c r="M11" s="11" t="s">
        <v>373</v>
      </c>
    </row>
    <row r="13" spans="1:13" ht="16">
      <c r="A13" s="46" t="s">
        <v>190</v>
      </c>
      <c r="B13" s="46"/>
      <c r="C13" s="47"/>
      <c r="D13" s="47"/>
      <c r="E13" s="47"/>
      <c r="F13" s="47"/>
      <c r="G13" s="47"/>
      <c r="H13" s="47"/>
      <c r="I13" s="47"/>
      <c r="J13" s="47"/>
    </row>
    <row r="14" spans="1:13">
      <c r="A14" s="31" t="s">
        <v>68</v>
      </c>
      <c r="B14" s="11" t="s">
        <v>191</v>
      </c>
      <c r="C14" s="11" t="s">
        <v>341</v>
      </c>
      <c r="D14" s="11" t="s">
        <v>192</v>
      </c>
      <c r="E14" s="12" t="s">
        <v>420</v>
      </c>
      <c r="F14" s="11" t="s">
        <v>395</v>
      </c>
      <c r="G14" s="41" t="s">
        <v>47</v>
      </c>
      <c r="H14" s="41" t="s">
        <v>41</v>
      </c>
      <c r="I14" s="41" t="s">
        <v>194</v>
      </c>
      <c r="J14" s="31"/>
      <c r="K14" s="13" t="str">
        <f>"82,5"</f>
        <v>82,5</v>
      </c>
      <c r="L14" s="13" t="str">
        <f>"156,6345"</f>
        <v>156,6345</v>
      </c>
      <c r="M14" s="11" t="s">
        <v>377</v>
      </c>
    </row>
    <row r="16" spans="1:13" ht="16">
      <c r="A16" s="46" t="s">
        <v>38</v>
      </c>
      <c r="B16" s="46"/>
      <c r="C16" s="47"/>
      <c r="D16" s="47"/>
      <c r="E16" s="47"/>
      <c r="F16" s="47"/>
      <c r="G16" s="47"/>
      <c r="H16" s="47"/>
      <c r="I16" s="47"/>
      <c r="J16" s="47"/>
    </row>
    <row r="17" spans="1:13">
      <c r="A17" s="33" t="s">
        <v>68</v>
      </c>
      <c r="B17" s="14" t="s">
        <v>268</v>
      </c>
      <c r="C17" s="14" t="s">
        <v>348</v>
      </c>
      <c r="D17" s="14" t="s">
        <v>269</v>
      </c>
      <c r="E17" s="15" t="s">
        <v>428</v>
      </c>
      <c r="F17" s="14" t="s">
        <v>402</v>
      </c>
      <c r="G17" s="32" t="s">
        <v>54</v>
      </c>
      <c r="H17" s="37" t="s">
        <v>55</v>
      </c>
      <c r="I17" s="32" t="s">
        <v>55</v>
      </c>
      <c r="J17" s="33"/>
      <c r="K17" s="16" t="str">
        <f>"160,0"</f>
        <v>160,0</v>
      </c>
      <c r="L17" s="16" t="str">
        <f>"184,0320"</f>
        <v>184,0320</v>
      </c>
      <c r="M17" s="14" t="s">
        <v>414</v>
      </c>
    </row>
    <row r="18" spans="1:13">
      <c r="A18" s="39" t="s">
        <v>68</v>
      </c>
      <c r="B18" s="20" t="s">
        <v>58</v>
      </c>
      <c r="C18" s="20" t="s">
        <v>59</v>
      </c>
      <c r="D18" s="20" t="s">
        <v>60</v>
      </c>
      <c r="E18" s="21" t="s">
        <v>418</v>
      </c>
      <c r="F18" s="20" t="s">
        <v>400</v>
      </c>
      <c r="G18" s="40" t="s">
        <v>90</v>
      </c>
      <c r="H18" s="40" t="s">
        <v>90</v>
      </c>
      <c r="I18" s="38" t="s">
        <v>83</v>
      </c>
      <c r="J18" s="39"/>
      <c r="K18" s="22" t="str">
        <f>"215,0"</f>
        <v>215,0</v>
      </c>
      <c r="L18" s="22" t="str">
        <f>"241,3160"</f>
        <v>241,3160</v>
      </c>
      <c r="M18" s="20" t="s">
        <v>414</v>
      </c>
    </row>
    <row r="19" spans="1:13">
      <c r="A19" s="35" t="s">
        <v>69</v>
      </c>
      <c r="B19" s="17" t="s">
        <v>52</v>
      </c>
      <c r="C19" s="17" t="s">
        <v>53</v>
      </c>
      <c r="D19" s="17" t="s">
        <v>45</v>
      </c>
      <c r="E19" s="18" t="s">
        <v>418</v>
      </c>
      <c r="F19" s="17" t="s">
        <v>391</v>
      </c>
      <c r="G19" s="36" t="s">
        <v>56</v>
      </c>
      <c r="H19" s="34" t="s">
        <v>56</v>
      </c>
      <c r="I19" s="36" t="s">
        <v>57</v>
      </c>
      <c r="J19" s="35"/>
      <c r="K19" s="19" t="str">
        <f>"200,0"</f>
        <v>200,0</v>
      </c>
      <c r="L19" s="19" t="str">
        <f>"224,8000"</f>
        <v>224,8000</v>
      </c>
      <c r="M19" s="17" t="s">
        <v>373</v>
      </c>
    </row>
    <row r="21" spans="1:13" ht="16">
      <c r="A21" s="46" t="s">
        <v>84</v>
      </c>
      <c r="B21" s="46"/>
      <c r="C21" s="47"/>
      <c r="D21" s="47"/>
      <c r="E21" s="47"/>
      <c r="F21" s="47"/>
      <c r="G21" s="47"/>
      <c r="H21" s="47"/>
      <c r="I21" s="47"/>
      <c r="J21" s="47"/>
    </row>
    <row r="22" spans="1:13">
      <c r="A22" s="31" t="s">
        <v>68</v>
      </c>
      <c r="B22" s="11" t="s">
        <v>270</v>
      </c>
      <c r="C22" s="11" t="s">
        <v>271</v>
      </c>
      <c r="D22" s="11" t="s">
        <v>272</v>
      </c>
      <c r="E22" s="12" t="s">
        <v>418</v>
      </c>
      <c r="F22" s="11" t="s">
        <v>398</v>
      </c>
      <c r="G22" s="41" t="s">
        <v>102</v>
      </c>
      <c r="H22" s="41" t="s">
        <v>104</v>
      </c>
      <c r="I22" s="41" t="s">
        <v>89</v>
      </c>
      <c r="J22" s="31"/>
      <c r="K22" s="13" t="str">
        <f>"190,0"</f>
        <v>190,0</v>
      </c>
      <c r="L22" s="13" t="str">
        <f>"189,9240"</f>
        <v>189,9240</v>
      </c>
      <c r="M22" s="11" t="s">
        <v>380</v>
      </c>
    </row>
    <row r="24" spans="1:13" ht="16">
      <c r="A24" s="46" t="s">
        <v>95</v>
      </c>
      <c r="B24" s="46"/>
      <c r="C24" s="47"/>
      <c r="D24" s="47"/>
      <c r="E24" s="47"/>
      <c r="F24" s="47"/>
      <c r="G24" s="47"/>
      <c r="H24" s="47"/>
      <c r="I24" s="47"/>
      <c r="J24" s="47"/>
    </row>
    <row r="25" spans="1:13">
      <c r="A25" s="33" t="s">
        <v>68</v>
      </c>
      <c r="B25" s="14" t="s">
        <v>210</v>
      </c>
      <c r="C25" s="14" t="s">
        <v>349</v>
      </c>
      <c r="D25" s="14" t="s">
        <v>211</v>
      </c>
      <c r="E25" s="15" t="s">
        <v>419</v>
      </c>
      <c r="F25" s="14" t="s">
        <v>401</v>
      </c>
      <c r="G25" s="32" t="s">
        <v>90</v>
      </c>
      <c r="H25" s="32" t="s">
        <v>80</v>
      </c>
      <c r="I25" s="32" t="s">
        <v>241</v>
      </c>
      <c r="J25" s="33"/>
      <c r="K25" s="16" t="str">
        <f>"245,0"</f>
        <v>245,0</v>
      </c>
      <c r="L25" s="16" t="str">
        <f>"232,4560"</f>
        <v>232,4560</v>
      </c>
      <c r="M25" s="14" t="s">
        <v>414</v>
      </c>
    </row>
    <row r="26" spans="1:13">
      <c r="A26" s="35" t="s">
        <v>68</v>
      </c>
      <c r="B26" s="17" t="s">
        <v>273</v>
      </c>
      <c r="C26" s="17" t="s">
        <v>274</v>
      </c>
      <c r="D26" s="17" t="s">
        <v>275</v>
      </c>
      <c r="E26" s="18" t="s">
        <v>418</v>
      </c>
      <c r="F26" s="17" t="s">
        <v>411</v>
      </c>
      <c r="G26" s="34" t="s">
        <v>89</v>
      </c>
      <c r="H26" s="34" t="s">
        <v>56</v>
      </c>
      <c r="I26" s="36" t="s">
        <v>90</v>
      </c>
      <c r="J26" s="35"/>
      <c r="K26" s="19" t="str">
        <f>"200,0"</f>
        <v>200,0</v>
      </c>
      <c r="L26" s="19" t="str">
        <f>"185,9600"</f>
        <v>185,9600</v>
      </c>
      <c r="M26" s="17" t="s">
        <v>414</v>
      </c>
    </row>
    <row r="28" spans="1:13" ht="16">
      <c r="A28" s="46" t="s">
        <v>111</v>
      </c>
      <c r="B28" s="46"/>
      <c r="C28" s="47"/>
      <c r="D28" s="47"/>
      <c r="E28" s="47"/>
      <c r="F28" s="47"/>
      <c r="G28" s="47"/>
      <c r="H28" s="47"/>
      <c r="I28" s="47"/>
      <c r="J28" s="47"/>
    </row>
    <row r="29" spans="1:13">
      <c r="A29" s="31" t="s">
        <v>68</v>
      </c>
      <c r="B29" s="11" t="s">
        <v>276</v>
      </c>
      <c r="C29" s="11" t="s">
        <v>277</v>
      </c>
      <c r="D29" s="11" t="s">
        <v>278</v>
      </c>
      <c r="E29" s="12" t="s">
        <v>418</v>
      </c>
      <c r="F29" s="11" t="s">
        <v>412</v>
      </c>
      <c r="G29" s="41" t="s">
        <v>110</v>
      </c>
      <c r="H29" s="41" t="s">
        <v>100</v>
      </c>
      <c r="I29" s="30" t="s">
        <v>279</v>
      </c>
      <c r="J29" s="31"/>
      <c r="K29" s="13" t="str">
        <f>"270,0"</f>
        <v>270,0</v>
      </c>
      <c r="L29" s="13" t="str">
        <f>"240,9480"</f>
        <v>240,9480</v>
      </c>
      <c r="M29" s="11" t="s">
        <v>414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8:J28"/>
    <mergeCell ref="K3:K4"/>
    <mergeCell ref="L3:L4"/>
    <mergeCell ref="M3:M4"/>
    <mergeCell ref="A5:J5"/>
    <mergeCell ref="B3:B4"/>
    <mergeCell ref="A10:J10"/>
    <mergeCell ref="A13:J13"/>
    <mergeCell ref="A16:J16"/>
    <mergeCell ref="A21:J21"/>
    <mergeCell ref="A24:J2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1013E-B51C-4C5D-8A58-AFCEE70C51C4}">
  <dimension ref="A1:M30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23.1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0.33203125" style="7" customWidth="1"/>
    <col min="13" max="13" width="30.5" style="5" bestFit="1" customWidth="1"/>
    <col min="14" max="16384" width="9.1640625" style="3"/>
  </cols>
  <sheetData>
    <row r="1" spans="1:13" s="2" customFormat="1" ht="29" customHeight="1">
      <c r="A1" s="58" t="s">
        <v>326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10</v>
      </c>
      <c r="H3" s="70"/>
      <c r="I3" s="70"/>
      <c r="J3" s="70"/>
      <c r="K3" s="52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16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1" t="s">
        <v>68</v>
      </c>
      <c r="B6" s="11" t="s">
        <v>236</v>
      </c>
      <c r="C6" s="11" t="s">
        <v>344</v>
      </c>
      <c r="D6" s="11" t="s">
        <v>237</v>
      </c>
      <c r="E6" s="12" t="s">
        <v>421</v>
      </c>
      <c r="F6" s="11" t="s">
        <v>396</v>
      </c>
      <c r="G6" s="41" t="s">
        <v>41</v>
      </c>
      <c r="H6" s="41" t="s">
        <v>21</v>
      </c>
      <c r="I6" s="41" t="s">
        <v>43</v>
      </c>
      <c r="J6" s="31"/>
      <c r="K6" s="13" t="str">
        <f>"110,0"</f>
        <v>110,0</v>
      </c>
      <c r="L6" s="13" t="str">
        <f>"185,9000"</f>
        <v>185,9000</v>
      </c>
      <c r="M6" s="11" t="s">
        <v>379</v>
      </c>
    </row>
    <row r="8" spans="1:13" ht="16">
      <c r="A8" s="46" t="s">
        <v>38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31" t="s">
        <v>68</v>
      </c>
      <c r="B9" s="11" t="s">
        <v>238</v>
      </c>
      <c r="C9" s="11" t="s">
        <v>239</v>
      </c>
      <c r="D9" s="11" t="s">
        <v>240</v>
      </c>
      <c r="E9" s="12" t="s">
        <v>418</v>
      </c>
      <c r="F9" s="11" t="s">
        <v>391</v>
      </c>
      <c r="G9" s="41" t="s">
        <v>108</v>
      </c>
      <c r="H9" s="30" t="s">
        <v>241</v>
      </c>
      <c r="I9" s="31"/>
      <c r="J9" s="31"/>
      <c r="K9" s="13" t="str">
        <f>"235,0"</f>
        <v>235,0</v>
      </c>
      <c r="L9" s="13" t="str">
        <f>"373,8380"</f>
        <v>373,8380</v>
      </c>
      <c r="M9" s="11" t="s">
        <v>311</v>
      </c>
    </row>
    <row r="11" spans="1:13" ht="16">
      <c r="A11" s="46" t="s">
        <v>76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31" t="s">
        <v>68</v>
      </c>
      <c r="B12" s="11" t="s">
        <v>242</v>
      </c>
      <c r="C12" s="11" t="s">
        <v>350</v>
      </c>
      <c r="D12" s="11" t="s">
        <v>243</v>
      </c>
      <c r="E12" s="12" t="s">
        <v>422</v>
      </c>
      <c r="F12" s="11" t="s">
        <v>408</v>
      </c>
      <c r="G12" s="41" t="s">
        <v>244</v>
      </c>
      <c r="H12" s="41" t="s">
        <v>245</v>
      </c>
      <c r="I12" s="41" t="s">
        <v>165</v>
      </c>
      <c r="J12" s="31"/>
      <c r="K12" s="13" t="str">
        <f>"202,5"</f>
        <v>202,5</v>
      </c>
      <c r="L12" s="13" t="str">
        <f>"313,5313"</f>
        <v>313,5313</v>
      </c>
      <c r="M12" s="11" t="s">
        <v>372</v>
      </c>
    </row>
    <row r="14" spans="1:13" ht="16">
      <c r="A14" s="46" t="s">
        <v>16</v>
      </c>
      <c r="B14" s="46"/>
      <c r="C14" s="47"/>
      <c r="D14" s="47"/>
      <c r="E14" s="47"/>
      <c r="F14" s="47"/>
      <c r="G14" s="47"/>
      <c r="H14" s="47"/>
      <c r="I14" s="47"/>
      <c r="J14" s="47"/>
    </row>
    <row r="15" spans="1:13">
      <c r="A15" s="31" t="s">
        <v>68</v>
      </c>
      <c r="B15" s="11" t="s">
        <v>246</v>
      </c>
      <c r="C15" s="11" t="s">
        <v>351</v>
      </c>
      <c r="D15" s="11" t="s">
        <v>247</v>
      </c>
      <c r="E15" s="12" t="s">
        <v>419</v>
      </c>
      <c r="F15" s="11" t="s">
        <v>389</v>
      </c>
      <c r="G15" s="41" t="s">
        <v>35</v>
      </c>
      <c r="H15" s="41" t="s">
        <v>37</v>
      </c>
      <c r="I15" s="30" t="s">
        <v>212</v>
      </c>
      <c r="J15" s="31"/>
      <c r="K15" s="13" t="str">
        <f>"125,0"</f>
        <v>125,0</v>
      </c>
      <c r="L15" s="13" t="str">
        <f>"159,5750"</f>
        <v>159,5750</v>
      </c>
      <c r="M15" s="11" t="s">
        <v>374</v>
      </c>
    </row>
    <row r="17" spans="1:13" ht="16">
      <c r="A17" s="46" t="s">
        <v>38</v>
      </c>
      <c r="B17" s="46"/>
      <c r="C17" s="47"/>
      <c r="D17" s="47"/>
      <c r="E17" s="47"/>
      <c r="F17" s="47"/>
      <c r="G17" s="47"/>
      <c r="H17" s="47"/>
      <c r="I17" s="47"/>
      <c r="J17" s="47"/>
    </row>
    <row r="18" spans="1:13">
      <c r="A18" s="31" t="s">
        <v>68</v>
      </c>
      <c r="B18" s="11" t="s">
        <v>248</v>
      </c>
      <c r="C18" s="11" t="s">
        <v>352</v>
      </c>
      <c r="D18" s="11" t="s">
        <v>249</v>
      </c>
      <c r="E18" s="12" t="s">
        <v>423</v>
      </c>
      <c r="F18" s="11" t="s">
        <v>389</v>
      </c>
      <c r="G18" s="30" t="s">
        <v>83</v>
      </c>
      <c r="H18" s="41" t="s">
        <v>83</v>
      </c>
      <c r="I18" s="30" t="s">
        <v>250</v>
      </c>
      <c r="J18" s="31"/>
      <c r="K18" s="13" t="str">
        <f>"215,0"</f>
        <v>215,0</v>
      </c>
      <c r="L18" s="13" t="str">
        <f>"326,4666"</f>
        <v>326,4666</v>
      </c>
      <c r="M18" s="11" t="s">
        <v>414</v>
      </c>
    </row>
    <row r="20" spans="1:13" ht="16">
      <c r="A20" s="46" t="s">
        <v>76</v>
      </c>
      <c r="B20" s="46"/>
      <c r="C20" s="47"/>
      <c r="D20" s="47"/>
      <c r="E20" s="47"/>
      <c r="F20" s="47"/>
      <c r="G20" s="47"/>
      <c r="H20" s="47"/>
      <c r="I20" s="47"/>
      <c r="J20" s="47"/>
    </row>
    <row r="21" spans="1:13">
      <c r="A21" s="31" t="s">
        <v>68</v>
      </c>
      <c r="B21" s="11" t="s">
        <v>251</v>
      </c>
      <c r="C21" s="11" t="s">
        <v>171</v>
      </c>
      <c r="D21" s="11" t="s">
        <v>252</v>
      </c>
      <c r="E21" s="12" t="s">
        <v>418</v>
      </c>
      <c r="F21" s="11" t="s">
        <v>393</v>
      </c>
      <c r="G21" s="41" t="s">
        <v>100</v>
      </c>
      <c r="H21" s="30" t="s">
        <v>253</v>
      </c>
      <c r="I21" s="30" t="s">
        <v>253</v>
      </c>
      <c r="J21" s="31"/>
      <c r="K21" s="13" t="str">
        <f>"270,0"</f>
        <v>270,0</v>
      </c>
      <c r="L21" s="13" t="str">
        <f>"278,0460"</f>
        <v>278,0460</v>
      </c>
      <c r="M21" s="11" t="s">
        <v>414</v>
      </c>
    </row>
    <row r="23" spans="1:13" ht="16">
      <c r="A23" s="46" t="s">
        <v>84</v>
      </c>
      <c r="B23" s="46"/>
      <c r="C23" s="47"/>
      <c r="D23" s="47"/>
      <c r="E23" s="47"/>
      <c r="F23" s="47"/>
      <c r="G23" s="47"/>
      <c r="H23" s="47"/>
      <c r="I23" s="47"/>
      <c r="J23" s="47"/>
    </row>
    <row r="24" spans="1:13">
      <c r="A24" s="31" t="s">
        <v>68</v>
      </c>
      <c r="B24" s="11" t="s">
        <v>254</v>
      </c>
      <c r="C24" s="11" t="s">
        <v>353</v>
      </c>
      <c r="D24" s="11" t="s">
        <v>255</v>
      </c>
      <c r="E24" s="12" t="s">
        <v>419</v>
      </c>
      <c r="F24" s="11" t="s">
        <v>389</v>
      </c>
      <c r="G24" s="30" t="s">
        <v>102</v>
      </c>
      <c r="H24" s="41" t="s">
        <v>89</v>
      </c>
      <c r="I24" s="41" t="s">
        <v>82</v>
      </c>
      <c r="J24" s="31"/>
      <c r="K24" s="13" t="str">
        <f>"205,0"</f>
        <v>205,0</v>
      </c>
      <c r="L24" s="13" t="str">
        <f>"204,5900"</f>
        <v>204,5900</v>
      </c>
      <c r="M24" s="11" t="s">
        <v>374</v>
      </c>
    </row>
    <row r="26" spans="1:13" ht="16">
      <c r="A26" s="46" t="s">
        <v>95</v>
      </c>
      <c r="B26" s="46"/>
      <c r="C26" s="47"/>
      <c r="D26" s="47"/>
      <c r="E26" s="47"/>
      <c r="F26" s="47"/>
      <c r="G26" s="47"/>
      <c r="H26" s="47"/>
      <c r="I26" s="47"/>
      <c r="J26" s="47"/>
    </row>
    <row r="27" spans="1:13">
      <c r="A27" s="31" t="s">
        <v>68</v>
      </c>
      <c r="B27" s="11" t="s">
        <v>256</v>
      </c>
      <c r="C27" s="11" t="s">
        <v>354</v>
      </c>
      <c r="D27" s="11" t="s">
        <v>257</v>
      </c>
      <c r="E27" s="12" t="s">
        <v>424</v>
      </c>
      <c r="F27" s="11" t="s">
        <v>394</v>
      </c>
      <c r="G27" s="41" t="s">
        <v>79</v>
      </c>
      <c r="H27" s="41" t="s">
        <v>80</v>
      </c>
      <c r="I27" s="30" t="s">
        <v>81</v>
      </c>
      <c r="J27" s="31"/>
      <c r="K27" s="13" t="str">
        <f>"230,0"</f>
        <v>230,0</v>
      </c>
      <c r="L27" s="13" t="str">
        <f>"234,4413"</f>
        <v>234,4413</v>
      </c>
      <c r="M27" s="11" t="s">
        <v>414</v>
      </c>
    </row>
    <row r="29" spans="1:13" ht="16">
      <c r="A29" s="46" t="s">
        <v>111</v>
      </c>
      <c r="B29" s="46"/>
      <c r="C29" s="47"/>
      <c r="D29" s="47"/>
      <c r="E29" s="47"/>
      <c r="F29" s="47"/>
      <c r="G29" s="47"/>
      <c r="H29" s="47"/>
      <c r="I29" s="47"/>
      <c r="J29" s="47"/>
    </row>
    <row r="30" spans="1:13">
      <c r="A30" s="31" t="s">
        <v>68</v>
      </c>
      <c r="B30" s="11" t="s">
        <v>112</v>
      </c>
      <c r="C30" s="11" t="s">
        <v>113</v>
      </c>
      <c r="D30" s="11" t="s">
        <v>114</v>
      </c>
      <c r="E30" s="12" t="s">
        <v>418</v>
      </c>
      <c r="F30" s="11" t="s">
        <v>393</v>
      </c>
      <c r="G30" s="41" t="s">
        <v>100</v>
      </c>
      <c r="H30" s="30" t="s">
        <v>115</v>
      </c>
      <c r="I30" s="30" t="s">
        <v>116</v>
      </c>
      <c r="J30" s="31"/>
      <c r="K30" s="13" t="str">
        <f>"270,0"</f>
        <v>270,0</v>
      </c>
      <c r="L30" s="13" t="str">
        <f>"238,9500"</f>
        <v>238,9500</v>
      </c>
      <c r="M30" s="11" t="s">
        <v>119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6:J26"/>
    <mergeCell ref="A29:J29"/>
    <mergeCell ref="B3:B4"/>
    <mergeCell ref="A8:J8"/>
    <mergeCell ref="A11:J11"/>
    <mergeCell ref="A14:J14"/>
    <mergeCell ref="A17:J17"/>
    <mergeCell ref="A20:J20"/>
    <mergeCell ref="A23:J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8C94C-2FF7-40D0-960E-EC4C46452A0F}">
  <dimension ref="A1:M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1.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7.6640625" style="5" customWidth="1"/>
    <col min="14" max="16384" width="9.1640625" style="3"/>
  </cols>
  <sheetData>
    <row r="1" spans="1:13" s="2" customFormat="1" ht="29" customHeight="1">
      <c r="A1" s="58" t="s">
        <v>324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10</v>
      </c>
      <c r="H3" s="70"/>
      <c r="I3" s="70"/>
      <c r="J3" s="70"/>
      <c r="K3" s="52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38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1" t="s">
        <v>68</v>
      </c>
      <c r="B6" s="11" t="s">
        <v>238</v>
      </c>
      <c r="C6" s="11" t="s">
        <v>239</v>
      </c>
      <c r="D6" s="11" t="s">
        <v>240</v>
      </c>
      <c r="E6" s="12" t="s">
        <v>418</v>
      </c>
      <c r="F6" s="11" t="s">
        <v>391</v>
      </c>
      <c r="G6" s="41" t="s">
        <v>108</v>
      </c>
      <c r="H6" s="30" t="s">
        <v>241</v>
      </c>
      <c r="I6" s="31"/>
      <c r="J6" s="31"/>
      <c r="K6" s="13" t="str">
        <f>"235,0"</f>
        <v>235,0</v>
      </c>
      <c r="L6" s="13" t="str">
        <f>"373,8380"</f>
        <v>373,8380</v>
      </c>
      <c r="M6" s="11" t="s">
        <v>311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5D44-E1A6-44DD-93E6-1CB870E0EF5E}">
  <dimension ref="A1:U1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7.6640625" style="5" bestFit="1" customWidth="1"/>
    <col min="4" max="4" width="21.5" style="5" bestFit="1" customWidth="1"/>
    <col min="5" max="5" width="10.5" style="6" bestFit="1" customWidth="1"/>
    <col min="6" max="6" width="22.164062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24.1640625" style="5" bestFit="1" customWidth="1"/>
    <col min="22" max="16384" width="9.1640625" style="3"/>
  </cols>
  <sheetData>
    <row r="1" spans="1:21" s="2" customFormat="1" ht="29" customHeight="1">
      <c r="A1" s="58" t="s">
        <v>331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70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31" t="s">
        <v>68</v>
      </c>
      <c r="B6" s="11" t="s">
        <v>130</v>
      </c>
      <c r="C6" s="11" t="s">
        <v>365</v>
      </c>
      <c r="D6" s="11" t="s">
        <v>131</v>
      </c>
      <c r="E6" s="12" t="s">
        <v>421</v>
      </c>
      <c r="F6" s="11" t="s">
        <v>389</v>
      </c>
      <c r="G6" s="41" t="s">
        <v>20</v>
      </c>
      <c r="H6" s="30" t="s">
        <v>21</v>
      </c>
      <c r="I6" s="41" t="s">
        <v>21</v>
      </c>
      <c r="J6" s="31"/>
      <c r="K6" s="41" t="s">
        <v>24</v>
      </c>
      <c r="L6" s="41" t="s">
        <v>34</v>
      </c>
      <c r="M6" s="30" t="s">
        <v>15</v>
      </c>
      <c r="N6" s="31"/>
      <c r="O6" s="41" t="s">
        <v>35</v>
      </c>
      <c r="P6" s="41" t="s">
        <v>36</v>
      </c>
      <c r="Q6" s="41" t="s">
        <v>37</v>
      </c>
      <c r="R6" s="31"/>
      <c r="S6" s="13" t="str">
        <f>"285,0"</f>
        <v>285,0</v>
      </c>
      <c r="T6" s="13" t="str">
        <f>"419,1780"</f>
        <v>419,1780</v>
      </c>
      <c r="U6" s="11" t="s">
        <v>374</v>
      </c>
    </row>
    <row r="8" spans="1:21" ht="16">
      <c r="A8" s="46" t="s">
        <v>84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33" t="s">
        <v>68</v>
      </c>
      <c r="B9" s="14" t="s">
        <v>132</v>
      </c>
      <c r="C9" s="14" t="s">
        <v>133</v>
      </c>
      <c r="D9" s="14" t="s">
        <v>134</v>
      </c>
      <c r="E9" s="15" t="s">
        <v>418</v>
      </c>
      <c r="F9" s="14" t="s">
        <v>391</v>
      </c>
      <c r="G9" s="32" t="s">
        <v>79</v>
      </c>
      <c r="H9" s="37" t="s">
        <v>80</v>
      </c>
      <c r="I9" s="37" t="s">
        <v>80</v>
      </c>
      <c r="J9" s="33"/>
      <c r="K9" s="32" t="s">
        <v>102</v>
      </c>
      <c r="L9" s="32" t="s">
        <v>104</v>
      </c>
      <c r="M9" s="37" t="s">
        <v>89</v>
      </c>
      <c r="N9" s="33"/>
      <c r="O9" s="37" t="s">
        <v>81</v>
      </c>
      <c r="P9" s="32" t="s">
        <v>81</v>
      </c>
      <c r="Q9" s="37" t="s">
        <v>99</v>
      </c>
      <c r="R9" s="33"/>
      <c r="S9" s="16" t="str">
        <f>"640,0"</f>
        <v>640,0</v>
      </c>
      <c r="T9" s="16" t="str">
        <f>"635,1360"</f>
        <v>635,1360</v>
      </c>
      <c r="U9" s="14" t="s">
        <v>414</v>
      </c>
    </row>
    <row r="10" spans="1:21">
      <c r="A10" s="35" t="s">
        <v>69</v>
      </c>
      <c r="B10" s="17" t="s">
        <v>135</v>
      </c>
      <c r="C10" s="17" t="s">
        <v>136</v>
      </c>
      <c r="D10" s="17" t="s">
        <v>137</v>
      </c>
      <c r="E10" s="18" t="s">
        <v>418</v>
      </c>
      <c r="F10" s="17" t="s">
        <v>389</v>
      </c>
      <c r="G10" s="34" t="s">
        <v>61</v>
      </c>
      <c r="H10" s="36" t="s">
        <v>117</v>
      </c>
      <c r="I10" s="34" t="s">
        <v>117</v>
      </c>
      <c r="J10" s="35"/>
      <c r="K10" s="34" t="s">
        <v>21</v>
      </c>
      <c r="L10" s="34" t="s">
        <v>138</v>
      </c>
      <c r="M10" s="34" t="s">
        <v>43</v>
      </c>
      <c r="N10" s="35"/>
      <c r="O10" s="36" t="s">
        <v>118</v>
      </c>
      <c r="P10" s="34" t="s">
        <v>118</v>
      </c>
      <c r="Q10" s="34" t="s">
        <v>123</v>
      </c>
      <c r="R10" s="35"/>
      <c r="S10" s="19" t="str">
        <f>"440,0"</f>
        <v>440,0</v>
      </c>
      <c r="T10" s="19" t="str">
        <f>"449,4160"</f>
        <v>449,4160</v>
      </c>
      <c r="U10" s="17" t="s">
        <v>414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48BA-CC06-443B-A688-1F63234783BC}">
  <dimension ref="A1:U9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0.8320312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26.6640625" style="5" bestFit="1" customWidth="1"/>
    <col min="22" max="16384" width="9.1640625" style="3"/>
  </cols>
  <sheetData>
    <row r="1" spans="1:21" s="2" customFormat="1" ht="29" customHeight="1">
      <c r="A1" s="58" t="s">
        <v>332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76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31" t="s">
        <v>68</v>
      </c>
      <c r="B6" s="11" t="s">
        <v>121</v>
      </c>
      <c r="C6" s="11" t="s">
        <v>366</v>
      </c>
      <c r="D6" s="11" t="s">
        <v>122</v>
      </c>
      <c r="E6" s="12" t="s">
        <v>419</v>
      </c>
      <c r="F6" s="11" t="s">
        <v>389</v>
      </c>
      <c r="G6" s="41" t="s">
        <v>102</v>
      </c>
      <c r="H6" s="41" t="s">
        <v>123</v>
      </c>
      <c r="I6" s="41" t="s">
        <v>104</v>
      </c>
      <c r="J6" s="31"/>
      <c r="K6" s="41" t="s">
        <v>20</v>
      </c>
      <c r="L6" s="41" t="s">
        <v>21</v>
      </c>
      <c r="M6" s="41" t="s">
        <v>74</v>
      </c>
      <c r="N6" s="31"/>
      <c r="O6" s="41" t="s">
        <v>89</v>
      </c>
      <c r="P6" s="41" t="s">
        <v>82</v>
      </c>
      <c r="Q6" s="41" t="s">
        <v>90</v>
      </c>
      <c r="R6" s="31"/>
      <c r="S6" s="13" t="str">
        <f>"492,5"</f>
        <v>492,5</v>
      </c>
      <c r="T6" s="13" t="str">
        <f>"527,9600"</f>
        <v>527,9600</v>
      </c>
      <c r="U6" s="11" t="s">
        <v>119</v>
      </c>
    </row>
    <row r="8" spans="1:21" ht="16">
      <c r="A8" s="46" t="s">
        <v>84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31" t="s">
        <v>68</v>
      </c>
      <c r="B9" s="11" t="s">
        <v>124</v>
      </c>
      <c r="C9" s="11" t="s">
        <v>125</v>
      </c>
      <c r="D9" s="11" t="s">
        <v>126</v>
      </c>
      <c r="E9" s="12" t="s">
        <v>418</v>
      </c>
      <c r="F9" s="11" t="s">
        <v>389</v>
      </c>
      <c r="G9" s="30" t="s">
        <v>123</v>
      </c>
      <c r="H9" s="41" t="s">
        <v>123</v>
      </c>
      <c r="I9" s="30" t="s">
        <v>104</v>
      </c>
      <c r="J9" s="31"/>
      <c r="K9" s="41" t="s">
        <v>37</v>
      </c>
      <c r="L9" s="30" t="s">
        <v>127</v>
      </c>
      <c r="M9" s="31"/>
      <c r="N9" s="31"/>
      <c r="O9" s="41" t="s">
        <v>123</v>
      </c>
      <c r="P9" s="41" t="s">
        <v>128</v>
      </c>
      <c r="Q9" s="41" t="s">
        <v>89</v>
      </c>
      <c r="R9" s="31"/>
      <c r="S9" s="13" t="str">
        <f>"490,0"</f>
        <v>490,0</v>
      </c>
      <c r="T9" s="13" t="str">
        <f>"481,2780"</f>
        <v>481,2780</v>
      </c>
      <c r="U9" s="11" t="s">
        <v>388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34A8B-690A-429A-A18D-3C9623486715}">
  <dimension ref="A1:U20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1.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58" t="s">
        <v>333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</row>
    <row r="3" spans="1:21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8</v>
      </c>
      <c r="H3" s="70"/>
      <c r="I3" s="70"/>
      <c r="J3" s="70"/>
      <c r="K3" s="70" t="s">
        <v>9</v>
      </c>
      <c r="L3" s="70"/>
      <c r="M3" s="70"/>
      <c r="N3" s="70"/>
      <c r="O3" s="70" t="s">
        <v>10</v>
      </c>
      <c r="P3" s="70"/>
      <c r="Q3" s="70"/>
      <c r="R3" s="70"/>
      <c r="S3" s="52" t="s">
        <v>1</v>
      </c>
      <c r="T3" s="52" t="s">
        <v>3</v>
      </c>
      <c r="U3" s="54" t="s">
        <v>2</v>
      </c>
    </row>
    <row r="4" spans="1:21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3"/>
      <c r="U4" s="55"/>
    </row>
    <row r="5" spans="1:21" ht="16">
      <c r="A5" s="56" t="s">
        <v>70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31" t="s">
        <v>68</v>
      </c>
      <c r="B6" s="11" t="s">
        <v>71</v>
      </c>
      <c r="C6" s="11" t="s">
        <v>72</v>
      </c>
      <c r="D6" s="11" t="s">
        <v>73</v>
      </c>
      <c r="E6" s="12" t="s">
        <v>418</v>
      </c>
      <c r="F6" s="11" t="s">
        <v>392</v>
      </c>
      <c r="G6" s="41" t="s">
        <v>27</v>
      </c>
      <c r="H6" s="41" t="s">
        <v>74</v>
      </c>
      <c r="I6" s="30" t="s">
        <v>75</v>
      </c>
      <c r="J6" s="31"/>
      <c r="K6" s="30" t="s">
        <v>33</v>
      </c>
      <c r="L6" s="41" t="s">
        <v>33</v>
      </c>
      <c r="M6" s="30" t="s">
        <v>34</v>
      </c>
      <c r="N6" s="31"/>
      <c r="O6" s="41" t="s">
        <v>43</v>
      </c>
      <c r="P6" s="41" t="s">
        <v>35</v>
      </c>
      <c r="Q6" s="41" t="s">
        <v>36</v>
      </c>
      <c r="R6" s="31"/>
      <c r="S6" s="13" t="str">
        <f>"280,0"</f>
        <v>280,0</v>
      </c>
      <c r="T6" s="13" t="str">
        <f>"510,8880"</f>
        <v>510,8880</v>
      </c>
      <c r="U6" s="11" t="s">
        <v>414</v>
      </c>
    </row>
    <row r="8" spans="1:21" ht="16">
      <c r="A8" s="46" t="s">
        <v>76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31" t="s">
        <v>68</v>
      </c>
      <c r="B9" s="11" t="s">
        <v>77</v>
      </c>
      <c r="C9" s="11" t="s">
        <v>343</v>
      </c>
      <c r="D9" s="11" t="s">
        <v>78</v>
      </c>
      <c r="E9" s="12" t="s">
        <v>422</v>
      </c>
      <c r="F9" s="11" t="s">
        <v>393</v>
      </c>
      <c r="G9" s="41" t="s">
        <v>79</v>
      </c>
      <c r="H9" s="41" t="s">
        <v>80</v>
      </c>
      <c r="I9" s="41" t="s">
        <v>81</v>
      </c>
      <c r="J9" s="31"/>
      <c r="K9" s="41" t="s">
        <v>20</v>
      </c>
      <c r="L9" s="41" t="s">
        <v>21</v>
      </c>
      <c r="M9" s="30" t="s">
        <v>75</v>
      </c>
      <c r="N9" s="31"/>
      <c r="O9" s="41" t="s">
        <v>82</v>
      </c>
      <c r="P9" s="41" t="s">
        <v>83</v>
      </c>
      <c r="Q9" s="30" t="s">
        <v>79</v>
      </c>
      <c r="R9" s="31"/>
      <c r="S9" s="13" t="str">
        <f>"555,0"</f>
        <v>555,0</v>
      </c>
      <c r="T9" s="13" t="str">
        <f>"844,7415"</f>
        <v>844,7415</v>
      </c>
      <c r="U9" s="11" t="s">
        <v>378</v>
      </c>
    </row>
    <row r="11" spans="1:21" ht="16">
      <c r="A11" s="46" t="s">
        <v>84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1">
      <c r="A12" s="33" t="s">
        <v>68</v>
      </c>
      <c r="B12" s="14" t="s">
        <v>85</v>
      </c>
      <c r="C12" s="14" t="s">
        <v>86</v>
      </c>
      <c r="D12" s="14" t="s">
        <v>87</v>
      </c>
      <c r="E12" s="15" t="s">
        <v>418</v>
      </c>
      <c r="F12" s="14" t="s">
        <v>394</v>
      </c>
      <c r="G12" s="37" t="s">
        <v>79</v>
      </c>
      <c r="H12" s="37" t="s">
        <v>79</v>
      </c>
      <c r="I12" s="32" t="s">
        <v>79</v>
      </c>
      <c r="J12" s="33"/>
      <c r="K12" s="32" t="s">
        <v>54</v>
      </c>
      <c r="L12" s="32" t="s">
        <v>55</v>
      </c>
      <c r="M12" s="37" t="s">
        <v>88</v>
      </c>
      <c r="N12" s="33"/>
      <c r="O12" s="32" t="s">
        <v>89</v>
      </c>
      <c r="P12" s="32" t="s">
        <v>82</v>
      </c>
      <c r="Q12" s="32" t="s">
        <v>90</v>
      </c>
      <c r="R12" s="33"/>
      <c r="S12" s="16" t="str">
        <f>"590,0"</f>
        <v>590,0</v>
      </c>
      <c r="T12" s="16" t="str">
        <f>"578,5540"</f>
        <v>578,5540</v>
      </c>
      <c r="U12" s="14" t="s">
        <v>414</v>
      </c>
    </row>
    <row r="13" spans="1:21">
      <c r="A13" s="35" t="s">
        <v>69</v>
      </c>
      <c r="B13" s="17" t="s">
        <v>91</v>
      </c>
      <c r="C13" s="17" t="s">
        <v>92</v>
      </c>
      <c r="D13" s="17" t="s">
        <v>93</v>
      </c>
      <c r="E13" s="18" t="s">
        <v>418</v>
      </c>
      <c r="F13" s="17" t="s">
        <v>393</v>
      </c>
      <c r="G13" s="34" t="s">
        <v>89</v>
      </c>
      <c r="H13" s="34" t="s">
        <v>56</v>
      </c>
      <c r="I13" s="34" t="s">
        <v>90</v>
      </c>
      <c r="J13" s="35"/>
      <c r="K13" s="34" t="s">
        <v>49</v>
      </c>
      <c r="L13" s="34" t="s">
        <v>61</v>
      </c>
      <c r="M13" s="34" t="s">
        <v>54</v>
      </c>
      <c r="N13" s="35"/>
      <c r="O13" s="34" t="s">
        <v>90</v>
      </c>
      <c r="P13" s="34" t="s">
        <v>94</v>
      </c>
      <c r="Q13" s="36" t="s">
        <v>80</v>
      </c>
      <c r="R13" s="35"/>
      <c r="S13" s="19" t="str">
        <f>"585,0"</f>
        <v>585,0</v>
      </c>
      <c r="T13" s="19" t="str">
        <f>"570,4920"</f>
        <v>570,4920</v>
      </c>
      <c r="U13" s="17" t="s">
        <v>414</v>
      </c>
    </row>
    <row r="15" spans="1:21" ht="16">
      <c r="A15" s="46" t="s">
        <v>95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1">
      <c r="A16" s="33" t="s">
        <v>68</v>
      </c>
      <c r="B16" s="14" t="s">
        <v>96</v>
      </c>
      <c r="C16" s="14" t="s">
        <v>97</v>
      </c>
      <c r="D16" s="14" t="s">
        <v>98</v>
      </c>
      <c r="E16" s="15" t="s">
        <v>418</v>
      </c>
      <c r="F16" s="14" t="s">
        <v>392</v>
      </c>
      <c r="G16" s="32" t="s">
        <v>99</v>
      </c>
      <c r="H16" s="32" t="s">
        <v>100</v>
      </c>
      <c r="I16" s="37" t="s">
        <v>101</v>
      </c>
      <c r="J16" s="33"/>
      <c r="K16" s="32" t="s">
        <v>102</v>
      </c>
      <c r="L16" s="32" t="s">
        <v>103</v>
      </c>
      <c r="M16" s="32" t="s">
        <v>104</v>
      </c>
      <c r="N16" s="33"/>
      <c r="O16" s="32" t="s">
        <v>100</v>
      </c>
      <c r="P16" s="37" t="s">
        <v>101</v>
      </c>
      <c r="Q16" s="33"/>
      <c r="R16" s="33"/>
      <c r="S16" s="16" t="str">
        <f>"720,0"</f>
        <v>720,0</v>
      </c>
      <c r="T16" s="16" t="str">
        <f>"673,4880"</f>
        <v>673,4880</v>
      </c>
      <c r="U16" s="14" t="s">
        <v>414</v>
      </c>
    </row>
    <row r="17" spans="1:21">
      <c r="A17" s="35" t="s">
        <v>69</v>
      </c>
      <c r="B17" s="17" t="s">
        <v>105</v>
      </c>
      <c r="C17" s="17" t="s">
        <v>106</v>
      </c>
      <c r="D17" s="17" t="s">
        <v>107</v>
      </c>
      <c r="E17" s="18" t="s">
        <v>418</v>
      </c>
      <c r="F17" s="17" t="s">
        <v>389</v>
      </c>
      <c r="G17" s="36" t="s">
        <v>79</v>
      </c>
      <c r="H17" s="34" t="s">
        <v>108</v>
      </c>
      <c r="I17" s="36" t="s">
        <v>109</v>
      </c>
      <c r="J17" s="35"/>
      <c r="K17" s="34" t="s">
        <v>55</v>
      </c>
      <c r="L17" s="36" t="s">
        <v>102</v>
      </c>
      <c r="M17" s="36" t="s">
        <v>102</v>
      </c>
      <c r="N17" s="35"/>
      <c r="O17" s="34" t="s">
        <v>81</v>
      </c>
      <c r="P17" s="34" t="s">
        <v>110</v>
      </c>
      <c r="Q17" s="34" t="s">
        <v>99</v>
      </c>
      <c r="R17" s="35"/>
      <c r="S17" s="19" t="str">
        <f>"655,0"</f>
        <v>655,0</v>
      </c>
      <c r="T17" s="19" t="str">
        <f>"600,6350"</f>
        <v>600,6350</v>
      </c>
      <c r="U17" s="17" t="s">
        <v>414</v>
      </c>
    </row>
    <row r="19" spans="1:21" ht="16">
      <c r="A19" s="46" t="s">
        <v>111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21">
      <c r="A20" s="31" t="s">
        <v>68</v>
      </c>
      <c r="B20" s="11" t="s">
        <v>112</v>
      </c>
      <c r="C20" s="11" t="s">
        <v>113</v>
      </c>
      <c r="D20" s="11" t="s">
        <v>114</v>
      </c>
      <c r="E20" s="12" t="s">
        <v>418</v>
      </c>
      <c r="F20" s="11" t="s">
        <v>393</v>
      </c>
      <c r="G20" s="41" t="s">
        <v>100</v>
      </c>
      <c r="H20" s="30" t="s">
        <v>115</v>
      </c>
      <c r="I20" s="41" t="s">
        <v>116</v>
      </c>
      <c r="J20" s="31"/>
      <c r="K20" s="41" t="s">
        <v>49</v>
      </c>
      <c r="L20" s="41" t="s">
        <v>117</v>
      </c>
      <c r="M20" s="30" t="s">
        <v>118</v>
      </c>
      <c r="N20" s="31"/>
      <c r="O20" s="41" t="s">
        <v>100</v>
      </c>
      <c r="P20" s="30" t="s">
        <v>115</v>
      </c>
      <c r="Q20" s="30" t="s">
        <v>116</v>
      </c>
      <c r="R20" s="31"/>
      <c r="S20" s="13" t="str">
        <f>"725,0"</f>
        <v>725,0</v>
      </c>
      <c r="T20" s="13" t="str">
        <f>"641,6250"</f>
        <v>641,6250</v>
      </c>
      <c r="U20" s="11" t="s">
        <v>119</v>
      </c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5:R15"/>
    <mergeCell ref="A19:R19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70FE-DE87-4306-843E-386DD970ADBD}">
  <dimension ref="A1:Q12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1.164062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7.5" style="5" bestFit="1" customWidth="1"/>
    <col min="18" max="16384" width="9.1640625" style="3"/>
  </cols>
  <sheetData>
    <row r="1" spans="1:17" s="2" customFormat="1" ht="29" customHeight="1">
      <c r="A1" s="58" t="s">
        <v>320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9</v>
      </c>
      <c r="H3" s="70"/>
      <c r="I3" s="70"/>
      <c r="J3" s="70"/>
      <c r="K3" s="70" t="s">
        <v>10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38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31" t="s">
        <v>68</v>
      </c>
      <c r="B6" s="11" t="s">
        <v>261</v>
      </c>
      <c r="C6" s="11" t="s">
        <v>340</v>
      </c>
      <c r="D6" s="11" t="s">
        <v>262</v>
      </c>
      <c r="E6" s="12" t="s">
        <v>422</v>
      </c>
      <c r="F6" s="11" t="s">
        <v>394</v>
      </c>
      <c r="G6" s="41" t="s">
        <v>182</v>
      </c>
      <c r="H6" s="30" t="s">
        <v>22</v>
      </c>
      <c r="I6" s="31"/>
      <c r="J6" s="31"/>
      <c r="K6" s="41" t="s">
        <v>35</v>
      </c>
      <c r="L6" s="41" t="s">
        <v>263</v>
      </c>
      <c r="M6" s="30" t="s">
        <v>127</v>
      </c>
      <c r="N6" s="31"/>
      <c r="O6" s="13" t="str">
        <f>"167,5"</f>
        <v>167,5</v>
      </c>
      <c r="P6" s="13" t="str">
        <f>"262,0705"</f>
        <v>262,0705</v>
      </c>
      <c r="Q6" s="11" t="s">
        <v>376</v>
      </c>
    </row>
    <row r="8" spans="1:17" ht="16">
      <c r="A8" s="46" t="s">
        <v>190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31" t="s">
        <v>68</v>
      </c>
      <c r="B9" s="11" t="s">
        <v>191</v>
      </c>
      <c r="C9" s="11" t="s">
        <v>341</v>
      </c>
      <c r="D9" s="11" t="s">
        <v>192</v>
      </c>
      <c r="E9" s="12" t="s">
        <v>420</v>
      </c>
      <c r="F9" s="11" t="s">
        <v>395</v>
      </c>
      <c r="G9" s="41" t="s">
        <v>181</v>
      </c>
      <c r="H9" s="30" t="s">
        <v>193</v>
      </c>
      <c r="I9" s="41" t="s">
        <v>193</v>
      </c>
      <c r="J9" s="31"/>
      <c r="K9" s="41" t="s">
        <v>47</v>
      </c>
      <c r="L9" s="41" t="s">
        <v>41</v>
      </c>
      <c r="M9" s="41" t="s">
        <v>194</v>
      </c>
      <c r="N9" s="31"/>
      <c r="O9" s="13" t="str">
        <f>"125,0"</f>
        <v>125,0</v>
      </c>
      <c r="P9" s="13" t="str">
        <f>"237,3250"</f>
        <v>237,3250</v>
      </c>
      <c r="Q9" s="11" t="s">
        <v>377</v>
      </c>
    </row>
    <row r="11" spans="1:17" ht="16">
      <c r="A11" s="46" t="s">
        <v>38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7">
      <c r="A12" s="31" t="s">
        <v>68</v>
      </c>
      <c r="B12" s="11" t="s">
        <v>52</v>
      </c>
      <c r="C12" s="11" t="s">
        <v>53</v>
      </c>
      <c r="D12" s="11" t="s">
        <v>45</v>
      </c>
      <c r="E12" s="12" t="s">
        <v>418</v>
      </c>
      <c r="F12" s="11" t="s">
        <v>391</v>
      </c>
      <c r="G12" s="41" t="s">
        <v>36</v>
      </c>
      <c r="H12" s="30" t="s">
        <v>37</v>
      </c>
      <c r="I12" s="30" t="s">
        <v>37</v>
      </c>
      <c r="J12" s="31"/>
      <c r="K12" s="30" t="s">
        <v>56</v>
      </c>
      <c r="L12" s="41" t="s">
        <v>56</v>
      </c>
      <c r="M12" s="30" t="s">
        <v>57</v>
      </c>
      <c r="N12" s="31"/>
      <c r="O12" s="13" t="str">
        <f>"320,0"</f>
        <v>320,0</v>
      </c>
      <c r="P12" s="13" t="str">
        <f>"359,6800"</f>
        <v>359,6800</v>
      </c>
      <c r="Q12" s="11" t="s">
        <v>373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9307-EFF5-4907-8708-61CF9AB47C4D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5.3320312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21.6640625" style="5" customWidth="1"/>
    <col min="18" max="16384" width="9.1640625" style="3"/>
  </cols>
  <sheetData>
    <row r="1" spans="1:17" s="2" customFormat="1" ht="29" customHeight="1">
      <c r="A1" s="58" t="s">
        <v>321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9</v>
      </c>
      <c r="H3" s="70"/>
      <c r="I3" s="70"/>
      <c r="J3" s="70"/>
      <c r="K3" s="70" t="s">
        <v>10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38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31" t="s">
        <v>68</v>
      </c>
      <c r="B6" s="11" t="s">
        <v>238</v>
      </c>
      <c r="C6" s="11" t="s">
        <v>239</v>
      </c>
      <c r="D6" s="11" t="s">
        <v>240</v>
      </c>
      <c r="E6" s="12" t="s">
        <v>418</v>
      </c>
      <c r="F6" s="11" t="s">
        <v>391</v>
      </c>
      <c r="G6" s="41" t="s">
        <v>43</v>
      </c>
      <c r="H6" s="41" t="s">
        <v>35</v>
      </c>
      <c r="I6" s="30" t="s">
        <v>200</v>
      </c>
      <c r="J6" s="31"/>
      <c r="K6" s="41" t="s">
        <v>108</v>
      </c>
      <c r="L6" s="30" t="s">
        <v>241</v>
      </c>
      <c r="M6" s="31"/>
      <c r="N6" s="31"/>
      <c r="O6" s="13" t="str">
        <f>"350,0"</f>
        <v>350,0</v>
      </c>
      <c r="P6" s="13" t="str">
        <f>"556,7800"</f>
        <v>556,7800</v>
      </c>
      <c r="Q6" s="11" t="s">
        <v>311</v>
      </c>
    </row>
    <row r="8" spans="1:17" ht="16">
      <c r="A8" s="46" t="s">
        <v>95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33" t="s">
        <v>68</v>
      </c>
      <c r="B9" s="14" t="s">
        <v>281</v>
      </c>
      <c r="C9" s="14" t="s">
        <v>282</v>
      </c>
      <c r="D9" s="14" t="s">
        <v>283</v>
      </c>
      <c r="E9" s="15" t="s">
        <v>418</v>
      </c>
      <c r="F9" s="14" t="s">
        <v>389</v>
      </c>
      <c r="G9" s="32" t="s">
        <v>19</v>
      </c>
      <c r="H9" s="32" t="s">
        <v>21</v>
      </c>
      <c r="I9" s="37" t="s">
        <v>75</v>
      </c>
      <c r="J9" s="33"/>
      <c r="K9" s="32" t="s">
        <v>48</v>
      </c>
      <c r="L9" s="32" t="s">
        <v>61</v>
      </c>
      <c r="M9" s="32" t="s">
        <v>55</v>
      </c>
      <c r="N9" s="33"/>
      <c r="O9" s="16" t="str">
        <f>"260,0"</f>
        <v>260,0</v>
      </c>
      <c r="P9" s="16" t="str">
        <f>"249,2880"</f>
        <v>249,2880</v>
      </c>
      <c r="Q9" s="14" t="s">
        <v>414</v>
      </c>
    </row>
    <row r="10" spans="1:17">
      <c r="A10" s="35" t="s">
        <v>68</v>
      </c>
      <c r="B10" s="17" t="s">
        <v>284</v>
      </c>
      <c r="C10" s="17" t="s">
        <v>342</v>
      </c>
      <c r="D10" s="17" t="s">
        <v>285</v>
      </c>
      <c r="E10" s="18" t="s">
        <v>423</v>
      </c>
      <c r="F10" s="17" t="s">
        <v>393</v>
      </c>
      <c r="G10" s="34" t="s">
        <v>75</v>
      </c>
      <c r="H10" s="36" t="s">
        <v>35</v>
      </c>
      <c r="I10" s="34" t="s">
        <v>35</v>
      </c>
      <c r="J10" s="35"/>
      <c r="K10" s="34" t="s">
        <v>104</v>
      </c>
      <c r="L10" s="34" t="s">
        <v>89</v>
      </c>
      <c r="M10" s="34" t="s">
        <v>56</v>
      </c>
      <c r="N10" s="35"/>
      <c r="O10" s="19" t="str">
        <f>"315,0"</f>
        <v>315,0</v>
      </c>
      <c r="P10" s="19" t="str">
        <f>"371,9362"</f>
        <v>371,9362</v>
      </c>
      <c r="Q10" s="17" t="s">
        <v>414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9EE4-4A8E-45F2-A1E6-FCF6BBCB705A}">
  <dimension ref="A1:Q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1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5" width="7.83203125" style="7" bestFit="1" customWidth="1"/>
    <col min="16" max="16" width="8.5" style="7" bestFit="1" customWidth="1"/>
    <col min="17" max="17" width="19.83203125" style="5" customWidth="1"/>
    <col min="18" max="16384" width="9.1640625" style="3"/>
  </cols>
  <sheetData>
    <row r="1" spans="1:17" s="2" customFormat="1" ht="29" customHeight="1">
      <c r="A1" s="58" t="s">
        <v>319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9</v>
      </c>
      <c r="H3" s="70"/>
      <c r="I3" s="70"/>
      <c r="J3" s="70"/>
      <c r="K3" s="70" t="s">
        <v>10</v>
      </c>
      <c r="L3" s="70"/>
      <c r="M3" s="70"/>
      <c r="N3" s="70"/>
      <c r="O3" s="52" t="s">
        <v>1</v>
      </c>
      <c r="P3" s="52" t="s">
        <v>3</v>
      </c>
      <c r="Q3" s="54" t="s">
        <v>2</v>
      </c>
    </row>
    <row r="4" spans="1:17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3"/>
      <c r="Q4" s="55"/>
    </row>
    <row r="5" spans="1:17" ht="16">
      <c r="A5" s="56" t="s">
        <v>38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31" t="s">
        <v>68</v>
      </c>
      <c r="B6" s="11" t="s">
        <v>238</v>
      </c>
      <c r="C6" s="11" t="s">
        <v>239</v>
      </c>
      <c r="D6" s="11" t="s">
        <v>240</v>
      </c>
      <c r="E6" s="12" t="s">
        <v>418</v>
      </c>
      <c r="F6" s="11" t="s">
        <v>391</v>
      </c>
      <c r="G6" s="41" t="s">
        <v>43</v>
      </c>
      <c r="H6" s="41" t="s">
        <v>35</v>
      </c>
      <c r="I6" s="30" t="s">
        <v>200</v>
      </c>
      <c r="J6" s="31"/>
      <c r="K6" s="41" t="s">
        <v>108</v>
      </c>
      <c r="L6" s="30" t="s">
        <v>241</v>
      </c>
      <c r="M6" s="31"/>
      <c r="N6" s="31"/>
      <c r="O6" s="13" t="str">
        <f>"350,0"</f>
        <v>350,0</v>
      </c>
      <c r="P6" s="13" t="str">
        <f>"556,7800"</f>
        <v>556,7800</v>
      </c>
      <c r="Q6" s="11" t="s">
        <v>311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51A7-DD0C-4032-A014-E506A9F6D7E5}">
  <dimension ref="A1:M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83203125" style="5" customWidth="1"/>
    <col min="3" max="3" width="29" style="5" bestFit="1" customWidth="1"/>
    <col min="4" max="4" width="21.5" style="5" bestFit="1" customWidth="1"/>
    <col min="5" max="5" width="10.5" style="6" bestFit="1" customWidth="1"/>
    <col min="6" max="6" width="15.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19" style="5" customWidth="1"/>
    <col min="14" max="16384" width="9.1640625" style="3"/>
  </cols>
  <sheetData>
    <row r="1" spans="1:13" s="2" customFormat="1" ht="29" customHeight="1">
      <c r="A1" s="58" t="s">
        <v>323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8</v>
      </c>
      <c r="H3" s="70"/>
      <c r="I3" s="70"/>
      <c r="J3" s="70"/>
      <c r="K3" s="52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16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1" t="s">
        <v>68</v>
      </c>
      <c r="B6" s="11" t="s">
        <v>236</v>
      </c>
      <c r="C6" s="11" t="s">
        <v>344</v>
      </c>
      <c r="D6" s="11" t="s">
        <v>237</v>
      </c>
      <c r="E6" s="12" t="s">
        <v>421</v>
      </c>
      <c r="F6" s="11" t="s">
        <v>396</v>
      </c>
      <c r="G6" s="30" t="s">
        <v>41</v>
      </c>
      <c r="H6" s="41" t="s">
        <v>32</v>
      </c>
      <c r="I6" s="41" t="s">
        <v>20</v>
      </c>
      <c r="J6" s="31"/>
      <c r="K6" s="13" t="str">
        <f>"95,0"</f>
        <v>95,0</v>
      </c>
      <c r="L6" s="13" t="str">
        <f>"160,5500"</f>
        <v>160,5500</v>
      </c>
      <c r="M6" s="11" t="s">
        <v>379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688EC-CBB1-403A-AA2F-359F54EDB673}">
  <dimension ref="A1:M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2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2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5" style="7" bestFit="1" customWidth="1"/>
    <col min="13" max="13" width="23.33203125" style="5" customWidth="1"/>
    <col min="14" max="16384" width="9.1640625" style="3"/>
  </cols>
  <sheetData>
    <row r="1" spans="1:13" s="2" customFormat="1" ht="29" customHeight="1">
      <c r="A1" s="58" t="s">
        <v>322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415</v>
      </c>
      <c r="B3" s="48" t="s">
        <v>0</v>
      </c>
      <c r="C3" s="68" t="s">
        <v>416</v>
      </c>
      <c r="D3" s="68" t="s">
        <v>5</v>
      </c>
      <c r="E3" s="52" t="s">
        <v>417</v>
      </c>
      <c r="F3" s="70" t="s">
        <v>6</v>
      </c>
      <c r="G3" s="70" t="s">
        <v>8</v>
      </c>
      <c r="H3" s="70"/>
      <c r="I3" s="70"/>
      <c r="J3" s="70"/>
      <c r="K3" s="52" t="s">
        <v>176</v>
      </c>
      <c r="L3" s="52" t="s">
        <v>3</v>
      </c>
      <c r="M3" s="54" t="s">
        <v>2</v>
      </c>
    </row>
    <row r="4" spans="1:13" s="1" customFormat="1" ht="21" customHeight="1" thickBot="1">
      <c r="A4" s="67"/>
      <c r="B4" s="49"/>
      <c r="C4" s="69"/>
      <c r="D4" s="69"/>
      <c r="E4" s="53"/>
      <c r="F4" s="69"/>
      <c r="G4" s="4">
        <v>1</v>
      </c>
      <c r="H4" s="4">
        <v>2</v>
      </c>
      <c r="I4" s="4">
        <v>3</v>
      </c>
      <c r="J4" s="4" t="s">
        <v>4</v>
      </c>
      <c r="K4" s="53"/>
      <c r="L4" s="53"/>
      <c r="M4" s="55"/>
    </row>
    <row r="5" spans="1:13" ht="16">
      <c r="A5" s="56" t="s">
        <v>76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33" t="s">
        <v>68</v>
      </c>
      <c r="B6" s="14" t="s">
        <v>77</v>
      </c>
      <c r="C6" s="14" t="s">
        <v>280</v>
      </c>
      <c r="D6" s="14" t="s">
        <v>78</v>
      </c>
      <c r="E6" s="15" t="s">
        <v>418</v>
      </c>
      <c r="F6" s="14" t="s">
        <v>393</v>
      </c>
      <c r="G6" s="32" t="s">
        <v>79</v>
      </c>
      <c r="H6" s="32" t="s">
        <v>80</v>
      </c>
      <c r="I6" s="32" t="s">
        <v>81</v>
      </c>
      <c r="J6" s="33"/>
      <c r="K6" s="16" t="str">
        <f>"240,0"</f>
        <v>240,0</v>
      </c>
      <c r="L6" s="16" t="str">
        <f>"355,3440"</f>
        <v>355,3440</v>
      </c>
      <c r="M6" s="14" t="s">
        <v>378</v>
      </c>
    </row>
    <row r="7" spans="1:13">
      <c r="A7" s="35" t="s">
        <v>68</v>
      </c>
      <c r="B7" s="17" t="s">
        <v>77</v>
      </c>
      <c r="C7" s="17" t="s">
        <v>343</v>
      </c>
      <c r="D7" s="17" t="s">
        <v>78</v>
      </c>
      <c r="E7" s="18" t="s">
        <v>422</v>
      </c>
      <c r="F7" s="17" t="s">
        <v>393</v>
      </c>
      <c r="G7" s="34" t="s">
        <v>79</v>
      </c>
      <c r="H7" s="34" t="s">
        <v>80</v>
      </c>
      <c r="I7" s="34" t="s">
        <v>81</v>
      </c>
      <c r="J7" s="35"/>
      <c r="K7" s="19" t="str">
        <f>"240,0"</f>
        <v>240,0</v>
      </c>
      <c r="L7" s="19" t="str">
        <f>"365,2936"</f>
        <v>365,2936</v>
      </c>
      <c r="M7" s="17" t="s">
        <v>378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GPA ПЛ без экипировки ДК</vt:lpstr>
      <vt:lpstr>GPA ПЛ без экипировки</vt:lpstr>
      <vt:lpstr>GPA ПЛ в бинтах ДК</vt:lpstr>
      <vt:lpstr>GPA ПЛ в бинтах</vt:lpstr>
      <vt:lpstr>GPA Двоеборье без экип ДК</vt:lpstr>
      <vt:lpstr>GPA Двоеборье без экип</vt:lpstr>
      <vt:lpstr>IPO Двоеборье экип</vt:lpstr>
      <vt:lpstr>GPA Присед без экипировки</vt:lpstr>
      <vt:lpstr>GPA Присед в бинтах</vt:lpstr>
      <vt:lpstr>GPA Жим без экипировки ДК</vt:lpstr>
      <vt:lpstr>GPA Жим без экипировки</vt:lpstr>
      <vt:lpstr>IPO Жим однослой ДК</vt:lpstr>
      <vt:lpstr>IPO Жим однослой</vt:lpstr>
      <vt:lpstr>СПР Жим софт однопетельная ДК</vt:lpstr>
      <vt:lpstr>СПР Жим софт однопетельная</vt:lpstr>
      <vt:lpstr>СПР Жим софт многопетельная</vt:lpstr>
      <vt:lpstr>GPA Тяга без экипировки ДК</vt:lpstr>
      <vt:lpstr>GPA Тяга без экипировки</vt:lpstr>
      <vt:lpstr>IPO Тяга в экипировке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2022-06-23T11:28:20Z</dcterms:modified>
</cp:coreProperties>
</file>