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2/Июнь/"/>
    </mc:Choice>
  </mc:AlternateContent>
  <xr:revisionPtr revIDLastSave="0" documentId="13_ncr:1_{CC172C0D-1C94-8C40-A2A8-25828D5D1AF4}" xr6:coauthVersionLast="45" xr6:coauthVersionMax="45" xr10:uidLastSave="{00000000-0000-0000-0000-000000000000}"/>
  <bookViews>
    <workbookView xWindow="420" yWindow="460" windowWidth="27080" windowHeight="15120" firstSheet="8" activeTab="12" xr2:uid="{00000000-000D-0000-FFFF-FFFF00000000}"/>
  </bookViews>
  <sheets>
    <sheet name="WRPF ПЛ без экипировки ДК" sheetId="8" r:id="rId1"/>
    <sheet name="WRPF ПЛ без экипировки" sheetId="7" r:id="rId2"/>
    <sheet name="WRPF ПЛ в бинтах ДК" sheetId="6" r:id="rId3"/>
    <sheet name="WRPF ПЛ в бинтах" sheetId="5" r:id="rId4"/>
    <sheet name="WRPF Двоеборье без экип ДК" sheetId="18" r:id="rId5"/>
    <sheet name="WRPF Двоеборье без экип" sheetId="17" r:id="rId6"/>
    <sheet name="WRPF Жим лежа без экип ДК" sheetId="11" r:id="rId7"/>
    <sheet name="WRPF Жим лежа без экип" sheetId="10" r:id="rId8"/>
    <sheet name="WEPF Жим софт однопетельная ДК" sheetId="12" r:id="rId9"/>
    <sheet name="WRPF Тяга без экипировки ДК" sheetId="15" r:id="rId10"/>
    <sheet name="WRPF Тяга без экипировки" sheetId="14" r:id="rId11"/>
    <sheet name="WRPF Подъем на бицепс ДК" sheetId="20" r:id="rId12"/>
    <sheet name="WRPF Подъем на бицепс" sheetId="19" r:id="rId13"/>
  </sheets>
  <definedNames>
    <definedName name="_FilterDatabase" localSheetId="3" hidden="1">'WRPF ПЛ в бинтах'!$A$1:$S$3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3" i="20" l="1"/>
  <c r="K23" i="20"/>
  <c r="L22" i="20"/>
  <c r="K22" i="20"/>
  <c r="L19" i="20"/>
  <c r="K19" i="20"/>
  <c r="L18" i="20"/>
  <c r="K18" i="20"/>
  <c r="L17" i="20"/>
  <c r="K17" i="20"/>
  <c r="L14" i="20"/>
  <c r="K14" i="20"/>
  <c r="L13" i="20"/>
  <c r="K13" i="20"/>
  <c r="L10" i="20"/>
  <c r="K10" i="20"/>
  <c r="L7" i="20"/>
  <c r="K7" i="20"/>
  <c r="L6" i="20"/>
  <c r="K6" i="20"/>
  <c r="L26" i="19"/>
  <c r="K26" i="19"/>
  <c r="L23" i="19"/>
  <c r="K23" i="19"/>
  <c r="L22" i="19"/>
  <c r="K22" i="19"/>
  <c r="L21" i="19"/>
  <c r="K21" i="19"/>
  <c r="L18" i="19"/>
  <c r="K18" i="19"/>
  <c r="L15" i="19"/>
  <c r="L12" i="19"/>
  <c r="K12" i="19"/>
  <c r="L9" i="19"/>
  <c r="K9" i="19"/>
  <c r="L6" i="19"/>
  <c r="K6" i="19"/>
  <c r="P11" i="18"/>
  <c r="O11" i="18"/>
  <c r="P10" i="18"/>
  <c r="O10" i="18"/>
  <c r="P9" i="18"/>
  <c r="O9" i="18"/>
  <c r="P6" i="18"/>
  <c r="O6" i="18"/>
  <c r="P6" i="17"/>
  <c r="O6" i="17"/>
  <c r="L55" i="15"/>
  <c r="K55" i="15"/>
  <c r="L52" i="15"/>
  <c r="K52" i="15"/>
  <c r="L51" i="15"/>
  <c r="K51" i="15"/>
  <c r="L48" i="15"/>
  <c r="K48" i="15"/>
  <c r="L47" i="15"/>
  <c r="K47" i="15"/>
  <c r="L46" i="15"/>
  <c r="K46" i="15"/>
  <c r="L45" i="15"/>
  <c r="K45" i="15"/>
  <c r="L44" i="15"/>
  <c r="K44" i="15"/>
  <c r="L43" i="15"/>
  <c r="K43" i="15"/>
  <c r="L40" i="15"/>
  <c r="K40" i="15"/>
  <c r="L39" i="15"/>
  <c r="K39" i="15"/>
  <c r="L38" i="15"/>
  <c r="K38" i="15"/>
  <c r="L35" i="15"/>
  <c r="K35" i="15"/>
  <c r="L34" i="15"/>
  <c r="K34" i="15"/>
  <c r="L33" i="15"/>
  <c r="K33" i="15"/>
  <c r="L32" i="15"/>
  <c r="K32" i="15"/>
  <c r="L29" i="15"/>
  <c r="K29" i="15"/>
  <c r="L28" i="15"/>
  <c r="K28" i="15"/>
  <c r="L25" i="15"/>
  <c r="K25" i="15"/>
  <c r="L24" i="15"/>
  <c r="K24" i="15"/>
  <c r="L21" i="15"/>
  <c r="L18" i="15"/>
  <c r="L17" i="15"/>
  <c r="K17" i="15"/>
  <c r="L14" i="15"/>
  <c r="K14" i="15"/>
  <c r="L11" i="15"/>
  <c r="K11" i="15"/>
  <c r="L10" i="15"/>
  <c r="K10" i="15"/>
  <c r="L7" i="15"/>
  <c r="K7" i="15"/>
  <c r="L6" i="15"/>
  <c r="K6" i="15"/>
  <c r="L26" i="14"/>
  <c r="K26" i="14"/>
  <c r="L23" i="14"/>
  <c r="K23" i="14"/>
  <c r="L22" i="14"/>
  <c r="K22" i="14"/>
  <c r="L21" i="14"/>
  <c r="K21" i="14"/>
  <c r="L18" i="14"/>
  <c r="K18" i="14"/>
  <c r="L15" i="14"/>
  <c r="K15" i="14"/>
  <c r="L12" i="14"/>
  <c r="K12" i="14"/>
  <c r="L9" i="14"/>
  <c r="K9" i="14"/>
  <c r="L6" i="14"/>
  <c r="K6" i="14"/>
  <c r="L6" i="12"/>
  <c r="K6" i="12"/>
  <c r="L53" i="11"/>
  <c r="K53" i="11"/>
  <c r="L50" i="11"/>
  <c r="K50" i="11"/>
  <c r="L47" i="11"/>
  <c r="K47" i="11"/>
  <c r="L46" i="11"/>
  <c r="K46" i="11"/>
  <c r="L45" i="11"/>
  <c r="K45" i="11"/>
  <c r="L44" i="11"/>
  <c r="K44" i="11"/>
  <c r="L43" i="11"/>
  <c r="K43" i="11"/>
  <c r="L42" i="11"/>
  <c r="K42" i="11"/>
  <c r="L39" i="11"/>
  <c r="K39" i="11"/>
  <c r="L38" i="11"/>
  <c r="L37" i="11"/>
  <c r="K37" i="11"/>
  <c r="L36" i="11"/>
  <c r="K36" i="11"/>
  <c r="L35" i="11"/>
  <c r="K35" i="11"/>
  <c r="L32" i="11"/>
  <c r="K32" i="11"/>
  <c r="L31" i="11"/>
  <c r="K31" i="11"/>
  <c r="L30" i="11"/>
  <c r="K30" i="11"/>
  <c r="L29" i="11"/>
  <c r="K29" i="11"/>
  <c r="L26" i="11"/>
  <c r="K26" i="11"/>
  <c r="L25" i="11"/>
  <c r="K25" i="11"/>
  <c r="L24" i="11"/>
  <c r="K24" i="11"/>
  <c r="L21" i="11"/>
  <c r="K21" i="11"/>
  <c r="L20" i="11"/>
  <c r="K20" i="11"/>
  <c r="L17" i="11"/>
  <c r="K17" i="11"/>
  <c r="L14" i="11"/>
  <c r="L13" i="11"/>
  <c r="K13" i="11"/>
  <c r="L10" i="11"/>
  <c r="K10" i="11"/>
  <c r="L9" i="11"/>
  <c r="K9" i="11"/>
  <c r="L6" i="11"/>
  <c r="K6" i="11"/>
  <c r="L36" i="10"/>
  <c r="K36" i="10"/>
  <c r="L33" i="10"/>
  <c r="K33" i="10"/>
  <c r="L32" i="10"/>
  <c r="K32" i="10"/>
  <c r="L31" i="10"/>
  <c r="K31" i="10"/>
  <c r="L28" i="10"/>
  <c r="K28" i="10"/>
  <c r="L27" i="10"/>
  <c r="K27" i="10"/>
  <c r="L26" i="10"/>
  <c r="K26" i="10"/>
  <c r="L23" i="10"/>
  <c r="K23" i="10"/>
  <c r="L22" i="10"/>
  <c r="K22" i="10"/>
  <c r="L21" i="10"/>
  <c r="K21" i="10"/>
  <c r="L18" i="10"/>
  <c r="K18" i="10"/>
  <c r="L17" i="10"/>
  <c r="K17" i="10"/>
  <c r="L16" i="10"/>
  <c r="K16" i="10"/>
  <c r="L13" i="10"/>
  <c r="K13" i="10"/>
  <c r="L10" i="10"/>
  <c r="K10" i="10"/>
  <c r="L9" i="10"/>
  <c r="K9" i="10"/>
  <c r="L6" i="10"/>
  <c r="K6" i="10"/>
  <c r="T61" i="8"/>
  <c r="S61" i="8"/>
  <c r="T60" i="8"/>
  <c r="S60" i="8"/>
  <c r="T57" i="8"/>
  <c r="S57" i="8"/>
  <c r="T56" i="8"/>
  <c r="T55" i="8"/>
  <c r="S55" i="8"/>
  <c r="T54" i="8"/>
  <c r="S54" i="8"/>
  <c r="T53" i="8"/>
  <c r="S53" i="8"/>
  <c r="T52" i="8"/>
  <c r="S52" i="8"/>
  <c r="T51" i="8"/>
  <c r="S51" i="8"/>
  <c r="T48" i="8"/>
  <c r="S48" i="8"/>
  <c r="T47" i="8"/>
  <c r="S47" i="8"/>
  <c r="T46" i="8"/>
  <c r="S46" i="8"/>
  <c r="T45" i="8"/>
  <c r="S45" i="8"/>
  <c r="T44" i="8"/>
  <c r="S44" i="8"/>
  <c r="T41" i="8"/>
  <c r="S41" i="8"/>
  <c r="T40" i="8"/>
  <c r="S40" i="8"/>
  <c r="T39" i="8"/>
  <c r="S39" i="8"/>
  <c r="T38" i="8"/>
  <c r="S38" i="8"/>
  <c r="T37" i="8"/>
  <c r="S37" i="8"/>
  <c r="T36" i="8"/>
  <c r="S36" i="8"/>
  <c r="T35" i="8"/>
  <c r="S35" i="8"/>
  <c r="T32" i="8"/>
  <c r="S32" i="8"/>
  <c r="T31" i="8"/>
  <c r="S31" i="8"/>
  <c r="T28" i="8"/>
  <c r="S28" i="8"/>
  <c r="T27" i="8"/>
  <c r="S27" i="8"/>
  <c r="T24" i="8"/>
  <c r="S24" i="8"/>
  <c r="T21" i="8"/>
  <c r="S21" i="8"/>
  <c r="T20" i="8"/>
  <c r="T19" i="8"/>
  <c r="S19" i="8"/>
  <c r="T18" i="8"/>
  <c r="S18" i="8"/>
  <c r="T17" i="8"/>
  <c r="S17" i="8"/>
  <c r="T16" i="8"/>
  <c r="S16" i="8"/>
  <c r="T13" i="8"/>
  <c r="S13" i="8"/>
  <c r="T12" i="8"/>
  <c r="S12" i="8"/>
  <c r="T11" i="8"/>
  <c r="S11" i="8"/>
  <c r="T8" i="8"/>
  <c r="S8" i="8"/>
  <c r="T7" i="8"/>
  <c r="S7" i="8"/>
  <c r="T6" i="8"/>
  <c r="S6" i="8"/>
  <c r="T27" i="7"/>
  <c r="S27" i="7"/>
  <c r="T24" i="7"/>
  <c r="T21" i="7"/>
  <c r="S21" i="7"/>
  <c r="T18" i="7"/>
  <c r="S18" i="7"/>
  <c r="T15" i="7"/>
  <c r="S15" i="7"/>
  <c r="T12" i="7"/>
  <c r="S12" i="7"/>
  <c r="T9" i="7"/>
  <c r="S9" i="7"/>
  <c r="T6" i="7"/>
  <c r="S6" i="7"/>
  <c r="T15" i="6"/>
  <c r="T12" i="6"/>
  <c r="S12" i="6"/>
  <c r="T9" i="6"/>
  <c r="S9" i="6"/>
  <c r="T6" i="6"/>
  <c r="S6" i="6"/>
  <c r="T22" i="5"/>
  <c r="S22" i="5"/>
  <c r="T19" i="5"/>
  <c r="S19" i="5"/>
  <c r="T16" i="5"/>
  <c r="S16" i="5"/>
  <c r="T13" i="5"/>
  <c r="S13" i="5"/>
  <c r="T10" i="5"/>
  <c r="S10" i="5"/>
  <c r="T9" i="5"/>
  <c r="S9" i="5"/>
  <c r="T6" i="5"/>
  <c r="S6" i="5"/>
</calcChain>
</file>

<file path=xl/sharedStrings.xml><?xml version="1.0" encoding="utf-8"?>
<sst xmlns="http://schemas.openxmlformats.org/spreadsheetml/2006/main" count="2134" uniqueCount="637">
  <si>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</si>
  <si>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</si>
  <si>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</si>
  <si>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</si>
  <si>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</si>
  <si>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</si>
  <si>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</si>
  <si>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Приседание</t>
  </si>
  <si>
    <t>Жим лёжа</t>
  </si>
  <si>
    <t>Становая тяга</t>
  </si>
  <si>
    <t>ВЕСОВАЯ КАТЕГОРИЯ   75</t>
  </si>
  <si>
    <t>Насонов Дмитрий</t>
  </si>
  <si>
    <t>Открытая (13.02.1992)/30</t>
  </si>
  <si>
    <t>74,80</t>
  </si>
  <si>
    <t xml:space="preserve">Лиски/Воронежская область </t>
  </si>
  <si>
    <t>250,0</t>
  </si>
  <si>
    <t>265,0</t>
  </si>
  <si>
    <t>280,0</t>
  </si>
  <si>
    <t>130,0</t>
  </si>
  <si>
    <t>140,0</t>
  </si>
  <si>
    <t>150,0</t>
  </si>
  <si>
    <t>300,0</t>
  </si>
  <si>
    <t>325,0</t>
  </si>
  <si>
    <t>345,0</t>
  </si>
  <si>
    <t>365,0</t>
  </si>
  <si>
    <t>ВЕСОВАЯ КАТЕГОРИЯ   82.5</t>
  </si>
  <si>
    <t>Захлестин Никита</t>
  </si>
  <si>
    <t>Юниоры (08.09.1998)/23</t>
  </si>
  <si>
    <t>82,10</t>
  </si>
  <si>
    <t xml:space="preserve">Киров/Кировская область </t>
  </si>
  <si>
    <t>275,0</t>
  </si>
  <si>
    <t>285,0</t>
  </si>
  <si>
    <t>295,0</t>
  </si>
  <si>
    <t>135,0</t>
  </si>
  <si>
    <t>145,0</t>
  </si>
  <si>
    <t xml:space="preserve">Обухов Ф. </t>
  </si>
  <si>
    <t>Открытая (08.09.1998)/23</t>
  </si>
  <si>
    <t>ВЕСОВАЯ КАТЕГОРИЯ   90</t>
  </si>
  <si>
    <t>Семенюк Александр</t>
  </si>
  <si>
    <t>Открытая (16.05.1995)/27</t>
  </si>
  <si>
    <t>89,90</t>
  </si>
  <si>
    <t>305,0</t>
  </si>
  <si>
    <t>200,0</t>
  </si>
  <si>
    <t>207,5</t>
  </si>
  <si>
    <t>212,5</t>
  </si>
  <si>
    <t>335,0</t>
  </si>
  <si>
    <t>ВЕСОВАЯ КАТЕГОРИЯ   100</t>
  </si>
  <si>
    <t>Соколов Дмитрий</t>
  </si>
  <si>
    <t>Открытая (18.07.1986)/35</t>
  </si>
  <si>
    <t>91,40</t>
  </si>
  <si>
    <t xml:space="preserve">Ковров/Владимирская область </t>
  </si>
  <si>
    <t>190,0</t>
  </si>
  <si>
    <t>205,0</t>
  </si>
  <si>
    <t>115,0</t>
  </si>
  <si>
    <t>120,0</t>
  </si>
  <si>
    <t>122,5</t>
  </si>
  <si>
    <t>210,0</t>
  </si>
  <si>
    <t xml:space="preserve">Петрушкин Р. </t>
  </si>
  <si>
    <t>ВЕСОВАЯ КАТЕГОРИЯ   125</t>
  </si>
  <si>
    <t>Новиков Иван</t>
  </si>
  <si>
    <t>Открытая (23.05.1996)/26</t>
  </si>
  <si>
    <t>122,20</t>
  </si>
  <si>
    <t xml:space="preserve">Пермь/Пермский край </t>
  </si>
  <si>
    <t>202,5</t>
  </si>
  <si>
    <t>215,0</t>
  </si>
  <si>
    <t>360,0</t>
  </si>
  <si>
    <t xml:space="preserve">Насонов Д. </t>
  </si>
  <si>
    <t>ВЕСОВАЯ КАТЕГОРИЯ   140</t>
  </si>
  <si>
    <t>Пахтусов Семен</t>
  </si>
  <si>
    <t>Открытая (31.05.1996)/26</t>
  </si>
  <si>
    <t>134,70</t>
  </si>
  <si>
    <t>370,0</t>
  </si>
  <si>
    <t>390,0</t>
  </si>
  <si>
    <t>410,0</t>
  </si>
  <si>
    <t>220,0</t>
  </si>
  <si>
    <t>230,0</t>
  </si>
  <si>
    <t>310,0</t>
  </si>
  <si>
    <t>330,0</t>
  </si>
  <si>
    <t xml:space="preserve">Абсолютный зачёт </t>
  </si>
  <si>
    <t xml:space="preserve">Мужчины </t>
  </si>
  <si>
    <t xml:space="preserve">ФИО </t>
  </si>
  <si>
    <t xml:space="preserve">Возрастная группа </t>
  </si>
  <si>
    <t xml:space="preserve">Сумма </t>
  </si>
  <si>
    <t xml:space="preserve">Wilks </t>
  </si>
  <si>
    <t xml:space="preserve">Открытая </t>
  </si>
  <si>
    <t>75</t>
  </si>
  <si>
    <t>90</t>
  </si>
  <si>
    <t>140</t>
  </si>
  <si>
    <t>1</t>
  </si>
  <si>
    <t>ВЕСОВАЯ КАТЕГОРИЯ   56</t>
  </si>
  <si>
    <t>Джунусбаева Бегимай</t>
  </si>
  <si>
    <t>Открытая (13.01.2002)/20</t>
  </si>
  <si>
    <t>54,30</t>
  </si>
  <si>
    <t xml:space="preserve">Москва </t>
  </si>
  <si>
    <t>75,0</t>
  </si>
  <si>
    <t>80,0</t>
  </si>
  <si>
    <t>82,5</t>
  </si>
  <si>
    <t>35,0</t>
  </si>
  <si>
    <t>40,0</t>
  </si>
  <si>
    <t>42,5</t>
  </si>
  <si>
    <t>85,0</t>
  </si>
  <si>
    <t xml:space="preserve">Румянцев С. </t>
  </si>
  <si>
    <t>ВЕСОВАЯ КАТЕГОРИЯ   60</t>
  </si>
  <si>
    <t>Михайлова Светлана</t>
  </si>
  <si>
    <t>Открытая (24.10.1981)/40</t>
  </si>
  <si>
    <t>58,80</t>
  </si>
  <si>
    <t xml:space="preserve">Мурманск/Мурманская область </t>
  </si>
  <si>
    <t>105,0</t>
  </si>
  <si>
    <t>55,0</t>
  </si>
  <si>
    <t>ВЕСОВАЯ КАТЕГОРИЯ   67.5</t>
  </si>
  <si>
    <t>Перминов Макар</t>
  </si>
  <si>
    <t>Юноши 17-19 (08.08.2002)/19</t>
  </si>
  <si>
    <t>67,50</t>
  </si>
  <si>
    <t>242,5</t>
  </si>
  <si>
    <t>125,0</t>
  </si>
  <si>
    <t>ВЕСОВАЯ КАТЕГОРИЯ   110</t>
  </si>
  <si>
    <t>Немиро Руслан</t>
  </si>
  <si>
    <t>Открытая (31.05.1992)/30</t>
  </si>
  <si>
    <t>106,30</t>
  </si>
  <si>
    <t>155,0</t>
  </si>
  <si>
    <t>240,0</t>
  </si>
  <si>
    <t xml:space="preserve">Женщины </t>
  </si>
  <si>
    <t>-</t>
  </si>
  <si>
    <t>ВЕСОВАЯ КАТЕГОРИЯ   52</t>
  </si>
  <si>
    <t>Ткачева Елизавета</t>
  </si>
  <si>
    <t>Открытая (27.01.1996)/26</t>
  </si>
  <si>
    <t>51,30</t>
  </si>
  <si>
    <t>70,0</t>
  </si>
  <si>
    <t>77,5</t>
  </si>
  <si>
    <t>45,0</t>
  </si>
  <si>
    <t>47,5</t>
  </si>
  <si>
    <t>90,0</t>
  </si>
  <si>
    <t xml:space="preserve">Суслов Н. </t>
  </si>
  <si>
    <t>Самарина Ульяна</t>
  </si>
  <si>
    <t>Девушки 14-16 (08.10.2007)/14</t>
  </si>
  <si>
    <t>59,70</t>
  </si>
  <si>
    <t xml:space="preserve">Владимир/Владимирская область </t>
  </si>
  <si>
    <t>110,0</t>
  </si>
  <si>
    <t>112,5</t>
  </si>
  <si>
    <t>117,5</t>
  </si>
  <si>
    <t xml:space="preserve">Самарина Н. </t>
  </si>
  <si>
    <t>Ухарева Мария</t>
  </si>
  <si>
    <t>Открытая (03.05.1988)/34</t>
  </si>
  <si>
    <t>67,20</t>
  </si>
  <si>
    <t>95,0</t>
  </si>
  <si>
    <t>100,0</t>
  </si>
  <si>
    <t>147,5</t>
  </si>
  <si>
    <t>152,5</t>
  </si>
  <si>
    <t>Стародубова Дарья</t>
  </si>
  <si>
    <t>Открытая (27.09.2004)/17</t>
  </si>
  <si>
    <t>75,00</t>
  </si>
  <si>
    <t>170,0</t>
  </si>
  <si>
    <t>177,5</t>
  </si>
  <si>
    <t>182,5</t>
  </si>
  <si>
    <t>107,5</t>
  </si>
  <si>
    <t>197,5</t>
  </si>
  <si>
    <t xml:space="preserve">Никитин А. </t>
  </si>
  <si>
    <t>Епихина Виктория</t>
  </si>
  <si>
    <t>Открытая (18.04.1991)/31</t>
  </si>
  <si>
    <t>83,60</t>
  </si>
  <si>
    <t>180,0</t>
  </si>
  <si>
    <t>227,5</t>
  </si>
  <si>
    <t>Платонов Максим</t>
  </si>
  <si>
    <t>Открытая (07.04.1995)/27</t>
  </si>
  <si>
    <t>87,20</t>
  </si>
  <si>
    <t xml:space="preserve">Красногорск/Московская область </t>
  </si>
  <si>
    <t>225,0</t>
  </si>
  <si>
    <t>232,5</t>
  </si>
  <si>
    <t>175,0</t>
  </si>
  <si>
    <t>235,0</t>
  </si>
  <si>
    <t>Глебов Александр</t>
  </si>
  <si>
    <t>Открытая (20.01.1989)/33</t>
  </si>
  <si>
    <t>91,30</t>
  </si>
  <si>
    <t xml:space="preserve">Рязань/Рязанская область </t>
  </si>
  <si>
    <t>Беслекоев Олег</t>
  </si>
  <si>
    <t>Открытая (29.05.1993)/29</t>
  </si>
  <si>
    <t>106,60</t>
  </si>
  <si>
    <t xml:space="preserve">Тюмень/Тюменская область </t>
  </si>
  <si>
    <t>290,0</t>
  </si>
  <si>
    <t>340,0</t>
  </si>
  <si>
    <t>350,0</t>
  </si>
  <si>
    <t>372,5</t>
  </si>
  <si>
    <t xml:space="preserve">Смирнов Д. </t>
  </si>
  <si>
    <t>Дегтярева Юлия</t>
  </si>
  <si>
    <t>Открытая (08.09.1990)/31</t>
  </si>
  <si>
    <t>49,60</t>
  </si>
  <si>
    <t xml:space="preserve">Зеленоград/Московская область </t>
  </si>
  <si>
    <t>65,0</t>
  </si>
  <si>
    <t>72,5</t>
  </si>
  <si>
    <t>160,0</t>
  </si>
  <si>
    <t>165,0</t>
  </si>
  <si>
    <t xml:space="preserve">Сакович О. </t>
  </si>
  <si>
    <t>Кулыгина Людмила</t>
  </si>
  <si>
    <t>Открытая (25.02.1987)/35</t>
  </si>
  <si>
    <t>51,20</t>
  </si>
  <si>
    <t xml:space="preserve">Пенза/Пензенская область </t>
  </si>
  <si>
    <t>97,5</t>
  </si>
  <si>
    <t>50,0</t>
  </si>
  <si>
    <t>52,5</t>
  </si>
  <si>
    <t>Алексанян Лилит</t>
  </si>
  <si>
    <t>Открытая (13.09.1994)/27</t>
  </si>
  <si>
    <t>50,00</t>
  </si>
  <si>
    <t>102,5</t>
  </si>
  <si>
    <t xml:space="preserve">Фёдоров И. </t>
  </si>
  <si>
    <t>Петрушкина Виктория</t>
  </si>
  <si>
    <t>Девушки 14-16 (26.04.2006)/16</t>
  </si>
  <si>
    <t>53,60</t>
  </si>
  <si>
    <t>Открытая (26.04.2006)/16</t>
  </si>
  <si>
    <t>Попова Наталья</t>
  </si>
  <si>
    <t>Открытая (27.08.2005)/16</t>
  </si>
  <si>
    <t>53,00</t>
  </si>
  <si>
    <t xml:space="preserve">Воронеж/Воронежская область </t>
  </si>
  <si>
    <t>37,5</t>
  </si>
  <si>
    <t xml:space="preserve">Осокин И. </t>
  </si>
  <si>
    <t>Денисова Ульяна</t>
  </si>
  <si>
    <t>Девушки 14-16 (20.12.2009)/12</t>
  </si>
  <si>
    <t>57,80</t>
  </si>
  <si>
    <t>57,5</t>
  </si>
  <si>
    <t xml:space="preserve">Денисов С. </t>
  </si>
  <si>
    <t>Турукина Алёна</t>
  </si>
  <si>
    <t>Открытая (20.06.1991)/30</t>
  </si>
  <si>
    <t>60,00</t>
  </si>
  <si>
    <t>67,5</t>
  </si>
  <si>
    <t xml:space="preserve">Беслекоев О. </t>
  </si>
  <si>
    <t>Абрамова Елена</t>
  </si>
  <si>
    <t>Открытая (28.06.1993)/28</t>
  </si>
  <si>
    <t xml:space="preserve">Щёкино/Тульская область </t>
  </si>
  <si>
    <t>Журавлева Анастасия</t>
  </si>
  <si>
    <t>Открытая (22.06.1986)/35</t>
  </si>
  <si>
    <t>58,50</t>
  </si>
  <si>
    <t>87,5</t>
  </si>
  <si>
    <t xml:space="preserve">Щенников А. </t>
  </si>
  <si>
    <t>Быстрова Елена</t>
  </si>
  <si>
    <t>Открытая (25.10.1988)/33</t>
  </si>
  <si>
    <t xml:space="preserve">Домодедово/Московская область </t>
  </si>
  <si>
    <t xml:space="preserve">Платонов М. </t>
  </si>
  <si>
    <t>Калинина Наталия</t>
  </si>
  <si>
    <t>Мастера 50-59 (10.05.1963)/59</t>
  </si>
  <si>
    <t>59,90</t>
  </si>
  <si>
    <t>60,0</t>
  </si>
  <si>
    <t>32,5</t>
  </si>
  <si>
    <t>92,5</t>
  </si>
  <si>
    <t>Воскобойникова Виктория</t>
  </si>
  <si>
    <t>Открытая (23.06.1982)/39</t>
  </si>
  <si>
    <t>67,30</t>
  </si>
  <si>
    <t>157,5</t>
  </si>
  <si>
    <t>Досхоева Марет</t>
  </si>
  <si>
    <t>Юниорки (03.12.1999)/22</t>
  </si>
  <si>
    <t>74,90</t>
  </si>
  <si>
    <t xml:space="preserve">Котельнич/Кировская область </t>
  </si>
  <si>
    <t>Открытая (03.12.1999)/22</t>
  </si>
  <si>
    <t>Пикулев Вячеслав</t>
  </si>
  <si>
    <t>Юноши 14-16 (07.02.2006)/16</t>
  </si>
  <si>
    <t>73,40</t>
  </si>
  <si>
    <t>Колебошин Дмитрий</t>
  </si>
  <si>
    <t>Открытая (14.06.1998)/23</t>
  </si>
  <si>
    <t>73,70</t>
  </si>
  <si>
    <t xml:space="preserve">Химки/Московская область </t>
  </si>
  <si>
    <t>185,0</t>
  </si>
  <si>
    <t>195,0</t>
  </si>
  <si>
    <t>217,5</t>
  </si>
  <si>
    <t>222,5</t>
  </si>
  <si>
    <t xml:space="preserve">Калинкин И. </t>
  </si>
  <si>
    <t>Сычёв Владислав</t>
  </si>
  <si>
    <t>Юниоры (09.05.2000)/22</t>
  </si>
  <si>
    <t>80,80</t>
  </si>
  <si>
    <t xml:space="preserve">Зверев Р. </t>
  </si>
  <si>
    <t>Ларин Владимир</t>
  </si>
  <si>
    <t>Юниоры (03.08.2001)/20</t>
  </si>
  <si>
    <t>82,40</t>
  </si>
  <si>
    <t>172,5</t>
  </si>
  <si>
    <t xml:space="preserve">Ларин В. </t>
  </si>
  <si>
    <t>Сигунов Максим</t>
  </si>
  <si>
    <t>Открытая (10.11.1999)/22</t>
  </si>
  <si>
    <t>81,40</t>
  </si>
  <si>
    <t xml:space="preserve">Липецк/Липецкая область </t>
  </si>
  <si>
    <t>192,5</t>
  </si>
  <si>
    <t>245,0</t>
  </si>
  <si>
    <t>255,0</t>
  </si>
  <si>
    <t xml:space="preserve">Поляков А. </t>
  </si>
  <si>
    <t>Самойлов Максим</t>
  </si>
  <si>
    <t>Открытая (04.05.1996)/26</t>
  </si>
  <si>
    <t>80,00</t>
  </si>
  <si>
    <t>137,5</t>
  </si>
  <si>
    <t>142,5</t>
  </si>
  <si>
    <t>Алексеев Игорь</t>
  </si>
  <si>
    <t>Открытая (12.06.1985)/36</t>
  </si>
  <si>
    <t>81,70</t>
  </si>
  <si>
    <t xml:space="preserve">Наро-Фоминск/Московская область </t>
  </si>
  <si>
    <t>Какауллин Егор</t>
  </si>
  <si>
    <t>Открытая (25.10.1997)/24</t>
  </si>
  <si>
    <t xml:space="preserve">Самойлов М. </t>
  </si>
  <si>
    <t>Винокуров Дмитрий</t>
  </si>
  <si>
    <t>Открытая (05.06.1996)/26</t>
  </si>
  <si>
    <t>81,00</t>
  </si>
  <si>
    <t>Решетов Владимир</t>
  </si>
  <si>
    <t>Открытая (07.07.1975)/46</t>
  </si>
  <si>
    <t>88,30</t>
  </si>
  <si>
    <t>237,5</t>
  </si>
  <si>
    <t xml:space="preserve">Решетов А. </t>
  </si>
  <si>
    <t>Мухамадов Иззатулло</t>
  </si>
  <si>
    <t>Открытая (11.08.1998)/23</t>
  </si>
  <si>
    <t>89,70</t>
  </si>
  <si>
    <t>260,0</t>
  </si>
  <si>
    <t>Грунтов Илья</t>
  </si>
  <si>
    <t>Открытая (20.09.1995)/26</t>
  </si>
  <si>
    <t>88,10</t>
  </si>
  <si>
    <t>Попович Тарас</t>
  </si>
  <si>
    <t>Открытая (27.07.1991)/30</t>
  </si>
  <si>
    <t>90,00</t>
  </si>
  <si>
    <t>132,5</t>
  </si>
  <si>
    <t>187,5</t>
  </si>
  <si>
    <t>Юдин Алексей</t>
  </si>
  <si>
    <t>Открытая (19.05.1988)/34</t>
  </si>
  <si>
    <t xml:space="preserve">Тимофеев С. </t>
  </si>
  <si>
    <t>Щенников Андрей</t>
  </si>
  <si>
    <t>Открытая (14.10.1974)/47</t>
  </si>
  <si>
    <t>98,90</t>
  </si>
  <si>
    <t>Писарев Андрей</t>
  </si>
  <si>
    <t>Открытая (26.09.1995)/26</t>
  </si>
  <si>
    <t>97,80</t>
  </si>
  <si>
    <t xml:space="preserve">Савин А. </t>
  </si>
  <si>
    <t>Каменский Дмитрий</t>
  </si>
  <si>
    <t>Открытая (10.05.1990)/32</t>
  </si>
  <si>
    <t>94,20</t>
  </si>
  <si>
    <t>162,5</t>
  </si>
  <si>
    <t xml:space="preserve">Тимофеев Д. </t>
  </si>
  <si>
    <t>Розов Никита</t>
  </si>
  <si>
    <t>Открытая (02.02.1995)/27</t>
  </si>
  <si>
    <t>97,00</t>
  </si>
  <si>
    <t xml:space="preserve">Подольск/Московская область </t>
  </si>
  <si>
    <t>Коваль Андрей</t>
  </si>
  <si>
    <t>Открытая (26.08.1985)/36</t>
  </si>
  <si>
    <t>96,70</t>
  </si>
  <si>
    <t>Мартишин Александр</t>
  </si>
  <si>
    <t>Открытая (04.09.1996)/25</t>
  </si>
  <si>
    <t>97,40</t>
  </si>
  <si>
    <t>Мастера 40-49 (14.10.1974)/47</t>
  </si>
  <si>
    <t>Левенец Евгений</t>
  </si>
  <si>
    <t>Открытая (01.01.1992)/30</t>
  </si>
  <si>
    <t>102,70</t>
  </si>
  <si>
    <t xml:space="preserve">Серпухов/Московская область </t>
  </si>
  <si>
    <t>Ломов Дмитрий</t>
  </si>
  <si>
    <t>Открытая (04.10.1984)/37</t>
  </si>
  <si>
    <t>104,50</t>
  </si>
  <si>
    <t>Результат</t>
  </si>
  <si>
    <t>Самарина Наталья</t>
  </si>
  <si>
    <t>Открытая (27.06.1984)/37</t>
  </si>
  <si>
    <t>70,00</t>
  </si>
  <si>
    <t>151,0</t>
  </si>
  <si>
    <t>Суслов Дмитрий</t>
  </si>
  <si>
    <t>Юноши 14-16 (15.01.2008)/14</t>
  </si>
  <si>
    <t>65,80</t>
  </si>
  <si>
    <t xml:space="preserve">Суслова В. </t>
  </si>
  <si>
    <t>Савилов Ярослав</t>
  </si>
  <si>
    <t>Юноши 14-16 (08.08.2007)/14</t>
  </si>
  <si>
    <t>64,30</t>
  </si>
  <si>
    <t>Соколовский Борис</t>
  </si>
  <si>
    <t>Мастера 60-69 (11.06.1961)/61</t>
  </si>
  <si>
    <t>Федоров Константин</t>
  </si>
  <si>
    <t>Открытая (06.12.1990)/31</t>
  </si>
  <si>
    <t>87,90</t>
  </si>
  <si>
    <t xml:space="preserve">Федоров И. </t>
  </si>
  <si>
    <t>Комраков Никита</t>
  </si>
  <si>
    <t>Открытая (23.06.1995)/26</t>
  </si>
  <si>
    <t>Пыткин Максим</t>
  </si>
  <si>
    <t>Открытая (30.03.1992)/30</t>
  </si>
  <si>
    <t>94,00</t>
  </si>
  <si>
    <t>Чибисов Степан</t>
  </si>
  <si>
    <t>Открытая (06.03.1989)/33</t>
  </si>
  <si>
    <t>99,50</t>
  </si>
  <si>
    <t>Родионов Евгений</t>
  </si>
  <si>
    <t>Открытая (02.10.1985)/36</t>
  </si>
  <si>
    <t xml:space="preserve">Тула/Тульская область </t>
  </si>
  <si>
    <t>167,5</t>
  </si>
  <si>
    <t>Асадчих Станислав</t>
  </si>
  <si>
    <t>Открытая (17.01.1989)/33</t>
  </si>
  <si>
    <t>109,40</t>
  </si>
  <si>
    <t xml:space="preserve">Надым/Ямало-Ненецкий автономный округ </t>
  </si>
  <si>
    <t>Солохин Денис</t>
  </si>
  <si>
    <t>Открытая (25.02.1981)/41</t>
  </si>
  <si>
    <t>100,80</t>
  </si>
  <si>
    <t>Рыжков Анатолий</t>
  </si>
  <si>
    <t>Открытая (20.06.1984)/37</t>
  </si>
  <si>
    <t>109,70</t>
  </si>
  <si>
    <t xml:space="preserve">Курск/Курская область </t>
  </si>
  <si>
    <t>Соловьев Алексей</t>
  </si>
  <si>
    <t>Открытая (01.07.1990)/31</t>
  </si>
  <si>
    <t>113,20</t>
  </si>
  <si>
    <t>277,5</t>
  </si>
  <si>
    <t>Романов Дмитрий</t>
  </si>
  <si>
    <t>Открытая (16.06.1987)/34</t>
  </si>
  <si>
    <t>124,60</t>
  </si>
  <si>
    <t xml:space="preserve">Абдуллин М. </t>
  </si>
  <si>
    <t>Лысов Егор</t>
  </si>
  <si>
    <t>Открытая (08.06.1995)/27</t>
  </si>
  <si>
    <t>121,00</t>
  </si>
  <si>
    <t xml:space="preserve">Дудинец А. </t>
  </si>
  <si>
    <t>Осокин Илья</t>
  </si>
  <si>
    <t>Открытая (21.04.1992)/30</t>
  </si>
  <si>
    <t>137,90</t>
  </si>
  <si>
    <t xml:space="preserve">Результат </t>
  </si>
  <si>
    <t>ВЕСОВАЯ КАТЕГОРИЯ   48</t>
  </si>
  <si>
    <t>Вербицкая Полина</t>
  </si>
  <si>
    <t>Открытая (08.02.1986)/36</t>
  </si>
  <si>
    <t>47,70</t>
  </si>
  <si>
    <t>Астанина Элеонора</t>
  </si>
  <si>
    <t>Открытая (14.09.1991)/30</t>
  </si>
  <si>
    <t>55,40</t>
  </si>
  <si>
    <t>Ирха Софья</t>
  </si>
  <si>
    <t>Открытая (08.09.1989)/32</t>
  </si>
  <si>
    <t>55,00</t>
  </si>
  <si>
    <t>Шевцов Алексей</t>
  </si>
  <si>
    <t>Юниоры (08.06.2001)/21</t>
  </si>
  <si>
    <t>73,10</t>
  </si>
  <si>
    <t>Безбородов Александр</t>
  </si>
  <si>
    <t>Открытая (26.12.1991)/30</t>
  </si>
  <si>
    <t>72,50</t>
  </si>
  <si>
    <t>Лукинский Владимир</t>
  </si>
  <si>
    <t>Открытая (26.02.1986)/36</t>
  </si>
  <si>
    <t>74,30</t>
  </si>
  <si>
    <t xml:space="preserve">Скопин/Рязанская область </t>
  </si>
  <si>
    <t>Денисов Сергей</t>
  </si>
  <si>
    <t>Открытая (15.09.1991)/30</t>
  </si>
  <si>
    <t>81,50</t>
  </si>
  <si>
    <t xml:space="preserve">Малаховка/Московская область </t>
  </si>
  <si>
    <t>272,5</t>
  </si>
  <si>
    <t>282,5</t>
  </si>
  <si>
    <t>Праслов Алексей</t>
  </si>
  <si>
    <t>Открытая (07.07.1993)/28</t>
  </si>
  <si>
    <t>82,20</t>
  </si>
  <si>
    <t>Дронов Игорь</t>
  </si>
  <si>
    <t>Открытая (20.03.1993)/29</t>
  </si>
  <si>
    <t>80,30</t>
  </si>
  <si>
    <t>Щеголев Вадим</t>
  </si>
  <si>
    <t>Открытая (11.01.1986)/36</t>
  </si>
  <si>
    <t>127,5</t>
  </si>
  <si>
    <t>Кашпар Константин</t>
  </si>
  <si>
    <t>Открытая (03.11.1997)/24</t>
  </si>
  <si>
    <t>88,40</t>
  </si>
  <si>
    <t>Потехин Евгений</t>
  </si>
  <si>
    <t>Открытая (09.10.1989)/32</t>
  </si>
  <si>
    <t>89,30</t>
  </si>
  <si>
    <t>Польевтов Вадим</t>
  </si>
  <si>
    <t>Открытая (28.11.1995)/26</t>
  </si>
  <si>
    <t>88,00</t>
  </si>
  <si>
    <t>Туманян Юрий</t>
  </si>
  <si>
    <t>Открытая (13.01.1984)/38</t>
  </si>
  <si>
    <t>87,50</t>
  </si>
  <si>
    <t xml:space="preserve">Синицин Никита </t>
  </si>
  <si>
    <t>Краснов Александр</t>
  </si>
  <si>
    <t>Мастера 40-49 (08.04.1977)/45</t>
  </si>
  <si>
    <t>86,40</t>
  </si>
  <si>
    <t xml:space="preserve">Саратов/Саратовская область </t>
  </si>
  <si>
    <t xml:space="preserve">Мансуров В. </t>
  </si>
  <si>
    <t>Касатов Дмитрий</t>
  </si>
  <si>
    <t>Открытая (22.05.1977)/45</t>
  </si>
  <si>
    <t>98,20</t>
  </si>
  <si>
    <t>Корнилов Алексей</t>
  </si>
  <si>
    <t>Открытая (05.08.1990)/31</t>
  </si>
  <si>
    <t>92,60</t>
  </si>
  <si>
    <t>Степанов Федор</t>
  </si>
  <si>
    <t>Открытая (13.04.1987)/35</t>
  </si>
  <si>
    <t>98,50</t>
  </si>
  <si>
    <t>Ивлев Александр</t>
  </si>
  <si>
    <t>Открытая (28.02.1990)/32</t>
  </si>
  <si>
    <t>95,50</t>
  </si>
  <si>
    <t>Пугачев Владислав</t>
  </si>
  <si>
    <t>Открытая (23.12.1994)/27</t>
  </si>
  <si>
    <t>107,00</t>
  </si>
  <si>
    <t xml:space="preserve">Белгород/Белгородская область </t>
  </si>
  <si>
    <t>Кирсанов Дмитрий</t>
  </si>
  <si>
    <t>Открытая (15.11.1988)/33</t>
  </si>
  <si>
    <t>114,30</t>
  </si>
  <si>
    <t>Попов Александр</t>
  </si>
  <si>
    <t>Открытая (07.05.1987)/35</t>
  </si>
  <si>
    <t xml:space="preserve">Мичуринск/Тамбовская область </t>
  </si>
  <si>
    <t xml:space="preserve">Gloss </t>
  </si>
  <si>
    <t>Осокина Юлия</t>
  </si>
  <si>
    <t>Открытая (01.12.1991)/30</t>
  </si>
  <si>
    <t>59,50</t>
  </si>
  <si>
    <t>Чурсанов Максим</t>
  </si>
  <si>
    <t>Открытая (18.02.1997)/25</t>
  </si>
  <si>
    <t>270,0</t>
  </si>
  <si>
    <t>286,5</t>
  </si>
  <si>
    <t>291,0</t>
  </si>
  <si>
    <t>Фёдоров Илья</t>
  </si>
  <si>
    <t>Открытая (29.08.1992)/29</t>
  </si>
  <si>
    <t>83,30</t>
  </si>
  <si>
    <t>355,0</t>
  </si>
  <si>
    <t>Сакирин Валентин</t>
  </si>
  <si>
    <t>Открытая (09.06.1985)/37</t>
  </si>
  <si>
    <t>99,80</t>
  </si>
  <si>
    <t>Решетников Александр</t>
  </si>
  <si>
    <t>Открытая (22.02.1999)/23</t>
  </si>
  <si>
    <t>105,90</t>
  </si>
  <si>
    <t>Курмей Денис</t>
  </si>
  <si>
    <t>Открытая (21.10.1987)/34</t>
  </si>
  <si>
    <t>109,20</t>
  </si>
  <si>
    <t>Алексеева Татьяна</t>
  </si>
  <si>
    <t>Мастера 40-49 (10.12.1980)/41</t>
  </si>
  <si>
    <t>51,70</t>
  </si>
  <si>
    <t xml:space="preserve">Орёл/Орловская область </t>
  </si>
  <si>
    <t xml:space="preserve">Волков Н. </t>
  </si>
  <si>
    <t>Следь Анастасия</t>
  </si>
  <si>
    <t>Открытая (05.08.1985)/36</t>
  </si>
  <si>
    <t>55,20</t>
  </si>
  <si>
    <t xml:space="preserve">Соколов Н. </t>
  </si>
  <si>
    <t>Куба Елена</t>
  </si>
  <si>
    <t>Открытая (15.02.1990)/32</t>
  </si>
  <si>
    <t>53,80</t>
  </si>
  <si>
    <t>Трушина Елена</t>
  </si>
  <si>
    <t>Мастера 40-49 (27.10.1980)/41</t>
  </si>
  <si>
    <t>57,40</t>
  </si>
  <si>
    <t xml:space="preserve">Наторкин М. </t>
  </si>
  <si>
    <t>Трофимчук Ирина</t>
  </si>
  <si>
    <t>Открытая (15.03.1988)/34</t>
  </si>
  <si>
    <t>66,40</t>
  </si>
  <si>
    <t>Куренкова Виктория</t>
  </si>
  <si>
    <t>Открытая (09.05.1990)/32</t>
  </si>
  <si>
    <t>66,80</t>
  </si>
  <si>
    <t>Косенков Николай</t>
  </si>
  <si>
    <t>Открытая (09.03.1989)/33</t>
  </si>
  <si>
    <t>Ефанов Артем</t>
  </si>
  <si>
    <t>Открытая (17.07.1992)/29</t>
  </si>
  <si>
    <t>65,50</t>
  </si>
  <si>
    <t>Егоров Кирилл</t>
  </si>
  <si>
    <t>Юноши 17-19 (11.08.2004)/17</t>
  </si>
  <si>
    <t>72,40</t>
  </si>
  <si>
    <t>Стрелецкий Роман</t>
  </si>
  <si>
    <t>Мастера 50-59 (20.06.1967)/54</t>
  </si>
  <si>
    <t>78,40</t>
  </si>
  <si>
    <t>Мансуров Вадуд</t>
  </si>
  <si>
    <t>Открытая (16.11.1993)/28</t>
  </si>
  <si>
    <t>83,90</t>
  </si>
  <si>
    <t>Кильдишев Константин</t>
  </si>
  <si>
    <t>Открытая (14.12.1992)/29</t>
  </si>
  <si>
    <t>89,50</t>
  </si>
  <si>
    <t>Журавлев Роман</t>
  </si>
  <si>
    <t>Мастера 40-49 (22.02.1979)/43</t>
  </si>
  <si>
    <t>89,00</t>
  </si>
  <si>
    <t>Иванов Данил</t>
  </si>
  <si>
    <t>Юноши 17-19 (13.10.2004)/17</t>
  </si>
  <si>
    <t>93,20</t>
  </si>
  <si>
    <t>Зверев Роман</t>
  </si>
  <si>
    <t>Открытая (15.05.1988)/34</t>
  </si>
  <si>
    <t>99,00</t>
  </si>
  <si>
    <t>312,5</t>
  </si>
  <si>
    <t>320,0</t>
  </si>
  <si>
    <t>Сердюк Илья</t>
  </si>
  <si>
    <t>Открытая (20.11.1995)/26</t>
  </si>
  <si>
    <t>Корзинкин Вадим</t>
  </si>
  <si>
    <t>Открытая (26.03.1983)/39</t>
  </si>
  <si>
    <t>115,40</t>
  </si>
  <si>
    <t>Сотников Вячеслав</t>
  </si>
  <si>
    <t>Юниоры (15.10.1998)/23</t>
  </si>
  <si>
    <t>79,10</t>
  </si>
  <si>
    <t>Открытая (15.10.1998)/23</t>
  </si>
  <si>
    <t>Подошевкина Инна</t>
  </si>
  <si>
    <t>Открытая (09.01.1981)/41</t>
  </si>
  <si>
    <t>63,70</t>
  </si>
  <si>
    <t xml:space="preserve">Щёлково/Московская область </t>
  </si>
  <si>
    <t>53,5</t>
  </si>
  <si>
    <t xml:space="preserve">Подошевкин Н. </t>
  </si>
  <si>
    <t>Морозов Вадим</t>
  </si>
  <si>
    <t>Открытая (13.10.1990)/31</t>
  </si>
  <si>
    <t>71,90</t>
  </si>
  <si>
    <t>62,5</t>
  </si>
  <si>
    <t>Пертенава Дмитрий</t>
  </si>
  <si>
    <t>Открытая (25.03.1990)/32</t>
  </si>
  <si>
    <t>82,30</t>
  </si>
  <si>
    <t>Сакович Олег</t>
  </si>
  <si>
    <t>Открытая (21.08.1992)/29</t>
  </si>
  <si>
    <t>87,00</t>
  </si>
  <si>
    <t>98,0</t>
  </si>
  <si>
    <t>102,0</t>
  </si>
  <si>
    <t>Бериташвили Иван</t>
  </si>
  <si>
    <t>Открытая (29.03.1988)/34</t>
  </si>
  <si>
    <t>99,10</t>
  </si>
  <si>
    <t>Колосов Алексей</t>
  </si>
  <si>
    <t>Открытая (07.12.1985)/36</t>
  </si>
  <si>
    <t>98,00</t>
  </si>
  <si>
    <t>Помогаева Елена</t>
  </si>
  <si>
    <t>Открытая (07.07.1981)/40</t>
  </si>
  <si>
    <t>59,20</t>
  </si>
  <si>
    <t>Тарханян Телман</t>
  </si>
  <si>
    <t>Открытая (09.04.1990)/32</t>
  </si>
  <si>
    <t>Осокин Александр</t>
  </si>
  <si>
    <t>72,70</t>
  </si>
  <si>
    <t>Кунташов Игорь</t>
  </si>
  <si>
    <t>80,90</t>
  </si>
  <si>
    <t>Ивлев Андрей</t>
  </si>
  <si>
    <t>81,30</t>
  </si>
  <si>
    <t xml:space="preserve">Бугаенко Д. </t>
  </si>
  <si>
    <t>Старовыборный Антон</t>
  </si>
  <si>
    <t>Открытая (06.10.1998)/23</t>
  </si>
  <si>
    <t>Весовая категория</t>
  </si>
  <si>
    <t>Всероссийский турнир «Мандарин»
WRPF Пауэрлифтинг без экипировки ДК
Рязань/Рязанская область, 11-12 июня 2022 года</t>
  </si>
  <si>
    <t>Всероссийский турнир «Мандарин»
WRPF Пауэрлифтинг без экипировки
Рязань/Рязанская область, 11-12 июня 2022 года</t>
  </si>
  <si>
    <t>Всероссийский турнир «Мандарин»
WRPF Пауэрлифтинг классический в бинтах ДК
Рязань/Рязанская область, 11-12 июня 2022 года</t>
  </si>
  <si>
    <t>Всероссийский турнир «Мандарин»
WRPF Пауэрлифтинг классический в бинтах
Рязань/Рязанская область, 11-12 июня 2022 года</t>
  </si>
  <si>
    <t>Всероссийский турнир «Мандарин»
WRPF Силовое двоеборье без экипировки ДК
Рязань/Рязанская область, 11-12 июня 2022 года</t>
  </si>
  <si>
    <t>Всероссийский турнир «Мандарин»
WRPF Силовое двоеборье без экипировки
Рязань/Рязанская область, 11-12 июня 2022 года</t>
  </si>
  <si>
    <t>Всероссийский турнир «Мандарин»
WRPF Жим лежа без экипировки ДК
Рязань/Рязанская область, 11-12 июня 2022 года</t>
  </si>
  <si>
    <t>Всероссийский турнир «Мандарин»
WRPF Жим лежа без экипировки
Рязань/Рязанская область, 11-12 июня 2022 года</t>
  </si>
  <si>
    <t>Всероссийский турнир «Мандарин»
WEPF Жим лежа в однопетельной софт экипировке ДК
Рязань/Рязанская область, 11-12 июня 2022 года</t>
  </si>
  <si>
    <t>Всероссийский турнир «Мандарин»
WRPF Становая тяга без экипировки ДК
Рязань/Рязанская область, 11-12 июня 2022 года</t>
  </si>
  <si>
    <t>Всероссийский турнир «Мандарин»
WRPF Становая тяга без экипировки
Рязань/Рязанская область, 11-12 июня 2022 года</t>
  </si>
  <si>
    <t>Всероссийский турнир «Мандарин»
WRPF Строгий подъем штанги на бицепс ДК
Рязань/Рязанская область, 11-12 июня 2022 года</t>
  </si>
  <si>
    <t>Всероссийский турнир «Мандарин»
WRPF Строгий подъем штанги на бицепс
Рязань/Рязанская область, 11-12 июня 2022 года</t>
  </si>
  <si>
    <t xml:space="preserve">Сибай/Республика Башкортостан </t>
  </si>
  <si>
    <t xml:space="preserve">Старожилово/Рязанская область </t>
  </si>
  <si>
    <t xml:space="preserve">Санкт-Петербург </t>
  </si>
  <si>
    <t xml:space="preserve">Минск/ Республика Беларусь </t>
  </si>
  <si>
    <t xml:space="preserve">Синицин Н. </t>
  </si>
  <si>
    <t xml:space="preserve">Кольчугино/Владимирская область </t>
  </si>
  <si>
    <t xml:space="preserve">Славгород/Республика Беларусь </t>
  </si>
  <si>
    <t xml:space="preserve">Минск/Республика Беларусь </t>
  </si>
  <si>
    <t xml:space="preserve">Ростов-на-Дону/Ростовская область </t>
  </si>
  <si>
    <t>Мастера 40-49 (07.07.1981)/40</t>
  </si>
  <si>
    <t>Мастера 40-49 (29.06.1981)/40</t>
  </si>
  <si>
    <t>Юноши 13-19 (21.04.2003)/19</t>
  </si>
  <si>
    <t>Мастера 40-49 (08.10.1980)/41</t>
  </si>
  <si>
    <t>Юниоры 20-23 (06.10.1998)/23</t>
  </si>
  <si>
    <t>Юноши 13-19 (08.08.2007)/14</t>
  </si>
  <si>
    <t>№</t>
  </si>
  <si>
    <t>Жим</t>
  </si>
  <si>
    <t xml:space="preserve">
Дата рождения/Возраст</t>
  </si>
  <si>
    <t>Возрастная группа</t>
  </si>
  <si>
    <t>O</t>
  </si>
  <si>
    <t>T1</t>
  </si>
  <si>
    <t>M2</t>
  </si>
  <si>
    <t>J</t>
  </si>
  <si>
    <t>M1</t>
  </si>
  <si>
    <t>T2</t>
  </si>
  <si>
    <t>M3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</si>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</sst>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9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0" fontId="0" fillId="0" borderId="11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/>
    </xf>
    <xf numFmtId="0" fontId="0" fillId="0" borderId="12" xfId="0" applyNumberFormat="1" applyFont="1" applyFill="1" applyBorder="1" applyAlignment="1">
      <alignment horizontal="center" vertical="center"/>
    </xf>
    <xf numFmtId="0" fontId="1" fillId="0" borderId="12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 vertical="center" indent="1"/>
    </xf>
    <xf numFmtId="49" fontId="7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8" fillId="0" borderId="12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indent="1"/>
    </xf>
    <xf numFmtId="0" fontId="7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5343B-BFC2-4190-8165-1C7F4EE924A9}">
  <dimension ref="A1:U78"/>
  <sheetViews>
    <sheetView topLeftCell="A28" workbookViewId="0">
      <selection activeCell="E62" sqref="E62"/>
    </sheetView>
  </sheetViews>
  <sheetFormatPr baseColWidth="10" defaultColWidth="8.83203125" defaultRowHeight="13"/>
  <cols>
    <col min="1" max="1" width="7.5" style="37" bestFit="1" customWidth="1"/>
    <col min="2" max="2" width="23.83203125" style="37" bestFit="1" customWidth="1"/>
    <col min="3" max="3" width="27.83203125" style="37" bestFit="1" customWidth="1"/>
    <col min="4" max="4" width="21.5" style="37" bestFit="1" customWidth="1"/>
    <col min="5" max="5" width="10.5" style="37" bestFit="1" customWidth="1"/>
    <col min="6" max="6" width="33" style="37" bestFit="1" customWidth="1"/>
    <col min="7" max="9" width="5.5" style="45" customWidth="1"/>
    <col min="10" max="10" width="4.83203125" style="45" customWidth="1"/>
    <col min="11" max="13" width="5.5" style="45" customWidth="1"/>
    <col min="14" max="14" width="4.83203125" style="45" customWidth="1"/>
    <col min="15" max="17" width="5.5" style="45" customWidth="1"/>
    <col min="18" max="18" width="4.83203125" style="45" customWidth="1"/>
    <col min="19" max="19" width="7.83203125" style="46" bestFit="1" customWidth="1"/>
    <col min="20" max="20" width="8.5" style="45" bestFit="1" customWidth="1"/>
    <col min="21" max="21" width="19.83203125" style="37" customWidth="1"/>
  </cols>
  <sheetData>
    <row r="1" spans="1:21" s="2" customFormat="1" ht="29" customHeight="1">
      <c r="A1" s="77" t="s">
        <v>597</v>
      </c>
      <c r="B1" s="78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80"/>
    </row>
    <row r="2" spans="1:21" s="2" customFormat="1" ht="62" customHeight="1" thickBot="1">
      <c r="A2" s="81"/>
      <c r="B2" s="82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4"/>
    </row>
    <row r="3" spans="1:21" s="1" customFormat="1" ht="12.75" customHeight="1">
      <c r="A3" s="85" t="s">
        <v>625</v>
      </c>
      <c r="B3" s="67" t="s">
        <v>0</v>
      </c>
      <c r="C3" s="87" t="s">
        <v>627</v>
      </c>
      <c r="D3" s="87" t="s">
        <v>6</v>
      </c>
      <c r="E3" s="71" t="s">
        <v>628</v>
      </c>
      <c r="F3" s="89" t="s">
        <v>5</v>
      </c>
      <c r="G3" s="89" t="s">
        <v>7</v>
      </c>
      <c r="H3" s="89"/>
      <c r="I3" s="89"/>
      <c r="J3" s="89"/>
      <c r="K3" s="89" t="s">
        <v>8</v>
      </c>
      <c r="L3" s="89"/>
      <c r="M3" s="89"/>
      <c r="N3" s="89"/>
      <c r="O3" s="89" t="s">
        <v>9</v>
      </c>
      <c r="P3" s="89"/>
      <c r="Q3" s="89"/>
      <c r="R3" s="89"/>
      <c r="S3" s="69" t="s">
        <v>1</v>
      </c>
      <c r="T3" s="71" t="s">
        <v>3</v>
      </c>
      <c r="U3" s="73" t="s">
        <v>2</v>
      </c>
    </row>
    <row r="4" spans="1:21" s="1" customFormat="1" ht="21" customHeight="1" thickBot="1">
      <c r="A4" s="86"/>
      <c r="B4" s="68"/>
      <c r="C4" s="88"/>
      <c r="D4" s="88"/>
      <c r="E4" s="72"/>
      <c r="F4" s="8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70"/>
      <c r="T4" s="72"/>
      <c r="U4" s="74"/>
    </row>
    <row r="5" spans="1:21" s="3" customFormat="1" ht="16">
      <c r="A5" s="75" t="s">
        <v>123</v>
      </c>
      <c r="B5" s="75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26"/>
      <c r="T5" s="6"/>
      <c r="U5" s="5"/>
    </row>
    <row r="6" spans="1:21">
      <c r="A6" s="54">
        <v>1</v>
      </c>
      <c r="B6" s="50" t="s">
        <v>183</v>
      </c>
      <c r="C6" s="50" t="s">
        <v>184</v>
      </c>
      <c r="D6" s="50" t="s">
        <v>185</v>
      </c>
      <c r="E6" s="50" t="s">
        <v>629</v>
      </c>
      <c r="F6" s="50" t="s">
        <v>186</v>
      </c>
      <c r="G6" s="53" t="s">
        <v>53</v>
      </c>
      <c r="H6" s="53" t="s">
        <v>54</v>
      </c>
      <c r="I6" s="53" t="s">
        <v>114</v>
      </c>
      <c r="J6" s="54"/>
      <c r="K6" s="53" t="s">
        <v>187</v>
      </c>
      <c r="L6" s="53" t="s">
        <v>127</v>
      </c>
      <c r="M6" s="55" t="s">
        <v>188</v>
      </c>
      <c r="N6" s="54"/>
      <c r="O6" s="53" t="s">
        <v>119</v>
      </c>
      <c r="P6" s="53" t="s">
        <v>189</v>
      </c>
      <c r="Q6" s="55" t="s">
        <v>190</v>
      </c>
      <c r="R6" s="54"/>
      <c r="S6" s="62" t="str">
        <f>"355,0"</f>
        <v>355,0</v>
      </c>
      <c r="T6" s="54" t="str">
        <f>"458,8375"</f>
        <v>458,8375</v>
      </c>
      <c r="U6" s="50" t="s">
        <v>191</v>
      </c>
    </row>
    <row r="7" spans="1:21">
      <c r="A7" s="58">
        <v>2</v>
      </c>
      <c r="B7" s="51" t="s">
        <v>192</v>
      </c>
      <c r="C7" s="51" t="s">
        <v>193</v>
      </c>
      <c r="D7" s="51" t="s">
        <v>194</v>
      </c>
      <c r="E7" s="51" t="s">
        <v>629</v>
      </c>
      <c r="F7" s="51" t="s">
        <v>195</v>
      </c>
      <c r="G7" s="56" t="s">
        <v>131</v>
      </c>
      <c r="H7" s="56" t="s">
        <v>144</v>
      </c>
      <c r="I7" s="57" t="s">
        <v>196</v>
      </c>
      <c r="J7" s="58"/>
      <c r="K7" s="56" t="s">
        <v>197</v>
      </c>
      <c r="L7" s="56" t="s">
        <v>198</v>
      </c>
      <c r="M7" s="56" t="s">
        <v>108</v>
      </c>
      <c r="N7" s="58"/>
      <c r="O7" s="56" t="s">
        <v>53</v>
      </c>
      <c r="P7" s="56" t="s">
        <v>54</v>
      </c>
      <c r="Q7" s="56" t="s">
        <v>55</v>
      </c>
      <c r="R7" s="58"/>
      <c r="S7" s="63" t="str">
        <f>"272,5"</f>
        <v>272,5</v>
      </c>
      <c r="T7" s="58" t="str">
        <f>"343,7860"</f>
        <v>343,7860</v>
      </c>
      <c r="U7" s="51"/>
    </row>
    <row r="8" spans="1:21">
      <c r="A8" s="61">
        <v>3</v>
      </c>
      <c r="B8" s="52" t="s">
        <v>199</v>
      </c>
      <c r="C8" s="52" t="s">
        <v>200</v>
      </c>
      <c r="D8" s="52" t="s">
        <v>201</v>
      </c>
      <c r="E8" s="52" t="s">
        <v>629</v>
      </c>
      <c r="F8" s="52" t="s">
        <v>288</v>
      </c>
      <c r="G8" s="59" t="s">
        <v>94</v>
      </c>
      <c r="H8" s="59" t="s">
        <v>95</v>
      </c>
      <c r="I8" s="60" t="s">
        <v>100</v>
      </c>
      <c r="J8" s="61"/>
      <c r="K8" s="59" t="s">
        <v>99</v>
      </c>
      <c r="L8" s="59" t="s">
        <v>129</v>
      </c>
      <c r="M8" s="59" t="s">
        <v>130</v>
      </c>
      <c r="N8" s="61"/>
      <c r="O8" s="59" t="s">
        <v>202</v>
      </c>
      <c r="P8" s="60" t="s">
        <v>154</v>
      </c>
      <c r="Q8" s="60" t="s">
        <v>154</v>
      </c>
      <c r="R8" s="61"/>
      <c r="S8" s="64" t="str">
        <f>"230,0"</f>
        <v>230,0</v>
      </c>
      <c r="T8" s="61" t="str">
        <f>"295,4580"</f>
        <v>295,4580</v>
      </c>
      <c r="U8" s="52" t="s">
        <v>203</v>
      </c>
    </row>
    <row r="10" spans="1:21" ht="16">
      <c r="A10" s="66" t="s">
        <v>89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</row>
    <row r="11" spans="1:21">
      <c r="A11" s="54">
        <v>1</v>
      </c>
      <c r="B11" s="50" t="s">
        <v>204</v>
      </c>
      <c r="C11" s="50" t="s">
        <v>205</v>
      </c>
      <c r="D11" s="50" t="s">
        <v>206</v>
      </c>
      <c r="E11" s="50" t="s">
        <v>630</v>
      </c>
      <c r="F11" s="50" t="s">
        <v>50</v>
      </c>
      <c r="G11" s="53" t="s">
        <v>127</v>
      </c>
      <c r="H11" s="53" t="s">
        <v>188</v>
      </c>
      <c r="I11" s="55" t="s">
        <v>94</v>
      </c>
      <c r="J11" s="54"/>
      <c r="K11" s="53" t="s">
        <v>197</v>
      </c>
      <c r="L11" s="53" t="s">
        <v>198</v>
      </c>
      <c r="M11" s="55" t="s">
        <v>108</v>
      </c>
      <c r="N11" s="54"/>
      <c r="O11" s="53" t="s">
        <v>100</v>
      </c>
      <c r="P11" s="53" t="s">
        <v>131</v>
      </c>
      <c r="Q11" s="53" t="s">
        <v>144</v>
      </c>
      <c r="R11" s="54"/>
      <c r="S11" s="62" t="str">
        <f>"220,0"</f>
        <v>220,0</v>
      </c>
      <c r="T11" s="54" t="str">
        <f>"267,8720"</f>
        <v>267,8720</v>
      </c>
      <c r="U11" s="50" t="s">
        <v>57</v>
      </c>
    </row>
    <row r="12" spans="1:21">
      <c r="A12" s="58">
        <v>1</v>
      </c>
      <c r="B12" s="51" t="s">
        <v>204</v>
      </c>
      <c r="C12" s="51" t="s">
        <v>207</v>
      </c>
      <c r="D12" s="51" t="s">
        <v>206</v>
      </c>
      <c r="E12" s="51" t="s">
        <v>629</v>
      </c>
      <c r="F12" s="51" t="s">
        <v>50</v>
      </c>
      <c r="G12" s="56" t="s">
        <v>127</v>
      </c>
      <c r="H12" s="56" t="s">
        <v>188</v>
      </c>
      <c r="I12" s="57" t="s">
        <v>94</v>
      </c>
      <c r="J12" s="58"/>
      <c r="K12" s="56" t="s">
        <v>197</v>
      </c>
      <c r="L12" s="56" t="s">
        <v>198</v>
      </c>
      <c r="M12" s="57" t="s">
        <v>108</v>
      </c>
      <c r="N12" s="58"/>
      <c r="O12" s="56" t="s">
        <v>100</v>
      </c>
      <c r="P12" s="56" t="s">
        <v>131</v>
      </c>
      <c r="Q12" s="56" t="s">
        <v>144</v>
      </c>
      <c r="R12" s="58"/>
      <c r="S12" s="63" t="str">
        <f>"220,0"</f>
        <v>220,0</v>
      </c>
      <c r="T12" s="58" t="str">
        <f>"267,8720"</f>
        <v>267,8720</v>
      </c>
      <c r="U12" s="51" t="s">
        <v>57</v>
      </c>
    </row>
    <row r="13" spans="1:21">
      <c r="A13" s="61">
        <v>2</v>
      </c>
      <c r="B13" s="52" t="s">
        <v>208</v>
      </c>
      <c r="C13" s="52" t="s">
        <v>209</v>
      </c>
      <c r="D13" s="52" t="s">
        <v>210</v>
      </c>
      <c r="E13" s="52" t="s">
        <v>629</v>
      </c>
      <c r="F13" s="52" t="s">
        <v>211</v>
      </c>
      <c r="G13" s="59" t="s">
        <v>187</v>
      </c>
      <c r="H13" s="60" t="s">
        <v>127</v>
      </c>
      <c r="I13" s="60" t="s">
        <v>127</v>
      </c>
      <c r="J13" s="61"/>
      <c r="K13" s="59" t="s">
        <v>97</v>
      </c>
      <c r="L13" s="60" t="s">
        <v>212</v>
      </c>
      <c r="M13" s="60" t="s">
        <v>212</v>
      </c>
      <c r="N13" s="61"/>
      <c r="O13" s="59" t="s">
        <v>95</v>
      </c>
      <c r="P13" s="59" t="s">
        <v>131</v>
      </c>
      <c r="Q13" s="60" t="s">
        <v>145</v>
      </c>
      <c r="R13" s="61"/>
      <c r="S13" s="64" t="str">
        <f>"190,0"</f>
        <v>190,0</v>
      </c>
      <c r="T13" s="61" t="str">
        <f>"233,3960"</f>
        <v>233,3960</v>
      </c>
      <c r="U13" s="52" t="s">
        <v>213</v>
      </c>
    </row>
    <row r="15" spans="1:21" ht="16">
      <c r="A15" s="66" t="s">
        <v>102</v>
      </c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</row>
    <row r="16" spans="1:21">
      <c r="A16" s="54">
        <v>1</v>
      </c>
      <c r="B16" s="50" t="s">
        <v>214</v>
      </c>
      <c r="C16" s="50" t="s">
        <v>215</v>
      </c>
      <c r="D16" s="50" t="s">
        <v>216</v>
      </c>
      <c r="E16" s="50" t="s">
        <v>630</v>
      </c>
      <c r="F16" s="50" t="s">
        <v>173</v>
      </c>
      <c r="G16" s="53" t="s">
        <v>197</v>
      </c>
      <c r="H16" s="53" t="s">
        <v>217</v>
      </c>
      <c r="I16" s="53" t="s">
        <v>187</v>
      </c>
      <c r="J16" s="54"/>
      <c r="K16" s="53" t="s">
        <v>129</v>
      </c>
      <c r="L16" s="55" t="s">
        <v>130</v>
      </c>
      <c r="M16" s="55" t="s">
        <v>130</v>
      </c>
      <c r="N16" s="54"/>
      <c r="O16" s="53" t="s">
        <v>131</v>
      </c>
      <c r="P16" s="53" t="s">
        <v>145</v>
      </c>
      <c r="Q16" s="53" t="s">
        <v>107</v>
      </c>
      <c r="R16" s="54"/>
      <c r="S16" s="62" t="str">
        <f>"215,0"</f>
        <v>215,0</v>
      </c>
      <c r="T16" s="54" t="str">
        <f>"246,7770"</f>
        <v>246,7770</v>
      </c>
      <c r="U16" s="50" t="s">
        <v>218</v>
      </c>
    </row>
    <row r="17" spans="1:21">
      <c r="A17" s="58">
        <v>1</v>
      </c>
      <c r="B17" s="51" t="s">
        <v>219</v>
      </c>
      <c r="C17" s="51" t="s">
        <v>220</v>
      </c>
      <c r="D17" s="51" t="s">
        <v>221</v>
      </c>
      <c r="E17" s="51" t="s">
        <v>629</v>
      </c>
      <c r="F17" s="51" t="s">
        <v>177</v>
      </c>
      <c r="G17" s="56" t="s">
        <v>53</v>
      </c>
      <c r="H17" s="56" t="s">
        <v>114</v>
      </c>
      <c r="I17" s="56" t="s">
        <v>18</v>
      </c>
      <c r="J17" s="58"/>
      <c r="K17" s="56" t="s">
        <v>222</v>
      </c>
      <c r="L17" s="57" t="s">
        <v>94</v>
      </c>
      <c r="M17" s="57" t="s">
        <v>94</v>
      </c>
      <c r="N17" s="58"/>
      <c r="O17" s="56" t="s">
        <v>119</v>
      </c>
      <c r="P17" s="56" t="s">
        <v>151</v>
      </c>
      <c r="Q17" s="57" t="s">
        <v>160</v>
      </c>
      <c r="R17" s="58"/>
      <c r="S17" s="63" t="str">
        <f>"367,5"</f>
        <v>367,5</v>
      </c>
      <c r="T17" s="58" t="str">
        <f>"409,7257"</f>
        <v>409,7257</v>
      </c>
      <c r="U17" s="51" t="s">
        <v>223</v>
      </c>
    </row>
    <row r="18" spans="1:21">
      <c r="A18" s="58">
        <v>2</v>
      </c>
      <c r="B18" s="51" t="s">
        <v>224</v>
      </c>
      <c r="C18" s="51" t="s">
        <v>225</v>
      </c>
      <c r="D18" s="51" t="s">
        <v>135</v>
      </c>
      <c r="E18" s="51" t="s">
        <v>629</v>
      </c>
      <c r="F18" s="51" t="s">
        <v>226</v>
      </c>
      <c r="G18" s="56" t="s">
        <v>137</v>
      </c>
      <c r="H18" s="57" t="s">
        <v>138</v>
      </c>
      <c r="I18" s="56" t="s">
        <v>138</v>
      </c>
      <c r="J18" s="58"/>
      <c r="K18" s="56" t="s">
        <v>94</v>
      </c>
      <c r="L18" s="56" t="s">
        <v>128</v>
      </c>
      <c r="M18" s="57" t="s">
        <v>95</v>
      </c>
      <c r="N18" s="58"/>
      <c r="O18" s="56" t="s">
        <v>53</v>
      </c>
      <c r="P18" s="56" t="s">
        <v>54</v>
      </c>
      <c r="Q18" s="57" t="s">
        <v>114</v>
      </c>
      <c r="R18" s="58"/>
      <c r="S18" s="63" t="str">
        <f>"310,0"</f>
        <v>310,0</v>
      </c>
      <c r="T18" s="58" t="str">
        <f>"346,9520"</f>
        <v>346,9520</v>
      </c>
      <c r="U18" s="51" t="s">
        <v>132</v>
      </c>
    </row>
    <row r="19" spans="1:21">
      <c r="A19" s="58">
        <v>3</v>
      </c>
      <c r="B19" s="51" t="s">
        <v>227</v>
      </c>
      <c r="C19" s="51" t="s">
        <v>228</v>
      </c>
      <c r="D19" s="51" t="s">
        <v>229</v>
      </c>
      <c r="E19" s="51" t="s">
        <v>629</v>
      </c>
      <c r="F19" s="51" t="s">
        <v>173</v>
      </c>
      <c r="G19" s="56" t="s">
        <v>127</v>
      </c>
      <c r="H19" s="56" t="s">
        <v>94</v>
      </c>
      <c r="I19" s="57" t="s">
        <v>96</v>
      </c>
      <c r="J19" s="58"/>
      <c r="K19" s="57" t="s">
        <v>212</v>
      </c>
      <c r="L19" s="56" t="s">
        <v>212</v>
      </c>
      <c r="M19" s="57" t="s">
        <v>99</v>
      </c>
      <c r="N19" s="58"/>
      <c r="O19" s="56" t="s">
        <v>95</v>
      </c>
      <c r="P19" s="57" t="s">
        <v>230</v>
      </c>
      <c r="Q19" s="57" t="s">
        <v>230</v>
      </c>
      <c r="R19" s="58"/>
      <c r="S19" s="63" t="str">
        <f>"192,5"</f>
        <v>192,5</v>
      </c>
      <c r="T19" s="58" t="str">
        <f>"218,8917"</f>
        <v>218,8917</v>
      </c>
      <c r="U19" s="51" t="s">
        <v>231</v>
      </c>
    </row>
    <row r="20" spans="1:21">
      <c r="A20" s="58" t="s">
        <v>122</v>
      </c>
      <c r="B20" s="51" t="s">
        <v>232</v>
      </c>
      <c r="C20" s="51" t="s">
        <v>233</v>
      </c>
      <c r="D20" s="51" t="s">
        <v>221</v>
      </c>
      <c r="E20" s="51" t="s">
        <v>629</v>
      </c>
      <c r="F20" s="51" t="s">
        <v>234</v>
      </c>
      <c r="G20" s="56" t="s">
        <v>187</v>
      </c>
      <c r="H20" s="57" t="s">
        <v>94</v>
      </c>
      <c r="I20" s="56" t="s">
        <v>94</v>
      </c>
      <c r="J20" s="58"/>
      <c r="K20" s="57" t="s">
        <v>129</v>
      </c>
      <c r="L20" s="57" t="s">
        <v>197</v>
      </c>
      <c r="M20" s="57" t="s">
        <v>197</v>
      </c>
      <c r="N20" s="58"/>
      <c r="O20" s="57"/>
      <c r="P20" s="58"/>
      <c r="Q20" s="58"/>
      <c r="R20" s="58"/>
      <c r="S20" s="63">
        <v>0</v>
      </c>
      <c r="T20" s="58" t="str">
        <f>"0,0000"</f>
        <v>0,0000</v>
      </c>
      <c r="U20" s="51" t="s">
        <v>235</v>
      </c>
    </row>
    <row r="21" spans="1:21">
      <c r="A21" s="61">
        <v>1</v>
      </c>
      <c r="B21" s="52" t="s">
        <v>236</v>
      </c>
      <c r="C21" s="52" t="s">
        <v>237</v>
      </c>
      <c r="D21" s="52" t="s">
        <v>238</v>
      </c>
      <c r="E21" s="52" t="s">
        <v>631</v>
      </c>
      <c r="F21" s="52" t="s">
        <v>173</v>
      </c>
      <c r="G21" s="59" t="s">
        <v>197</v>
      </c>
      <c r="H21" s="59" t="s">
        <v>108</v>
      </c>
      <c r="I21" s="59" t="s">
        <v>239</v>
      </c>
      <c r="J21" s="61"/>
      <c r="K21" s="59" t="s">
        <v>240</v>
      </c>
      <c r="L21" s="60" t="s">
        <v>212</v>
      </c>
      <c r="M21" s="59" t="s">
        <v>212</v>
      </c>
      <c r="N21" s="61"/>
      <c r="O21" s="59" t="s">
        <v>96</v>
      </c>
      <c r="P21" s="59" t="s">
        <v>230</v>
      </c>
      <c r="Q21" s="60" t="s">
        <v>241</v>
      </c>
      <c r="R21" s="61"/>
      <c r="S21" s="64" t="str">
        <f>"185,0"</f>
        <v>185,0</v>
      </c>
      <c r="T21" s="61" t="str">
        <f>"278,7959"</f>
        <v>278,7959</v>
      </c>
      <c r="U21" s="52" t="s">
        <v>231</v>
      </c>
    </row>
    <row r="23" spans="1:21" ht="16">
      <c r="A23" s="66" t="s">
        <v>109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</row>
    <row r="24" spans="1:21">
      <c r="A24" s="48">
        <v>1</v>
      </c>
      <c r="B24" s="36" t="s">
        <v>242</v>
      </c>
      <c r="C24" s="36" t="s">
        <v>243</v>
      </c>
      <c r="D24" s="36" t="s">
        <v>244</v>
      </c>
      <c r="E24" s="36" t="s">
        <v>629</v>
      </c>
      <c r="F24" s="36" t="s">
        <v>93</v>
      </c>
      <c r="G24" s="47" t="s">
        <v>19</v>
      </c>
      <c r="H24" s="47" t="s">
        <v>34</v>
      </c>
      <c r="I24" s="49" t="s">
        <v>20</v>
      </c>
      <c r="J24" s="48"/>
      <c r="K24" s="47" t="s">
        <v>131</v>
      </c>
      <c r="L24" s="49" t="s">
        <v>145</v>
      </c>
      <c r="M24" s="47" t="s">
        <v>145</v>
      </c>
      <c r="N24" s="48"/>
      <c r="O24" s="49" t="s">
        <v>245</v>
      </c>
      <c r="P24" s="47" t="s">
        <v>189</v>
      </c>
      <c r="Q24" s="47" t="s">
        <v>151</v>
      </c>
      <c r="R24" s="48"/>
      <c r="S24" s="65" t="str">
        <f>"415,0"</f>
        <v>415,0</v>
      </c>
      <c r="T24" s="48" t="str">
        <f>"424,4620"</f>
        <v>424,4620</v>
      </c>
      <c r="U24" s="36"/>
    </row>
    <row r="26" spans="1:21" ht="16">
      <c r="A26" s="66" t="s">
        <v>10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</row>
    <row r="27" spans="1:21">
      <c r="A27" s="54">
        <v>1</v>
      </c>
      <c r="B27" s="50" t="s">
        <v>246</v>
      </c>
      <c r="C27" s="50" t="s">
        <v>247</v>
      </c>
      <c r="D27" s="50" t="s">
        <v>248</v>
      </c>
      <c r="E27" s="50" t="s">
        <v>632</v>
      </c>
      <c r="F27" s="50" t="s">
        <v>249</v>
      </c>
      <c r="G27" s="53" t="s">
        <v>33</v>
      </c>
      <c r="H27" s="53" t="s">
        <v>34</v>
      </c>
      <c r="I27" s="53" t="s">
        <v>119</v>
      </c>
      <c r="J27" s="54"/>
      <c r="K27" s="53" t="s">
        <v>53</v>
      </c>
      <c r="L27" s="53" t="s">
        <v>54</v>
      </c>
      <c r="M27" s="55" t="s">
        <v>114</v>
      </c>
      <c r="N27" s="54"/>
      <c r="O27" s="53" t="s">
        <v>114</v>
      </c>
      <c r="P27" s="53" t="s">
        <v>33</v>
      </c>
      <c r="Q27" s="55" t="s">
        <v>20</v>
      </c>
      <c r="R27" s="54"/>
      <c r="S27" s="62" t="str">
        <f>"410,0"</f>
        <v>410,0</v>
      </c>
      <c r="T27" s="54" t="str">
        <f>"390,0740"</f>
        <v>390,0740</v>
      </c>
      <c r="U27" s="50" t="s">
        <v>35</v>
      </c>
    </row>
    <row r="28" spans="1:21">
      <c r="A28" s="61">
        <v>1</v>
      </c>
      <c r="B28" s="52" t="s">
        <v>246</v>
      </c>
      <c r="C28" s="52" t="s">
        <v>250</v>
      </c>
      <c r="D28" s="52" t="s">
        <v>248</v>
      </c>
      <c r="E28" s="52" t="s">
        <v>629</v>
      </c>
      <c r="F28" s="52" t="s">
        <v>249</v>
      </c>
      <c r="G28" s="59" t="s">
        <v>33</v>
      </c>
      <c r="H28" s="59" t="s">
        <v>34</v>
      </c>
      <c r="I28" s="59" t="s">
        <v>119</v>
      </c>
      <c r="J28" s="61"/>
      <c r="K28" s="59" t="s">
        <v>53</v>
      </c>
      <c r="L28" s="59" t="s">
        <v>54</v>
      </c>
      <c r="M28" s="60" t="s">
        <v>114</v>
      </c>
      <c r="N28" s="61"/>
      <c r="O28" s="59" t="s">
        <v>114</v>
      </c>
      <c r="P28" s="59" t="s">
        <v>33</v>
      </c>
      <c r="Q28" s="60" t="s">
        <v>20</v>
      </c>
      <c r="R28" s="61"/>
      <c r="S28" s="64" t="str">
        <f>"410,0"</f>
        <v>410,0</v>
      </c>
      <c r="T28" s="61" t="str">
        <f>"390,0740"</f>
        <v>390,0740</v>
      </c>
      <c r="U28" s="52" t="s">
        <v>35</v>
      </c>
    </row>
    <row r="30" spans="1:21" ht="16">
      <c r="A30" s="66" t="s">
        <v>10</v>
      </c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</row>
    <row r="31" spans="1:21">
      <c r="A31" s="54">
        <v>1</v>
      </c>
      <c r="B31" s="50" t="s">
        <v>251</v>
      </c>
      <c r="C31" s="50" t="s">
        <v>252</v>
      </c>
      <c r="D31" s="50" t="s">
        <v>253</v>
      </c>
      <c r="E31" s="50" t="s">
        <v>630</v>
      </c>
      <c r="F31" s="50" t="s">
        <v>288</v>
      </c>
      <c r="G31" s="55" t="s">
        <v>137</v>
      </c>
      <c r="H31" s="55" t="s">
        <v>54</v>
      </c>
      <c r="I31" s="53" t="s">
        <v>54</v>
      </c>
      <c r="J31" s="54"/>
      <c r="K31" s="53" t="s">
        <v>127</v>
      </c>
      <c r="L31" s="53" t="s">
        <v>94</v>
      </c>
      <c r="M31" s="53" t="s">
        <v>95</v>
      </c>
      <c r="N31" s="54"/>
      <c r="O31" s="53" t="s">
        <v>54</v>
      </c>
      <c r="P31" s="53" t="s">
        <v>18</v>
      </c>
      <c r="Q31" s="53" t="s">
        <v>19</v>
      </c>
      <c r="R31" s="54"/>
      <c r="S31" s="62" t="str">
        <f>"340,0"</f>
        <v>340,0</v>
      </c>
      <c r="T31" s="54" t="str">
        <f>"245,9900"</f>
        <v>245,9900</v>
      </c>
      <c r="U31" s="50" t="s">
        <v>203</v>
      </c>
    </row>
    <row r="32" spans="1:21">
      <c r="A32" s="61">
        <v>1</v>
      </c>
      <c r="B32" s="52" t="s">
        <v>254</v>
      </c>
      <c r="C32" s="52" t="s">
        <v>255</v>
      </c>
      <c r="D32" s="52" t="s">
        <v>256</v>
      </c>
      <c r="E32" s="52" t="s">
        <v>629</v>
      </c>
      <c r="F32" s="52" t="s">
        <v>257</v>
      </c>
      <c r="G32" s="59" t="s">
        <v>258</v>
      </c>
      <c r="H32" s="59" t="s">
        <v>51</v>
      </c>
      <c r="I32" s="59" t="s">
        <v>259</v>
      </c>
      <c r="J32" s="61"/>
      <c r="K32" s="59" t="s">
        <v>53</v>
      </c>
      <c r="L32" s="59" t="s">
        <v>54</v>
      </c>
      <c r="M32" s="59" t="s">
        <v>114</v>
      </c>
      <c r="N32" s="61"/>
      <c r="O32" s="59" t="s">
        <v>260</v>
      </c>
      <c r="P32" s="59" t="s">
        <v>261</v>
      </c>
      <c r="Q32" s="59" t="s">
        <v>75</v>
      </c>
      <c r="R32" s="61"/>
      <c r="S32" s="64" t="str">
        <f>"550,0"</f>
        <v>550,0</v>
      </c>
      <c r="T32" s="61" t="str">
        <f>"396,7700"</f>
        <v>396,7700</v>
      </c>
      <c r="U32" s="52" t="s">
        <v>262</v>
      </c>
    </row>
    <row r="34" spans="1:21" ht="16">
      <c r="A34" s="66" t="s">
        <v>25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</row>
    <row r="35" spans="1:21">
      <c r="A35" s="54">
        <v>1</v>
      </c>
      <c r="B35" s="50" t="s">
        <v>263</v>
      </c>
      <c r="C35" s="50" t="s">
        <v>264</v>
      </c>
      <c r="D35" s="50" t="s">
        <v>265</v>
      </c>
      <c r="E35" s="50" t="s">
        <v>632</v>
      </c>
      <c r="F35" s="50" t="s">
        <v>186</v>
      </c>
      <c r="G35" s="53" t="s">
        <v>151</v>
      </c>
      <c r="H35" s="53" t="s">
        <v>160</v>
      </c>
      <c r="I35" s="53" t="s">
        <v>258</v>
      </c>
      <c r="J35" s="54"/>
      <c r="K35" s="53" t="s">
        <v>53</v>
      </c>
      <c r="L35" s="53" t="s">
        <v>54</v>
      </c>
      <c r="M35" s="55" t="s">
        <v>55</v>
      </c>
      <c r="N35" s="54"/>
      <c r="O35" s="53" t="s">
        <v>42</v>
      </c>
      <c r="P35" s="55" t="s">
        <v>56</v>
      </c>
      <c r="Q35" s="55" t="s">
        <v>56</v>
      </c>
      <c r="R35" s="54"/>
      <c r="S35" s="62" t="str">
        <f>"505,0"</f>
        <v>505,0</v>
      </c>
      <c r="T35" s="54" t="str">
        <f>"342,6425"</f>
        <v>342,6425</v>
      </c>
      <c r="U35" s="50" t="s">
        <v>266</v>
      </c>
    </row>
    <row r="36" spans="1:21">
      <c r="A36" s="58">
        <v>2</v>
      </c>
      <c r="B36" s="51" t="s">
        <v>267</v>
      </c>
      <c r="C36" s="51" t="s">
        <v>268</v>
      </c>
      <c r="D36" s="51" t="s">
        <v>269</v>
      </c>
      <c r="E36" s="51" t="s">
        <v>632</v>
      </c>
      <c r="F36" s="51" t="s">
        <v>173</v>
      </c>
      <c r="G36" s="56" t="s">
        <v>54</v>
      </c>
      <c r="H36" s="57" t="s">
        <v>18</v>
      </c>
      <c r="I36" s="56" t="s">
        <v>33</v>
      </c>
      <c r="J36" s="58"/>
      <c r="K36" s="57" t="s">
        <v>131</v>
      </c>
      <c r="L36" s="56" t="s">
        <v>144</v>
      </c>
      <c r="M36" s="56" t="s">
        <v>145</v>
      </c>
      <c r="N36" s="58"/>
      <c r="O36" s="56" t="s">
        <v>270</v>
      </c>
      <c r="P36" s="56" t="s">
        <v>160</v>
      </c>
      <c r="Q36" s="56" t="s">
        <v>258</v>
      </c>
      <c r="R36" s="58"/>
      <c r="S36" s="63" t="str">
        <f>"420,0"</f>
        <v>420,0</v>
      </c>
      <c r="T36" s="58" t="str">
        <f>"281,5680"</f>
        <v>281,5680</v>
      </c>
      <c r="U36" s="51" t="s">
        <v>271</v>
      </c>
    </row>
    <row r="37" spans="1:21">
      <c r="A37" s="58">
        <v>1</v>
      </c>
      <c r="B37" s="51" t="s">
        <v>272</v>
      </c>
      <c r="C37" s="51" t="s">
        <v>273</v>
      </c>
      <c r="D37" s="51" t="s">
        <v>274</v>
      </c>
      <c r="E37" s="51" t="s">
        <v>629</v>
      </c>
      <c r="F37" s="51" t="s">
        <v>275</v>
      </c>
      <c r="G37" s="56" t="s">
        <v>258</v>
      </c>
      <c r="H37" s="57" t="s">
        <v>276</v>
      </c>
      <c r="I37" s="56" t="s">
        <v>276</v>
      </c>
      <c r="J37" s="58"/>
      <c r="K37" s="56" t="s">
        <v>139</v>
      </c>
      <c r="L37" s="56" t="s">
        <v>114</v>
      </c>
      <c r="M37" s="56" t="s">
        <v>18</v>
      </c>
      <c r="N37" s="58"/>
      <c r="O37" s="56" t="s">
        <v>169</v>
      </c>
      <c r="P37" s="56" t="s">
        <v>277</v>
      </c>
      <c r="Q37" s="56" t="s">
        <v>278</v>
      </c>
      <c r="R37" s="58"/>
      <c r="S37" s="63" t="str">
        <f>"577,5"</f>
        <v>577,5</v>
      </c>
      <c r="T37" s="58" t="str">
        <f>"390,0435"</f>
        <v>390,0435</v>
      </c>
      <c r="U37" s="51" t="s">
        <v>279</v>
      </c>
    </row>
    <row r="38" spans="1:21">
      <c r="A38" s="58">
        <v>2</v>
      </c>
      <c r="B38" s="51" t="s">
        <v>280</v>
      </c>
      <c r="C38" s="51" t="s">
        <v>281</v>
      </c>
      <c r="D38" s="51" t="s">
        <v>282</v>
      </c>
      <c r="E38" s="51" t="s">
        <v>629</v>
      </c>
      <c r="F38" s="51" t="s">
        <v>93</v>
      </c>
      <c r="G38" s="57" t="s">
        <v>259</v>
      </c>
      <c r="H38" s="56" t="s">
        <v>259</v>
      </c>
      <c r="I38" s="56" t="s">
        <v>42</v>
      </c>
      <c r="J38" s="58"/>
      <c r="K38" s="56" t="s">
        <v>283</v>
      </c>
      <c r="L38" s="56" t="s">
        <v>284</v>
      </c>
      <c r="M38" s="56" t="s">
        <v>34</v>
      </c>
      <c r="N38" s="58"/>
      <c r="O38" s="56" t="s">
        <v>74</v>
      </c>
      <c r="P38" s="56" t="s">
        <v>75</v>
      </c>
      <c r="Q38" s="57" t="s">
        <v>169</v>
      </c>
      <c r="R38" s="58"/>
      <c r="S38" s="63" t="str">
        <f>"575,0"</f>
        <v>575,0</v>
      </c>
      <c r="T38" s="58" t="str">
        <f>"392,5525"</f>
        <v>392,5525</v>
      </c>
      <c r="U38" s="51" t="s">
        <v>132</v>
      </c>
    </row>
    <row r="39" spans="1:21">
      <c r="A39" s="58">
        <v>3</v>
      </c>
      <c r="B39" s="51" t="s">
        <v>285</v>
      </c>
      <c r="C39" s="51" t="s">
        <v>286</v>
      </c>
      <c r="D39" s="51" t="s">
        <v>287</v>
      </c>
      <c r="E39" s="51" t="s">
        <v>629</v>
      </c>
      <c r="F39" s="51" t="s">
        <v>288</v>
      </c>
      <c r="G39" s="56" t="s">
        <v>20</v>
      </c>
      <c r="H39" s="56" t="s">
        <v>189</v>
      </c>
      <c r="I39" s="57" t="s">
        <v>190</v>
      </c>
      <c r="J39" s="58"/>
      <c r="K39" s="56" t="s">
        <v>18</v>
      </c>
      <c r="L39" s="56" t="s">
        <v>33</v>
      </c>
      <c r="M39" s="56" t="s">
        <v>19</v>
      </c>
      <c r="N39" s="58"/>
      <c r="O39" s="56" t="s">
        <v>42</v>
      </c>
      <c r="P39" s="56" t="s">
        <v>56</v>
      </c>
      <c r="Q39" s="56" t="s">
        <v>74</v>
      </c>
      <c r="R39" s="58"/>
      <c r="S39" s="63" t="str">
        <f>"520,0"</f>
        <v>520,0</v>
      </c>
      <c r="T39" s="58" t="str">
        <f>"350,4280"</f>
        <v>350,4280</v>
      </c>
      <c r="U39" s="51"/>
    </row>
    <row r="40" spans="1:21">
      <c r="A40" s="58">
        <v>4</v>
      </c>
      <c r="B40" s="51" t="s">
        <v>289</v>
      </c>
      <c r="C40" s="51" t="s">
        <v>290</v>
      </c>
      <c r="D40" s="51" t="s">
        <v>269</v>
      </c>
      <c r="E40" s="51" t="s">
        <v>629</v>
      </c>
      <c r="F40" s="51" t="s">
        <v>610</v>
      </c>
      <c r="G40" s="56" t="s">
        <v>160</v>
      </c>
      <c r="H40" s="57" t="s">
        <v>51</v>
      </c>
      <c r="I40" s="57" t="s">
        <v>51</v>
      </c>
      <c r="J40" s="58"/>
      <c r="K40" s="56" t="s">
        <v>54</v>
      </c>
      <c r="L40" s="56" t="s">
        <v>114</v>
      </c>
      <c r="M40" s="57" t="s">
        <v>18</v>
      </c>
      <c r="N40" s="58"/>
      <c r="O40" s="56" t="s">
        <v>52</v>
      </c>
      <c r="P40" s="57" t="s">
        <v>64</v>
      </c>
      <c r="Q40" s="57" t="s">
        <v>74</v>
      </c>
      <c r="R40" s="58"/>
      <c r="S40" s="63" t="str">
        <f>"510,0"</f>
        <v>510,0</v>
      </c>
      <c r="T40" s="58" t="str">
        <f>"341,9040"</f>
        <v>341,9040</v>
      </c>
      <c r="U40" s="51" t="s">
        <v>291</v>
      </c>
    </row>
    <row r="41" spans="1:21">
      <c r="A41" s="61">
        <v>5</v>
      </c>
      <c r="B41" s="52" t="s">
        <v>292</v>
      </c>
      <c r="C41" s="52" t="s">
        <v>293</v>
      </c>
      <c r="D41" s="52" t="s">
        <v>294</v>
      </c>
      <c r="E41" s="52" t="s">
        <v>629</v>
      </c>
      <c r="F41" s="52" t="s">
        <v>173</v>
      </c>
      <c r="G41" s="59" t="s">
        <v>189</v>
      </c>
      <c r="H41" s="59" t="s">
        <v>151</v>
      </c>
      <c r="I41" s="59" t="s">
        <v>168</v>
      </c>
      <c r="J41" s="61"/>
      <c r="K41" s="59" t="s">
        <v>137</v>
      </c>
      <c r="L41" s="59" t="s">
        <v>53</v>
      </c>
      <c r="M41" s="60" t="s">
        <v>54</v>
      </c>
      <c r="N41" s="61"/>
      <c r="O41" s="59" t="s">
        <v>160</v>
      </c>
      <c r="P41" s="59" t="s">
        <v>51</v>
      </c>
      <c r="Q41" s="59" t="s">
        <v>259</v>
      </c>
      <c r="R41" s="61"/>
      <c r="S41" s="64" t="str">
        <f>"485,0"</f>
        <v>485,0</v>
      </c>
      <c r="T41" s="61" t="str">
        <f>"328,5390"</f>
        <v>328,5390</v>
      </c>
      <c r="U41" s="52"/>
    </row>
    <row r="43" spans="1:21" ht="16">
      <c r="A43" s="66" t="s">
        <v>37</v>
      </c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</row>
    <row r="44" spans="1:21">
      <c r="A44" s="54">
        <v>1</v>
      </c>
      <c r="B44" s="50" t="s">
        <v>295</v>
      </c>
      <c r="C44" s="50" t="s">
        <v>296</v>
      </c>
      <c r="D44" s="50" t="s">
        <v>297</v>
      </c>
      <c r="E44" s="50" t="s">
        <v>629</v>
      </c>
      <c r="F44" s="50" t="s">
        <v>173</v>
      </c>
      <c r="G44" s="53" t="s">
        <v>74</v>
      </c>
      <c r="H44" s="53" t="s">
        <v>75</v>
      </c>
      <c r="I44" s="53" t="s">
        <v>298</v>
      </c>
      <c r="J44" s="54"/>
      <c r="K44" s="53" t="s">
        <v>20</v>
      </c>
      <c r="L44" s="53" t="s">
        <v>189</v>
      </c>
      <c r="M44" s="53" t="s">
        <v>190</v>
      </c>
      <c r="N44" s="54"/>
      <c r="O44" s="53" t="s">
        <v>166</v>
      </c>
      <c r="P44" s="53" t="s">
        <v>298</v>
      </c>
      <c r="Q44" s="55" t="s">
        <v>277</v>
      </c>
      <c r="R44" s="54"/>
      <c r="S44" s="62" t="str">
        <f>"640,0"</f>
        <v>640,0</v>
      </c>
      <c r="T44" s="54" t="str">
        <f>"412,6080"</f>
        <v>412,6080</v>
      </c>
      <c r="U44" s="50" t="s">
        <v>299</v>
      </c>
    </row>
    <row r="45" spans="1:21">
      <c r="A45" s="58">
        <v>2</v>
      </c>
      <c r="B45" s="51" t="s">
        <v>300</v>
      </c>
      <c r="C45" s="51" t="s">
        <v>301</v>
      </c>
      <c r="D45" s="51" t="s">
        <v>302</v>
      </c>
      <c r="E45" s="51" t="s">
        <v>629</v>
      </c>
      <c r="F45" s="51" t="s">
        <v>257</v>
      </c>
      <c r="G45" s="56" t="s">
        <v>52</v>
      </c>
      <c r="H45" s="57" t="s">
        <v>64</v>
      </c>
      <c r="I45" s="57" t="s">
        <v>64</v>
      </c>
      <c r="J45" s="58"/>
      <c r="K45" s="56" t="s">
        <v>34</v>
      </c>
      <c r="L45" s="56" t="s">
        <v>147</v>
      </c>
      <c r="M45" s="56" t="s">
        <v>245</v>
      </c>
      <c r="N45" s="58"/>
      <c r="O45" s="56" t="s">
        <v>15</v>
      </c>
      <c r="P45" s="57" t="s">
        <v>303</v>
      </c>
      <c r="Q45" s="57" t="s">
        <v>303</v>
      </c>
      <c r="R45" s="58"/>
      <c r="S45" s="63" t="str">
        <f>"612,5"</f>
        <v>612,5</v>
      </c>
      <c r="T45" s="58" t="str">
        <f>"391,6938"</f>
        <v>391,6938</v>
      </c>
      <c r="U45" s="51" t="s">
        <v>262</v>
      </c>
    </row>
    <row r="46" spans="1:21">
      <c r="A46" s="58">
        <v>3</v>
      </c>
      <c r="B46" s="51" t="s">
        <v>304</v>
      </c>
      <c r="C46" s="51" t="s">
        <v>305</v>
      </c>
      <c r="D46" s="51" t="s">
        <v>306</v>
      </c>
      <c r="E46" s="51" t="s">
        <v>629</v>
      </c>
      <c r="F46" s="51" t="s">
        <v>257</v>
      </c>
      <c r="G46" s="57" t="s">
        <v>259</v>
      </c>
      <c r="H46" s="57" t="s">
        <v>259</v>
      </c>
      <c r="I46" s="56" t="s">
        <v>259</v>
      </c>
      <c r="J46" s="58"/>
      <c r="K46" s="56" t="s">
        <v>283</v>
      </c>
      <c r="L46" s="56" t="s">
        <v>34</v>
      </c>
      <c r="M46" s="57" t="s">
        <v>20</v>
      </c>
      <c r="N46" s="58"/>
      <c r="O46" s="57" t="s">
        <v>74</v>
      </c>
      <c r="P46" s="56" t="s">
        <v>74</v>
      </c>
      <c r="Q46" s="56" t="s">
        <v>75</v>
      </c>
      <c r="R46" s="58"/>
      <c r="S46" s="63" t="str">
        <f>"570,0"</f>
        <v>570,0</v>
      </c>
      <c r="T46" s="58" t="str">
        <f>"367,9350"</f>
        <v>367,9350</v>
      </c>
      <c r="U46" s="51"/>
    </row>
    <row r="47" spans="1:21">
      <c r="A47" s="58">
        <v>4</v>
      </c>
      <c r="B47" s="51" t="s">
        <v>307</v>
      </c>
      <c r="C47" s="51" t="s">
        <v>308</v>
      </c>
      <c r="D47" s="51" t="s">
        <v>309</v>
      </c>
      <c r="E47" s="51" t="s">
        <v>629</v>
      </c>
      <c r="F47" s="51" t="s">
        <v>93</v>
      </c>
      <c r="G47" s="56" t="s">
        <v>168</v>
      </c>
      <c r="H47" s="56" t="s">
        <v>160</v>
      </c>
      <c r="I47" s="57" t="s">
        <v>258</v>
      </c>
      <c r="J47" s="58"/>
      <c r="K47" s="56" t="s">
        <v>54</v>
      </c>
      <c r="L47" s="56" t="s">
        <v>18</v>
      </c>
      <c r="M47" s="57" t="s">
        <v>310</v>
      </c>
      <c r="N47" s="58"/>
      <c r="O47" s="56" t="s">
        <v>160</v>
      </c>
      <c r="P47" s="56" t="s">
        <v>311</v>
      </c>
      <c r="Q47" s="57" t="s">
        <v>51</v>
      </c>
      <c r="R47" s="58"/>
      <c r="S47" s="63" t="str">
        <f>"497,5"</f>
        <v>497,5</v>
      </c>
      <c r="T47" s="58" t="str">
        <f>"317,6040"</f>
        <v>317,6040</v>
      </c>
      <c r="U47" s="51"/>
    </row>
    <row r="48" spans="1:21">
      <c r="A48" s="61">
        <v>5</v>
      </c>
      <c r="B48" s="52" t="s">
        <v>312</v>
      </c>
      <c r="C48" s="52" t="s">
        <v>313</v>
      </c>
      <c r="D48" s="52" t="s">
        <v>164</v>
      </c>
      <c r="E48" s="52" t="s">
        <v>629</v>
      </c>
      <c r="F48" s="52" t="s">
        <v>173</v>
      </c>
      <c r="G48" s="59" t="s">
        <v>137</v>
      </c>
      <c r="H48" s="59" t="s">
        <v>54</v>
      </c>
      <c r="I48" s="59" t="s">
        <v>18</v>
      </c>
      <c r="J48" s="61"/>
      <c r="K48" s="59" t="s">
        <v>131</v>
      </c>
      <c r="L48" s="59" t="s">
        <v>145</v>
      </c>
      <c r="M48" s="59" t="s">
        <v>107</v>
      </c>
      <c r="N48" s="61"/>
      <c r="O48" s="60" t="s">
        <v>33</v>
      </c>
      <c r="P48" s="59" t="s">
        <v>34</v>
      </c>
      <c r="Q48" s="59" t="s">
        <v>119</v>
      </c>
      <c r="R48" s="61"/>
      <c r="S48" s="64" t="str">
        <f>"390,0"</f>
        <v>390,0</v>
      </c>
      <c r="T48" s="61" t="str">
        <f>"253,1490"</f>
        <v>253,1490</v>
      </c>
      <c r="U48" s="52" t="s">
        <v>314</v>
      </c>
    </row>
    <row r="50" spans="1:21" ht="16">
      <c r="A50" s="66" t="s">
        <v>46</v>
      </c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</row>
    <row r="51" spans="1:21">
      <c r="A51" s="54">
        <v>1</v>
      </c>
      <c r="B51" s="50" t="s">
        <v>315</v>
      </c>
      <c r="C51" s="50" t="s">
        <v>316</v>
      </c>
      <c r="D51" s="50" t="s">
        <v>317</v>
      </c>
      <c r="E51" s="50" t="s">
        <v>629</v>
      </c>
      <c r="F51" s="50" t="s">
        <v>173</v>
      </c>
      <c r="G51" s="55" t="s">
        <v>277</v>
      </c>
      <c r="H51" s="53" t="s">
        <v>277</v>
      </c>
      <c r="I51" s="53" t="s">
        <v>303</v>
      </c>
      <c r="J51" s="54"/>
      <c r="K51" s="53" t="s">
        <v>258</v>
      </c>
      <c r="L51" s="53" t="s">
        <v>259</v>
      </c>
      <c r="M51" s="55" t="s">
        <v>63</v>
      </c>
      <c r="N51" s="54"/>
      <c r="O51" s="55" t="s">
        <v>15</v>
      </c>
      <c r="P51" s="53" t="s">
        <v>15</v>
      </c>
      <c r="Q51" s="55" t="s">
        <v>17</v>
      </c>
      <c r="R51" s="54"/>
      <c r="S51" s="62" t="str">
        <f>"705,0"</f>
        <v>705,0</v>
      </c>
      <c r="T51" s="54" t="str">
        <f>"430,9665"</f>
        <v>430,9665</v>
      </c>
      <c r="U51" s="50"/>
    </row>
    <row r="52" spans="1:21">
      <c r="A52" s="58">
        <v>2</v>
      </c>
      <c r="B52" s="51" t="s">
        <v>318</v>
      </c>
      <c r="C52" s="51" t="s">
        <v>319</v>
      </c>
      <c r="D52" s="51" t="s">
        <v>320</v>
      </c>
      <c r="E52" s="51" t="s">
        <v>629</v>
      </c>
      <c r="F52" s="51" t="s">
        <v>93</v>
      </c>
      <c r="G52" s="56" t="s">
        <v>42</v>
      </c>
      <c r="H52" s="57" t="s">
        <v>56</v>
      </c>
      <c r="I52" s="57" t="s">
        <v>56</v>
      </c>
      <c r="J52" s="58"/>
      <c r="K52" s="56" t="s">
        <v>283</v>
      </c>
      <c r="L52" s="56" t="s">
        <v>284</v>
      </c>
      <c r="M52" s="57" t="s">
        <v>146</v>
      </c>
      <c r="N52" s="58"/>
      <c r="O52" s="56" t="s">
        <v>15</v>
      </c>
      <c r="P52" s="57" t="s">
        <v>303</v>
      </c>
      <c r="Q52" s="56" t="s">
        <v>303</v>
      </c>
      <c r="R52" s="58"/>
      <c r="S52" s="63" t="str">
        <f>"602,5"</f>
        <v>602,5</v>
      </c>
      <c r="T52" s="58" t="str">
        <f>"370,0555"</f>
        <v>370,0555</v>
      </c>
      <c r="U52" s="51" t="s">
        <v>321</v>
      </c>
    </row>
    <row r="53" spans="1:21">
      <c r="A53" s="58">
        <v>3</v>
      </c>
      <c r="B53" s="51" t="s">
        <v>322</v>
      </c>
      <c r="C53" s="51" t="s">
        <v>323</v>
      </c>
      <c r="D53" s="51" t="s">
        <v>324</v>
      </c>
      <c r="E53" s="51" t="s">
        <v>629</v>
      </c>
      <c r="F53" s="51" t="s">
        <v>173</v>
      </c>
      <c r="G53" s="56" t="s">
        <v>258</v>
      </c>
      <c r="H53" s="57" t="s">
        <v>259</v>
      </c>
      <c r="I53" s="56" t="s">
        <v>259</v>
      </c>
      <c r="J53" s="58"/>
      <c r="K53" s="56" t="s">
        <v>119</v>
      </c>
      <c r="L53" s="56" t="s">
        <v>325</v>
      </c>
      <c r="M53" s="57" t="s">
        <v>190</v>
      </c>
      <c r="N53" s="58"/>
      <c r="O53" s="56" t="s">
        <v>166</v>
      </c>
      <c r="P53" s="56" t="s">
        <v>75</v>
      </c>
      <c r="Q53" s="57" t="s">
        <v>169</v>
      </c>
      <c r="R53" s="58"/>
      <c r="S53" s="63" t="str">
        <f>"587,5"</f>
        <v>587,5</v>
      </c>
      <c r="T53" s="58" t="str">
        <f>"366,8350"</f>
        <v>366,8350</v>
      </c>
      <c r="U53" s="51" t="s">
        <v>326</v>
      </c>
    </row>
    <row r="54" spans="1:21">
      <c r="A54" s="58">
        <v>4</v>
      </c>
      <c r="B54" s="51" t="s">
        <v>327</v>
      </c>
      <c r="C54" s="51" t="s">
        <v>328</v>
      </c>
      <c r="D54" s="51" t="s">
        <v>329</v>
      </c>
      <c r="E54" s="51" t="s">
        <v>629</v>
      </c>
      <c r="F54" s="51" t="s">
        <v>330</v>
      </c>
      <c r="G54" s="57" t="s">
        <v>51</v>
      </c>
      <c r="H54" s="57" t="s">
        <v>42</v>
      </c>
      <c r="I54" s="56" t="s">
        <v>42</v>
      </c>
      <c r="J54" s="58"/>
      <c r="K54" s="56" t="s">
        <v>19</v>
      </c>
      <c r="L54" s="56" t="s">
        <v>34</v>
      </c>
      <c r="M54" s="57" t="s">
        <v>20</v>
      </c>
      <c r="N54" s="58"/>
      <c r="O54" s="56" t="s">
        <v>74</v>
      </c>
      <c r="P54" s="56" t="s">
        <v>75</v>
      </c>
      <c r="Q54" s="56" t="s">
        <v>120</v>
      </c>
      <c r="R54" s="58"/>
      <c r="S54" s="63" t="str">
        <f>"585,0"</f>
        <v>585,0</v>
      </c>
      <c r="T54" s="58" t="str">
        <f>"360,5355"</f>
        <v>360,5355</v>
      </c>
      <c r="U54" s="51"/>
    </row>
    <row r="55" spans="1:21">
      <c r="A55" s="58">
        <v>5</v>
      </c>
      <c r="B55" s="51" t="s">
        <v>331</v>
      </c>
      <c r="C55" s="51" t="s">
        <v>332</v>
      </c>
      <c r="D55" s="51" t="s">
        <v>333</v>
      </c>
      <c r="E55" s="51" t="s">
        <v>629</v>
      </c>
      <c r="F55" s="51" t="s">
        <v>288</v>
      </c>
      <c r="G55" s="56" t="s">
        <v>258</v>
      </c>
      <c r="H55" s="56" t="s">
        <v>259</v>
      </c>
      <c r="I55" s="57" t="s">
        <v>52</v>
      </c>
      <c r="J55" s="58"/>
      <c r="K55" s="56" t="s">
        <v>33</v>
      </c>
      <c r="L55" s="56" t="s">
        <v>19</v>
      </c>
      <c r="M55" s="57" t="s">
        <v>34</v>
      </c>
      <c r="N55" s="58"/>
      <c r="O55" s="56" t="s">
        <v>75</v>
      </c>
      <c r="P55" s="57" t="s">
        <v>120</v>
      </c>
      <c r="Q55" s="57" t="s">
        <v>120</v>
      </c>
      <c r="R55" s="58"/>
      <c r="S55" s="63" t="str">
        <f>"565,0"</f>
        <v>565,0</v>
      </c>
      <c r="T55" s="58" t="str">
        <f>"348,7180"</f>
        <v>348,7180</v>
      </c>
      <c r="U55" s="51" t="s">
        <v>203</v>
      </c>
    </row>
    <row r="56" spans="1:21">
      <c r="A56" s="58" t="s">
        <v>122</v>
      </c>
      <c r="B56" s="51" t="s">
        <v>334</v>
      </c>
      <c r="C56" s="51" t="s">
        <v>335</v>
      </c>
      <c r="D56" s="51" t="s">
        <v>336</v>
      </c>
      <c r="E56" s="51" t="s">
        <v>629</v>
      </c>
      <c r="F56" s="51" t="s">
        <v>93</v>
      </c>
      <c r="G56" s="56" t="s">
        <v>160</v>
      </c>
      <c r="H56" s="56" t="s">
        <v>51</v>
      </c>
      <c r="I56" s="57" t="s">
        <v>42</v>
      </c>
      <c r="J56" s="58"/>
      <c r="K56" s="56" t="s">
        <v>54</v>
      </c>
      <c r="L56" s="56" t="s">
        <v>114</v>
      </c>
      <c r="M56" s="57" t="s">
        <v>18</v>
      </c>
      <c r="N56" s="58"/>
      <c r="O56" s="57" t="s">
        <v>75</v>
      </c>
      <c r="P56" s="57" t="s">
        <v>120</v>
      </c>
      <c r="Q56" s="57" t="s">
        <v>120</v>
      </c>
      <c r="R56" s="58"/>
      <c r="S56" s="63">
        <v>0</v>
      </c>
      <c r="T56" s="58" t="str">
        <f>"0,0000"</f>
        <v>0,0000</v>
      </c>
      <c r="U56" s="51" t="s">
        <v>203</v>
      </c>
    </row>
    <row r="57" spans="1:21">
      <c r="A57" s="61">
        <v>1</v>
      </c>
      <c r="B57" s="52" t="s">
        <v>315</v>
      </c>
      <c r="C57" s="52" t="s">
        <v>337</v>
      </c>
      <c r="D57" s="52" t="s">
        <v>317</v>
      </c>
      <c r="E57" s="52" t="s">
        <v>633</v>
      </c>
      <c r="F57" s="52" t="s">
        <v>173</v>
      </c>
      <c r="G57" s="60" t="s">
        <v>277</v>
      </c>
      <c r="H57" s="59" t="s">
        <v>277</v>
      </c>
      <c r="I57" s="59" t="s">
        <v>303</v>
      </c>
      <c r="J57" s="61"/>
      <c r="K57" s="59" t="s">
        <v>258</v>
      </c>
      <c r="L57" s="59" t="s">
        <v>259</v>
      </c>
      <c r="M57" s="60" t="s">
        <v>63</v>
      </c>
      <c r="N57" s="61"/>
      <c r="O57" s="60" t="s">
        <v>15</v>
      </c>
      <c r="P57" s="59" t="s">
        <v>15</v>
      </c>
      <c r="Q57" s="60" t="s">
        <v>17</v>
      </c>
      <c r="R57" s="61"/>
      <c r="S57" s="64" t="str">
        <f>"705,0"</f>
        <v>705,0</v>
      </c>
      <c r="T57" s="61" t="str">
        <f>"472,3393"</f>
        <v>472,3393</v>
      </c>
      <c r="U57" s="52"/>
    </row>
    <row r="59" spans="1:21" ht="16">
      <c r="A59" s="66" t="s">
        <v>115</v>
      </c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</row>
    <row r="60" spans="1:21">
      <c r="A60" s="54">
        <v>1</v>
      </c>
      <c r="B60" s="50" t="s">
        <v>338</v>
      </c>
      <c r="C60" s="50" t="s">
        <v>339</v>
      </c>
      <c r="D60" s="50" t="s">
        <v>340</v>
      </c>
      <c r="E60" s="50" t="s">
        <v>629</v>
      </c>
      <c r="F60" s="50" t="s">
        <v>341</v>
      </c>
      <c r="G60" s="53" t="s">
        <v>259</v>
      </c>
      <c r="H60" s="53" t="s">
        <v>52</v>
      </c>
      <c r="I60" s="55" t="s">
        <v>56</v>
      </c>
      <c r="J60" s="54"/>
      <c r="K60" s="53" t="s">
        <v>20</v>
      </c>
      <c r="L60" s="53" t="s">
        <v>119</v>
      </c>
      <c r="M60" s="55" t="s">
        <v>189</v>
      </c>
      <c r="N60" s="54"/>
      <c r="O60" s="53" t="s">
        <v>169</v>
      </c>
      <c r="P60" s="53" t="s">
        <v>113</v>
      </c>
      <c r="Q60" s="55" t="s">
        <v>15</v>
      </c>
      <c r="R60" s="54"/>
      <c r="S60" s="62" t="str">
        <f>"602,5"</f>
        <v>602,5</v>
      </c>
      <c r="T60" s="54" t="str">
        <f>"362,9460"</f>
        <v>362,9460</v>
      </c>
      <c r="U60" s="50"/>
    </row>
    <row r="61" spans="1:21">
      <c r="A61" s="61">
        <v>2</v>
      </c>
      <c r="B61" s="52" t="s">
        <v>342</v>
      </c>
      <c r="C61" s="52" t="s">
        <v>343</v>
      </c>
      <c r="D61" s="52" t="s">
        <v>344</v>
      </c>
      <c r="E61" s="52" t="s">
        <v>629</v>
      </c>
      <c r="F61" s="52" t="s">
        <v>611</v>
      </c>
      <c r="G61" s="60" t="s">
        <v>189</v>
      </c>
      <c r="H61" s="59" t="s">
        <v>189</v>
      </c>
      <c r="I61" s="60" t="s">
        <v>160</v>
      </c>
      <c r="J61" s="61"/>
      <c r="K61" s="59" t="s">
        <v>54</v>
      </c>
      <c r="L61" s="60" t="s">
        <v>18</v>
      </c>
      <c r="M61" s="60" t="s">
        <v>18</v>
      </c>
      <c r="N61" s="61"/>
      <c r="O61" s="59" t="s">
        <v>42</v>
      </c>
      <c r="P61" s="59" t="s">
        <v>74</v>
      </c>
      <c r="Q61" s="61"/>
      <c r="R61" s="61"/>
      <c r="S61" s="64" t="str">
        <f>"500,0"</f>
        <v>500,0</v>
      </c>
      <c r="T61" s="61" t="str">
        <f>"299,3000"</f>
        <v>299,3000</v>
      </c>
      <c r="U61" s="52"/>
    </row>
    <row r="63" spans="1:21" ht="16">
      <c r="F63" s="38"/>
      <c r="G63" s="37"/>
    </row>
    <row r="64" spans="1:21">
      <c r="G64" s="37"/>
    </row>
    <row r="65" spans="2:6" ht="18">
      <c r="B65" s="39" t="s">
        <v>78</v>
      </c>
      <c r="C65" s="39"/>
    </row>
    <row r="66" spans="2:6" ht="16">
      <c r="B66" s="40" t="s">
        <v>121</v>
      </c>
      <c r="C66" s="40"/>
    </row>
    <row r="67" spans="2:6" ht="14">
      <c r="B67" s="41"/>
      <c r="C67" s="42" t="s">
        <v>84</v>
      </c>
    </row>
    <row r="68" spans="2:6" ht="14">
      <c r="B68" s="43" t="s">
        <v>80</v>
      </c>
      <c r="C68" s="43" t="s">
        <v>81</v>
      </c>
      <c r="D68" s="43" t="s">
        <v>596</v>
      </c>
      <c r="E68" s="43" t="s">
        <v>82</v>
      </c>
      <c r="F68" s="43" t="s">
        <v>83</v>
      </c>
    </row>
    <row r="69" spans="2:6">
      <c r="B69" s="37" t="s">
        <v>183</v>
      </c>
      <c r="C69" s="37" t="s">
        <v>84</v>
      </c>
      <c r="D69" s="45">
        <v>52</v>
      </c>
      <c r="E69" s="46">
        <v>355</v>
      </c>
      <c r="F69" s="44">
        <v>458.83750677108799</v>
      </c>
    </row>
    <row r="70" spans="2:6">
      <c r="B70" s="37" t="s">
        <v>242</v>
      </c>
      <c r="C70" s="37" t="s">
        <v>84</v>
      </c>
      <c r="D70" s="45">
        <v>67.5</v>
      </c>
      <c r="E70" s="46">
        <v>415</v>
      </c>
      <c r="F70" s="44">
        <v>424.46198701858498</v>
      </c>
    </row>
    <row r="71" spans="2:6">
      <c r="B71" s="37" t="s">
        <v>219</v>
      </c>
      <c r="C71" s="37" t="s">
        <v>84</v>
      </c>
      <c r="D71" s="45">
        <v>60</v>
      </c>
      <c r="E71" s="46">
        <v>367.5</v>
      </c>
      <c r="F71" s="44">
        <v>409.72574740648298</v>
      </c>
    </row>
    <row r="73" spans="2:6" ht="16">
      <c r="B73" s="40" t="s">
        <v>79</v>
      </c>
      <c r="C73" s="40"/>
    </row>
    <row r="74" spans="2:6" ht="14">
      <c r="B74" s="41"/>
      <c r="C74" s="42" t="s">
        <v>84</v>
      </c>
    </row>
    <row r="75" spans="2:6" ht="14">
      <c r="B75" s="43" t="s">
        <v>80</v>
      </c>
      <c r="C75" s="43" t="s">
        <v>81</v>
      </c>
      <c r="D75" s="43" t="s">
        <v>596</v>
      </c>
      <c r="E75" s="43" t="s">
        <v>82</v>
      </c>
      <c r="F75" s="43" t="s">
        <v>83</v>
      </c>
    </row>
    <row r="76" spans="2:6">
      <c r="B76" s="37" t="s">
        <v>315</v>
      </c>
      <c r="C76" s="37" t="s">
        <v>84</v>
      </c>
      <c r="D76" s="45">
        <v>100</v>
      </c>
      <c r="E76" s="46">
        <v>705</v>
      </c>
      <c r="F76" s="44">
        <v>430.966494083405</v>
      </c>
    </row>
    <row r="77" spans="2:6">
      <c r="B77" s="37" t="s">
        <v>295</v>
      </c>
      <c r="C77" s="37" t="s">
        <v>84</v>
      </c>
      <c r="D77" s="45">
        <v>90</v>
      </c>
      <c r="E77" s="46">
        <v>640</v>
      </c>
      <c r="F77" s="44">
        <v>412.60799407959001</v>
      </c>
    </row>
    <row r="78" spans="2:6">
      <c r="B78" s="37" t="s">
        <v>254</v>
      </c>
      <c r="C78" s="37" t="s">
        <v>84</v>
      </c>
      <c r="D78" s="45">
        <v>75</v>
      </c>
      <c r="E78" s="46">
        <v>550</v>
      </c>
      <c r="F78" s="44">
        <v>396.77001237869302</v>
      </c>
    </row>
  </sheetData>
  <mergeCells count="23"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43:R43"/>
    <mergeCell ref="A50:R50"/>
    <mergeCell ref="A59:R59"/>
    <mergeCell ref="B3:B4"/>
    <mergeCell ref="A10:R10"/>
    <mergeCell ref="A15:R15"/>
    <mergeCell ref="A23:R23"/>
    <mergeCell ref="A26:R26"/>
    <mergeCell ref="A30:R30"/>
    <mergeCell ref="A34:R3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358CD-BADD-4E37-A07F-F98AE69BE60C}">
  <dimension ref="A1:M65"/>
  <sheetViews>
    <sheetView topLeftCell="A23" workbookViewId="0">
      <selection activeCell="E56" sqref="E56"/>
    </sheetView>
  </sheetViews>
  <sheetFormatPr baseColWidth="10" defaultColWidth="8.83203125" defaultRowHeight="13"/>
  <cols>
    <col min="1" max="1" width="7.5" style="37" bestFit="1" customWidth="1"/>
    <col min="2" max="2" width="21.5" style="37" bestFit="1" customWidth="1"/>
    <col min="3" max="3" width="27.5" style="37" bestFit="1" customWidth="1"/>
    <col min="4" max="4" width="21.5" style="37" bestFit="1" customWidth="1"/>
    <col min="5" max="5" width="10.5" style="37" bestFit="1" customWidth="1"/>
    <col min="6" max="6" width="32" style="37" bestFit="1" customWidth="1"/>
    <col min="7" max="9" width="5.5" style="45" customWidth="1"/>
    <col min="10" max="10" width="4.83203125" style="45" customWidth="1"/>
    <col min="11" max="11" width="10.5" style="46" bestFit="1" customWidth="1"/>
    <col min="12" max="12" width="8.6640625" style="45" bestFit="1" customWidth="1"/>
    <col min="13" max="13" width="25.33203125" style="37" bestFit="1" customWidth="1"/>
  </cols>
  <sheetData>
    <row r="1" spans="1:13" s="2" customFormat="1" ht="29" customHeight="1">
      <c r="A1" s="77" t="s">
        <v>606</v>
      </c>
      <c r="B1" s="78"/>
      <c r="C1" s="79"/>
      <c r="D1" s="79"/>
      <c r="E1" s="79"/>
      <c r="F1" s="79"/>
      <c r="G1" s="79"/>
      <c r="H1" s="79"/>
      <c r="I1" s="79"/>
      <c r="J1" s="79"/>
      <c r="K1" s="79"/>
      <c r="L1" s="79"/>
      <c r="M1" s="80"/>
    </row>
    <row r="2" spans="1:13" s="2" customFormat="1" ht="62" customHeight="1" thickBot="1">
      <c r="A2" s="81"/>
      <c r="B2" s="82"/>
      <c r="C2" s="83"/>
      <c r="D2" s="83"/>
      <c r="E2" s="83"/>
      <c r="F2" s="83"/>
      <c r="G2" s="83"/>
      <c r="H2" s="83"/>
      <c r="I2" s="83"/>
      <c r="J2" s="83"/>
      <c r="K2" s="83"/>
      <c r="L2" s="83"/>
      <c r="M2" s="84"/>
    </row>
    <row r="3" spans="1:13" s="1" customFormat="1" ht="12.75" customHeight="1">
      <c r="A3" s="85" t="s">
        <v>625</v>
      </c>
      <c r="B3" s="67" t="s">
        <v>0</v>
      </c>
      <c r="C3" s="87" t="s">
        <v>627</v>
      </c>
      <c r="D3" s="87" t="s">
        <v>6</v>
      </c>
      <c r="E3" s="71" t="s">
        <v>628</v>
      </c>
      <c r="F3" s="89" t="s">
        <v>5</v>
      </c>
      <c r="G3" s="89" t="s">
        <v>9</v>
      </c>
      <c r="H3" s="89"/>
      <c r="I3" s="89"/>
      <c r="J3" s="89"/>
      <c r="K3" s="69" t="s">
        <v>345</v>
      </c>
      <c r="L3" s="71" t="s">
        <v>3</v>
      </c>
      <c r="M3" s="73" t="s">
        <v>2</v>
      </c>
    </row>
    <row r="4" spans="1:13" s="1" customFormat="1" ht="21" customHeight="1" thickBot="1">
      <c r="A4" s="86"/>
      <c r="B4" s="68"/>
      <c r="C4" s="88"/>
      <c r="D4" s="88"/>
      <c r="E4" s="72"/>
      <c r="F4" s="88"/>
      <c r="G4" s="4">
        <v>1</v>
      </c>
      <c r="H4" s="4">
        <v>2</v>
      </c>
      <c r="I4" s="4">
        <v>3</v>
      </c>
      <c r="J4" s="4" t="s">
        <v>4</v>
      </c>
      <c r="K4" s="70"/>
      <c r="L4" s="72"/>
      <c r="M4" s="74"/>
    </row>
    <row r="5" spans="1:13" s="3" customFormat="1" ht="16">
      <c r="A5" s="75" t="s">
        <v>123</v>
      </c>
      <c r="B5" s="75"/>
      <c r="C5" s="76"/>
      <c r="D5" s="76"/>
      <c r="E5" s="76"/>
      <c r="F5" s="76"/>
      <c r="G5" s="76"/>
      <c r="H5" s="76"/>
      <c r="I5" s="76"/>
      <c r="J5" s="76"/>
      <c r="K5" s="26"/>
      <c r="L5" s="6"/>
      <c r="M5" s="5"/>
    </row>
    <row r="6" spans="1:13">
      <c r="A6" s="54">
        <v>1</v>
      </c>
      <c r="B6" s="50" t="s">
        <v>199</v>
      </c>
      <c r="C6" s="50" t="s">
        <v>200</v>
      </c>
      <c r="D6" s="50" t="s">
        <v>201</v>
      </c>
      <c r="E6" s="50" t="s">
        <v>629</v>
      </c>
      <c r="F6" s="50" t="s">
        <v>288</v>
      </c>
      <c r="G6" s="53" t="s">
        <v>202</v>
      </c>
      <c r="H6" s="55" t="s">
        <v>154</v>
      </c>
      <c r="I6" s="55" t="s">
        <v>154</v>
      </c>
      <c r="J6" s="54"/>
      <c r="K6" s="62" t="str">
        <f>"102,5"</f>
        <v>102,5</v>
      </c>
      <c r="L6" s="54" t="str">
        <f>"131,6715"</f>
        <v>131,6715</v>
      </c>
      <c r="M6" s="50" t="s">
        <v>203</v>
      </c>
    </row>
    <row r="7" spans="1:13">
      <c r="A7" s="61">
        <v>1</v>
      </c>
      <c r="B7" s="52" t="s">
        <v>499</v>
      </c>
      <c r="C7" s="52" t="s">
        <v>500</v>
      </c>
      <c r="D7" s="52" t="s">
        <v>501</v>
      </c>
      <c r="E7" s="52" t="s">
        <v>633</v>
      </c>
      <c r="F7" s="52" t="s">
        <v>502</v>
      </c>
      <c r="G7" s="59" t="s">
        <v>202</v>
      </c>
      <c r="H7" s="60" t="s">
        <v>154</v>
      </c>
      <c r="I7" s="59" t="s">
        <v>154</v>
      </c>
      <c r="J7" s="61"/>
      <c r="K7" s="64" t="str">
        <f>"107,5"</f>
        <v>107,5</v>
      </c>
      <c r="L7" s="61" t="str">
        <f>"135,2846"</f>
        <v>135,2846</v>
      </c>
      <c r="M7" s="52" t="s">
        <v>503</v>
      </c>
    </row>
    <row r="9" spans="1:13" ht="16">
      <c r="A9" s="66" t="s">
        <v>89</v>
      </c>
      <c r="B9" s="66"/>
      <c r="C9" s="66"/>
      <c r="D9" s="66"/>
      <c r="E9" s="66"/>
      <c r="F9" s="66"/>
      <c r="G9" s="66"/>
      <c r="H9" s="66"/>
      <c r="I9" s="66"/>
      <c r="J9" s="66"/>
    </row>
    <row r="10" spans="1:13">
      <c r="A10" s="54">
        <v>1</v>
      </c>
      <c r="B10" s="50" t="s">
        <v>504</v>
      </c>
      <c r="C10" s="50" t="s">
        <v>505</v>
      </c>
      <c r="D10" s="50" t="s">
        <v>506</v>
      </c>
      <c r="E10" s="50" t="s">
        <v>629</v>
      </c>
      <c r="F10" s="50" t="s">
        <v>93</v>
      </c>
      <c r="G10" s="53" t="s">
        <v>54</v>
      </c>
      <c r="H10" s="53" t="s">
        <v>18</v>
      </c>
      <c r="I10" s="53" t="s">
        <v>283</v>
      </c>
      <c r="J10" s="54"/>
      <c r="K10" s="62" t="str">
        <f>"137,5"</f>
        <v>137,5</v>
      </c>
      <c r="L10" s="54" t="str">
        <f>"163,6250"</f>
        <v>163,6250</v>
      </c>
      <c r="M10" s="50" t="s">
        <v>507</v>
      </c>
    </row>
    <row r="11" spans="1:13">
      <c r="A11" s="61">
        <v>2</v>
      </c>
      <c r="B11" s="52" t="s">
        <v>508</v>
      </c>
      <c r="C11" s="52" t="s">
        <v>509</v>
      </c>
      <c r="D11" s="52" t="s">
        <v>510</v>
      </c>
      <c r="E11" s="52" t="s">
        <v>629</v>
      </c>
      <c r="F11" s="52" t="s">
        <v>288</v>
      </c>
      <c r="G11" s="59" t="s">
        <v>94</v>
      </c>
      <c r="H11" s="60" t="s">
        <v>100</v>
      </c>
      <c r="I11" s="60" t="s">
        <v>100</v>
      </c>
      <c r="J11" s="61"/>
      <c r="K11" s="64" t="str">
        <f>"75,0"</f>
        <v>75,0</v>
      </c>
      <c r="L11" s="61" t="str">
        <f>"91,0575"</f>
        <v>91,0575</v>
      </c>
      <c r="M11" s="52" t="s">
        <v>203</v>
      </c>
    </row>
    <row r="13" spans="1:13" ht="16">
      <c r="A13" s="66" t="s">
        <v>102</v>
      </c>
      <c r="B13" s="66"/>
      <c r="C13" s="66"/>
      <c r="D13" s="66"/>
      <c r="E13" s="66"/>
      <c r="F13" s="66"/>
      <c r="G13" s="66"/>
      <c r="H13" s="66"/>
      <c r="I13" s="66"/>
      <c r="J13" s="66"/>
    </row>
    <row r="14" spans="1:13">
      <c r="A14" s="48">
        <v>1</v>
      </c>
      <c r="B14" s="36" t="s">
        <v>511</v>
      </c>
      <c r="C14" s="36" t="s">
        <v>512</v>
      </c>
      <c r="D14" s="36" t="s">
        <v>513</v>
      </c>
      <c r="E14" s="36" t="s">
        <v>633</v>
      </c>
      <c r="F14" s="36" t="s">
        <v>173</v>
      </c>
      <c r="G14" s="47" t="s">
        <v>154</v>
      </c>
      <c r="H14" s="47" t="s">
        <v>53</v>
      </c>
      <c r="I14" s="49" t="s">
        <v>54</v>
      </c>
      <c r="J14" s="48"/>
      <c r="K14" s="65" t="str">
        <f>"115,0"</f>
        <v>115,0</v>
      </c>
      <c r="L14" s="48" t="str">
        <f>"133,3851"</f>
        <v>133,3851</v>
      </c>
      <c r="M14" s="36" t="s">
        <v>514</v>
      </c>
    </row>
    <row r="16" spans="1:13" ht="16">
      <c r="A16" s="66" t="s">
        <v>109</v>
      </c>
      <c r="B16" s="66"/>
      <c r="C16" s="66"/>
      <c r="D16" s="66"/>
      <c r="E16" s="66"/>
      <c r="F16" s="66"/>
      <c r="G16" s="66"/>
      <c r="H16" s="66"/>
      <c r="I16" s="66"/>
      <c r="J16" s="66"/>
    </row>
    <row r="17" spans="1:13">
      <c r="A17" s="54">
        <v>1</v>
      </c>
      <c r="B17" s="50" t="s">
        <v>515</v>
      </c>
      <c r="C17" s="50" t="s">
        <v>516</v>
      </c>
      <c r="D17" s="50" t="s">
        <v>517</v>
      </c>
      <c r="E17" s="50" t="s">
        <v>629</v>
      </c>
      <c r="F17" s="50" t="s">
        <v>330</v>
      </c>
      <c r="G17" s="53" t="s">
        <v>19</v>
      </c>
      <c r="H17" s="53" t="s">
        <v>146</v>
      </c>
      <c r="I17" s="55" t="s">
        <v>147</v>
      </c>
      <c r="J17" s="54"/>
      <c r="K17" s="62" t="str">
        <f>"147,5"</f>
        <v>147,5</v>
      </c>
      <c r="L17" s="54" t="str">
        <f>"152,3380"</f>
        <v>152,3380</v>
      </c>
      <c r="M17" s="50"/>
    </row>
    <row r="18" spans="1:13">
      <c r="A18" s="61" t="s">
        <v>122</v>
      </c>
      <c r="B18" s="52" t="s">
        <v>518</v>
      </c>
      <c r="C18" s="52" t="s">
        <v>519</v>
      </c>
      <c r="D18" s="52" t="s">
        <v>520</v>
      </c>
      <c r="E18" s="52" t="s">
        <v>629</v>
      </c>
      <c r="F18" s="52" t="s">
        <v>373</v>
      </c>
      <c r="G18" s="60" t="s">
        <v>55</v>
      </c>
      <c r="H18" s="60" t="s">
        <v>55</v>
      </c>
      <c r="I18" s="60" t="s">
        <v>114</v>
      </c>
      <c r="J18" s="61"/>
      <c r="K18" s="64">
        <v>0</v>
      </c>
      <c r="L18" s="61" t="str">
        <f>"0,0000"</f>
        <v>0,0000</v>
      </c>
      <c r="M18" s="52" t="s">
        <v>614</v>
      </c>
    </row>
    <row r="20" spans="1:13" ht="16">
      <c r="A20" s="66" t="s">
        <v>102</v>
      </c>
      <c r="B20" s="66"/>
      <c r="C20" s="66"/>
      <c r="D20" s="66"/>
      <c r="E20" s="66"/>
      <c r="F20" s="66"/>
      <c r="G20" s="66"/>
      <c r="H20" s="66"/>
      <c r="I20" s="66"/>
      <c r="J20" s="66"/>
    </row>
    <row r="21" spans="1:13">
      <c r="A21" s="48" t="s">
        <v>122</v>
      </c>
      <c r="B21" s="36" t="s">
        <v>481</v>
      </c>
      <c r="C21" s="36" t="s">
        <v>482</v>
      </c>
      <c r="D21" s="36" t="s">
        <v>221</v>
      </c>
      <c r="E21" s="36" t="s">
        <v>629</v>
      </c>
      <c r="F21" s="36" t="s">
        <v>211</v>
      </c>
      <c r="G21" s="49" t="s">
        <v>17</v>
      </c>
      <c r="H21" s="49" t="s">
        <v>17</v>
      </c>
      <c r="I21" s="49" t="s">
        <v>17</v>
      </c>
      <c r="J21" s="48"/>
      <c r="K21" s="65">
        <v>0</v>
      </c>
      <c r="L21" s="48" t="str">
        <f>"0,0000"</f>
        <v>0,0000</v>
      </c>
      <c r="M21" s="36"/>
    </row>
    <row r="23" spans="1:13" ht="16">
      <c r="A23" s="66" t="s">
        <v>109</v>
      </c>
      <c r="B23" s="66"/>
      <c r="C23" s="66"/>
      <c r="D23" s="66"/>
      <c r="E23" s="66"/>
      <c r="F23" s="66"/>
      <c r="G23" s="66"/>
      <c r="H23" s="66"/>
      <c r="I23" s="66"/>
      <c r="J23" s="66"/>
    </row>
    <row r="24" spans="1:13">
      <c r="A24" s="54">
        <v>1</v>
      </c>
      <c r="B24" s="50" t="s">
        <v>521</v>
      </c>
      <c r="C24" s="50" t="s">
        <v>522</v>
      </c>
      <c r="D24" s="50" t="s">
        <v>112</v>
      </c>
      <c r="E24" s="50" t="s">
        <v>629</v>
      </c>
      <c r="F24" s="50" t="s">
        <v>476</v>
      </c>
      <c r="G24" s="53" t="s">
        <v>42</v>
      </c>
      <c r="H24" s="55" t="s">
        <v>74</v>
      </c>
      <c r="I24" s="53" t="s">
        <v>75</v>
      </c>
      <c r="J24" s="54"/>
      <c r="K24" s="62" t="str">
        <f>"230,0"</f>
        <v>230,0</v>
      </c>
      <c r="L24" s="54" t="str">
        <f>"177,3300"</f>
        <v>177,3300</v>
      </c>
      <c r="M24" s="50"/>
    </row>
    <row r="25" spans="1:13">
      <c r="A25" s="61">
        <v>2</v>
      </c>
      <c r="B25" s="52" t="s">
        <v>523</v>
      </c>
      <c r="C25" s="52" t="s">
        <v>524</v>
      </c>
      <c r="D25" s="52" t="s">
        <v>525</v>
      </c>
      <c r="E25" s="52" t="s">
        <v>629</v>
      </c>
      <c r="F25" s="52" t="s">
        <v>616</v>
      </c>
      <c r="G25" s="59" t="s">
        <v>168</v>
      </c>
      <c r="H25" s="59" t="s">
        <v>258</v>
      </c>
      <c r="I25" s="59" t="s">
        <v>259</v>
      </c>
      <c r="J25" s="61"/>
      <c r="K25" s="64" t="str">
        <f>"195,0"</f>
        <v>195,0</v>
      </c>
      <c r="L25" s="61" t="str">
        <f>"154,0695"</f>
        <v>154,0695</v>
      </c>
      <c r="M25" s="52"/>
    </row>
    <row r="27" spans="1:13" ht="16">
      <c r="A27" s="66" t="s">
        <v>10</v>
      </c>
      <c r="B27" s="66"/>
      <c r="C27" s="66"/>
      <c r="D27" s="66"/>
      <c r="E27" s="66"/>
      <c r="F27" s="66"/>
      <c r="G27" s="66"/>
      <c r="H27" s="66"/>
      <c r="I27" s="66"/>
      <c r="J27" s="66"/>
    </row>
    <row r="28" spans="1:13">
      <c r="A28" s="54">
        <v>1</v>
      </c>
      <c r="B28" s="50" t="s">
        <v>526</v>
      </c>
      <c r="C28" s="50" t="s">
        <v>527</v>
      </c>
      <c r="D28" s="50" t="s">
        <v>528</v>
      </c>
      <c r="E28" s="50" t="s">
        <v>634</v>
      </c>
      <c r="F28" s="50" t="s">
        <v>373</v>
      </c>
      <c r="G28" s="53" t="s">
        <v>270</v>
      </c>
      <c r="H28" s="55" t="s">
        <v>153</v>
      </c>
      <c r="I28" s="55" t="s">
        <v>153</v>
      </c>
      <c r="J28" s="54"/>
      <c r="K28" s="62" t="str">
        <f>"172,5"</f>
        <v>172,5</v>
      </c>
      <c r="L28" s="54" t="str">
        <f>"126,0458"</f>
        <v>126,0458</v>
      </c>
      <c r="M28" s="50" t="s">
        <v>614</v>
      </c>
    </row>
    <row r="29" spans="1:13">
      <c r="A29" s="61">
        <v>1</v>
      </c>
      <c r="B29" s="52" t="s">
        <v>415</v>
      </c>
      <c r="C29" s="52" t="s">
        <v>416</v>
      </c>
      <c r="D29" s="52" t="s">
        <v>417</v>
      </c>
      <c r="E29" s="52" t="s">
        <v>629</v>
      </c>
      <c r="F29" s="52" t="s">
        <v>195</v>
      </c>
      <c r="G29" s="59" t="s">
        <v>160</v>
      </c>
      <c r="H29" s="59" t="s">
        <v>51</v>
      </c>
      <c r="I29" s="60" t="s">
        <v>276</v>
      </c>
      <c r="J29" s="61"/>
      <c r="K29" s="64" t="str">
        <f>"190,0"</f>
        <v>190,0</v>
      </c>
      <c r="L29" s="61" t="str">
        <f>"138,7000"</f>
        <v>138,7000</v>
      </c>
      <c r="M29" s="52"/>
    </row>
    <row r="31" spans="1:13" ht="16">
      <c r="A31" s="66" t="s">
        <v>25</v>
      </c>
      <c r="B31" s="66"/>
      <c r="C31" s="66"/>
      <c r="D31" s="66"/>
      <c r="E31" s="66"/>
      <c r="F31" s="66"/>
      <c r="G31" s="66"/>
      <c r="H31" s="66"/>
      <c r="I31" s="66"/>
      <c r="J31" s="66"/>
    </row>
    <row r="32" spans="1:13">
      <c r="A32" s="54">
        <v>1</v>
      </c>
      <c r="B32" s="50" t="s">
        <v>422</v>
      </c>
      <c r="C32" s="50" t="s">
        <v>423</v>
      </c>
      <c r="D32" s="50" t="s">
        <v>424</v>
      </c>
      <c r="E32" s="50" t="s">
        <v>629</v>
      </c>
      <c r="F32" s="50" t="s">
        <v>425</v>
      </c>
      <c r="G32" s="53" t="s">
        <v>303</v>
      </c>
      <c r="H32" s="55" t="s">
        <v>426</v>
      </c>
      <c r="I32" s="53" t="s">
        <v>427</v>
      </c>
      <c r="J32" s="54"/>
      <c r="K32" s="62" t="str">
        <f>"282,5"</f>
        <v>282,5</v>
      </c>
      <c r="L32" s="54" t="str">
        <f>"190,6592"</f>
        <v>190,6592</v>
      </c>
      <c r="M32" s="50"/>
    </row>
    <row r="33" spans="1:13">
      <c r="A33" s="58">
        <v>2</v>
      </c>
      <c r="B33" s="51" t="s">
        <v>280</v>
      </c>
      <c r="C33" s="51" t="s">
        <v>281</v>
      </c>
      <c r="D33" s="51" t="s">
        <v>282</v>
      </c>
      <c r="E33" s="51" t="s">
        <v>629</v>
      </c>
      <c r="F33" s="51" t="s">
        <v>93</v>
      </c>
      <c r="G33" s="56" t="s">
        <v>74</v>
      </c>
      <c r="H33" s="56" t="s">
        <v>75</v>
      </c>
      <c r="I33" s="57" t="s">
        <v>169</v>
      </c>
      <c r="J33" s="58"/>
      <c r="K33" s="63" t="str">
        <f>"230,0"</f>
        <v>230,0</v>
      </c>
      <c r="L33" s="58" t="str">
        <f>"157,0210"</f>
        <v>157,0210</v>
      </c>
      <c r="M33" s="51" t="s">
        <v>132</v>
      </c>
    </row>
    <row r="34" spans="1:13">
      <c r="A34" s="58">
        <v>3</v>
      </c>
      <c r="B34" s="51" t="s">
        <v>289</v>
      </c>
      <c r="C34" s="51" t="s">
        <v>290</v>
      </c>
      <c r="D34" s="51" t="s">
        <v>269</v>
      </c>
      <c r="E34" s="51" t="s">
        <v>629</v>
      </c>
      <c r="F34" s="51" t="s">
        <v>610</v>
      </c>
      <c r="G34" s="56" t="s">
        <v>52</v>
      </c>
      <c r="H34" s="57" t="s">
        <v>64</v>
      </c>
      <c r="I34" s="57" t="s">
        <v>74</v>
      </c>
      <c r="J34" s="58"/>
      <c r="K34" s="63" t="str">
        <f>"205,0"</f>
        <v>205,0</v>
      </c>
      <c r="L34" s="58" t="str">
        <f>"137,4320"</f>
        <v>137,4320</v>
      </c>
      <c r="M34" s="51" t="s">
        <v>291</v>
      </c>
    </row>
    <row r="35" spans="1:13">
      <c r="A35" s="61">
        <v>1</v>
      </c>
      <c r="B35" s="52" t="s">
        <v>529</v>
      </c>
      <c r="C35" s="52" t="s">
        <v>530</v>
      </c>
      <c r="D35" s="52" t="s">
        <v>531</v>
      </c>
      <c r="E35" s="52" t="s">
        <v>631</v>
      </c>
      <c r="F35" s="52" t="s">
        <v>330</v>
      </c>
      <c r="G35" s="59" t="s">
        <v>56</v>
      </c>
      <c r="H35" s="60" t="s">
        <v>74</v>
      </c>
      <c r="I35" s="60" t="s">
        <v>74</v>
      </c>
      <c r="J35" s="61"/>
      <c r="K35" s="64" t="str">
        <f>"210,0"</f>
        <v>210,0</v>
      </c>
      <c r="L35" s="61" t="str">
        <f>"178,3498"</f>
        <v>178,3498</v>
      </c>
      <c r="M35" s="52"/>
    </row>
    <row r="37" spans="1:13" ht="16">
      <c r="A37" s="66" t="s">
        <v>37</v>
      </c>
      <c r="B37" s="66"/>
      <c r="C37" s="66"/>
      <c r="D37" s="66"/>
      <c r="E37" s="66"/>
      <c r="F37" s="66"/>
      <c r="G37" s="66"/>
      <c r="H37" s="66"/>
      <c r="I37" s="66"/>
      <c r="J37" s="66"/>
    </row>
    <row r="38" spans="1:13">
      <c r="A38" s="54">
        <v>1</v>
      </c>
      <c r="B38" s="50" t="s">
        <v>532</v>
      </c>
      <c r="C38" s="50" t="s">
        <v>533</v>
      </c>
      <c r="D38" s="50" t="s">
        <v>534</v>
      </c>
      <c r="E38" s="50" t="s">
        <v>629</v>
      </c>
      <c r="F38" s="50" t="s">
        <v>453</v>
      </c>
      <c r="G38" s="53" t="s">
        <v>178</v>
      </c>
      <c r="H38" s="55" t="s">
        <v>21</v>
      </c>
      <c r="I38" s="53" t="s">
        <v>41</v>
      </c>
      <c r="J38" s="54"/>
      <c r="K38" s="62" t="str">
        <f>"305,0"</f>
        <v>305,0</v>
      </c>
      <c r="L38" s="54" t="str">
        <f>"202,3065"</f>
        <v>202,3065</v>
      </c>
      <c r="M38" s="50"/>
    </row>
    <row r="39" spans="1:13">
      <c r="A39" s="58">
        <v>2</v>
      </c>
      <c r="B39" s="51" t="s">
        <v>535</v>
      </c>
      <c r="C39" s="51" t="s">
        <v>536</v>
      </c>
      <c r="D39" s="51" t="s">
        <v>537</v>
      </c>
      <c r="E39" s="51" t="s">
        <v>629</v>
      </c>
      <c r="F39" s="51" t="s">
        <v>173</v>
      </c>
      <c r="G39" s="56" t="s">
        <v>30</v>
      </c>
      <c r="H39" s="57" t="s">
        <v>178</v>
      </c>
      <c r="I39" s="57" t="s">
        <v>178</v>
      </c>
      <c r="J39" s="58"/>
      <c r="K39" s="63" t="str">
        <f>"275,0"</f>
        <v>275,0</v>
      </c>
      <c r="L39" s="58" t="str">
        <f>"176,0550"</f>
        <v>176,0550</v>
      </c>
      <c r="M39" s="51"/>
    </row>
    <row r="40" spans="1:13">
      <c r="A40" s="61">
        <v>1</v>
      </c>
      <c r="B40" s="52" t="s">
        <v>538</v>
      </c>
      <c r="C40" s="52" t="s">
        <v>539</v>
      </c>
      <c r="D40" s="52" t="s">
        <v>540</v>
      </c>
      <c r="E40" s="52" t="s">
        <v>633</v>
      </c>
      <c r="F40" s="52" t="s">
        <v>173</v>
      </c>
      <c r="G40" s="59" t="s">
        <v>51</v>
      </c>
      <c r="H40" s="60" t="s">
        <v>63</v>
      </c>
      <c r="I40" s="60" t="s">
        <v>63</v>
      </c>
      <c r="J40" s="61"/>
      <c r="K40" s="64" t="str">
        <f>"190,0"</f>
        <v>190,0</v>
      </c>
      <c r="L40" s="61" t="str">
        <f>"125,4150"</f>
        <v>125,4150</v>
      </c>
      <c r="M40" s="52" t="s">
        <v>231</v>
      </c>
    </row>
    <row r="42" spans="1:13" ht="16">
      <c r="A42" s="66" t="s">
        <v>46</v>
      </c>
      <c r="B42" s="66"/>
      <c r="C42" s="66"/>
      <c r="D42" s="66"/>
      <c r="E42" s="66"/>
      <c r="F42" s="66"/>
      <c r="G42" s="66"/>
      <c r="H42" s="66"/>
      <c r="I42" s="66"/>
      <c r="J42" s="66"/>
    </row>
    <row r="43" spans="1:13">
      <c r="A43" s="54">
        <v>1</v>
      </c>
      <c r="B43" s="50" t="s">
        <v>541</v>
      </c>
      <c r="C43" s="50" t="s">
        <v>542</v>
      </c>
      <c r="D43" s="50" t="s">
        <v>543</v>
      </c>
      <c r="E43" s="50" t="s">
        <v>634</v>
      </c>
      <c r="F43" s="50" t="s">
        <v>373</v>
      </c>
      <c r="G43" s="53" t="s">
        <v>75</v>
      </c>
      <c r="H43" s="55" t="s">
        <v>120</v>
      </c>
      <c r="I43" s="55" t="s">
        <v>120</v>
      </c>
      <c r="J43" s="54"/>
      <c r="K43" s="62" t="str">
        <f>"230,0"</f>
        <v>230,0</v>
      </c>
      <c r="L43" s="54" t="str">
        <f>"144,3480"</f>
        <v>144,3480</v>
      </c>
      <c r="M43" s="50" t="s">
        <v>449</v>
      </c>
    </row>
    <row r="44" spans="1:13">
      <c r="A44" s="58">
        <v>1</v>
      </c>
      <c r="B44" s="51" t="s">
        <v>544</v>
      </c>
      <c r="C44" s="51" t="s">
        <v>545</v>
      </c>
      <c r="D44" s="51" t="s">
        <v>546</v>
      </c>
      <c r="E44" s="51" t="s">
        <v>629</v>
      </c>
      <c r="F44" s="51" t="s">
        <v>186</v>
      </c>
      <c r="G44" s="56" t="s">
        <v>21</v>
      </c>
      <c r="H44" s="56" t="s">
        <v>547</v>
      </c>
      <c r="I44" s="56" t="s">
        <v>548</v>
      </c>
      <c r="J44" s="58"/>
      <c r="K44" s="63" t="str">
        <f>"320,0"</f>
        <v>320,0</v>
      </c>
      <c r="L44" s="58" t="str">
        <f>"195,5520"</f>
        <v>195,5520</v>
      </c>
      <c r="M44" s="51"/>
    </row>
    <row r="45" spans="1:13">
      <c r="A45" s="58">
        <v>2</v>
      </c>
      <c r="B45" s="51" t="s">
        <v>549</v>
      </c>
      <c r="C45" s="51" t="s">
        <v>550</v>
      </c>
      <c r="D45" s="51" t="s">
        <v>370</v>
      </c>
      <c r="E45" s="51" t="s">
        <v>629</v>
      </c>
      <c r="F45" s="51" t="s">
        <v>186</v>
      </c>
      <c r="G45" s="56" t="s">
        <v>15</v>
      </c>
      <c r="H45" s="56" t="s">
        <v>16</v>
      </c>
      <c r="I45" s="57" t="s">
        <v>30</v>
      </c>
      <c r="J45" s="58"/>
      <c r="K45" s="63" t="str">
        <f>"265,0"</f>
        <v>265,0</v>
      </c>
      <c r="L45" s="58" t="str">
        <f>"161,5970"</f>
        <v>161,5970</v>
      </c>
      <c r="M45" s="51" t="s">
        <v>266</v>
      </c>
    </row>
    <row r="46" spans="1:13">
      <c r="A46" s="58">
        <v>3</v>
      </c>
      <c r="B46" s="51" t="s">
        <v>318</v>
      </c>
      <c r="C46" s="51" t="s">
        <v>319</v>
      </c>
      <c r="D46" s="51" t="s">
        <v>320</v>
      </c>
      <c r="E46" s="51" t="s">
        <v>629</v>
      </c>
      <c r="F46" s="51" t="s">
        <v>93</v>
      </c>
      <c r="G46" s="56" t="s">
        <v>15</v>
      </c>
      <c r="H46" s="57" t="s">
        <v>303</v>
      </c>
      <c r="I46" s="56" t="s">
        <v>303</v>
      </c>
      <c r="J46" s="58"/>
      <c r="K46" s="63" t="str">
        <f>"260,0"</f>
        <v>260,0</v>
      </c>
      <c r="L46" s="58" t="str">
        <f>"159,6920"</f>
        <v>159,6920</v>
      </c>
      <c r="M46" s="51" t="s">
        <v>321</v>
      </c>
    </row>
    <row r="47" spans="1:13">
      <c r="A47" s="58">
        <v>4</v>
      </c>
      <c r="B47" s="51" t="s">
        <v>315</v>
      </c>
      <c r="C47" s="51" t="s">
        <v>316</v>
      </c>
      <c r="D47" s="51" t="s">
        <v>317</v>
      </c>
      <c r="E47" s="51" t="s">
        <v>629</v>
      </c>
      <c r="F47" s="51" t="s">
        <v>173</v>
      </c>
      <c r="G47" s="57" t="s">
        <v>15</v>
      </c>
      <c r="H47" s="56" t="s">
        <v>15</v>
      </c>
      <c r="I47" s="57" t="s">
        <v>17</v>
      </c>
      <c r="J47" s="58"/>
      <c r="K47" s="63" t="str">
        <f>"250,0"</f>
        <v>250,0</v>
      </c>
      <c r="L47" s="58" t="str">
        <f>"152,8250"</f>
        <v>152,8250</v>
      </c>
      <c r="M47" s="51"/>
    </row>
    <row r="48" spans="1:13">
      <c r="A48" s="61">
        <v>5</v>
      </c>
      <c r="B48" s="52" t="s">
        <v>464</v>
      </c>
      <c r="C48" s="52" t="s">
        <v>465</v>
      </c>
      <c r="D48" s="52" t="s">
        <v>466</v>
      </c>
      <c r="E48" s="52" t="s">
        <v>629</v>
      </c>
      <c r="F48" s="52" t="s">
        <v>173</v>
      </c>
      <c r="G48" s="59" t="s">
        <v>51</v>
      </c>
      <c r="H48" s="59" t="s">
        <v>56</v>
      </c>
      <c r="I48" s="61"/>
      <c r="J48" s="61"/>
      <c r="K48" s="64" t="str">
        <f>"210,0"</f>
        <v>210,0</v>
      </c>
      <c r="L48" s="61" t="str">
        <f>"130,3260"</f>
        <v>130,3260</v>
      </c>
      <c r="M48" s="52"/>
    </row>
    <row r="50" spans="1:13" ht="16">
      <c r="A50" s="66" t="s">
        <v>115</v>
      </c>
      <c r="B50" s="66"/>
      <c r="C50" s="66"/>
      <c r="D50" s="66"/>
      <c r="E50" s="66"/>
      <c r="F50" s="66"/>
      <c r="G50" s="66"/>
      <c r="H50" s="66"/>
      <c r="I50" s="66"/>
      <c r="J50" s="66"/>
    </row>
    <row r="51" spans="1:13">
      <c r="A51" s="54">
        <v>1</v>
      </c>
      <c r="B51" s="50" t="s">
        <v>116</v>
      </c>
      <c r="C51" s="50" t="s">
        <v>117</v>
      </c>
      <c r="D51" s="50" t="s">
        <v>118</v>
      </c>
      <c r="E51" s="50" t="s">
        <v>629</v>
      </c>
      <c r="F51" s="50" t="s">
        <v>617</v>
      </c>
      <c r="G51" s="53" t="s">
        <v>120</v>
      </c>
      <c r="H51" s="53" t="s">
        <v>483</v>
      </c>
      <c r="I51" s="53" t="s">
        <v>427</v>
      </c>
      <c r="J51" s="54"/>
      <c r="K51" s="62" t="str">
        <f>"282,5"</f>
        <v>282,5</v>
      </c>
      <c r="L51" s="54" t="str">
        <f>"168,0875"</f>
        <v>168,0875</v>
      </c>
      <c r="M51" s="50" t="s">
        <v>66</v>
      </c>
    </row>
    <row r="52" spans="1:13">
      <c r="A52" s="61">
        <v>2</v>
      </c>
      <c r="B52" s="52" t="s">
        <v>342</v>
      </c>
      <c r="C52" s="52" t="s">
        <v>343</v>
      </c>
      <c r="D52" s="52" t="s">
        <v>344</v>
      </c>
      <c r="E52" s="52" t="s">
        <v>629</v>
      </c>
      <c r="F52" s="52" t="s">
        <v>611</v>
      </c>
      <c r="G52" s="59" t="s">
        <v>42</v>
      </c>
      <c r="H52" s="59" t="s">
        <v>74</v>
      </c>
      <c r="I52" s="61"/>
      <c r="J52" s="61"/>
      <c r="K52" s="64" t="str">
        <f>"220,0"</f>
        <v>220,0</v>
      </c>
      <c r="L52" s="61" t="str">
        <f>"131,6920"</f>
        <v>131,6920</v>
      </c>
      <c r="M52" s="52"/>
    </row>
    <row r="54" spans="1:13" ht="16">
      <c r="A54" s="66" t="s">
        <v>58</v>
      </c>
      <c r="B54" s="66"/>
      <c r="C54" s="66"/>
      <c r="D54" s="66"/>
      <c r="E54" s="66"/>
      <c r="F54" s="66"/>
      <c r="G54" s="66"/>
      <c r="H54" s="66"/>
      <c r="I54" s="66"/>
      <c r="J54" s="66"/>
    </row>
    <row r="55" spans="1:13">
      <c r="A55" s="48">
        <v>1</v>
      </c>
      <c r="B55" s="36" t="s">
        <v>551</v>
      </c>
      <c r="C55" s="36" t="s">
        <v>552</v>
      </c>
      <c r="D55" s="36" t="s">
        <v>553</v>
      </c>
      <c r="E55" s="36" t="s">
        <v>629</v>
      </c>
      <c r="F55" s="36" t="s">
        <v>93</v>
      </c>
      <c r="G55" s="47" t="s">
        <v>15</v>
      </c>
      <c r="H55" s="49" t="s">
        <v>16</v>
      </c>
      <c r="I55" s="49" t="s">
        <v>16</v>
      </c>
      <c r="J55" s="48"/>
      <c r="K55" s="65" t="str">
        <f>"250,0"</f>
        <v>250,0</v>
      </c>
      <c r="L55" s="48" t="str">
        <f>"145,1250"</f>
        <v>145,1250</v>
      </c>
      <c r="M55" s="36"/>
    </row>
    <row r="57" spans="1:13" ht="16">
      <c r="F57" s="38"/>
      <c r="G57" s="37"/>
    </row>
    <row r="58" spans="1:13">
      <c r="G58" s="37"/>
    </row>
    <row r="59" spans="1:13" ht="18">
      <c r="B59" s="39" t="s">
        <v>78</v>
      </c>
      <c r="C59" s="39"/>
    </row>
    <row r="60" spans="1:13" ht="16">
      <c r="B60" s="40" t="s">
        <v>79</v>
      </c>
      <c r="C60" s="40"/>
    </row>
    <row r="61" spans="1:13" ht="14">
      <c r="B61" s="41"/>
      <c r="C61" s="42" t="s">
        <v>84</v>
      </c>
    </row>
    <row r="62" spans="1:13" ht="14">
      <c r="B62" s="43" t="s">
        <v>80</v>
      </c>
      <c r="C62" s="43" t="s">
        <v>81</v>
      </c>
      <c r="D62" s="43" t="s">
        <v>596</v>
      </c>
      <c r="E62" s="43" t="s">
        <v>401</v>
      </c>
      <c r="F62" s="43" t="s">
        <v>83</v>
      </c>
    </row>
    <row r="63" spans="1:13">
      <c r="B63" s="37" t="s">
        <v>532</v>
      </c>
      <c r="C63" s="37" t="s">
        <v>84</v>
      </c>
      <c r="D63" s="45">
        <v>90</v>
      </c>
      <c r="E63" s="46">
        <v>305</v>
      </c>
      <c r="F63" s="44">
        <v>202.30649322271299</v>
      </c>
    </row>
    <row r="64" spans="1:13">
      <c r="B64" s="37" t="s">
        <v>544</v>
      </c>
      <c r="C64" s="37" t="s">
        <v>84</v>
      </c>
      <c r="D64" s="45">
        <v>100</v>
      </c>
      <c r="E64" s="46">
        <v>320</v>
      </c>
      <c r="F64" s="44">
        <v>195.55200576782201</v>
      </c>
    </row>
    <row r="65" spans="2:6">
      <c r="B65" s="37" t="s">
        <v>422</v>
      </c>
      <c r="C65" s="37" t="s">
        <v>84</v>
      </c>
      <c r="D65" s="45">
        <v>82.5</v>
      </c>
      <c r="E65" s="46">
        <v>282.5</v>
      </c>
      <c r="F65" s="44">
        <v>190.65924867987599</v>
      </c>
    </row>
  </sheetData>
  <mergeCells count="23">
    <mergeCell ref="A1:M2"/>
    <mergeCell ref="A3:A4"/>
    <mergeCell ref="C3:C4"/>
    <mergeCell ref="D3:D4"/>
    <mergeCell ref="E3:E4"/>
    <mergeCell ref="F3:F4"/>
    <mergeCell ref="G3:J3"/>
    <mergeCell ref="A23:J23"/>
    <mergeCell ref="A27:J27"/>
    <mergeCell ref="K3:K4"/>
    <mergeCell ref="L3:L4"/>
    <mergeCell ref="M3:M4"/>
    <mergeCell ref="A5:J5"/>
    <mergeCell ref="B3:B4"/>
    <mergeCell ref="A9:J9"/>
    <mergeCell ref="A13:J13"/>
    <mergeCell ref="A16:J16"/>
    <mergeCell ref="A20:J20"/>
    <mergeCell ref="A31:J31"/>
    <mergeCell ref="A37:J37"/>
    <mergeCell ref="A42:J42"/>
    <mergeCell ref="A50:J50"/>
    <mergeCell ref="A54:J5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92D3C-F94C-402C-BD8A-E4450E77D99D}">
  <dimension ref="A1:M37"/>
  <sheetViews>
    <sheetView workbookViewId="0">
      <selection activeCell="E27" sqref="E27"/>
    </sheetView>
  </sheetViews>
  <sheetFormatPr baseColWidth="10" defaultColWidth="8.83203125" defaultRowHeight="13"/>
  <cols>
    <col min="1" max="1" width="7.5" style="37" bestFit="1" customWidth="1"/>
    <col min="2" max="2" width="21.6640625" style="37" bestFit="1" customWidth="1"/>
    <col min="3" max="3" width="26" style="37" bestFit="1" customWidth="1"/>
    <col min="4" max="4" width="21.5" style="37" bestFit="1" customWidth="1"/>
    <col min="5" max="5" width="10.5" style="37" bestFit="1" customWidth="1"/>
    <col min="6" max="6" width="32" style="37" bestFit="1" customWidth="1"/>
    <col min="7" max="10" width="5.5" style="45" customWidth="1"/>
    <col min="11" max="11" width="10.5" style="45" bestFit="1" customWidth="1"/>
    <col min="12" max="12" width="8.6640625" style="45" bestFit="1" customWidth="1"/>
    <col min="13" max="13" width="19.83203125" style="37" customWidth="1"/>
  </cols>
  <sheetData>
    <row r="1" spans="1:13" s="2" customFormat="1" ht="29" customHeight="1">
      <c r="A1" s="77" t="s">
        <v>607</v>
      </c>
      <c r="B1" s="78"/>
      <c r="C1" s="79"/>
      <c r="D1" s="79"/>
      <c r="E1" s="79"/>
      <c r="F1" s="79"/>
      <c r="G1" s="79"/>
      <c r="H1" s="79"/>
      <c r="I1" s="79"/>
      <c r="J1" s="79"/>
      <c r="K1" s="79"/>
      <c r="L1" s="79"/>
      <c r="M1" s="80"/>
    </row>
    <row r="2" spans="1:13" s="2" customFormat="1" ht="62" customHeight="1" thickBot="1">
      <c r="A2" s="81"/>
      <c r="B2" s="82"/>
      <c r="C2" s="83"/>
      <c r="D2" s="83"/>
      <c r="E2" s="83"/>
      <c r="F2" s="83"/>
      <c r="G2" s="83"/>
      <c r="H2" s="83"/>
      <c r="I2" s="83"/>
      <c r="J2" s="83"/>
      <c r="K2" s="83"/>
      <c r="L2" s="83"/>
      <c r="M2" s="84"/>
    </row>
    <row r="3" spans="1:13" s="1" customFormat="1" ht="12.75" customHeight="1">
      <c r="A3" s="85" t="s">
        <v>625</v>
      </c>
      <c r="B3" s="67" t="s">
        <v>0</v>
      </c>
      <c r="C3" s="87" t="s">
        <v>627</v>
      </c>
      <c r="D3" s="87" t="s">
        <v>6</v>
      </c>
      <c r="E3" s="71" t="s">
        <v>628</v>
      </c>
      <c r="F3" s="89" t="s">
        <v>5</v>
      </c>
      <c r="G3" s="89" t="s">
        <v>9</v>
      </c>
      <c r="H3" s="89"/>
      <c r="I3" s="89"/>
      <c r="J3" s="89"/>
      <c r="K3" s="71" t="s">
        <v>345</v>
      </c>
      <c r="L3" s="71" t="s">
        <v>3</v>
      </c>
      <c r="M3" s="73" t="s">
        <v>2</v>
      </c>
    </row>
    <row r="4" spans="1:13" s="1" customFormat="1" ht="21" customHeight="1" thickBot="1">
      <c r="A4" s="86"/>
      <c r="B4" s="68"/>
      <c r="C4" s="88"/>
      <c r="D4" s="88"/>
      <c r="E4" s="72"/>
      <c r="F4" s="88"/>
      <c r="G4" s="4">
        <v>1</v>
      </c>
      <c r="H4" s="4">
        <v>2</v>
      </c>
      <c r="I4" s="4">
        <v>3</v>
      </c>
      <c r="J4" s="4" t="s">
        <v>4</v>
      </c>
      <c r="K4" s="72"/>
      <c r="L4" s="72"/>
      <c r="M4" s="74"/>
    </row>
    <row r="5" spans="1:13" s="3" customFormat="1" ht="16">
      <c r="A5" s="75" t="s">
        <v>102</v>
      </c>
      <c r="B5" s="75"/>
      <c r="C5" s="76"/>
      <c r="D5" s="76"/>
      <c r="E5" s="76"/>
      <c r="F5" s="76"/>
      <c r="G5" s="76"/>
      <c r="H5" s="76"/>
      <c r="I5" s="76"/>
      <c r="J5" s="76"/>
      <c r="K5" s="6"/>
      <c r="L5" s="6"/>
      <c r="M5" s="5"/>
    </row>
    <row r="6" spans="1:13">
      <c r="A6" s="48">
        <v>1</v>
      </c>
      <c r="B6" s="36" t="s">
        <v>478</v>
      </c>
      <c r="C6" s="36" t="s">
        <v>479</v>
      </c>
      <c r="D6" s="36" t="s">
        <v>480</v>
      </c>
      <c r="E6" s="36" t="s">
        <v>629</v>
      </c>
      <c r="F6" s="36" t="s">
        <v>211</v>
      </c>
      <c r="G6" s="47" t="s">
        <v>95</v>
      </c>
      <c r="H6" s="47" t="s">
        <v>100</v>
      </c>
      <c r="I6" s="47" t="s">
        <v>131</v>
      </c>
      <c r="J6" s="48"/>
      <c r="K6" s="48" t="str">
        <f>"90,0"</f>
        <v>90,0</v>
      </c>
      <c r="L6" s="48" t="str">
        <f>"100,9890"</f>
        <v>100,9890</v>
      </c>
      <c r="M6" s="36" t="s">
        <v>213</v>
      </c>
    </row>
    <row r="8" spans="1:13" ht="16">
      <c r="A8" s="66" t="s">
        <v>102</v>
      </c>
      <c r="B8" s="66"/>
      <c r="C8" s="66"/>
      <c r="D8" s="66"/>
      <c r="E8" s="66"/>
      <c r="F8" s="66"/>
      <c r="G8" s="66"/>
      <c r="H8" s="66"/>
      <c r="I8" s="66"/>
      <c r="J8" s="66"/>
    </row>
    <row r="9" spans="1:13">
      <c r="A9" s="48">
        <v>1</v>
      </c>
      <c r="B9" s="36" t="s">
        <v>481</v>
      </c>
      <c r="C9" s="36" t="s">
        <v>482</v>
      </c>
      <c r="D9" s="36" t="s">
        <v>221</v>
      </c>
      <c r="E9" s="36" t="s">
        <v>629</v>
      </c>
      <c r="F9" s="36" t="s">
        <v>211</v>
      </c>
      <c r="G9" s="47" t="s">
        <v>303</v>
      </c>
      <c r="H9" s="47" t="s">
        <v>483</v>
      </c>
      <c r="I9" s="47" t="s">
        <v>484</v>
      </c>
      <c r="J9" s="47" t="s">
        <v>485</v>
      </c>
      <c r="K9" s="48" t="str">
        <f>"286,5"</f>
        <v>286,5</v>
      </c>
      <c r="L9" s="48" t="str">
        <f>"244,3559"</f>
        <v>244,3559</v>
      </c>
      <c r="M9" s="36"/>
    </row>
    <row r="11" spans="1:13" ht="16">
      <c r="A11" s="66" t="s">
        <v>10</v>
      </c>
      <c r="B11" s="66"/>
      <c r="C11" s="66"/>
      <c r="D11" s="66"/>
      <c r="E11" s="66"/>
      <c r="F11" s="66"/>
      <c r="G11" s="66"/>
      <c r="H11" s="66"/>
      <c r="I11" s="66"/>
      <c r="J11" s="66"/>
    </row>
    <row r="12" spans="1:13">
      <c r="A12" s="48">
        <v>1</v>
      </c>
      <c r="B12" s="36" t="s">
        <v>11</v>
      </c>
      <c r="C12" s="36" t="s">
        <v>12</v>
      </c>
      <c r="D12" s="36" t="s">
        <v>13</v>
      </c>
      <c r="E12" s="36" t="s">
        <v>629</v>
      </c>
      <c r="F12" s="36" t="s">
        <v>14</v>
      </c>
      <c r="G12" s="47" t="s">
        <v>21</v>
      </c>
      <c r="H12" s="47" t="s">
        <v>22</v>
      </c>
      <c r="I12" s="47" t="s">
        <v>23</v>
      </c>
      <c r="J12" s="49" t="s">
        <v>24</v>
      </c>
      <c r="K12" s="48" t="str">
        <f>"345,0"</f>
        <v>345,0</v>
      </c>
      <c r="L12" s="48" t="str">
        <f>"246,2955"</f>
        <v>246,2955</v>
      </c>
      <c r="M12" s="36"/>
    </row>
    <row r="14" spans="1:13" ht="16">
      <c r="A14" s="66" t="s">
        <v>37</v>
      </c>
      <c r="B14" s="66"/>
      <c r="C14" s="66"/>
      <c r="D14" s="66"/>
      <c r="E14" s="66"/>
      <c r="F14" s="66"/>
      <c r="G14" s="66"/>
      <c r="H14" s="66"/>
      <c r="I14" s="66"/>
      <c r="J14" s="66"/>
    </row>
    <row r="15" spans="1:13">
      <c r="A15" s="48">
        <v>1</v>
      </c>
      <c r="B15" s="36" t="s">
        <v>486</v>
      </c>
      <c r="C15" s="36" t="s">
        <v>487</v>
      </c>
      <c r="D15" s="36" t="s">
        <v>488</v>
      </c>
      <c r="E15" s="36" t="s">
        <v>629</v>
      </c>
      <c r="F15" s="36" t="s">
        <v>288</v>
      </c>
      <c r="G15" s="47" t="s">
        <v>179</v>
      </c>
      <c r="H15" s="49" t="s">
        <v>489</v>
      </c>
      <c r="I15" s="49" t="s">
        <v>489</v>
      </c>
      <c r="J15" s="48"/>
      <c r="K15" s="48" t="str">
        <f>"340,0"</f>
        <v>340,0</v>
      </c>
      <c r="L15" s="48" t="str">
        <f>"226,4740"</f>
        <v>226,4740</v>
      </c>
      <c r="M15" s="36" t="s">
        <v>132</v>
      </c>
    </row>
    <row r="17" spans="1:13" ht="16">
      <c r="A17" s="66" t="s">
        <v>46</v>
      </c>
      <c r="B17" s="66"/>
      <c r="C17" s="66"/>
      <c r="D17" s="66"/>
      <c r="E17" s="66"/>
      <c r="F17" s="66"/>
      <c r="G17" s="66"/>
      <c r="H17" s="66"/>
      <c r="I17" s="66"/>
      <c r="J17" s="66"/>
    </row>
    <row r="18" spans="1:13">
      <c r="A18" s="48">
        <v>1</v>
      </c>
      <c r="B18" s="36" t="s">
        <v>490</v>
      </c>
      <c r="C18" s="36" t="s">
        <v>491</v>
      </c>
      <c r="D18" s="36" t="s">
        <v>492</v>
      </c>
      <c r="E18" s="36" t="s">
        <v>629</v>
      </c>
      <c r="F18" s="36" t="s">
        <v>173</v>
      </c>
      <c r="G18" s="47" t="s">
        <v>64</v>
      </c>
      <c r="H18" s="49" t="s">
        <v>75</v>
      </c>
      <c r="I18" s="47" t="s">
        <v>169</v>
      </c>
      <c r="J18" s="48"/>
      <c r="K18" s="48" t="str">
        <f>"235,0"</f>
        <v>235,0</v>
      </c>
      <c r="L18" s="48" t="str">
        <f>"143,1385"</f>
        <v>143,1385</v>
      </c>
      <c r="M18" s="36"/>
    </row>
    <row r="20" spans="1:13" ht="16">
      <c r="A20" s="66" t="s">
        <v>115</v>
      </c>
      <c r="B20" s="66"/>
      <c r="C20" s="66"/>
      <c r="D20" s="66"/>
      <c r="E20" s="66"/>
      <c r="F20" s="66"/>
      <c r="G20" s="66"/>
      <c r="H20" s="66"/>
      <c r="I20" s="66"/>
      <c r="J20" s="66"/>
    </row>
    <row r="21" spans="1:13">
      <c r="A21" s="54">
        <v>1</v>
      </c>
      <c r="B21" s="50" t="s">
        <v>493</v>
      </c>
      <c r="C21" s="50" t="s">
        <v>494</v>
      </c>
      <c r="D21" s="50" t="s">
        <v>495</v>
      </c>
      <c r="E21" s="50" t="s">
        <v>629</v>
      </c>
      <c r="F21" s="50" t="s">
        <v>29</v>
      </c>
      <c r="G21" s="53" t="s">
        <v>23</v>
      </c>
      <c r="H21" s="53" t="s">
        <v>65</v>
      </c>
      <c r="I21" s="53" t="s">
        <v>71</v>
      </c>
      <c r="J21" s="54"/>
      <c r="K21" s="54" t="str">
        <f>"370,0"</f>
        <v>370,0</v>
      </c>
      <c r="L21" s="54" t="str">
        <f>"220,4460"</f>
        <v>220,4460</v>
      </c>
      <c r="M21" s="50" t="s">
        <v>132</v>
      </c>
    </row>
    <row r="22" spans="1:13">
      <c r="A22" s="58">
        <v>2</v>
      </c>
      <c r="B22" s="51" t="s">
        <v>496</v>
      </c>
      <c r="C22" s="51" t="s">
        <v>497</v>
      </c>
      <c r="D22" s="51" t="s">
        <v>498</v>
      </c>
      <c r="E22" s="51" t="s">
        <v>629</v>
      </c>
      <c r="F22" s="51" t="s">
        <v>288</v>
      </c>
      <c r="G22" s="56" t="s">
        <v>179</v>
      </c>
      <c r="H22" s="56" t="s">
        <v>65</v>
      </c>
      <c r="I22" s="57" t="s">
        <v>71</v>
      </c>
      <c r="J22" s="58"/>
      <c r="K22" s="58" t="str">
        <f>"360,0"</f>
        <v>360,0</v>
      </c>
      <c r="L22" s="58" t="str">
        <f>"212,3280"</f>
        <v>212,3280</v>
      </c>
      <c r="M22" s="51" t="s">
        <v>362</v>
      </c>
    </row>
    <row r="23" spans="1:13">
      <c r="A23" s="61">
        <v>3</v>
      </c>
      <c r="B23" s="52" t="s">
        <v>174</v>
      </c>
      <c r="C23" s="52" t="s">
        <v>175</v>
      </c>
      <c r="D23" s="52" t="s">
        <v>176</v>
      </c>
      <c r="E23" s="52" t="s">
        <v>629</v>
      </c>
      <c r="F23" s="52" t="s">
        <v>177</v>
      </c>
      <c r="G23" s="60" t="s">
        <v>179</v>
      </c>
      <c r="H23" s="59" t="s">
        <v>180</v>
      </c>
      <c r="I23" s="60" t="s">
        <v>181</v>
      </c>
      <c r="J23" s="61"/>
      <c r="K23" s="61" t="str">
        <f>"350,0"</f>
        <v>350,0</v>
      </c>
      <c r="L23" s="61" t="str">
        <f>"208,0750"</f>
        <v>208,0750</v>
      </c>
      <c r="M23" s="52" t="s">
        <v>182</v>
      </c>
    </row>
    <row r="25" spans="1:13" ht="16">
      <c r="A25" s="66" t="s">
        <v>58</v>
      </c>
      <c r="B25" s="66"/>
      <c r="C25" s="66"/>
      <c r="D25" s="66"/>
      <c r="E25" s="66"/>
      <c r="F25" s="66"/>
      <c r="G25" s="66"/>
      <c r="H25" s="66"/>
      <c r="I25" s="66"/>
      <c r="J25" s="66"/>
    </row>
    <row r="26" spans="1:13">
      <c r="A26" s="48">
        <v>1</v>
      </c>
      <c r="B26" s="36" t="s">
        <v>59</v>
      </c>
      <c r="C26" s="36" t="s">
        <v>60</v>
      </c>
      <c r="D26" s="36" t="s">
        <v>61</v>
      </c>
      <c r="E26" s="36" t="s">
        <v>629</v>
      </c>
      <c r="F26" s="36" t="s">
        <v>62</v>
      </c>
      <c r="G26" s="47" t="s">
        <v>22</v>
      </c>
      <c r="H26" s="49" t="s">
        <v>23</v>
      </c>
      <c r="I26" s="49" t="s">
        <v>65</v>
      </c>
      <c r="J26" s="48"/>
      <c r="K26" s="48" t="str">
        <f>"325,0"</f>
        <v>325,0</v>
      </c>
      <c r="L26" s="48" t="str">
        <f>"186,0950"</f>
        <v>186,0950</v>
      </c>
      <c r="M26" s="36" t="s">
        <v>66</v>
      </c>
    </row>
    <row r="28" spans="1:13" ht="16">
      <c r="F28" s="38"/>
      <c r="G28" s="37"/>
    </row>
    <row r="29" spans="1:13">
      <c r="G29" s="37"/>
    </row>
    <row r="30" spans="1:13" ht="18">
      <c r="B30" s="39" t="s">
        <v>78</v>
      </c>
      <c r="C30" s="39"/>
    </row>
    <row r="31" spans="1:13" ht="16">
      <c r="B31" s="40" t="s">
        <v>79</v>
      </c>
      <c r="C31" s="40"/>
    </row>
    <row r="32" spans="1:13" ht="14">
      <c r="B32" s="41"/>
      <c r="C32" s="42" t="s">
        <v>84</v>
      </c>
    </row>
    <row r="33" spans="2:7" ht="14">
      <c r="B33" s="43" t="s">
        <v>80</v>
      </c>
      <c r="C33" s="43" t="s">
        <v>81</v>
      </c>
      <c r="D33" s="43" t="s">
        <v>596</v>
      </c>
      <c r="E33" s="43" t="s">
        <v>401</v>
      </c>
      <c r="F33" s="43" t="s">
        <v>83</v>
      </c>
    </row>
    <row r="34" spans="2:7">
      <c r="B34" s="37" t="s">
        <v>11</v>
      </c>
      <c r="C34" s="37" t="s">
        <v>84</v>
      </c>
      <c r="D34" s="45">
        <v>75</v>
      </c>
      <c r="E34" s="46">
        <v>345</v>
      </c>
      <c r="F34" s="44">
        <v>246.295510232449</v>
      </c>
    </row>
    <row r="35" spans="2:7">
      <c r="B35" s="37" t="s">
        <v>481</v>
      </c>
      <c r="C35" s="37" t="s">
        <v>84</v>
      </c>
      <c r="D35" s="45">
        <v>60</v>
      </c>
      <c r="E35" s="46">
        <v>286.5</v>
      </c>
      <c r="F35" s="44">
        <v>244.35585808754001</v>
      </c>
    </row>
    <row r="36" spans="2:7">
      <c r="B36" s="37" t="s">
        <v>486</v>
      </c>
      <c r="C36" s="37" t="s">
        <v>84</v>
      </c>
      <c r="D36" s="45">
        <v>90</v>
      </c>
      <c r="E36" s="46">
        <v>340</v>
      </c>
      <c r="F36" s="44">
        <v>226.47400856018101</v>
      </c>
    </row>
    <row r="37" spans="2:7">
      <c r="G37" s="37"/>
    </row>
  </sheetData>
  <mergeCells count="18">
    <mergeCell ref="A1:M2"/>
    <mergeCell ref="A3:A4"/>
    <mergeCell ref="C3:C4"/>
    <mergeCell ref="D3:D4"/>
    <mergeCell ref="E3:E4"/>
    <mergeCell ref="F3:F4"/>
    <mergeCell ref="G3:J3"/>
    <mergeCell ref="A25:J25"/>
    <mergeCell ref="K3:K4"/>
    <mergeCell ref="L3:L4"/>
    <mergeCell ref="M3:M4"/>
    <mergeCell ref="A5:J5"/>
    <mergeCell ref="B3:B4"/>
    <mergeCell ref="A8:J8"/>
    <mergeCell ref="A11:J11"/>
    <mergeCell ref="A14:J14"/>
    <mergeCell ref="A17:J17"/>
    <mergeCell ref="A20:J2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F47DD-2DFA-4CB5-87E8-B1DDE93DC7D5}">
  <dimension ref="A1:M23"/>
  <sheetViews>
    <sheetView workbookViewId="0">
      <selection activeCell="E24" sqref="E24"/>
    </sheetView>
  </sheetViews>
  <sheetFormatPr baseColWidth="10" defaultColWidth="8.83203125" defaultRowHeight="13"/>
  <cols>
    <col min="1" max="1" width="7.5" style="37" bestFit="1" customWidth="1"/>
    <col min="2" max="2" width="21.5" style="37" bestFit="1" customWidth="1"/>
    <col min="3" max="3" width="28.5" style="37" bestFit="1" customWidth="1"/>
    <col min="4" max="4" width="21.5" style="37" bestFit="1" customWidth="1"/>
    <col min="5" max="5" width="10.5" style="37" bestFit="1" customWidth="1"/>
    <col min="6" max="6" width="33" style="37" bestFit="1" customWidth="1"/>
    <col min="7" max="9" width="5.5" style="45" customWidth="1"/>
    <col min="10" max="10" width="4.83203125" style="45" customWidth="1"/>
    <col min="11" max="11" width="10.5" style="45" bestFit="1" customWidth="1"/>
    <col min="12" max="12" width="7.6640625" style="45" bestFit="1" customWidth="1"/>
    <col min="13" max="13" width="18.6640625" style="37" customWidth="1"/>
  </cols>
  <sheetData>
    <row r="1" spans="1:13" s="2" customFormat="1" ht="29" customHeight="1">
      <c r="A1" s="77" t="s">
        <v>608</v>
      </c>
      <c r="B1" s="78"/>
      <c r="C1" s="79"/>
      <c r="D1" s="79"/>
      <c r="E1" s="79"/>
      <c r="F1" s="79"/>
      <c r="G1" s="79"/>
      <c r="H1" s="79"/>
      <c r="I1" s="79"/>
      <c r="J1" s="79"/>
      <c r="K1" s="79"/>
      <c r="L1" s="79"/>
      <c r="M1" s="80"/>
    </row>
    <row r="2" spans="1:13" s="2" customFormat="1" ht="62" customHeight="1" thickBot="1">
      <c r="A2" s="81"/>
      <c r="B2" s="82"/>
      <c r="C2" s="83"/>
      <c r="D2" s="83"/>
      <c r="E2" s="83"/>
      <c r="F2" s="83"/>
      <c r="G2" s="83"/>
      <c r="H2" s="83"/>
      <c r="I2" s="83"/>
      <c r="J2" s="83"/>
      <c r="K2" s="83"/>
      <c r="L2" s="83"/>
      <c r="M2" s="84"/>
    </row>
    <row r="3" spans="1:13" s="1" customFormat="1" ht="12.75" customHeight="1">
      <c r="A3" s="85" t="s">
        <v>625</v>
      </c>
      <c r="B3" s="67" t="s">
        <v>0</v>
      </c>
      <c r="C3" s="87" t="s">
        <v>627</v>
      </c>
      <c r="D3" s="87" t="s">
        <v>6</v>
      </c>
      <c r="E3" s="71" t="s">
        <v>628</v>
      </c>
      <c r="F3" s="89" t="s">
        <v>5</v>
      </c>
      <c r="G3" s="89" t="s">
        <v>626</v>
      </c>
      <c r="H3" s="89"/>
      <c r="I3" s="89"/>
      <c r="J3" s="89"/>
      <c r="K3" s="71" t="s">
        <v>345</v>
      </c>
      <c r="L3" s="71" t="s">
        <v>3</v>
      </c>
      <c r="M3" s="73" t="s">
        <v>2</v>
      </c>
    </row>
    <row r="4" spans="1:13" s="1" customFormat="1" ht="21" customHeight="1" thickBot="1">
      <c r="A4" s="86"/>
      <c r="B4" s="68"/>
      <c r="C4" s="88"/>
      <c r="D4" s="88"/>
      <c r="E4" s="72"/>
      <c r="F4" s="88"/>
      <c r="G4" s="4">
        <v>1</v>
      </c>
      <c r="H4" s="4">
        <v>2</v>
      </c>
      <c r="I4" s="4">
        <v>3</v>
      </c>
      <c r="J4" s="4" t="s">
        <v>4</v>
      </c>
      <c r="K4" s="72"/>
      <c r="L4" s="72"/>
      <c r="M4" s="74"/>
    </row>
    <row r="5" spans="1:13" s="3" customFormat="1" ht="16">
      <c r="A5" s="75" t="s">
        <v>102</v>
      </c>
      <c r="B5" s="75"/>
      <c r="C5" s="76"/>
      <c r="D5" s="76"/>
      <c r="E5" s="76"/>
      <c r="F5" s="76"/>
      <c r="G5" s="76"/>
      <c r="H5" s="76"/>
      <c r="I5" s="76"/>
      <c r="J5" s="76"/>
      <c r="K5" s="6"/>
      <c r="L5" s="6"/>
      <c r="M5" s="5"/>
    </row>
    <row r="6" spans="1:13">
      <c r="A6" s="54">
        <v>1</v>
      </c>
      <c r="B6" s="50" t="s">
        <v>582</v>
      </c>
      <c r="C6" s="50" t="s">
        <v>583</v>
      </c>
      <c r="D6" s="50" t="s">
        <v>584</v>
      </c>
      <c r="E6" s="50" t="s">
        <v>629</v>
      </c>
      <c r="F6" s="50" t="s">
        <v>257</v>
      </c>
      <c r="G6" s="53" t="s">
        <v>99</v>
      </c>
      <c r="H6" s="55" t="s">
        <v>130</v>
      </c>
      <c r="I6" s="55" t="s">
        <v>130</v>
      </c>
      <c r="J6" s="54"/>
      <c r="K6" s="54" t="str">
        <f>"42,5"</f>
        <v>42,5</v>
      </c>
      <c r="L6" s="54" t="str">
        <f>"42,4299"</f>
        <v>42,4299</v>
      </c>
      <c r="M6" s="50"/>
    </row>
    <row r="7" spans="1:13">
      <c r="A7" s="61">
        <v>1</v>
      </c>
      <c r="B7" s="52" t="s">
        <v>582</v>
      </c>
      <c r="C7" s="52" t="s">
        <v>619</v>
      </c>
      <c r="D7" s="52" t="s">
        <v>584</v>
      </c>
      <c r="E7" s="52" t="s">
        <v>633</v>
      </c>
      <c r="F7" s="52" t="s">
        <v>257</v>
      </c>
      <c r="G7" s="59" t="s">
        <v>99</v>
      </c>
      <c r="H7" s="60" t="s">
        <v>130</v>
      </c>
      <c r="I7" s="60" t="s">
        <v>130</v>
      </c>
      <c r="J7" s="61"/>
      <c r="K7" s="61" t="str">
        <f>"42,5"</f>
        <v>42,5</v>
      </c>
      <c r="L7" s="61" t="str">
        <f>"42,4299"</f>
        <v>42,4299</v>
      </c>
      <c r="M7" s="52"/>
    </row>
    <row r="9" spans="1:13" ht="16">
      <c r="A9" s="66" t="s">
        <v>102</v>
      </c>
      <c r="B9" s="66"/>
      <c r="C9" s="66"/>
      <c r="D9" s="66"/>
      <c r="E9" s="66"/>
      <c r="F9" s="66"/>
      <c r="G9" s="66"/>
      <c r="H9" s="66"/>
      <c r="I9" s="66"/>
      <c r="J9" s="66"/>
    </row>
    <row r="10" spans="1:13">
      <c r="A10" s="48">
        <v>1</v>
      </c>
      <c r="B10" s="36" t="s">
        <v>585</v>
      </c>
      <c r="C10" s="36" t="s">
        <v>586</v>
      </c>
      <c r="D10" s="36" t="s">
        <v>584</v>
      </c>
      <c r="E10" s="36" t="s">
        <v>629</v>
      </c>
      <c r="F10" s="36" t="s">
        <v>618</v>
      </c>
      <c r="G10" s="47" t="s">
        <v>217</v>
      </c>
      <c r="H10" s="47" t="s">
        <v>239</v>
      </c>
      <c r="I10" s="49" t="s">
        <v>567</v>
      </c>
      <c r="J10" s="48"/>
      <c r="K10" s="48" t="str">
        <f>"60,0"</f>
        <v>60,0</v>
      </c>
      <c r="L10" s="48" t="str">
        <f>"50,6370"</f>
        <v>50,6370</v>
      </c>
      <c r="M10" s="36"/>
    </row>
    <row r="12" spans="1:13" ht="16">
      <c r="A12" s="66" t="s">
        <v>10</v>
      </c>
      <c r="B12" s="66"/>
      <c r="C12" s="66"/>
      <c r="D12" s="66"/>
      <c r="E12" s="66"/>
      <c r="F12" s="66"/>
      <c r="G12" s="66"/>
      <c r="H12" s="66"/>
      <c r="I12" s="66"/>
      <c r="J12" s="66"/>
    </row>
    <row r="13" spans="1:13">
      <c r="A13" s="54">
        <v>1</v>
      </c>
      <c r="B13" s="50" t="s">
        <v>415</v>
      </c>
      <c r="C13" s="50" t="s">
        <v>416</v>
      </c>
      <c r="D13" s="50" t="s">
        <v>417</v>
      </c>
      <c r="E13" s="50" t="s">
        <v>629</v>
      </c>
      <c r="F13" s="50" t="s">
        <v>195</v>
      </c>
      <c r="G13" s="53" t="s">
        <v>197</v>
      </c>
      <c r="H13" s="53" t="s">
        <v>108</v>
      </c>
      <c r="I13" s="53" t="s">
        <v>239</v>
      </c>
      <c r="J13" s="54"/>
      <c r="K13" s="54" t="str">
        <f>"60,0"</f>
        <v>60,0</v>
      </c>
      <c r="L13" s="54" t="str">
        <f>"42,3840"</f>
        <v>42,3840</v>
      </c>
      <c r="M13" s="50"/>
    </row>
    <row r="14" spans="1:13">
      <c r="A14" s="61">
        <v>1</v>
      </c>
      <c r="B14" s="52" t="s">
        <v>587</v>
      </c>
      <c r="C14" s="52" t="s">
        <v>620</v>
      </c>
      <c r="D14" s="52" t="s">
        <v>588</v>
      </c>
      <c r="E14" s="52" t="s">
        <v>633</v>
      </c>
      <c r="F14" s="52" t="s">
        <v>93</v>
      </c>
      <c r="G14" s="60" t="s">
        <v>130</v>
      </c>
      <c r="H14" s="60" t="s">
        <v>130</v>
      </c>
      <c r="I14" s="59" t="s">
        <v>130</v>
      </c>
      <c r="J14" s="61"/>
      <c r="K14" s="61" t="str">
        <f>"47,5"</f>
        <v>47,5</v>
      </c>
      <c r="L14" s="61" t="str">
        <f>"33,4804"</f>
        <v>33,4804</v>
      </c>
      <c r="M14" s="52"/>
    </row>
    <row r="16" spans="1:13" ht="16">
      <c r="A16" s="66" t="s">
        <v>25</v>
      </c>
      <c r="B16" s="66"/>
      <c r="C16" s="66"/>
      <c r="D16" s="66"/>
      <c r="E16" s="66"/>
      <c r="F16" s="66"/>
      <c r="G16" s="66"/>
      <c r="H16" s="66"/>
      <c r="I16" s="66"/>
      <c r="J16" s="66"/>
    </row>
    <row r="17" spans="1:13">
      <c r="A17" s="54">
        <v>1</v>
      </c>
      <c r="B17" s="50" t="s">
        <v>589</v>
      </c>
      <c r="C17" s="50" t="s">
        <v>621</v>
      </c>
      <c r="D17" s="50" t="s">
        <v>590</v>
      </c>
      <c r="E17" s="50" t="s">
        <v>636</v>
      </c>
      <c r="F17" s="50" t="s">
        <v>275</v>
      </c>
      <c r="G17" s="53" t="s">
        <v>198</v>
      </c>
      <c r="H17" s="55" t="s">
        <v>239</v>
      </c>
      <c r="I17" s="55" t="s">
        <v>239</v>
      </c>
      <c r="J17" s="54"/>
      <c r="K17" s="54" t="str">
        <f>"52,5"</f>
        <v>52,5</v>
      </c>
      <c r="L17" s="54" t="str">
        <f>"34,2772"</f>
        <v>34,2772</v>
      </c>
      <c r="M17" s="50"/>
    </row>
    <row r="18" spans="1:13">
      <c r="A18" s="58">
        <v>1</v>
      </c>
      <c r="B18" s="51" t="s">
        <v>285</v>
      </c>
      <c r="C18" s="51" t="s">
        <v>286</v>
      </c>
      <c r="D18" s="51" t="s">
        <v>287</v>
      </c>
      <c r="E18" s="51" t="s">
        <v>629</v>
      </c>
      <c r="F18" s="51" t="s">
        <v>288</v>
      </c>
      <c r="G18" s="56" t="s">
        <v>108</v>
      </c>
      <c r="H18" s="57" t="s">
        <v>239</v>
      </c>
      <c r="I18" s="56" t="s">
        <v>567</v>
      </c>
      <c r="J18" s="58"/>
      <c r="K18" s="58" t="str">
        <f>"62,5"</f>
        <v>62,5</v>
      </c>
      <c r="L18" s="58" t="str">
        <f>"40,5437"</f>
        <v>40,5437</v>
      </c>
      <c r="M18" s="51"/>
    </row>
    <row r="19" spans="1:13">
      <c r="A19" s="61">
        <v>1</v>
      </c>
      <c r="B19" s="52" t="s">
        <v>591</v>
      </c>
      <c r="C19" s="52" t="s">
        <v>622</v>
      </c>
      <c r="D19" s="52" t="s">
        <v>592</v>
      </c>
      <c r="E19" s="52" t="s">
        <v>633</v>
      </c>
      <c r="F19" s="52" t="s">
        <v>173</v>
      </c>
      <c r="G19" s="59" t="s">
        <v>197</v>
      </c>
      <c r="H19" s="59" t="s">
        <v>108</v>
      </c>
      <c r="I19" s="59" t="s">
        <v>239</v>
      </c>
      <c r="J19" s="61"/>
      <c r="K19" s="61" t="str">
        <f>"60,0"</f>
        <v>60,0</v>
      </c>
      <c r="L19" s="61" t="str">
        <f>"39,4385"</f>
        <v>39,4385</v>
      </c>
      <c r="M19" s="52" t="s">
        <v>593</v>
      </c>
    </row>
    <row r="21" spans="1:13" ht="16">
      <c r="A21" s="66" t="s">
        <v>37</v>
      </c>
      <c r="B21" s="66"/>
      <c r="C21" s="66"/>
      <c r="D21" s="66"/>
      <c r="E21" s="66"/>
      <c r="F21" s="66"/>
      <c r="G21" s="66"/>
      <c r="H21" s="66"/>
      <c r="I21" s="66"/>
      <c r="J21" s="66"/>
    </row>
    <row r="22" spans="1:13">
      <c r="A22" s="54">
        <v>1</v>
      </c>
      <c r="B22" s="50" t="s">
        <v>594</v>
      </c>
      <c r="C22" s="50" t="s">
        <v>623</v>
      </c>
      <c r="D22" s="50" t="s">
        <v>573</v>
      </c>
      <c r="E22" s="50" t="s">
        <v>632</v>
      </c>
      <c r="F22" s="50" t="s">
        <v>453</v>
      </c>
      <c r="G22" s="53" t="s">
        <v>94</v>
      </c>
      <c r="H22" s="55" t="s">
        <v>128</v>
      </c>
      <c r="I22" s="55" t="s">
        <v>128</v>
      </c>
      <c r="J22" s="54"/>
      <c r="K22" s="54" t="str">
        <f>"75,0"</f>
        <v>75,0</v>
      </c>
      <c r="L22" s="54" t="str">
        <f>"46,7887"</f>
        <v>46,7887</v>
      </c>
      <c r="M22" s="50"/>
    </row>
    <row r="23" spans="1:13">
      <c r="A23" s="61">
        <v>1</v>
      </c>
      <c r="B23" s="52" t="s">
        <v>594</v>
      </c>
      <c r="C23" s="52" t="s">
        <v>595</v>
      </c>
      <c r="D23" s="52" t="s">
        <v>573</v>
      </c>
      <c r="E23" s="52" t="s">
        <v>629</v>
      </c>
      <c r="F23" s="52" t="s">
        <v>453</v>
      </c>
      <c r="G23" s="59" t="s">
        <v>94</v>
      </c>
      <c r="H23" s="60" t="s">
        <v>128</v>
      </c>
      <c r="I23" s="60" t="s">
        <v>128</v>
      </c>
      <c r="J23" s="61"/>
      <c r="K23" s="61" t="str">
        <f>"75,0"</f>
        <v>75,0</v>
      </c>
      <c r="L23" s="61" t="str">
        <f>"46,7887"</f>
        <v>46,7887</v>
      </c>
      <c r="M23" s="52"/>
    </row>
  </sheetData>
  <mergeCells count="16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9:J9"/>
    <mergeCell ref="A12:J12"/>
    <mergeCell ref="A16:J16"/>
    <mergeCell ref="A21:J21"/>
    <mergeCell ref="B3:B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1449A-94B2-4B67-B352-330B5F441F27}">
  <dimension ref="A1:M37"/>
  <sheetViews>
    <sheetView tabSelected="1" workbookViewId="0">
      <selection activeCell="E26" sqref="E26"/>
    </sheetView>
  </sheetViews>
  <sheetFormatPr baseColWidth="10" defaultColWidth="8.83203125" defaultRowHeight="13"/>
  <cols>
    <col min="1" max="1" width="7.5" style="37" bestFit="1" customWidth="1"/>
    <col min="2" max="2" width="18.1640625" style="37" bestFit="1" customWidth="1"/>
    <col min="3" max="3" width="27.6640625" style="37" bestFit="1" customWidth="1"/>
    <col min="4" max="4" width="21.5" style="37" bestFit="1" customWidth="1"/>
    <col min="5" max="5" width="10.5" style="37" bestFit="1" customWidth="1"/>
    <col min="6" max="6" width="30.5" style="37" bestFit="1" customWidth="1"/>
    <col min="7" max="10" width="5.5" style="45" customWidth="1"/>
    <col min="11" max="11" width="10.5" style="46" bestFit="1" customWidth="1"/>
    <col min="12" max="12" width="7.6640625" style="45" bestFit="1" customWidth="1"/>
    <col min="13" max="13" width="21.83203125" style="37" customWidth="1"/>
  </cols>
  <sheetData>
    <row r="1" spans="1:13" s="2" customFormat="1" ht="29" customHeight="1">
      <c r="A1" s="77" t="s">
        <v>609</v>
      </c>
      <c r="B1" s="78"/>
      <c r="C1" s="79"/>
      <c r="D1" s="79"/>
      <c r="E1" s="79"/>
      <c r="F1" s="79"/>
      <c r="G1" s="79"/>
      <c r="H1" s="79"/>
      <c r="I1" s="79"/>
      <c r="J1" s="79"/>
      <c r="K1" s="79"/>
      <c r="L1" s="79"/>
      <c r="M1" s="80"/>
    </row>
    <row r="2" spans="1:13" s="2" customFormat="1" ht="62" customHeight="1" thickBot="1">
      <c r="A2" s="81"/>
      <c r="B2" s="82"/>
      <c r="C2" s="83"/>
      <c r="D2" s="83"/>
      <c r="E2" s="83"/>
      <c r="F2" s="83"/>
      <c r="G2" s="83"/>
      <c r="H2" s="83"/>
      <c r="I2" s="83"/>
      <c r="J2" s="83"/>
      <c r="K2" s="83"/>
      <c r="L2" s="83"/>
      <c r="M2" s="84"/>
    </row>
    <row r="3" spans="1:13" s="1" customFormat="1" ht="12.75" customHeight="1">
      <c r="A3" s="85" t="s">
        <v>625</v>
      </c>
      <c r="B3" s="67" t="s">
        <v>0</v>
      </c>
      <c r="C3" s="87" t="s">
        <v>627</v>
      </c>
      <c r="D3" s="87" t="s">
        <v>6</v>
      </c>
      <c r="E3" s="71" t="s">
        <v>628</v>
      </c>
      <c r="F3" s="89" t="s">
        <v>5</v>
      </c>
      <c r="G3" s="89" t="s">
        <v>626</v>
      </c>
      <c r="H3" s="89"/>
      <c r="I3" s="89"/>
      <c r="J3" s="89"/>
      <c r="K3" s="69" t="s">
        <v>345</v>
      </c>
      <c r="L3" s="71" t="s">
        <v>3</v>
      </c>
      <c r="M3" s="73" t="s">
        <v>2</v>
      </c>
    </row>
    <row r="4" spans="1:13" s="1" customFormat="1" ht="21" customHeight="1" thickBot="1">
      <c r="A4" s="86"/>
      <c r="B4" s="68"/>
      <c r="C4" s="88"/>
      <c r="D4" s="88"/>
      <c r="E4" s="72"/>
      <c r="F4" s="88"/>
      <c r="G4" s="4">
        <v>1</v>
      </c>
      <c r="H4" s="4">
        <v>2</v>
      </c>
      <c r="I4" s="4">
        <v>3</v>
      </c>
      <c r="J4" s="4" t="s">
        <v>4</v>
      </c>
      <c r="K4" s="70"/>
      <c r="L4" s="72"/>
      <c r="M4" s="74"/>
    </row>
    <row r="5" spans="1:13" s="3" customFormat="1" ht="16">
      <c r="A5" s="75" t="s">
        <v>109</v>
      </c>
      <c r="B5" s="75"/>
      <c r="C5" s="76"/>
      <c r="D5" s="76"/>
      <c r="E5" s="76"/>
      <c r="F5" s="76"/>
      <c r="G5" s="76"/>
      <c r="H5" s="76"/>
      <c r="I5" s="76"/>
      <c r="J5" s="76"/>
      <c r="K5" s="26"/>
      <c r="L5" s="6"/>
      <c r="M5" s="5"/>
    </row>
    <row r="6" spans="1:13">
      <c r="A6" s="48">
        <v>1</v>
      </c>
      <c r="B6" s="36" t="s">
        <v>558</v>
      </c>
      <c r="C6" s="36" t="s">
        <v>559</v>
      </c>
      <c r="D6" s="36" t="s">
        <v>560</v>
      </c>
      <c r="E6" s="36" t="s">
        <v>629</v>
      </c>
      <c r="F6" s="36" t="s">
        <v>561</v>
      </c>
      <c r="G6" s="47" t="s">
        <v>130</v>
      </c>
      <c r="H6" s="47" t="s">
        <v>197</v>
      </c>
      <c r="I6" s="47" t="s">
        <v>198</v>
      </c>
      <c r="J6" s="49" t="s">
        <v>562</v>
      </c>
      <c r="K6" s="65" t="str">
        <f>"52,5"</f>
        <v>52,5</v>
      </c>
      <c r="L6" s="48" t="str">
        <f>"49,4314"</f>
        <v>49,4314</v>
      </c>
      <c r="M6" s="36" t="s">
        <v>563</v>
      </c>
    </row>
    <row r="8" spans="1:13" ht="16">
      <c r="A8" s="66" t="s">
        <v>109</v>
      </c>
      <c r="B8" s="66"/>
      <c r="C8" s="66"/>
      <c r="D8" s="66"/>
      <c r="E8" s="66"/>
      <c r="F8" s="66"/>
      <c r="G8" s="66"/>
      <c r="H8" s="66"/>
      <c r="I8" s="66"/>
      <c r="J8" s="66"/>
    </row>
    <row r="9" spans="1:13">
      <c r="A9" s="48">
        <v>1</v>
      </c>
      <c r="B9" s="36" t="s">
        <v>354</v>
      </c>
      <c r="C9" s="36" t="s">
        <v>624</v>
      </c>
      <c r="D9" s="36" t="s">
        <v>356</v>
      </c>
      <c r="E9" s="36" t="s">
        <v>636</v>
      </c>
      <c r="F9" s="36" t="s">
        <v>173</v>
      </c>
      <c r="G9" s="49" t="s">
        <v>240</v>
      </c>
      <c r="H9" s="47" t="s">
        <v>97</v>
      </c>
      <c r="I9" s="49" t="s">
        <v>98</v>
      </c>
      <c r="J9" s="48"/>
      <c r="K9" s="65" t="str">
        <f>"35,0"</f>
        <v>35,0</v>
      </c>
      <c r="L9" s="48" t="str">
        <f>"27,3280"</f>
        <v>27,3280</v>
      </c>
      <c r="M9" s="36"/>
    </row>
    <row r="11" spans="1:13" ht="16">
      <c r="A11" s="66" t="s">
        <v>10</v>
      </c>
      <c r="B11" s="66"/>
      <c r="C11" s="66"/>
      <c r="D11" s="66"/>
      <c r="E11" s="66"/>
      <c r="F11" s="66"/>
      <c r="G11" s="66"/>
      <c r="H11" s="66"/>
      <c r="I11" s="66"/>
      <c r="J11" s="66"/>
    </row>
    <row r="12" spans="1:13">
      <c r="A12" s="48">
        <v>1</v>
      </c>
      <c r="B12" s="36" t="s">
        <v>564</v>
      </c>
      <c r="C12" s="36" t="s">
        <v>565</v>
      </c>
      <c r="D12" s="36" t="s">
        <v>566</v>
      </c>
      <c r="E12" s="36" t="s">
        <v>629</v>
      </c>
      <c r="F12" s="36" t="s">
        <v>93</v>
      </c>
      <c r="G12" s="47" t="s">
        <v>239</v>
      </c>
      <c r="H12" s="49" t="s">
        <v>567</v>
      </c>
      <c r="I12" s="47" t="s">
        <v>567</v>
      </c>
      <c r="J12" s="48"/>
      <c r="K12" s="65" t="str">
        <f>"62,5"</f>
        <v>62,5</v>
      </c>
      <c r="L12" s="48" t="str">
        <f>"44,4344"</f>
        <v>44,4344</v>
      </c>
      <c r="M12" s="36"/>
    </row>
    <row r="14" spans="1:13" ht="16">
      <c r="A14" s="66" t="s">
        <v>25</v>
      </c>
      <c r="B14" s="66"/>
      <c r="C14" s="66"/>
      <c r="D14" s="66"/>
      <c r="E14" s="66"/>
      <c r="F14" s="66"/>
      <c r="G14" s="66"/>
      <c r="H14" s="66"/>
      <c r="I14" s="66"/>
      <c r="J14" s="66"/>
    </row>
    <row r="15" spans="1:13">
      <c r="A15" s="48" t="s">
        <v>122</v>
      </c>
      <c r="B15" s="36" t="s">
        <v>568</v>
      </c>
      <c r="C15" s="36" t="s">
        <v>569</v>
      </c>
      <c r="D15" s="36" t="s">
        <v>570</v>
      </c>
      <c r="E15" s="36" t="s">
        <v>629</v>
      </c>
      <c r="F15" s="36" t="s">
        <v>93</v>
      </c>
      <c r="G15" s="49" t="s">
        <v>127</v>
      </c>
      <c r="H15" s="49" t="s">
        <v>127</v>
      </c>
      <c r="I15" s="49" t="s">
        <v>127</v>
      </c>
      <c r="J15" s="48"/>
      <c r="K15" s="65">
        <v>0</v>
      </c>
      <c r="L15" s="48" t="str">
        <f>"0,0000"</f>
        <v>0,0000</v>
      </c>
      <c r="M15" s="36"/>
    </row>
    <row r="17" spans="1:13" ht="16">
      <c r="A17" s="66" t="s">
        <v>37</v>
      </c>
      <c r="B17" s="66"/>
      <c r="C17" s="66"/>
      <c r="D17" s="66"/>
      <c r="E17" s="66"/>
      <c r="F17" s="66"/>
      <c r="G17" s="66"/>
      <c r="H17" s="66"/>
      <c r="I17" s="66"/>
      <c r="J17" s="66"/>
    </row>
    <row r="18" spans="1:13">
      <c r="A18" s="48">
        <v>1</v>
      </c>
      <c r="B18" s="36" t="s">
        <v>571</v>
      </c>
      <c r="C18" s="36" t="s">
        <v>572</v>
      </c>
      <c r="D18" s="36" t="s">
        <v>573</v>
      </c>
      <c r="E18" s="36" t="s">
        <v>629</v>
      </c>
      <c r="F18" s="36" t="s">
        <v>186</v>
      </c>
      <c r="G18" s="47" t="s">
        <v>144</v>
      </c>
      <c r="H18" s="47" t="s">
        <v>574</v>
      </c>
      <c r="I18" s="47" t="s">
        <v>145</v>
      </c>
      <c r="J18" s="47" t="s">
        <v>575</v>
      </c>
      <c r="K18" s="65" t="str">
        <f>"100,0"</f>
        <v>100,0</v>
      </c>
      <c r="L18" s="48" t="str">
        <f>"62,3850"</f>
        <v>62,3850</v>
      </c>
      <c r="M18" s="36"/>
    </row>
    <row r="20" spans="1:13" ht="16">
      <c r="A20" s="66" t="s">
        <v>46</v>
      </c>
      <c r="B20" s="66"/>
      <c r="C20" s="66"/>
      <c r="D20" s="66"/>
      <c r="E20" s="66"/>
      <c r="F20" s="66"/>
      <c r="G20" s="66"/>
      <c r="H20" s="66"/>
      <c r="I20" s="66"/>
      <c r="J20" s="66"/>
    </row>
    <row r="21" spans="1:13">
      <c r="A21" s="54">
        <v>1</v>
      </c>
      <c r="B21" s="50" t="s">
        <v>368</v>
      </c>
      <c r="C21" s="50" t="s">
        <v>369</v>
      </c>
      <c r="D21" s="50" t="s">
        <v>370</v>
      </c>
      <c r="E21" s="50" t="s">
        <v>629</v>
      </c>
      <c r="F21" s="50" t="s">
        <v>93</v>
      </c>
      <c r="G21" s="53" t="s">
        <v>230</v>
      </c>
      <c r="H21" s="55" t="s">
        <v>131</v>
      </c>
      <c r="I21" s="53" t="s">
        <v>131</v>
      </c>
      <c r="J21" s="54"/>
      <c r="K21" s="62" t="str">
        <f>"90,0"</f>
        <v>90,0</v>
      </c>
      <c r="L21" s="54" t="str">
        <f>"52,4295"</f>
        <v>52,4295</v>
      </c>
      <c r="M21" s="50"/>
    </row>
    <row r="22" spans="1:13">
      <c r="A22" s="58">
        <v>2</v>
      </c>
      <c r="B22" s="51" t="s">
        <v>576</v>
      </c>
      <c r="C22" s="51" t="s">
        <v>577</v>
      </c>
      <c r="D22" s="51" t="s">
        <v>578</v>
      </c>
      <c r="E22" s="51" t="s">
        <v>629</v>
      </c>
      <c r="F22" s="51" t="s">
        <v>93</v>
      </c>
      <c r="G22" s="56" t="s">
        <v>94</v>
      </c>
      <c r="H22" s="56" t="s">
        <v>128</v>
      </c>
      <c r="I22" s="57" t="s">
        <v>95</v>
      </c>
      <c r="J22" s="58"/>
      <c r="K22" s="63" t="str">
        <f>"77,5"</f>
        <v>77,5</v>
      </c>
      <c r="L22" s="58" t="str">
        <f>"45,2251"</f>
        <v>45,2251</v>
      </c>
      <c r="M22" s="51" t="s">
        <v>393</v>
      </c>
    </row>
    <row r="23" spans="1:13">
      <c r="A23" s="61">
        <v>3</v>
      </c>
      <c r="B23" s="52" t="s">
        <v>579</v>
      </c>
      <c r="C23" s="52" t="s">
        <v>580</v>
      </c>
      <c r="D23" s="52" t="s">
        <v>581</v>
      </c>
      <c r="E23" s="52" t="s">
        <v>629</v>
      </c>
      <c r="F23" s="52" t="s">
        <v>93</v>
      </c>
      <c r="G23" s="59" t="s">
        <v>94</v>
      </c>
      <c r="H23" s="60" t="s">
        <v>128</v>
      </c>
      <c r="I23" s="60" t="s">
        <v>128</v>
      </c>
      <c r="J23" s="61"/>
      <c r="K23" s="64" t="str">
        <f>"75,0"</f>
        <v>75,0</v>
      </c>
      <c r="L23" s="61" t="str">
        <f>"43,9763"</f>
        <v>43,9763</v>
      </c>
      <c r="M23" s="52" t="s">
        <v>393</v>
      </c>
    </row>
    <row r="25" spans="1:13" ht="16">
      <c r="A25" s="66" t="s">
        <v>58</v>
      </c>
      <c r="B25" s="66"/>
      <c r="C25" s="66"/>
      <c r="D25" s="66"/>
      <c r="E25" s="66"/>
      <c r="F25" s="66"/>
      <c r="G25" s="66"/>
      <c r="H25" s="66"/>
      <c r="I25" s="66"/>
      <c r="J25" s="66"/>
    </row>
    <row r="26" spans="1:13">
      <c r="A26" s="48">
        <v>1</v>
      </c>
      <c r="B26" s="36" t="s">
        <v>390</v>
      </c>
      <c r="C26" s="36" t="s">
        <v>391</v>
      </c>
      <c r="D26" s="36" t="s">
        <v>392</v>
      </c>
      <c r="E26" s="36" t="s">
        <v>629</v>
      </c>
      <c r="F26" s="36" t="s">
        <v>173</v>
      </c>
      <c r="G26" s="47" t="s">
        <v>131</v>
      </c>
      <c r="H26" s="49" t="s">
        <v>144</v>
      </c>
      <c r="I26" s="49" t="s">
        <v>144</v>
      </c>
      <c r="J26" s="48"/>
      <c r="K26" s="65" t="str">
        <f>"90,0"</f>
        <v>90,0</v>
      </c>
      <c r="L26" s="48" t="str">
        <f>"49,1310"</f>
        <v>49,1310</v>
      </c>
      <c r="M26" s="36" t="s">
        <v>393</v>
      </c>
    </row>
    <row r="28" spans="1:13" ht="16">
      <c r="F28" s="38"/>
      <c r="G28" s="37"/>
    </row>
    <row r="29" spans="1:13">
      <c r="G29" s="37"/>
    </row>
    <row r="30" spans="1:13" ht="18">
      <c r="B30" s="39" t="s">
        <v>78</v>
      </c>
      <c r="C30" s="39"/>
    </row>
    <row r="31" spans="1:13" ht="16">
      <c r="B31" s="40" t="s">
        <v>79</v>
      </c>
      <c r="C31" s="40"/>
    </row>
    <row r="32" spans="1:13" ht="14">
      <c r="B32" s="41"/>
      <c r="C32" s="42" t="s">
        <v>84</v>
      </c>
    </row>
    <row r="33" spans="2:7" ht="14">
      <c r="B33" s="43" t="s">
        <v>80</v>
      </c>
      <c r="C33" s="43" t="s">
        <v>81</v>
      </c>
      <c r="D33" s="43" t="s">
        <v>596</v>
      </c>
      <c r="E33" s="43" t="s">
        <v>401</v>
      </c>
      <c r="F33" s="43" t="s">
        <v>477</v>
      </c>
    </row>
    <row r="34" spans="2:7">
      <c r="B34" s="37" t="s">
        <v>571</v>
      </c>
      <c r="C34" s="37" t="s">
        <v>84</v>
      </c>
      <c r="D34" s="45">
        <v>90</v>
      </c>
      <c r="E34" s="46">
        <v>100</v>
      </c>
      <c r="F34" s="44">
        <v>62.384998798370397</v>
      </c>
    </row>
    <row r="35" spans="2:7">
      <c r="B35" s="37" t="s">
        <v>368</v>
      </c>
      <c r="C35" s="37" t="s">
        <v>84</v>
      </c>
      <c r="D35" s="45">
        <v>100</v>
      </c>
      <c r="E35" s="46">
        <v>90</v>
      </c>
      <c r="F35" s="44">
        <v>52.429499030113199</v>
      </c>
    </row>
    <row r="36" spans="2:7">
      <c r="B36" s="37" t="s">
        <v>390</v>
      </c>
      <c r="C36" s="37" t="s">
        <v>84</v>
      </c>
      <c r="D36" s="45">
        <v>125</v>
      </c>
      <c r="E36" s="46">
        <v>90</v>
      </c>
      <c r="F36" s="44">
        <v>49.130998849868803</v>
      </c>
    </row>
    <row r="37" spans="2:7">
      <c r="G37" s="37"/>
    </row>
  </sheetData>
  <mergeCells count="18">
    <mergeCell ref="A1:M2"/>
    <mergeCell ref="A3:A4"/>
    <mergeCell ref="C3:C4"/>
    <mergeCell ref="D3:D4"/>
    <mergeCell ref="E3:E4"/>
    <mergeCell ref="F3:F4"/>
    <mergeCell ref="G3:J3"/>
    <mergeCell ref="A25:J25"/>
    <mergeCell ref="K3:K4"/>
    <mergeCell ref="L3:L4"/>
    <mergeCell ref="M3:M4"/>
    <mergeCell ref="A5:J5"/>
    <mergeCell ref="B3:B4"/>
    <mergeCell ref="A8:J8"/>
    <mergeCell ref="A11:J11"/>
    <mergeCell ref="A14:J14"/>
    <mergeCell ref="A17:J17"/>
    <mergeCell ref="A20:J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52C8F-462F-456A-96FA-7F5865CD30CB}">
  <dimension ref="A1:U29"/>
  <sheetViews>
    <sheetView workbookViewId="0">
      <selection activeCell="E28" sqref="E28"/>
    </sheetView>
  </sheetViews>
  <sheetFormatPr baseColWidth="10" defaultColWidth="8.83203125" defaultRowHeight="13"/>
  <cols>
    <col min="1" max="1" width="7.5" style="37" bestFit="1" customWidth="1"/>
    <col min="2" max="2" width="18.33203125" style="37" bestFit="1" customWidth="1"/>
    <col min="3" max="3" width="27.83203125" style="37" bestFit="1" customWidth="1"/>
    <col min="4" max="4" width="21.5" style="37" bestFit="1" customWidth="1"/>
    <col min="5" max="5" width="10.5" style="37" bestFit="1" customWidth="1"/>
    <col min="6" max="6" width="31.5" style="37" bestFit="1" customWidth="1"/>
    <col min="7" max="9" width="5.5" style="45" customWidth="1"/>
    <col min="10" max="10" width="4.83203125" style="45" customWidth="1"/>
    <col min="11" max="13" width="5.5" style="45" customWidth="1"/>
    <col min="14" max="14" width="4.83203125" style="45" customWidth="1"/>
    <col min="15" max="17" width="5.5" style="45" customWidth="1"/>
    <col min="18" max="18" width="4.83203125" style="45" customWidth="1"/>
    <col min="19" max="19" width="7.83203125" style="46" bestFit="1" customWidth="1"/>
    <col min="20" max="20" width="8.5" style="45" bestFit="1" customWidth="1"/>
    <col min="21" max="21" width="22.5" style="37" customWidth="1"/>
  </cols>
  <sheetData>
    <row r="1" spans="1:21" s="2" customFormat="1" ht="29" customHeight="1">
      <c r="A1" s="77" t="s">
        <v>598</v>
      </c>
      <c r="B1" s="78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80"/>
    </row>
    <row r="2" spans="1:21" s="2" customFormat="1" ht="62" customHeight="1" thickBot="1">
      <c r="A2" s="81"/>
      <c r="B2" s="82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4"/>
    </row>
    <row r="3" spans="1:21" s="1" customFormat="1" ht="12.75" customHeight="1">
      <c r="A3" s="85" t="s">
        <v>625</v>
      </c>
      <c r="B3" s="67" t="s">
        <v>0</v>
      </c>
      <c r="C3" s="87" t="s">
        <v>627</v>
      </c>
      <c r="D3" s="87" t="s">
        <v>6</v>
      </c>
      <c r="E3" s="71" t="s">
        <v>628</v>
      </c>
      <c r="F3" s="89" t="s">
        <v>5</v>
      </c>
      <c r="G3" s="89" t="s">
        <v>7</v>
      </c>
      <c r="H3" s="89"/>
      <c r="I3" s="89"/>
      <c r="J3" s="89"/>
      <c r="K3" s="89" t="s">
        <v>8</v>
      </c>
      <c r="L3" s="89"/>
      <c r="M3" s="89"/>
      <c r="N3" s="89"/>
      <c r="O3" s="89" t="s">
        <v>9</v>
      </c>
      <c r="P3" s="89"/>
      <c r="Q3" s="89"/>
      <c r="R3" s="89"/>
      <c r="S3" s="69" t="s">
        <v>1</v>
      </c>
      <c r="T3" s="71" t="s">
        <v>3</v>
      </c>
      <c r="U3" s="73" t="s">
        <v>2</v>
      </c>
    </row>
    <row r="4" spans="1:21" s="1" customFormat="1" ht="21" customHeight="1" thickBot="1">
      <c r="A4" s="86"/>
      <c r="B4" s="68"/>
      <c r="C4" s="88"/>
      <c r="D4" s="88"/>
      <c r="E4" s="72"/>
      <c r="F4" s="8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70"/>
      <c r="T4" s="72"/>
      <c r="U4" s="74"/>
    </row>
    <row r="5" spans="1:21" s="3" customFormat="1" ht="16">
      <c r="A5" s="75" t="s">
        <v>123</v>
      </c>
      <c r="B5" s="75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26"/>
      <c r="T5" s="6"/>
      <c r="U5" s="5"/>
    </row>
    <row r="6" spans="1:21">
      <c r="A6" s="48">
        <v>1</v>
      </c>
      <c r="B6" s="36" t="s">
        <v>124</v>
      </c>
      <c r="C6" s="36" t="s">
        <v>125</v>
      </c>
      <c r="D6" s="36" t="s">
        <v>126</v>
      </c>
      <c r="E6" s="36" t="s">
        <v>629</v>
      </c>
      <c r="F6" s="36" t="s">
        <v>612</v>
      </c>
      <c r="G6" s="47" t="s">
        <v>127</v>
      </c>
      <c r="H6" s="47" t="s">
        <v>94</v>
      </c>
      <c r="I6" s="47" t="s">
        <v>128</v>
      </c>
      <c r="J6" s="48"/>
      <c r="K6" s="47" t="s">
        <v>99</v>
      </c>
      <c r="L6" s="47" t="s">
        <v>129</v>
      </c>
      <c r="M6" s="47" t="s">
        <v>130</v>
      </c>
      <c r="N6" s="48"/>
      <c r="O6" s="47" t="s">
        <v>100</v>
      </c>
      <c r="P6" s="49" t="s">
        <v>131</v>
      </c>
      <c r="Q6" s="49" t="s">
        <v>131</v>
      </c>
      <c r="R6" s="48"/>
      <c r="S6" s="65" t="str">
        <f>"210,0"</f>
        <v>210,0</v>
      </c>
      <c r="T6" s="48" t="str">
        <f>"264,5370"</f>
        <v>264,5370</v>
      </c>
      <c r="U6" s="36" t="s">
        <v>132</v>
      </c>
    </row>
    <row r="8" spans="1:21" ht="16">
      <c r="A8" s="66" t="s">
        <v>102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</row>
    <row r="9" spans="1:21">
      <c r="A9" s="48">
        <v>1</v>
      </c>
      <c r="B9" s="36" t="s">
        <v>133</v>
      </c>
      <c r="C9" s="36" t="s">
        <v>134</v>
      </c>
      <c r="D9" s="36" t="s">
        <v>135</v>
      </c>
      <c r="E9" s="36" t="s">
        <v>630</v>
      </c>
      <c r="F9" s="36" t="s">
        <v>136</v>
      </c>
      <c r="G9" s="47" t="s">
        <v>107</v>
      </c>
      <c r="H9" s="47" t="s">
        <v>137</v>
      </c>
      <c r="I9" s="47" t="s">
        <v>138</v>
      </c>
      <c r="J9" s="48"/>
      <c r="K9" s="47" t="s">
        <v>96</v>
      </c>
      <c r="L9" s="49" t="s">
        <v>100</v>
      </c>
      <c r="M9" s="49" t="s">
        <v>100</v>
      </c>
      <c r="N9" s="48"/>
      <c r="O9" s="47" t="s">
        <v>107</v>
      </c>
      <c r="P9" s="47" t="s">
        <v>138</v>
      </c>
      <c r="Q9" s="49" t="s">
        <v>139</v>
      </c>
      <c r="R9" s="48"/>
      <c r="S9" s="65" t="str">
        <f>"307,5"</f>
        <v>307,5</v>
      </c>
      <c r="T9" s="48" t="str">
        <f>"344,1540"</f>
        <v>344,1540</v>
      </c>
      <c r="U9" s="36" t="s">
        <v>140</v>
      </c>
    </row>
    <row r="11" spans="1:21" ht="16">
      <c r="A11" s="66" t="s">
        <v>109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</row>
    <row r="12" spans="1:21">
      <c r="A12" s="48">
        <v>1</v>
      </c>
      <c r="B12" s="36" t="s">
        <v>141</v>
      </c>
      <c r="C12" s="36" t="s">
        <v>142</v>
      </c>
      <c r="D12" s="36" t="s">
        <v>143</v>
      </c>
      <c r="E12" s="36" t="s">
        <v>629</v>
      </c>
      <c r="F12" s="36" t="s">
        <v>93</v>
      </c>
      <c r="G12" s="47" t="s">
        <v>114</v>
      </c>
      <c r="H12" s="47" t="s">
        <v>18</v>
      </c>
      <c r="I12" s="49" t="s">
        <v>33</v>
      </c>
      <c r="J12" s="48"/>
      <c r="K12" s="47" t="s">
        <v>144</v>
      </c>
      <c r="L12" s="49" t="s">
        <v>145</v>
      </c>
      <c r="M12" s="47" t="s">
        <v>145</v>
      </c>
      <c r="N12" s="48"/>
      <c r="O12" s="47" t="s">
        <v>19</v>
      </c>
      <c r="P12" s="47" t="s">
        <v>146</v>
      </c>
      <c r="Q12" s="47" t="s">
        <v>147</v>
      </c>
      <c r="R12" s="48"/>
      <c r="S12" s="65" t="str">
        <f>"382,5"</f>
        <v>382,5</v>
      </c>
      <c r="T12" s="48" t="str">
        <f>"391,6418"</f>
        <v>391,6418</v>
      </c>
      <c r="U12" s="36" t="s">
        <v>132</v>
      </c>
    </row>
    <row r="14" spans="1:21" ht="16">
      <c r="A14" s="66" t="s">
        <v>10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</row>
    <row r="15" spans="1:21">
      <c r="A15" s="48">
        <v>1</v>
      </c>
      <c r="B15" s="36" t="s">
        <v>148</v>
      </c>
      <c r="C15" s="36" t="s">
        <v>149</v>
      </c>
      <c r="D15" s="36" t="s">
        <v>150</v>
      </c>
      <c r="E15" s="36" t="s">
        <v>629</v>
      </c>
      <c r="F15" s="36" t="s">
        <v>93</v>
      </c>
      <c r="G15" s="47" t="s">
        <v>151</v>
      </c>
      <c r="H15" s="47" t="s">
        <v>152</v>
      </c>
      <c r="I15" s="47" t="s">
        <v>153</v>
      </c>
      <c r="J15" s="48"/>
      <c r="K15" s="47" t="s">
        <v>154</v>
      </c>
      <c r="L15" s="47" t="s">
        <v>53</v>
      </c>
      <c r="M15" s="47" t="s">
        <v>139</v>
      </c>
      <c r="N15" s="48"/>
      <c r="O15" s="47" t="s">
        <v>51</v>
      </c>
      <c r="P15" s="47" t="s">
        <v>155</v>
      </c>
      <c r="Q15" s="49" t="s">
        <v>52</v>
      </c>
      <c r="R15" s="48"/>
      <c r="S15" s="65" t="str">
        <f>"497,5"</f>
        <v>497,5</v>
      </c>
      <c r="T15" s="48" t="str">
        <f>"472,9235"</f>
        <v>472,9235</v>
      </c>
      <c r="U15" s="36" t="s">
        <v>156</v>
      </c>
    </row>
    <row r="17" spans="1:21" ht="16">
      <c r="A17" s="66" t="s">
        <v>37</v>
      </c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</row>
    <row r="18" spans="1:21">
      <c r="A18" s="48">
        <v>1</v>
      </c>
      <c r="B18" s="36" t="s">
        <v>157</v>
      </c>
      <c r="C18" s="36" t="s">
        <v>158</v>
      </c>
      <c r="D18" s="36" t="s">
        <v>159</v>
      </c>
      <c r="E18" s="36" t="s">
        <v>629</v>
      </c>
      <c r="F18" s="36" t="s">
        <v>93</v>
      </c>
      <c r="G18" s="47" t="s">
        <v>160</v>
      </c>
      <c r="H18" s="49" t="s">
        <v>51</v>
      </c>
      <c r="I18" s="49" t="s">
        <v>51</v>
      </c>
      <c r="J18" s="48"/>
      <c r="K18" s="47" t="s">
        <v>18</v>
      </c>
      <c r="L18" s="47" t="s">
        <v>33</v>
      </c>
      <c r="M18" s="49" t="s">
        <v>19</v>
      </c>
      <c r="N18" s="48"/>
      <c r="O18" s="47" t="s">
        <v>74</v>
      </c>
      <c r="P18" s="49" t="s">
        <v>161</v>
      </c>
      <c r="Q18" s="49" t="s">
        <v>161</v>
      </c>
      <c r="R18" s="48"/>
      <c r="S18" s="65" t="str">
        <f>"535,0"</f>
        <v>535,0</v>
      </c>
      <c r="T18" s="48" t="str">
        <f>"478,2365"</f>
        <v>478,2365</v>
      </c>
      <c r="U18" s="36" t="s">
        <v>132</v>
      </c>
    </row>
    <row r="20" spans="1:21" ht="16">
      <c r="A20" s="66" t="s">
        <v>37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</row>
    <row r="21" spans="1:21">
      <c r="A21" s="48">
        <v>1</v>
      </c>
      <c r="B21" s="36" t="s">
        <v>162</v>
      </c>
      <c r="C21" s="36" t="s">
        <v>163</v>
      </c>
      <c r="D21" s="36" t="s">
        <v>164</v>
      </c>
      <c r="E21" s="36" t="s">
        <v>629</v>
      </c>
      <c r="F21" s="36" t="s">
        <v>165</v>
      </c>
      <c r="G21" s="47" t="s">
        <v>64</v>
      </c>
      <c r="H21" s="47" t="s">
        <v>166</v>
      </c>
      <c r="I21" s="47" t="s">
        <v>167</v>
      </c>
      <c r="J21" s="48"/>
      <c r="K21" s="47" t="s">
        <v>151</v>
      </c>
      <c r="L21" s="47" t="s">
        <v>168</v>
      </c>
      <c r="M21" s="47" t="s">
        <v>160</v>
      </c>
      <c r="N21" s="48"/>
      <c r="O21" s="47" t="s">
        <v>74</v>
      </c>
      <c r="P21" s="47" t="s">
        <v>169</v>
      </c>
      <c r="Q21" s="49" t="s">
        <v>15</v>
      </c>
      <c r="R21" s="48"/>
      <c r="S21" s="65" t="str">
        <f>"647,5"</f>
        <v>647,5</v>
      </c>
      <c r="T21" s="48" t="str">
        <f>"420,2923"</f>
        <v>420,2923</v>
      </c>
      <c r="U21" s="36" t="s">
        <v>132</v>
      </c>
    </row>
    <row r="23" spans="1:21" ht="16">
      <c r="A23" s="66" t="s">
        <v>46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</row>
    <row r="24" spans="1:21">
      <c r="A24" s="48" t="s">
        <v>122</v>
      </c>
      <c r="B24" s="36" t="s">
        <v>170</v>
      </c>
      <c r="C24" s="36" t="s">
        <v>171</v>
      </c>
      <c r="D24" s="36" t="s">
        <v>172</v>
      </c>
      <c r="E24" s="36" t="s">
        <v>629</v>
      </c>
      <c r="F24" s="36" t="s">
        <v>173</v>
      </c>
      <c r="G24" s="49" t="s">
        <v>75</v>
      </c>
      <c r="H24" s="49" t="s">
        <v>75</v>
      </c>
      <c r="I24" s="49" t="s">
        <v>75</v>
      </c>
      <c r="J24" s="48"/>
      <c r="K24" s="49"/>
      <c r="L24" s="48"/>
      <c r="M24" s="48"/>
      <c r="N24" s="48"/>
      <c r="O24" s="49"/>
      <c r="P24" s="48"/>
      <c r="Q24" s="48"/>
      <c r="R24" s="48"/>
      <c r="S24" s="65">
        <v>0</v>
      </c>
      <c r="T24" s="48" t="str">
        <f>"0,0000"</f>
        <v>0,0000</v>
      </c>
      <c r="U24" s="36"/>
    </row>
    <row r="26" spans="1:21" ht="16">
      <c r="A26" s="66" t="s">
        <v>115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</row>
    <row r="27" spans="1:21">
      <c r="A27" s="48">
        <v>1</v>
      </c>
      <c r="B27" s="36" t="s">
        <v>174</v>
      </c>
      <c r="C27" s="36" t="s">
        <v>175</v>
      </c>
      <c r="D27" s="36" t="s">
        <v>176</v>
      </c>
      <c r="E27" s="36" t="s">
        <v>629</v>
      </c>
      <c r="F27" s="36" t="s">
        <v>177</v>
      </c>
      <c r="G27" s="47" t="s">
        <v>178</v>
      </c>
      <c r="H27" s="47" t="s">
        <v>41</v>
      </c>
      <c r="I27" s="48"/>
      <c r="J27" s="48"/>
      <c r="K27" s="47" t="s">
        <v>160</v>
      </c>
      <c r="L27" s="47" t="s">
        <v>51</v>
      </c>
      <c r="M27" s="47" t="s">
        <v>42</v>
      </c>
      <c r="N27" s="48"/>
      <c r="O27" s="49" t="s">
        <v>179</v>
      </c>
      <c r="P27" s="47" t="s">
        <v>180</v>
      </c>
      <c r="Q27" s="49" t="s">
        <v>181</v>
      </c>
      <c r="R27" s="48"/>
      <c r="S27" s="65" t="str">
        <f>"855,0"</f>
        <v>855,0</v>
      </c>
      <c r="T27" s="48" t="str">
        <f>"508,2975"</f>
        <v>508,2975</v>
      </c>
      <c r="U27" s="36" t="s">
        <v>182</v>
      </c>
    </row>
    <row r="29" spans="1:21">
      <c r="G29" s="37"/>
    </row>
  </sheetData>
  <mergeCells count="21"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26:R26"/>
    <mergeCell ref="B3:B4"/>
    <mergeCell ref="A8:R8"/>
    <mergeCell ref="A11:R11"/>
    <mergeCell ref="A14:R14"/>
    <mergeCell ref="A17:R17"/>
    <mergeCell ref="A20:R20"/>
    <mergeCell ref="A23:R2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247FB-1651-4A6A-A682-34052FAAD083}">
  <dimension ref="A1:U15"/>
  <sheetViews>
    <sheetView workbookViewId="0">
      <selection activeCell="E16" sqref="E16"/>
    </sheetView>
  </sheetViews>
  <sheetFormatPr baseColWidth="10" defaultColWidth="8.83203125" defaultRowHeight="13"/>
  <cols>
    <col min="1" max="1" width="7.5" style="37" bestFit="1" customWidth="1"/>
    <col min="2" max="2" width="20.6640625" style="37" bestFit="1" customWidth="1"/>
    <col min="3" max="3" width="26.5" style="37" bestFit="1" customWidth="1"/>
    <col min="4" max="4" width="21.5" style="37" bestFit="1" customWidth="1"/>
    <col min="5" max="5" width="10.5" style="37" bestFit="1" customWidth="1"/>
    <col min="6" max="6" width="29.5" style="37" bestFit="1" customWidth="1"/>
    <col min="7" max="9" width="5.5" style="45" customWidth="1"/>
    <col min="10" max="10" width="4.83203125" style="45" customWidth="1"/>
    <col min="11" max="13" width="5.5" style="45" customWidth="1"/>
    <col min="14" max="14" width="4.83203125" style="45" customWidth="1"/>
    <col min="15" max="17" width="5.5" style="45" customWidth="1"/>
    <col min="18" max="18" width="4.83203125" style="45" customWidth="1"/>
    <col min="19" max="19" width="7.83203125" style="46" bestFit="1" customWidth="1"/>
    <col min="20" max="20" width="8.5" style="45" bestFit="1" customWidth="1"/>
    <col min="21" max="21" width="15.5" style="37" bestFit="1" customWidth="1"/>
  </cols>
  <sheetData>
    <row r="1" spans="1:21" s="2" customFormat="1" ht="29" customHeight="1">
      <c r="A1" s="77" t="s">
        <v>599</v>
      </c>
      <c r="B1" s="78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80"/>
    </row>
    <row r="2" spans="1:21" s="2" customFormat="1" ht="62" customHeight="1" thickBot="1">
      <c r="A2" s="81"/>
      <c r="B2" s="82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4"/>
    </row>
    <row r="3" spans="1:21" s="1" customFormat="1" ht="12.75" customHeight="1">
      <c r="A3" s="85" t="s">
        <v>625</v>
      </c>
      <c r="B3" s="67" t="s">
        <v>0</v>
      </c>
      <c r="C3" s="87" t="s">
        <v>627</v>
      </c>
      <c r="D3" s="87" t="s">
        <v>6</v>
      </c>
      <c r="E3" s="71" t="s">
        <v>628</v>
      </c>
      <c r="F3" s="89" t="s">
        <v>5</v>
      </c>
      <c r="G3" s="89" t="s">
        <v>7</v>
      </c>
      <c r="H3" s="89"/>
      <c r="I3" s="89"/>
      <c r="J3" s="89"/>
      <c r="K3" s="89" t="s">
        <v>8</v>
      </c>
      <c r="L3" s="89"/>
      <c r="M3" s="89"/>
      <c r="N3" s="89"/>
      <c r="O3" s="89" t="s">
        <v>9</v>
      </c>
      <c r="P3" s="89"/>
      <c r="Q3" s="89"/>
      <c r="R3" s="89"/>
      <c r="S3" s="69" t="s">
        <v>1</v>
      </c>
      <c r="T3" s="71" t="s">
        <v>3</v>
      </c>
      <c r="U3" s="73" t="s">
        <v>2</v>
      </c>
    </row>
    <row r="4" spans="1:21" s="1" customFormat="1" ht="21" customHeight="1" thickBot="1">
      <c r="A4" s="86"/>
      <c r="B4" s="68"/>
      <c r="C4" s="88"/>
      <c r="D4" s="88"/>
      <c r="E4" s="72"/>
      <c r="F4" s="8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70"/>
      <c r="T4" s="72"/>
      <c r="U4" s="74"/>
    </row>
    <row r="5" spans="1:21" s="3" customFormat="1" ht="16">
      <c r="A5" s="75" t="s">
        <v>89</v>
      </c>
      <c r="B5" s="75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26"/>
      <c r="T5" s="6"/>
      <c r="U5" s="5"/>
    </row>
    <row r="6" spans="1:21">
      <c r="A6" s="48">
        <v>1</v>
      </c>
      <c r="B6" s="36" t="s">
        <v>90</v>
      </c>
      <c r="C6" s="36" t="s">
        <v>91</v>
      </c>
      <c r="D6" s="36" t="s">
        <v>92</v>
      </c>
      <c r="E6" s="36" t="s">
        <v>629</v>
      </c>
      <c r="F6" s="36" t="s">
        <v>93</v>
      </c>
      <c r="G6" s="47" t="s">
        <v>94</v>
      </c>
      <c r="H6" s="47" t="s">
        <v>95</v>
      </c>
      <c r="I6" s="47" t="s">
        <v>96</v>
      </c>
      <c r="J6" s="48"/>
      <c r="K6" s="47" t="s">
        <v>97</v>
      </c>
      <c r="L6" s="47" t="s">
        <v>98</v>
      </c>
      <c r="M6" s="49" t="s">
        <v>99</v>
      </c>
      <c r="N6" s="48"/>
      <c r="O6" s="47" t="s">
        <v>94</v>
      </c>
      <c r="P6" s="47" t="s">
        <v>95</v>
      </c>
      <c r="Q6" s="47" t="s">
        <v>100</v>
      </c>
      <c r="R6" s="48"/>
      <c r="S6" s="65" t="str">
        <f>"207,5"</f>
        <v>207,5</v>
      </c>
      <c r="T6" s="48" t="str">
        <f>"250,1205"</f>
        <v>250,1205</v>
      </c>
      <c r="U6" s="36" t="s">
        <v>101</v>
      </c>
    </row>
    <row r="8" spans="1:21" ht="16">
      <c r="A8" s="66" t="s">
        <v>102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</row>
    <row r="9" spans="1:21">
      <c r="A9" s="48">
        <v>1</v>
      </c>
      <c r="B9" s="36" t="s">
        <v>103</v>
      </c>
      <c r="C9" s="36" t="s">
        <v>104</v>
      </c>
      <c r="D9" s="36" t="s">
        <v>105</v>
      </c>
      <c r="E9" s="36" t="s">
        <v>629</v>
      </c>
      <c r="F9" s="36" t="s">
        <v>106</v>
      </c>
      <c r="G9" s="47" t="s">
        <v>107</v>
      </c>
      <c r="H9" s="47" t="s">
        <v>53</v>
      </c>
      <c r="I9" s="47" t="s">
        <v>54</v>
      </c>
      <c r="J9" s="48"/>
      <c r="K9" s="49" t="s">
        <v>108</v>
      </c>
      <c r="L9" s="49" t="s">
        <v>108</v>
      </c>
      <c r="M9" s="47" t="s">
        <v>108</v>
      </c>
      <c r="N9" s="48"/>
      <c r="O9" s="47" t="s">
        <v>19</v>
      </c>
      <c r="P9" s="49" t="s">
        <v>20</v>
      </c>
      <c r="Q9" s="49" t="s">
        <v>20</v>
      </c>
      <c r="R9" s="48"/>
      <c r="S9" s="65" t="str">
        <f>"315,0"</f>
        <v>315,0</v>
      </c>
      <c r="T9" s="48" t="str">
        <f>"356,7375"</f>
        <v>356,7375</v>
      </c>
      <c r="U9" s="36"/>
    </row>
    <row r="11" spans="1:21" ht="16">
      <c r="A11" s="66" t="s">
        <v>109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</row>
    <row r="12" spans="1:21">
      <c r="A12" s="48">
        <v>1</v>
      </c>
      <c r="B12" s="36" t="s">
        <v>110</v>
      </c>
      <c r="C12" s="36" t="s">
        <v>111</v>
      </c>
      <c r="D12" s="36" t="s">
        <v>112</v>
      </c>
      <c r="E12" s="36" t="s">
        <v>634</v>
      </c>
      <c r="F12" s="36" t="s">
        <v>29</v>
      </c>
      <c r="G12" s="47" t="s">
        <v>74</v>
      </c>
      <c r="H12" s="47" t="s">
        <v>75</v>
      </c>
      <c r="I12" s="49" t="s">
        <v>113</v>
      </c>
      <c r="J12" s="48"/>
      <c r="K12" s="47" t="s">
        <v>54</v>
      </c>
      <c r="L12" s="47" t="s">
        <v>114</v>
      </c>
      <c r="M12" s="47" t="s">
        <v>18</v>
      </c>
      <c r="N12" s="48"/>
      <c r="O12" s="47" t="s">
        <v>42</v>
      </c>
      <c r="P12" s="49" t="s">
        <v>43</v>
      </c>
      <c r="Q12" s="48"/>
      <c r="R12" s="48"/>
      <c r="S12" s="65" t="str">
        <f>"560,0"</f>
        <v>560,0</v>
      </c>
      <c r="T12" s="48" t="str">
        <f>"431,7600"</f>
        <v>431,7600</v>
      </c>
      <c r="U12" s="36" t="s">
        <v>35</v>
      </c>
    </row>
    <row r="14" spans="1:21" ht="16">
      <c r="A14" s="66" t="s">
        <v>115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</row>
    <row r="15" spans="1:21">
      <c r="A15" s="48" t="s">
        <v>122</v>
      </c>
      <c r="B15" s="36" t="s">
        <v>116</v>
      </c>
      <c r="C15" s="36" t="s">
        <v>117</v>
      </c>
      <c r="D15" s="36" t="s">
        <v>118</v>
      </c>
      <c r="E15" s="36" t="s">
        <v>629</v>
      </c>
      <c r="F15" s="36" t="s">
        <v>613</v>
      </c>
      <c r="G15" s="49" t="s">
        <v>42</v>
      </c>
      <c r="H15" s="49" t="s">
        <v>74</v>
      </c>
      <c r="I15" s="47" t="s">
        <v>74</v>
      </c>
      <c r="J15" s="48"/>
      <c r="K15" s="49" t="s">
        <v>34</v>
      </c>
      <c r="L15" s="49" t="s">
        <v>119</v>
      </c>
      <c r="M15" s="49" t="s">
        <v>119</v>
      </c>
      <c r="N15" s="48"/>
      <c r="O15" s="49"/>
      <c r="P15" s="48"/>
      <c r="Q15" s="48"/>
      <c r="R15" s="48"/>
      <c r="S15" s="65">
        <v>0</v>
      </c>
      <c r="T15" s="48" t="str">
        <f>"0,0000"</f>
        <v>0,0000</v>
      </c>
      <c r="U15" s="36" t="s">
        <v>66</v>
      </c>
    </row>
  </sheetData>
  <mergeCells count="17"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8:R8"/>
    <mergeCell ref="A11:R11"/>
    <mergeCell ref="A14:R14"/>
    <mergeCell ref="B3:B4"/>
    <mergeCell ref="S3:S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5">
    <pageSetUpPr fitToPage="1"/>
  </sheetPr>
  <dimension ref="A1:U33"/>
  <sheetViews>
    <sheetView workbookViewId="0">
      <selection activeCell="E23" sqref="E23"/>
    </sheetView>
  </sheetViews>
  <sheetFormatPr baseColWidth="10" defaultColWidth="9.1640625" defaultRowHeight="13"/>
  <cols>
    <col min="1" max="1" width="7.5" style="5" bestFit="1" customWidth="1"/>
    <col min="2" max="2" width="19" style="5" bestFit="1" customWidth="1"/>
    <col min="3" max="3" width="26.33203125" style="5" bestFit="1" customWidth="1"/>
    <col min="4" max="4" width="21.5" style="5" bestFit="1" customWidth="1"/>
    <col min="5" max="5" width="10.5" style="16" bestFit="1" customWidth="1"/>
    <col min="6" max="6" width="28.6640625" style="5" bestFit="1" customWidth="1"/>
    <col min="7" max="9" width="5.5" style="25" customWidth="1"/>
    <col min="10" max="10" width="4.83203125" style="25" customWidth="1"/>
    <col min="11" max="13" width="5.5" style="25" customWidth="1"/>
    <col min="14" max="14" width="4.83203125" style="25" customWidth="1"/>
    <col min="15" max="18" width="5.5" style="25" customWidth="1"/>
    <col min="19" max="19" width="7.83203125" style="6" bestFit="1" customWidth="1"/>
    <col min="20" max="20" width="8.5" style="6" bestFit="1" customWidth="1"/>
    <col min="21" max="21" width="19.6640625" style="5" customWidth="1"/>
    <col min="22" max="16384" width="9.1640625" style="3"/>
  </cols>
  <sheetData>
    <row r="1" spans="1:21" s="2" customFormat="1" ht="29" customHeight="1">
      <c r="A1" s="77" t="s">
        <v>600</v>
      </c>
      <c r="B1" s="78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80"/>
    </row>
    <row r="2" spans="1:21" s="2" customFormat="1" ht="62" customHeight="1" thickBot="1">
      <c r="A2" s="81"/>
      <c r="B2" s="82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4"/>
    </row>
    <row r="3" spans="1:21" s="1" customFormat="1" ht="12.75" customHeight="1">
      <c r="A3" s="85" t="s">
        <v>625</v>
      </c>
      <c r="B3" s="67" t="s">
        <v>0</v>
      </c>
      <c r="C3" s="87" t="s">
        <v>627</v>
      </c>
      <c r="D3" s="87" t="s">
        <v>6</v>
      </c>
      <c r="E3" s="71" t="s">
        <v>628</v>
      </c>
      <c r="F3" s="89" t="s">
        <v>5</v>
      </c>
      <c r="G3" s="89" t="s">
        <v>7</v>
      </c>
      <c r="H3" s="89"/>
      <c r="I3" s="89"/>
      <c r="J3" s="89"/>
      <c r="K3" s="89" t="s">
        <v>8</v>
      </c>
      <c r="L3" s="89"/>
      <c r="M3" s="89"/>
      <c r="N3" s="89"/>
      <c r="O3" s="89" t="s">
        <v>9</v>
      </c>
      <c r="P3" s="89"/>
      <c r="Q3" s="89"/>
      <c r="R3" s="89"/>
      <c r="S3" s="71" t="s">
        <v>1</v>
      </c>
      <c r="T3" s="71" t="s">
        <v>3</v>
      </c>
      <c r="U3" s="73" t="s">
        <v>2</v>
      </c>
    </row>
    <row r="4" spans="1:21" s="1" customFormat="1" ht="21" customHeight="1" thickBot="1">
      <c r="A4" s="86"/>
      <c r="B4" s="68"/>
      <c r="C4" s="88"/>
      <c r="D4" s="88"/>
      <c r="E4" s="72"/>
      <c r="F4" s="8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72"/>
      <c r="T4" s="72"/>
      <c r="U4" s="74"/>
    </row>
    <row r="5" spans="1:21" ht="16">
      <c r="A5" s="75" t="s">
        <v>10</v>
      </c>
      <c r="B5" s="75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</row>
    <row r="6" spans="1:21">
      <c r="A6" s="28" t="s">
        <v>88</v>
      </c>
      <c r="B6" s="7" t="s">
        <v>11</v>
      </c>
      <c r="C6" s="7" t="s">
        <v>12</v>
      </c>
      <c r="D6" s="7" t="s">
        <v>13</v>
      </c>
      <c r="E6" s="8" t="s">
        <v>629</v>
      </c>
      <c r="F6" s="7" t="s">
        <v>14</v>
      </c>
      <c r="G6" s="27" t="s">
        <v>15</v>
      </c>
      <c r="H6" s="27" t="s">
        <v>16</v>
      </c>
      <c r="I6" s="27" t="s">
        <v>17</v>
      </c>
      <c r="J6" s="28"/>
      <c r="K6" s="27" t="s">
        <v>18</v>
      </c>
      <c r="L6" s="27" t="s">
        <v>19</v>
      </c>
      <c r="M6" s="29" t="s">
        <v>20</v>
      </c>
      <c r="N6" s="28"/>
      <c r="O6" s="27" t="s">
        <v>21</v>
      </c>
      <c r="P6" s="27" t="s">
        <v>22</v>
      </c>
      <c r="Q6" s="27" t="s">
        <v>23</v>
      </c>
      <c r="R6" s="29" t="s">
        <v>24</v>
      </c>
      <c r="S6" s="9" t="str">
        <f>"765,0"</f>
        <v>765,0</v>
      </c>
      <c r="T6" s="9" t="str">
        <f>"546,1335"</f>
        <v>546,1335</v>
      </c>
      <c r="U6" s="7"/>
    </row>
    <row r="8" spans="1:21" ht="16">
      <c r="A8" s="90" t="s">
        <v>25</v>
      </c>
      <c r="B8" s="90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</row>
    <row r="9" spans="1:21">
      <c r="A9" s="32" t="s">
        <v>88</v>
      </c>
      <c r="B9" s="10" t="s">
        <v>26</v>
      </c>
      <c r="C9" s="10" t="s">
        <v>27</v>
      </c>
      <c r="D9" s="10" t="s">
        <v>28</v>
      </c>
      <c r="E9" s="11" t="s">
        <v>632</v>
      </c>
      <c r="F9" s="10" t="s">
        <v>29</v>
      </c>
      <c r="G9" s="30" t="s">
        <v>30</v>
      </c>
      <c r="H9" s="30" t="s">
        <v>31</v>
      </c>
      <c r="I9" s="31" t="s">
        <v>32</v>
      </c>
      <c r="J9" s="32"/>
      <c r="K9" s="30" t="s">
        <v>33</v>
      </c>
      <c r="L9" s="30" t="s">
        <v>34</v>
      </c>
      <c r="M9" s="30" t="s">
        <v>20</v>
      </c>
      <c r="N9" s="32"/>
      <c r="O9" s="30" t="s">
        <v>16</v>
      </c>
      <c r="P9" s="31" t="s">
        <v>30</v>
      </c>
      <c r="Q9" s="31" t="s">
        <v>30</v>
      </c>
      <c r="R9" s="32"/>
      <c r="S9" s="12" t="str">
        <f>"700,0"</f>
        <v>700,0</v>
      </c>
      <c r="T9" s="12" t="str">
        <f>"470,3300"</f>
        <v>470,3300</v>
      </c>
      <c r="U9" s="10" t="s">
        <v>35</v>
      </c>
    </row>
    <row r="10" spans="1:21">
      <c r="A10" s="35" t="s">
        <v>88</v>
      </c>
      <c r="B10" s="13" t="s">
        <v>26</v>
      </c>
      <c r="C10" s="13" t="s">
        <v>36</v>
      </c>
      <c r="D10" s="13" t="s">
        <v>28</v>
      </c>
      <c r="E10" s="14" t="s">
        <v>629</v>
      </c>
      <c r="F10" s="13" t="s">
        <v>29</v>
      </c>
      <c r="G10" s="33" t="s">
        <v>30</v>
      </c>
      <c r="H10" s="33" t="s">
        <v>31</v>
      </c>
      <c r="I10" s="34" t="s">
        <v>32</v>
      </c>
      <c r="J10" s="35"/>
      <c r="K10" s="33" t="s">
        <v>33</v>
      </c>
      <c r="L10" s="33" t="s">
        <v>34</v>
      </c>
      <c r="M10" s="33" t="s">
        <v>20</v>
      </c>
      <c r="N10" s="35"/>
      <c r="O10" s="33" t="s">
        <v>16</v>
      </c>
      <c r="P10" s="34" t="s">
        <v>30</v>
      </c>
      <c r="Q10" s="34" t="s">
        <v>30</v>
      </c>
      <c r="R10" s="35"/>
      <c r="S10" s="15" t="str">
        <f>"700,0"</f>
        <v>700,0</v>
      </c>
      <c r="T10" s="15" t="str">
        <f>"470,3300"</f>
        <v>470,3300</v>
      </c>
      <c r="U10" s="13" t="s">
        <v>35</v>
      </c>
    </row>
    <row r="12" spans="1:21" ht="16">
      <c r="A12" s="90" t="s">
        <v>37</v>
      </c>
      <c r="B12" s="90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</row>
    <row r="13" spans="1:21">
      <c r="A13" s="28" t="s">
        <v>88</v>
      </c>
      <c r="B13" s="7" t="s">
        <v>38</v>
      </c>
      <c r="C13" s="7" t="s">
        <v>39</v>
      </c>
      <c r="D13" s="7" t="s">
        <v>40</v>
      </c>
      <c r="E13" s="8" t="s">
        <v>629</v>
      </c>
      <c r="F13" s="7" t="s">
        <v>617</v>
      </c>
      <c r="G13" s="29" t="s">
        <v>41</v>
      </c>
      <c r="H13" s="29" t="s">
        <v>41</v>
      </c>
      <c r="I13" s="27" t="s">
        <v>41</v>
      </c>
      <c r="J13" s="28"/>
      <c r="K13" s="27" t="s">
        <v>42</v>
      </c>
      <c r="L13" s="27" t="s">
        <v>43</v>
      </c>
      <c r="M13" s="29" t="s">
        <v>44</v>
      </c>
      <c r="N13" s="28"/>
      <c r="O13" s="27" t="s">
        <v>45</v>
      </c>
      <c r="P13" s="29" t="s">
        <v>23</v>
      </c>
      <c r="Q13" s="29" t="s">
        <v>23</v>
      </c>
      <c r="R13" s="28"/>
      <c r="S13" s="9" t="str">
        <f>"847,5"</f>
        <v>847,5</v>
      </c>
      <c r="T13" s="9" t="str">
        <f>"541,3830"</f>
        <v>541,3830</v>
      </c>
      <c r="U13" s="7"/>
    </row>
    <row r="15" spans="1:21" ht="16">
      <c r="A15" s="90" t="s">
        <v>46</v>
      </c>
      <c r="B15" s="90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</row>
    <row r="16" spans="1:21">
      <c r="A16" s="28" t="s">
        <v>88</v>
      </c>
      <c r="B16" s="7" t="s">
        <v>47</v>
      </c>
      <c r="C16" s="7" t="s">
        <v>48</v>
      </c>
      <c r="D16" s="7" t="s">
        <v>49</v>
      </c>
      <c r="E16" s="8" t="s">
        <v>629</v>
      </c>
      <c r="F16" s="7" t="s">
        <v>50</v>
      </c>
      <c r="G16" s="27" t="s">
        <v>51</v>
      </c>
      <c r="H16" s="27" t="s">
        <v>42</v>
      </c>
      <c r="I16" s="27" t="s">
        <v>52</v>
      </c>
      <c r="J16" s="28"/>
      <c r="K16" s="27" t="s">
        <v>53</v>
      </c>
      <c r="L16" s="27" t="s">
        <v>54</v>
      </c>
      <c r="M16" s="27" t="s">
        <v>55</v>
      </c>
      <c r="N16" s="28"/>
      <c r="O16" s="29" t="s">
        <v>42</v>
      </c>
      <c r="P16" s="27" t="s">
        <v>52</v>
      </c>
      <c r="Q16" s="29" t="s">
        <v>56</v>
      </c>
      <c r="R16" s="28"/>
      <c r="S16" s="9" t="str">
        <f>"532,5"</f>
        <v>532,5</v>
      </c>
      <c r="T16" s="9" t="str">
        <f>"337,3387"</f>
        <v>337,3387</v>
      </c>
      <c r="U16" s="7" t="s">
        <v>57</v>
      </c>
    </row>
    <row r="18" spans="1:21" ht="16">
      <c r="A18" s="90" t="s">
        <v>58</v>
      </c>
      <c r="B18" s="90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</row>
    <row r="19" spans="1:21">
      <c r="A19" s="28" t="s">
        <v>88</v>
      </c>
      <c r="B19" s="7" t="s">
        <v>59</v>
      </c>
      <c r="C19" s="7" t="s">
        <v>60</v>
      </c>
      <c r="D19" s="7" t="s">
        <v>61</v>
      </c>
      <c r="E19" s="8" t="s">
        <v>629</v>
      </c>
      <c r="F19" s="7" t="s">
        <v>62</v>
      </c>
      <c r="G19" s="29" t="s">
        <v>17</v>
      </c>
      <c r="H19" s="27" t="s">
        <v>17</v>
      </c>
      <c r="I19" s="27" t="s">
        <v>21</v>
      </c>
      <c r="J19" s="28"/>
      <c r="K19" s="27" t="s">
        <v>51</v>
      </c>
      <c r="L19" s="27" t="s">
        <v>63</v>
      </c>
      <c r="M19" s="29" t="s">
        <v>64</v>
      </c>
      <c r="N19" s="28"/>
      <c r="O19" s="27" t="s">
        <v>22</v>
      </c>
      <c r="P19" s="29" t="s">
        <v>23</v>
      </c>
      <c r="Q19" s="29" t="s">
        <v>65</v>
      </c>
      <c r="R19" s="28"/>
      <c r="S19" s="9" t="str">
        <f>"827,5"</f>
        <v>827,5</v>
      </c>
      <c r="T19" s="9" t="str">
        <f>"473,8265"</f>
        <v>473,8265</v>
      </c>
      <c r="U19" s="7" t="s">
        <v>66</v>
      </c>
    </row>
    <row r="21" spans="1:21" ht="16">
      <c r="A21" s="90" t="s">
        <v>67</v>
      </c>
      <c r="B21" s="90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</row>
    <row r="22" spans="1:21">
      <c r="A22" s="28" t="s">
        <v>88</v>
      </c>
      <c r="B22" s="7" t="s">
        <v>68</v>
      </c>
      <c r="C22" s="7" t="s">
        <v>69</v>
      </c>
      <c r="D22" s="7" t="s">
        <v>70</v>
      </c>
      <c r="E22" s="8" t="s">
        <v>629</v>
      </c>
      <c r="F22" s="7" t="s">
        <v>29</v>
      </c>
      <c r="G22" s="27" t="s">
        <v>71</v>
      </c>
      <c r="H22" s="27" t="s">
        <v>72</v>
      </c>
      <c r="I22" s="29" t="s">
        <v>73</v>
      </c>
      <c r="J22" s="28"/>
      <c r="K22" s="27" t="s">
        <v>56</v>
      </c>
      <c r="L22" s="27" t="s">
        <v>74</v>
      </c>
      <c r="M22" s="29" t="s">
        <v>75</v>
      </c>
      <c r="N22" s="28"/>
      <c r="O22" s="27" t="s">
        <v>76</v>
      </c>
      <c r="P22" s="29" t="s">
        <v>77</v>
      </c>
      <c r="Q22" s="29" t="s">
        <v>77</v>
      </c>
      <c r="R22" s="28"/>
      <c r="S22" s="9" t="str">
        <f>"920,0"</f>
        <v>920,0</v>
      </c>
      <c r="T22" s="9" t="str">
        <f>"517,2240"</f>
        <v>517,2240</v>
      </c>
      <c r="U22" s="7" t="s">
        <v>35</v>
      </c>
    </row>
    <row r="24" spans="1:21" ht="16">
      <c r="F24" s="17"/>
      <c r="G24" s="5"/>
    </row>
    <row r="25" spans="1:21">
      <c r="G25" s="5"/>
    </row>
    <row r="26" spans="1:21" ht="18">
      <c r="B26" s="18" t="s">
        <v>78</v>
      </c>
      <c r="C26" s="18"/>
      <c r="G26" s="3"/>
    </row>
    <row r="27" spans="1:21" ht="16">
      <c r="B27" s="19" t="s">
        <v>79</v>
      </c>
      <c r="C27" s="19"/>
      <c r="G27" s="3"/>
    </row>
    <row r="28" spans="1:21" ht="14">
      <c r="B28" s="20"/>
      <c r="C28" s="21" t="s">
        <v>84</v>
      </c>
      <c r="G28" s="3"/>
    </row>
    <row r="29" spans="1:21" ht="14">
      <c r="B29" s="22" t="s">
        <v>80</v>
      </c>
      <c r="C29" s="22" t="s">
        <v>81</v>
      </c>
      <c r="D29" s="22" t="s">
        <v>596</v>
      </c>
      <c r="E29" s="23" t="s">
        <v>82</v>
      </c>
      <c r="F29" s="22" t="s">
        <v>83</v>
      </c>
      <c r="G29" s="3"/>
    </row>
    <row r="30" spans="1:21">
      <c r="B30" s="5" t="s">
        <v>11</v>
      </c>
      <c r="C30" s="5" t="s">
        <v>84</v>
      </c>
      <c r="D30" s="25" t="s">
        <v>85</v>
      </c>
      <c r="E30" s="26">
        <v>765</v>
      </c>
      <c r="F30" s="24">
        <v>546.13352268934204</v>
      </c>
      <c r="G30" s="3"/>
    </row>
    <row r="31" spans="1:21">
      <c r="B31" s="5" t="s">
        <v>38</v>
      </c>
      <c r="C31" s="5" t="s">
        <v>84</v>
      </c>
      <c r="D31" s="25" t="s">
        <v>86</v>
      </c>
      <c r="E31" s="26">
        <v>847.5</v>
      </c>
      <c r="F31" s="24">
        <v>541.38302117586102</v>
      </c>
      <c r="G31" s="3"/>
    </row>
    <row r="32" spans="1:21">
      <c r="B32" s="5" t="s">
        <v>68</v>
      </c>
      <c r="C32" s="5" t="s">
        <v>84</v>
      </c>
      <c r="D32" s="25" t="s">
        <v>87</v>
      </c>
      <c r="E32" s="26">
        <v>920</v>
      </c>
      <c r="F32" s="24">
        <v>517.22400903701805</v>
      </c>
      <c r="G32" s="3"/>
    </row>
    <row r="33" spans="5:7">
      <c r="E33" s="5"/>
      <c r="F33" s="16"/>
      <c r="G33" s="5"/>
    </row>
  </sheetData>
  <mergeCells count="19">
    <mergeCell ref="S3:S4"/>
    <mergeCell ref="T3:T4"/>
    <mergeCell ref="A1:U2"/>
    <mergeCell ref="G3:J3"/>
    <mergeCell ref="K3:N3"/>
    <mergeCell ref="O3:R3"/>
    <mergeCell ref="A3:A4"/>
    <mergeCell ref="C3:C4"/>
    <mergeCell ref="D3:D4"/>
    <mergeCell ref="U3:U4"/>
    <mergeCell ref="F3:F4"/>
    <mergeCell ref="A21:R21"/>
    <mergeCell ref="B3:B4"/>
    <mergeCell ref="A5:R5"/>
    <mergeCell ref="A8:R8"/>
    <mergeCell ref="A12:R12"/>
    <mergeCell ref="A15:R15"/>
    <mergeCell ref="A18:R18"/>
    <mergeCell ref="E3:E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DBFC8-43EB-4C25-9858-1608A4B05F55}">
  <dimension ref="A1:Q11"/>
  <sheetViews>
    <sheetView workbookViewId="0">
      <selection activeCell="E12" sqref="E12"/>
    </sheetView>
  </sheetViews>
  <sheetFormatPr baseColWidth="10" defaultColWidth="8.83203125" defaultRowHeight="13"/>
  <cols>
    <col min="1" max="1" width="7.5" style="37" bestFit="1" customWidth="1"/>
    <col min="2" max="2" width="18" style="37" bestFit="1" customWidth="1"/>
    <col min="3" max="3" width="26" style="37" bestFit="1" customWidth="1"/>
    <col min="4" max="4" width="21.5" style="37" bestFit="1" customWidth="1"/>
    <col min="5" max="5" width="10.5" style="37" bestFit="1" customWidth="1"/>
    <col min="6" max="6" width="29.83203125" style="37" bestFit="1" customWidth="1"/>
    <col min="7" max="9" width="5.5" style="45" customWidth="1"/>
    <col min="10" max="10" width="4.83203125" style="45" customWidth="1"/>
    <col min="11" max="13" width="5.5" style="45" customWidth="1"/>
    <col min="14" max="14" width="4.83203125" style="45" customWidth="1"/>
    <col min="15" max="15" width="7.83203125" style="45" bestFit="1" customWidth="1"/>
    <col min="16" max="16" width="8.5" style="45" bestFit="1" customWidth="1"/>
    <col min="17" max="17" width="18.33203125" style="37" customWidth="1"/>
  </cols>
  <sheetData>
    <row r="1" spans="1:17" s="2" customFormat="1" ht="29" customHeight="1">
      <c r="A1" s="77" t="s">
        <v>601</v>
      </c>
      <c r="B1" s="78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80"/>
    </row>
    <row r="2" spans="1:17" s="2" customFormat="1" ht="62" customHeight="1" thickBot="1">
      <c r="A2" s="81"/>
      <c r="B2" s="82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4"/>
    </row>
    <row r="3" spans="1:17" s="1" customFormat="1" ht="12.75" customHeight="1">
      <c r="A3" s="85" t="s">
        <v>625</v>
      </c>
      <c r="B3" s="67" t="s">
        <v>0</v>
      </c>
      <c r="C3" s="87" t="s">
        <v>627</v>
      </c>
      <c r="D3" s="87" t="s">
        <v>6</v>
      </c>
      <c r="E3" s="71" t="s">
        <v>628</v>
      </c>
      <c r="F3" s="89" t="s">
        <v>5</v>
      </c>
      <c r="G3" s="89" t="s">
        <v>8</v>
      </c>
      <c r="H3" s="89"/>
      <c r="I3" s="89"/>
      <c r="J3" s="89"/>
      <c r="K3" s="89" t="s">
        <v>9</v>
      </c>
      <c r="L3" s="89"/>
      <c r="M3" s="89"/>
      <c r="N3" s="89"/>
      <c r="O3" s="71" t="s">
        <v>1</v>
      </c>
      <c r="P3" s="71" t="s">
        <v>3</v>
      </c>
      <c r="Q3" s="73" t="s">
        <v>2</v>
      </c>
    </row>
    <row r="4" spans="1:17" s="1" customFormat="1" ht="21" customHeight="1" thickBot="1">
      <c r="A4" s="86"/>
      <c r="B4" s="68"/>
      <c r="C4" s="88"/>
      <c r="D4" s="88"/>
      <c r="E4" s="72"/>
      <c r="F4" s="8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72"/>
      <c r="P4" s="72"/>
      <c r="Q4" s="74"/>
    </row>
    <row r="5" spans="1:17" s="3" customFormat="1" ht="16">
      <c r="A5" s="75" t="s">
        <v>102</v>
      </c>
      <c r="B5" s="75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6"/>
      <c r="P5" s="6"/>
      <c r="Q5" s="5"/>
    </row>
    <row r="6" spans="1:17">
      <c r="A6" s="48">
        <v>1</v>
      </c>
      <c r="B6" s="36" t="s">
        <v>224</v>
      </c>
      <c r="C6" s="36" t="s">
        <v>225</v>
      </c>
      <c r="D6" s="36" t="s">
        <v>135</v>
      </c>
      <c r="E6" s="36" t="s">
        <v>629</v>
      </c>
      <c r="F6" s="36" t="s">
        <v>226</v>
      </c>
      <c r="G6" s="47" t="s">
        <v>94</v>
      </c>
      <c r="H6" s="47" t="s">
        <v>128</v>
      </c>
      <c r="I6" s="49" t="s">
        <v>95</v>
      </c>
      <c r="J6" s="48"/>
      <c r="K6" s="47" t="s">
        <v>53</v>
      </c>
      <c r="L6" s="47" t="s">
        <v>54</v>
      </c>
      <c r="M6" s="49" t="s">
        <v>114</v>
      </c>
      <c r="N6" s="48"/>
      <c r="O6" s="48" t="str">
        <f>"197,5"</f>
        <v>197,5</v>
      </c>
      <c r="P6" s="48" t="str">
        <f>"221,0420"</f>
        <v>221,0420</v>
      </c>
      <c r="Q6" s="36" t="s">
        <v>132</v>
      </c>
    </row>
    <row r="8" spans="1:17" ht="16">
      <c r="A8" s="66" t="s">
        <v>25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</row>
    <row r="9" spans="1:17">
      <c r="A9" s="54">
        <v>1</v>
      </c>
      <c r="B9" s="50" t="s">
        <v>554</v>
      </c>
      <c r="C9" s="50" t="s">
        <v>555</v>
      </c>
      <c r="D9" s="50" t="s">
        <v>556</v>
      </c>
      <c r="E9" s="50" t="s">
        <v>632</v>
      </c>
      <c r="F9" s="50" t="s">
        <v>211</v>
      </c>
      <c r="G9" s="53" t="s">
        <v>137</v>
      </c>
      <c r="H9" s="55" t="s">
        <v>53</v>
      </c>
      <c r="I9" s="55" t="s">
        <v>53</v>
      </c>
      <c r="J9" s="54"/>
      <c r="K9" s="53" t="s">
        <v>151</v>
      </c>
      <c r="L9" s="53" t="s">
        <v>160</v>
      </c>
      <c r="M9" s="55" t="s">
        <v>258</v>
      </c>
      <c r="N9" s="54"/>
      <c r="O9" s="54" t="str">
        <f>"290,0"</f>
        <v>290,0</v>
      </c>
      <c r="P9" s="54" t="str">
        <f>"199,4040"</f>
        <v>199,4040</v>
      </c>
      <c r="Q9" s="50" t="s">
        <v>213</v>
      </c>
    </row>
    <row r="10" spans="1:17">
      <c r="A10" s="58">
        <v>1</v>
      </c>
      <c r="B10" s="51" t="s">
        <v>422</v>
      </c>
      <c r="C10" s="51" t="s">
        <v>423</v>
      </c>
      <c r="D10" s="51" t="s">
        <v>424</v>
      </c>
      <c r="E10" s="51" t="s">
        <v>629</v>
      </c>
      <c r="F10" s="51" t="s">
        <v>425</v>
      </c>
      <c r="G10" s="56" t="s">
        <v>146</v>
      </c>
      <c r="H10" s="57" t="s">
        <v>119</v>
      </c>
      <c r="I10" s="57" t="s">
        <v>189</v>
      </c>
      <c r="J10" s="58"/>
      <c r="K10" s="56" t="s">
        <v>303</v>
      </c>
      <c r="L10" s="57" t="s">
        <v>426</v>
      </c>
      <c r="M10" s="56" t="s">
        <v>427</v>
      </c>
      <c r="N10" s="58"/>
      <c r="O10" s="58" t="str">
        <f>"430,0"</f>
        <v>430,0</v>
      </c>
      <c r="P10" s="58" t="str">
        <f>"290,2070"</f>
        <v>290,2070</v>
      </c>
      <c r="Q10" s="51"/>
    </row>
    <row r="11" spans="1:17">
      <c r="A11" s="61">
        <v>2</v>
      </c>
      <c r="B11" s="52" t="s">
        <v>554</v>
      </c>
      <c r="C11" s="52" t="s">
        <v>557</v>
      </c>
      <c r="D11" s="52" t="s">
        <v>556</v>
      </c>
      <c r="E11" s="52" t="s">
        <v>629</v>
      </c>
      <c r="F11" s="52" t="s">
        <v>211</v>
      </c>
      <c r="G11" s="59" t="s">
        <v>137</v>
      </c>
      <c r="H11" s="60" t="s">
        <v>53</v>
      </c>
      <c r="I11" s="60" t="s">
        <v>53</v>
      </c>
      <c r="J11" s="61"/>
      <c r="K11" s="59" t="s">
        <v>151</v>
      </c>
      <c r="L11" s="59" t="s">
        <v>160</v>
      </c>
      <c r="M11" s="60" t="s">
        <v>258</v>
      </c>
      <c r="N11" s="61"/>
      <c r="O11" s="61" t="str">
        <f>"290,0"</f>
        <v>290,0</v>
      </c>
      <c r="P11" s="61" t="str">
        <f>"199,4040"</f>
        <v>199,4040</v>
      </c>
      <c r="Q11" s="52" t="s">
        <v>213</v>
      </c>
    </row>
  </sheetData>
  <mergeCells count="14">
    <mergeCell ref="A1:Q2"/>
    <mergeCell ref="A3:A4"/>
    <mergeCell ref="C3:C4"/>
    <mergeCell ref="D3:D4"/>
    <mergeCell ref="E3:E4"/>
    <mergeCell ref="F3:F4"/>
    <mergeCell ref="G3:J3"/>
    <mergeCell ref="K3:N3"/>
    <mergeCell ref="A8:N8"/>
    <mergeCell ref="B3:B4"/>
    <mergeCell ref="O3:O4"/>
    <mergeCell ref="P3:P4"/>
    <mergeCell ref="Q3:Q4"/>
    <mergeCell ref="A5:N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CA7B2-992F-48E9-AD8C-1CCFB8007FEA}">
  <dimension ref="A1:Q6"/>
  <sheetViews>
    <sheetView workbookViewId="0">
      <selection activeCell="E7" sqref="E7"/>
    </sheetView>
  </sheetViews>
  <sheetFormatPr baseColWidth="10" defaultColWidth="8.83203125" defaultRowHeight="13"/>
  <cols>
    <col min="1" max="1" width="7.5" style="37" bestFit="1" customWidth="1"/>
    <col min="2" max="2" width="16.83203125" style="37" bestFit="1" customWidth="1"/>
    <col min="3" max="3" width="26" style="37" bestFit="1" customWidth="1"/>
    <col min="4" max="4" width="21.5" style="37" bestFit="1" customWidth="1"/>
    <col min="5" max="5" width="10.5" style="37" bestFit="1" customWidth="1"/>
    <col min="6" max="6" width="25" style="37" bestFit="1" customWidth="1"/>
    <col min="7" max="9" width="5.5" style="45" customWidth="1"/>
    <col min="10" max="10" width="4.83203125" style="45" customWidth="1"/>
    <col min="11" max="13" width="5.5" style="45" customWidth="1"/>
    <col min="14" max="14" width="4.83203125" style="45" customWidth="1"/>
    <col min="15" max="15" width="7.83203125" style="37" bestFit="1" customWidth="1"/>
    <col min="16" max="16" width="8.5" style="37" bestFit="1" customWidth="1"/>
    <col min="17" max="17" width="15.5" style="37" bestFit="1" customWidth="1"/>
  </cols>
  <sheetData>
    <row r="1" spans="1:17" s="2" customFormat="1" ht="29" customHeight="1">
      <c r="A1" s="77" t="s">
        <v>602</v>
      </c>
      <c r="B1" s="78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80"/>
    </row>
    <row r="2" spans="1:17" s="2" customFormat="1" ht="62" customHeight="1" thickBot="1">
      <c r="A2" s="81"/>
      <c r="B2" s="82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4"/>
    </row>
    <row r="3" spans="1:17" s="1" customFormat="1" ht="12.75" customHeight="1">
      <c r="A3" s="85" t="s">
        <v>625</v>
      </c>
      <c r="B3" s="67" t="s">
        <v>0</v>
      </c>
      <c r="C3" s="87" t="s">
        <v>627</v>
      </c>
      <c r="D3" s="87" t="s">
        <v>6</v>
      </c>
      <c r="E3" s="71" t="s">
        <v>628</v>
      </c>
      <c r="F3" s="89" t="s">
        <v>5</v>
      </c>
      <c r="G3" s="89" t="s">
        <v>8</v>
      </c>
      <c r="H3" s="89"/>
      <c r="I3" s="89"/>
      <c r="J3" s="89"/>
      <c r="K3" s="89" t="s">
        <v>9</v>
      </c>
      <c r="L3" s="89"/>
      <c r="M3" s="89"/>
      <c r="N3" s="89"/>
      <c r="O3" s="71" t="s">
        <v>1</v>
      </c>
      <c r="P3" s="71" t="s">
        <v>3</v>
      </c>
      <c r="Q3" s="73" t="s">
        <v>2</v>
      </c>
    </row>
    <row r="4" spans="1:17" s="1" customFormat="1" ht="21" customHeight="1" thickBot="1">
      <c r="A4" s="86"/>
      <c r="B4" s="68"/>
      <c r="C4" s="88"/>
      <c r="D4" s="88"/>
      <c r="E4" s="72"/>
      <c r="F4" s="8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72"/>
      <c r="P4" s="72"/>
      <c r="Q4" s="74"/>
    </row>
    <row r="5" spans="1:17" s="3" customFormat="1" ht="16">
      <c r="A5" s="75" t="s">
        <v>46</v>
      </c>
      <c r="B5" s="75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6"/>
      <c r="P5" s="6"/>
      <c r="Q5" s="5"/>
    </row>
    <row r="6" spans="1:17">
      <c r="A6" s="48">
        <v>1</v>
      </c>
      <c r="B6" s="36" t="s">
        <v>490</v>
      </c>
      <c r="C6" s="36" t="s">
        <v>491</v>
      </c>
      <c r="D6" s="36" t="s">
        <v>492</v>
      </c>
      <c r="E6" s="36" t="s">
        <v>629</v>
      </c>
      <c r="F6" s="36" t="s">
        <v>173</v>
      </c>
      <c r="G6" s="47" t="s">
        <v>18</v>
      </c>
      <c r="H6" s="47" t="s">
        <v>283</v>
      </c>
      <c r="I6" s="47" t="s">
        <v>19</v>
      </c>
      <c r="J6" s="48"/>
      <c r="K6" s="47" t="s">
        <v>64</v>
      </c>
      <c r="L6" s="49" t="s">
        <v>75</v>
      </c>
      <c r="M6" s="47" t="s">
        <v>169</v>
      </c>
      <c r="N6" s="48"/>
      <c r="O6" s="48" t="str">
        <f>"375,0"</f>
        <v>375,0</v>
      </c>
      <c r="P6" s="48" t="str">
        <f>"228,4125"</f>
        <v>228,4125</v>
      </c>
      <c r="Q6" s="36"/>
    </row>
  </sheetData>
  <mergeCells count="13">
    <mergeCell ref="A5:N5"/>
    <mergeCell ref="B3:B4"/>
    <mergeCell ref="A1:Q2"/>
    <mergeCell ref="A3:A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456CB-B23F-4AE4-B214-8F280B02225D}">
  <dimension ref="A1:M64"/>
  <sheetViews>
    <sheetView topLeftCell="A24" workbookViewId="0">
      <selection activeCell="E54" sqref="E54"/>
    </sheetView>
  </sheetViews>
  <sheetFormatPr baseColWidth="10" defaultColWidth="8.83203125" defaultRowHeight="13"/>
  <cols>
    <col min="1" max="1" width="7.5" style="37" bestFit="1" customWidth="1"/>
    <col min="2" max="2" width="23.83203125" style="37" bestFit="1" customWidth="1"/>
    <col min="3" max="3" width="27.5" style="37" bestFit="1" customWidth="1"/>
    <col min="4" max="4" width="21.5" style="37" bestFit="1" customWidth="1"/>
    <col min="5" max="5" width="10.5" style="37" bestFit="1" customWidth="1"/>
    <col min="6" max="6" width="31.33203125" style="37" bestFit="1" customWidth="1"/>
    <col min="7" max="9" width="5.5" style="45" customWidth="1"/>
    <col min="10" max="10" width="4.83203125" style="45" customWidth="1"/>
    <col min="11" max="11" width="10.5" style="46" bestFit="1" customWidth="1"/>
    <col min="12" max="12" width="8.5" style="45" bestFit="1" customWidth="1"/>
    <col min="13" max="13" width="21" style="37" customWidth="1"/>
  </cols>
  <sheetData>
    <row r="1" spans="1:13" s="2" customFormat="1" ht="29" customHeight="1">
      <c r="A1" s="77" t="s">
        <v>603</v>
      </c>
      <c r="B1" s="78"/>
      <c r="C1" s="79"/>
      <c r="D1" s="79"/>
      <c r="E1" s="79"/>
      <c r="F1" s="79"/>
      <c r="G1" s="79"/>
      <c r="H1" s="79"/>
      <c r="I1" s="79"/>
      <c r="J1" s="79"/>
      <c r="K1" s="79"/>
      <c r="L1" s="79"/>
      <c r="M1" s="80"/>
    </row>
    <row r="2" spans="1:13" s="2" customFormat="1" ht="62" customHeight="1" thickBot="1">
      <c r="A2" s="81"/>
      <c r="B2" s="82"/>
      <c r="C2" s="83"/>
      <c r="D2" s="83"/>
      <c r="E2" s="83"/>
      <c r="F2" s="83"/>
      <c r="G2" s="83"/>
      <c r="H2" s="83"/>
      <c r="I2" s="83"/>
      <c r="J2" s="83"/>
      <c r="K2" s="83"/>
      <c r="L2" s="83"/>
      <c r="M2" s="84"/>
    </row>
    <row r="3" spans="1:13" s="1" customFormat="1" ht="12.75" customHeight="1">
      <c r="A3" s="85" t="s">
        <v>625</v>
      </c>
      <c r="B3" s="67" t="s">
        <v>0</v>
      </c>
      <c r="C3" s="87" t="s">
        <v>627</v>
      </c>
      <c r="D3" s="87" t="s">
        <v>6</v>
      </c>
      <c r="E3" s="71" t="s">
        <v>628</v>
      </c>
      <c r="F3" s="89" t="s">
        <v>5</v>
      </c>
      <c r="G3" s="89" t="s">
        <v>8</v>
      </c>
      <c r="H3" s="89"/>
      <c r="I3" s="89"/>
      <c r="J3" s="89"/>
      <c r="K3" s="69" t="s">
        <v>345</v>
      </c>
      <c r="L3" s="71" t="s">
        <v>3</v>
      </c>
      <c r="M3" s="73" t="s">
        <v>2</v>
      </c>
    </row>
    <row r="4" spans="1:13" s="1" customFormat="1" ht="21" customHeight="1" thickBot="1">
      <c r="A4" s="86"/>
      <c r="B4" s="68"/>
      <c r="C4" s="88"/>
      <c r="D4" s="88"/>
      <c r="E4" s="72"/>
      <c r="F4" s="88"/>
      <c r="G4" s="4">
        <v>1</v>
      </c>
      <c r="H4" s="4">
        <v>2</v>
      </c>
      <c r="I4" s="4">
        <v>3</v>
      </c>
      <c r="J4" s="4" t="s">
        <v>4</v>
      </c>
      <c r="K4" s="70"/>
      <c r="L4" s="72"/>
      <c r="M4" s="74"/>
    </row>
    <row r="5" spans="1:13" s="3" customFormat="1" ht="16">
      <c r="A5" s="75" t="s">
        <v>402</v>
      </c>
      <c r="B5" s="75"/>
      <c r="C5" s="76"/>
      <c r="D5" s="76"/>
      <c r="E5" s="76"/>
      <c r="F5" s="76"/>
      <c r="G5" s="76"/>
      <c r="H5" s="76"/>
      <c r="I5" s="76"/>
      <c r="J5" s="76"/>
      <c r="K5" s="26"/>
      <c r="L5" s="6"/>
      <c r="M5" s="5"/>
    </row>
    <row r="6" spans="1:13">
      <c r="A6" s="48">
        <v>1</v>
      </c>
      <c r="B6" s="36" t="s">
        <v>403</v>
      </c>
      <c r="C6" s="36" t="s">
        <v>404</v>
      </c>
      <c r="D6" s="36" t="s">
        <v>405</v>
      </c>
      <c r="E6" s="36" t="s">
        <v>629</v>
      </c>
      <c r="F6" s="36" t="s">
        <v>177</v>
      </c>
      <c r="G6" s="47" t="s">
        <v>130</v>
      </c>
      <c r="H6" s="47" t="s">
        <v>198</v>
      </c>
      <c r="I6" s="49" t="s">
        <v>217</v>
      </c>
      <c r="J6" s="48"/>
      <c r="K6" s="65" t="str">
        <f>"52,5"</f>
        <v>52,5</v>
      </c>
      <c r="L6" s="48" t="str">
        <f>"69,8513"</f>
        <v>69,8513</v>
      </c>
      <c r="M6" s="36" t="s">
        <v>223</v>
      </c>
    </row>
    <row r="8" spans="1:13" ht="16">
      <c r="A8" s="66" t="s">
        <v>89</v>
      </c>
      <c r="B8" s="66"/>
      <c r="C8" s="66"/>
      <c r="D8" s="66"/>
      <c r="E8" s="66"/>
      <c r="F8" s="66"/>
      <c r="G8" s="66"/>
      <c r="H8" s="66"/>
      <c r="I8" s="66"/>
      <c r="J8" s="66"/>
    </row>
    <row r="9" spans="1:13">
      <c r="A9" s="54">
        <v>1</v>
      </c>
      <c r="B9" s="50" t="s">
        <v>406</v>
      </c>
      <c r="C9" s="50" t="s">
        <v>407</v>
      </c>
      <c r="D9" s="50" t="s">
        <v>408</v>
      </c>
      <c r="E9" s="50" t="s">
        <v>629</v>
      </c>
      <c r="F9" s="50" t="s">
        <v>211</v>
      </c>
      <c r="G9" s="53" t="s">
        <v>188</v>
      </c>
      <c r="H9" s="55" t="s">
        <v>128</v>
      </c>
      <c r="I9" s="55" t="s">
        <v>128</v>
      </c>
      <c r="J9" s="54"/>
      <c r="K9" s="62" t="str">
        <f>"72,5"</f>
        <v>72,5</v>
      </c>
      <c r="L9" s="54" t="str">
        <f>"86,0285"</f>
        <v>86,0285</v>
      </c>
      <c r="M9" s="50"/>
    </row>
    <row r="10" spans="1:13">
      <c r="A10" s="61">
        <v>2</v>
      </c>
      <c r="B10" s="52" t="s">
        <v>409</v>
      </c>
      <c r="C10" s="52" t="s">
        <v>410</v>
      </c>
      <c r="D10" s="52" t="s">
        <v>411</v>
      </c>
      <c r="E10" s="52" t="s">
        <v>629</v>
      </c>
      <c r="F10" s="52" t="s">
        <v>93</v>
      </c>
      <c r="G10" s="59" t="s">
        <v>130</v>
      </c>
      <c r="H10" s="59" t="s">
        <v>198</v>
      </c>
      <c r="I10" s="60" t="s">
        <v>108</v>
      </c>
      <c r="J10" s="61"/>
      <c r="K10" s="64" t="str">
        <f>"52,5"</f>
        <v>52,5</v>
      </c>
      <c r="L10" s="61" t="str">
        <f>"62,6483"</f>
        <v>62,6483</v>
      </c>
      <c r="M10" s="52" t="s">
        <v>262</v>
      </c>
    </row>
    <row r="12" spans="1:13" ht="16">
      <c r="A12" s="66" t="s">
        <v>102</v>
      </c>
      <c r="B12" s="66"/>
      <c r="C12" s="66"/>
      <c r="D12" s="66"/>
      <c r="E12" s="66"/>
      <c r="F12" s="66"/>
      <c r="G12" s="66"/>
      <c r="H12" s="66"/>
      <c r="I12" s="66"/>
      <c r="J12" s="66"/>
    </row>
    <row r="13" spans="1:13">
      <c r="A13" s="54">
        <v>1</v>
      </c>
      <c r="B13" s="50" t="s">
        <v>224</v>
      </c>
      <c r="C13" s="50" t="s">
        <v>225</v>
      </c>
      <c r="D13" s="50" t="s">
        <v>135</v>
      </c>
      <c r="E13" s="50" t="s">
        <v>629</v>
      </c>
      <c r="F13" s="50" t="s">
        <v>226</v>
      </c>
      <c r="G13" s="53" t="s">
        <v>94</v>
      </c>
      <c r="H13" s="53" t="s">
        <v>128</v>
      </c>
      <c r="I13" s="55" t="s">
        <v>95</v>
      </c>
      <c r="J13" s="54"/>
      <c r="K13" s="62" t="str">
        <f>"77,5"</f>
        <v>77,5</v>
      </c>
      <c r="L13" s="54" t="str">
        <f>"86,7380"</f>
        <v>86,7380</v>
      </c>
      <c r="M13" s="50" t="s">
        <v>132</v>
      </c>
    </row>
    <row r="14" spans="1:13">
      <c r="A14" s="61" t="s">
        <v>122</v>
      </c>
      <c r="B14" s="52" t="s">
        <v>232</v>
      </c>
      <c r="C14" s="52" t="s">
        <v>233</v>
      </c>
      <c r="D14" s="52" t="s">
        <v>221</v>
      </c>
      <c r="E14" s="52" t="s">
        <v>629</v>
      </c>
      <c r="F14" s="52" t="s">
        <v>234</v>
      </c>
      <c r="G14" s="60" t="s">
        <v>129</v>
      </c>
      <c r="H14" s="60" t="s">
        <v>197</v>
      </c>
      <c r="I14" s="60" t="s">
        <v>197</v>
      </c>
      <c r="J14" s="61"/>
      <c r="K14" s="64">
        <v>0</v>
      </c>
      <c r="L14" s="61" t="str">
        <f>"0,0000"</f>
        <v>0,0000</v>
      </c>
      <c r="M14" s="52" t="s">
        <v>235</v>
      </c>
    </row>
    <row r="16" spans="1:13" ht="16">
      <c r="A16" s="66" t="s">
        <v>109</v>
      </c>
      <c r="B16" s="66"/>
      <c r="C16" s="66"/>
      <c r="D16" s="66"/>
      <c r="E16" s="66"/>
      <c r="F16" s="66"/>
      <c r="G16" s="66"/>
      <c r="H16" s="66"/>
      <c r="I16" s="66"/>
      <c r="J16" s="66"/>
    </row>
    <row r="17" spans="1:13">
      <c r="A17" s="48">
        <v>1</v>
      </c>
      <c r="B17" s="36" t="s">
        <v>242</v>
      </c>
      <c r="C17" s="36" t="s">
        <v>243</v>
      </c>
      <c r="D17" s="36" t="s">
        <v>244</v>
      </c>
      <c r="E17" s="36" t="s">
        <v>629</v>
      </c>
      <c r="F17" s="36" t="s">
        <v>93</v>
      </c>
      <c r="G17" s="47" t="s">
        <v>131</v>
      </c>
      <c r="H17" s="49" t="s">
        <v>145</v>
      </c>
      <c r="I17" s="47" t="s">
        <v>145</v>
      </c>
      <c r="J17" s="48"/>
      <c r="K17" s="65" t="str">
        <f>"100,0"</f>
        <v>100,0</v>
      </c>
      <c r="L17" s="48" t="str">
        <f>"102,2800"</f>
        <v>102,2800</v>
      </c>
      <c r="M17" s="36"/>
    </row>
    <row r="19" spans="1:13" ht="16">
      <c r="A19" s="66" t="s">
        <v>10</v>
      </c>
      <c r="B19" s="66"/>
      <c r="C19" s="66"/>
      <c r="D19" s="66"/>
      <c r="E19" s="66"/>
      <c r="F19" s="66"/>
      <c r="G19" s="66"/>
      <c r="H19" s="66"/>
      <c r="I19" s="66"/>
      <c r="J19" s="66"/>
    </row>
    <row r="20" spans="1:13">
      <c r="A20" s="54">
        <v>1</v>
      </c>
      <c r="B20" s="50" t="s">
        <v>246</v>
      </c>
      <c r="C20" s="50" t="s">
        <v>247</v>
      </c>
      <c r="D20" s="50" t="s">
        <v>248</v>
      </c>
      <c r="E20" s="50" t="s">
        <v>632</v>
      </c>
      <c r="F20" s="50" t="s">
        <v>249</v>
      </c>
      <c r="G20" s="53" t="s">
        <v>53</v>
      </c>
      <c r="H20" s="53" t="s">
        <v>54</v>
      </c>
      <c r="I20" s="55" t="s">
        <v>114</v>
      </c>
      <c r="J20" s="54"/>
      <c r="K20" s="62" t="str">
        <f>"120,0"</f>
        <v>120,0</v>
      </c>
      <c r="L20" s="54" t="str">
        <f>"114,1680"</f>
        <v>114,1680</v>
      </c>
      <c r="M20" s="50" t="s">
        <v>35</v>
      </c>
    </row>
    <row r="21" spans="1:13">
      <c r="A21" s="61">
        <v>1</v>
      </c>
      <c r="B21" s="52" t="s">
        <v>246</v>
      </c>
      <c r="C21" s="52" t="s">
        <v>250</v>
      </c>
      <c r="D21" s="52" t="s">
        <v>248</v>
      </c>
      <c r="E21" s="52" t="s">
        <v>629</v>
      </c>
      <c r="F21" s="52" t="s">
        <v>249</v>
      </c>
      <c r="G21" s="59" t="s">
        <v>53</v>
      </c>
      <c r="H21" s="59" t="s">
        <v>54</v>
      </c>
      <c r="I21" s="60" t="s">
        <v>114</v>
      </c>
      <c r="J21" s="61"/>
      <c r="K21" s="64" t="str">
        <f>"120,0"</f>
        <v>120,0</v>
      </c>
      <c r="L21" s="61" t="str">
        <f>"114,1680"</f>
        <v>114,1680</v>
      </c>
      <c r="M21" s="52" t="s">
        <v>35</v>
      </c>
    </row>
    <row r="23" spans="1:13" ht="16">
      <c r="A23" s="66" t="s">
        <v>10</v>
      </c>
      <c r="B23" s="66"/>
      <c r="C23" s="66"/>
      <c r="D23" s="66"/>
      <c r="E23" s="66"/>
      <c r="F23" s="66"/>
      <c r="G23" s="66"/>
      <c r="H23" s="66"/>
      <c r="I23" s="66"/>
      <c r="J23" s="66"/>
    </row>
    <row r="24" spans="1:13">
      <c r="A24" s="54">
        <v>1</v>
      </c>
      <c r="B24" s="50" t="s">
        <v>412</v>
      </c>
      <c r="C24" s="50" t="s">
        <v>413</v>
      </c>
      <c r="D24" s="50" t="s">
        <v>414</v>
      </c>
      <c r="E24" s="50" t="s">
        <v>632</v>
      </c>
      <c r="F24" s="50" t="s">
        <v>93</v>
      </c>
      <c r="G24" s="53" t="s">
        <v>107</v>
      </c>
      <c r="H24" s="55" t="s">
        <v>137</v>
      </c>
      <c r="I24" s="55" t="s">
        <v>138</v>
      </c>
      <c r="J24" s="54"/>
      <c r="K24" s="62" t="str">
        <f>"105,0"</f>
        <v>105,0</v>
      </c>
      <c r="L24" s="54" t="str">
        <f>"76,1880"</f>
        <v>76,1880</v>
      </c>
      <c r="M24" s="50"/>
    </row>
    <row r="25" spans="1:13">
      <c r="A25" s="58">
        <v>1</v>
      </c>
      <c r="B25" s="51" t="s">
        <v>415</v>
      </c>
      <c r="C25" s="51" t="s">
        <v>416</v>
      </c>
      <c r="D25" s="51" t="s">
        <v>417</v>
      </c>
      <c r="E25" s="51" t="s">
        <v>629</v>
      </c>
      <c r="F25" s="51" t="s">
        <v>195</v>
      </c>
      <c r="G25" s="56" t="s">
        <v>114</v>
      </c>
      <c r="H25" s="57" t="s">
        <v>18</v>
      </c>
      <c r="I25" s="57" t="s">
        <v>18</v>
      </c>
      <c r="J25" s="58"/>
      <c r="K25" s="63" t="str">
        <f>"125,0"</f>
        <v>125,0</v>
      </c>
      <c r="L25" s="58" t="str">
        <f>"91,2500"</f>
        <v>91,2500</v>
      </c>
      <c r="M25" s="51"/>
    </row>
    <row r="26" spans="1:13">
      <c r="A26" s="61">
        <v>2</v>
      </c>
      <c r="B26" s="52" t="s">
        <v>418</v>
      </c>
      <c r="C26" s="52" t="s">
        <v>419</v>
      </c>
      <c r="D26" s="52" t="s">
        <v>420</v>
      </c>
      <c r="E26" s="52" t="s">
        <v>629</v>
      </c>
      <c r="F26" s="52" t="s">
        <v>421</v>
      </c>
      <c r="G26" s="59" t="s">
        <v>107</v>
      </c>
      <c r="H26" s="59" t="s">
        <v>137</v>
      </c>
      <c r="I26" s="60" t="s">
        <v>139</v>
      </c>
      <c r="J26" s="61"/>
      <c r="K26" s="64" t="str">
        <f>"110,0"</f>
        <v>110,0</v>
      </c>
      <c r="L26" s="61" t="str">
        <f>"78,9030"</f>
        <v>78,9030</v>
      </c>
      <c r="M26" s="52"/>
    </row>
    <row r="28" spans="1:13" ht="16">
      <c r="A28" s="66" t="s">
        <v>25</v>
      </c>
      <c r="B28" s="66"/>
      <c r="C28" s="66"/>
      <c r="D28" s="66"/>
      <c r="E28" s="66"/>
      <c r="F28" s="66"/>
      <c r="G28" s="66"/>
      <c r="H28" s="66"/>
      <c r="I28" s="66"/>
      <c r="J28" s="66"/>
    </row>
    <row r="29" spans="1:13">
      <c r="A29" s="54">
        <v>1</v>
      </c>
      <c r="B29" s="50" t="s">
        <v>422</v>
      </c>
      <c r="C29" s="50" t="s">
        <v>423</v>
      </c>
      <c r="D29" s="50" t="s">
        <v>424</v>
      </c>
      <c r="E29" s="50" t="s">
        <v>629</v>
      </c>
      <c r="F29" s="50" t="s">
        <v>425</v>
      </c>
      <c r="G29" s="53" t="s">
        <v>146</v>
      </c>
      <c r="H29" s="55" t="s">
        <v>119</v>
      </c>
      <c r="I29" s="55" t="s">
        <v>189</v>
      </c>
      <c r="J29" s="54"/>
      <c r="K29" s="62" t="str">
        <f>"147,5"</f>
        <v>147,5</v>
      </c>
      <c r="L29" s="54" t="str">
        <f>"99,5477"</f>
        <v>99,5477</v>
      </c>
      <c r="M29" s="50"/>
    </row>
    <row r="30" spans="1:13">
      <c r="A30" s="58">
        <v>2</v>
      </c>
      <c r="B30" s="51" t="s">
        <v>428</v>
      </c>
      <c r="C30" s="51" t="s">
        <v>429</v>
      </c>
      <c r="D30" s="51" t="s">
        <v>430</v>
      </c>
      <c r="E30" s="51" t="s">
        <v>629</v>
      </c>
      <c r="F30" s="51" t="s">
        <v>173</v>
      </c>
      <c r="G30" s="56" t="s">
        <v>34</v>
      </c>
      <c r="H30" s="56" t="s">
        <v>146</v>
      </c>
      <c r="I30" s="57" t="s">
        <v>20</v>
      </c>
      <c r="J30" s="58"/>
      <c r="K30" s="63" t="str">
        <f>"147,5"</f>
        <v>147,5</v>
      </c>
      <c r="L30" s="58" t="str">
        <f>"99,0315"</f>
        <v>99,0315</v>
      </c>
      <c r="M30" s="51"/>
    </row>
    <row r="31" spans="1:13">
      <c r="A31" s="58">
        <v>3</v>
      </c>
      <c r="B31" s="51" t="s">
        <v>431</v>
      </c>
      <c r="C31" s="51" t="s">
        <v>432</v>
      </c>
      <c r="D31" s="51" t="s">
        <v>433</v>
      </c>
      <c r="E31" s="51" t="s">
        <v>629</v>
      </c>
      <c r="F31" s="51" t="s">
        <v>173</v>
      </c>
      <c r="G31" s="56" t="s">
        <v>33</v>
      </c>
      <c r="H31" s="57" t="s">
        <v>34</v>
      </c>
      <c r="I31" s="57" t="s">
        <v>34</v>
      </c>
      <c r="J31" s="58"/>
      <c r="K31" s="63" t="str">
        <f>"135,0"</f>
        <v>135,0</v>
      </c>
      <c r="L31" s="58" t="str">
        <f>"91,9485"</f>
        <v>91,9485</v>
      </c>
      <c r="M31" s="51"/>
    </row>
    <row r="32" spans="1:13">
      <c r="A32" s="61">
        <v>4</v>
      </c>
      <c r="B32" s="52" t="s">
        <v>434</v>
      </c>
      <c r="C32" s="52" t="s">
        <v>435</v>
      </c>
      <c r="D32" s="52" t="s">
        <v>294</v>
      </c>
      <c r="E32" s="52" t="s">
        <v>629</v>
      </c>
      <c r="F32" s="52" t="s">
        <v>173</v>
      </c>
      <c r="G32" s="59" t="s">
        <v>139</v>
      </c>
      <c r="H32" s="60" t="s">
        <v>436</v>
      </c>
      <c r="I32" s="60" t="s">
        <v>436</v>
      </c>
      <c r="J32" s="61"/>
      <c r="K32" s="64" t="str">
        <f>"117,5"</f>
        <v>117,5</v>
      </c>
      <c r="L32" s="61" t="str">
        <f>"79,5945"</f>
        <v>79,5945</v>
      </c>
      <c r="M32" s="52"/>
    </row>
    <row r="34" spans="1:13" ht="16">
      <c r="A34" s="66" t="s">
        <v>37</v>
      </c>
      <c r="B34" s="66"/>
      <c r="C34" s="66"/>
      <c r="D34" s="66"/>
      <c r="E34" s="66"/>
      <c r="F34" s="66"/>
      <c r="G34" s="66"/>
      <c r="H34" s="66"/>
      <c r="I34" s="66"/>
      <c r="J34" s="66"/>
    </row>
    <row r="35" spans="1:13">
      <c r="A35" s="54">
        <v>1</v>
      </c>
      <c r="B35" s="50" t="s">
        <v>437</v>
      </c>
      <c r="C35" s="50" t="s">
        <v>438</v>
      </c>
      <c r="D35" s="50" t="s">
        <v>439</v>
      </c>
      <c r="E35" s="50" t="s">
        <v>629</v>
      </c>
      <c r="F35" s="50" t="s">
        <v>173</v>
      </c>
      <c r="G35" s="53" t="s">
        <v>151</v>
      </c>
      <c r="H35" s="53" t="s">
        <v>168</v>
      </c>
      <c r="I35" s="53" t="s">
        <v>160</v>
      </c>
      <c r="J35" s="54"/>
      <c r="K35" s="62" t="str">
        <f>"180,0"</f>
        <v>180,0</v>
      </c>
      <c r="L35" s="54" t="str">
        <f>"115,9920"</f>
        <v>115,9920</v>
      </c>
      <c r="M35" s="50"/>
    </row>
    <row r="36" spans="1:13">
      <c r="A36" s="58">
        <v>2</v>
      </c>
      <c r="B36" s="51" t="s">
        <v>440</v>
      </c>
      <c r="C36" s="51" t="s">
        <v>441</v>
      </c>
      <c r="D36" s="51" t="s">
        <v>442</v>
      </c>
      <c r="E36" s="51" t="s">
        <v>629</v>
      </c>
      <c r="F36" s="51" t="s">
        <v>93</v>
      </c>
      <c r="G36" s="56" t="s">
        <v>284</v>
      </c>
      <c r="H36" s="57" t="s">
        <v>146</v>
      </c>
      <c r="I36" s="57" t="s">
        <v>146</v>
      </c>
      <c r="J36" s="58"/>
      <c r="K36" s="63" t="str">
        <f>"142,5"</f>
        <v>142,5</v>
      </c>
      <c r="L36" s="58" t="str">
        <f>"91,3425"</f>
        <v>91,3425</v>
      </c>
      <c r="M36" s="51" t="s">
        <v>291</v>
      </c>
    </row>
    <row r="37" spans="1:13">
      <c r="A37" s="58">
        <v>3</v>
      </c>
      <c r="B37" s="51" t="s">
        <v>443</v>
      </c>
      <c r="C37" s="51" t="s">
        <v>444</v>
      </c>
      <c r="D37" s="51" t="s">
        <v>445</v>
      </c>
      <c r="E37" s="51" t="s">
        <v>629</v>
      </c>
      <c r="F37" s="51" t="s">
        <v>173</v>
      </c>
      <c r="G37" s="56" t="s">
        <v>310</v>
      </c>
      <c r="H37" s="56" t="s">
        <v>33</v>
      </c>
      <c r="I37" s="58"/>
      <c r="J37" s="58"/>
      <c r="K37" s="63" t="str">
        <f>"135,0"</f>
        <v>135,0</v>
      </c>
      <c r="L37" s="58" t="str">
        <f>"87,1965"</f>
        <v>87,1965</v>
      </c>
      <c r="M37" s="51"/>
    </row>
    <row r="38" spans="1:13">
      <c r="A38" s="58" t="s">
        <v>122</v>
      </c>
      <c r="B38" s="51" t="s">
        <v>446</v>
      </c>
      <c r="C38" s="51" t="s">
        <v>447</v>
      </c>
      <c r="D38" s="51" t="s">
        <v>448</v>
      </c>
      <c r="E38" s="51" t="s">
        <v>629</v>
      </c>
      <c r="F38" s="51" t="s">
        <v>373</v>
      </c>
      <c r="G38" s="57" t="s">
        <v>19</v>
      </c>
      <c r="H38" s="57" t="s">
        <v>19</v>
      </c>
      <c r="I38" s="57" t="s">
        <v>19</v>
      </c>
      <c r="J38" s="58"/>
      <c r="K38" s="63">
        <v>0</v>
      </c>
      <c r="L38" s="58" t="str">
        <f>"0,0000"</f>
        <v>0,0000</v>
      </c>
      <c r="M38" s="51" t="s">
        <v>614</v>
      </c>
    </row>
    <row r="39" spans="1:13">
      <c r="A39" s="61">
        <v>1</v>
      </c>
      <c r="B39" s="52" t="s">
        <v>450</v>
      </c>
      <c r="C39" s="52" t="s">
        <v>451</v>
      </c>
      <c r="D39" s="52" t="s">
        <v>452</v>
      </c>
      <c r="E39" s="52" t="s">
        <v>633</v>
      </c>
      <c r="F39" s="52" t="s">
        <v>453</v>
      </c>
      <c r="G39" s="59" t="s">
        <v>144</v>
      </c>
      <c r="H39" s="59" t="s">
        <v>107</v>
      </c>
      <c r="I39" s="60" t="s">
        <v>137</v>
      </c>
      <c r="J39" s="61"/>
      <c r="K39" s="64" t="str">
        <f>"105,0"</f>
        <v>105,0</v>
      </c>
      <c r="L39" s="61" t="str">
        <f>"72,6010"</f>
        <v>72,6010</v>
      </c>
      <c r="M39" s="52" t="s">
        <v>454</v>
      </c>
    </row>
    <row r="41" spans="1:13" ht="16">
      <c r="A41" s="66" t="s">
        <v>46</v>
      </c>
      <c r="B41" s="66"/>
      <c r="C41" s="66"/>
      <c r="D41" s="66"/>
      <c r="E41" s="66"/>
      <c r="F41" s="66"/>
      <c r="G41" s="66"/>
      <c r="H41" s="66"/>
      <c r="I41" s="66"/>
      <c r="J41" s="66"/>
    </row>
    <row r="42" spans="1:13">
      <c r="A42" s="54">
        <v>1</v>
      </c>
      <c r="B42" s="50" t="s">
        <v>455</v>
      </c>
      <c r="C42" s="50" t="s">
        <v>456</v>
      </c>
      <c r="D42" s="50" t="s">
        <v>457</v>
      </c>
      <c r="E42" s="50" t="s">
        <v>629</v>
      </c>
      <c r="F42" s="50" t="s">
        <v>93</v>
      </c>
      <c r="G42" s="53" t="s">
        <v>259</v>
      </c>
      <c r="H42" s="53" t="s">
        <v>52</v>
      </c>
      <c r="I42" s="55" t="s">
        <v>44</v>
      </c>
      <c r="J42" s="54"/>
      <c r="K42" s="62" t="str">
        <f>"205,0"</f>
        <v>205,0</v>
      </c>
      <c r="L42" s="54" t="str">
        <f>"125,6855"</f>
        <v>125,6855</v>
      </c>
      <c r="M42" s="50"/>
    </row>
    <row r="43" spans="1:13">
      <c r="A43" s="58">
        <v>2</v>
      </c>
      <c r="B43" s="51" t="s">
        <v>315</v>
      </c>
      <c r="C43" s="51" t="s">
        <v>316</v>
      </c>
      <c r="D43" s="51" t="s">
        <v>317</v>
      </c>
      <c r="E43" s="51" t="s">
        <v>629</v>
      </c>
      <c r="F43" s="51" t="s">
        <v>173</v>
      </c>
      <c r="G43" s="56" t="s">
        <v>258</v>
      </c>
      <c r="H43" s="56" t="s">
        <v>259</v>
      </c>
      <c r="I43" s="57" t="s">
        <v>63</v>
      </c>
      <c r="J43" s="58"/>
      <c r="K43" s="63" t="str">
        <f>"195,0"</f>
        <v>195,0</v>
      </c>
      <c r="L43" s="58" t="str">
        <f>"119,2035"</f>
        <v>119,2035</v>
      </c>
      <c r="M43" s="51"/>
    </row>
    <row r="44" spans="1:13">
      <c r="A44" s="58">
        <v>3</v>
      </c>
      <c r="B44" s="51" t="s">
        <v>322</v>
      </c>
      <c r="C44" s="51" t="s">
        <v>323</v>
      </c>
      <c r="D44" s="51" t="s">
        <v>324</v>
      </c>
      <c r="E44" s="51" t="s">
        <v>629</v>
      </c>
      <c r="F44" s="51" t="s">
        <v>173</v>
      </c>
      <c r="G44" s="56" t="s">
        <v>119</v>
      </c>
      <c r="H44" s="56" t="s">
        <v>325</v>
      </c>
      <c r="I44" s="57" t="s">
        <v>190</v>
      </c>
      <c r="J44" s="58"/>
      <c r="K44" s="63" t="str">
        <f>"162,5"</f>
        <v>162,5</v>
      </c>
      <c r="L44" s="58" t="str">
        <f>"101,4650"</f>
        <v>101,4650</v>
      </c>
      <c r="M44" s="51" t="s">
        <v>326</v>
      </c>
    </row>
    <row r="45" spans="1:13">
      <c r="A45" s="58">
        <v>4</v>
      </c>
      <c r="B45" s="51" t="s">
        <v>458</v>
      </c>
      <c r="C45" s="51" t="s">
        <v>459</v>
      </c>
      <c r="D45" s="51" t="s">
        <v>460</v>
      </c>
      <c r="E45" s="51" t="s">
        <v>629</v>
      </c>
      <c r="F45" s="51" t="s">
        <v>93</v>
      </c>
      <c r="G45" s="56" t="s">
        <v>119</v>
      </c>
      <c r="H45" s="57" t="s">
        <v>245</v>
      </c>
      <c r="I45" s="56" t="s">
        <v>245</v>
      </c>
      <c r="J45" s="58"/>
      <c r="K45" s="63" t="str">
        <f>"157,5"</f>
        <v>157,5</v>
      </c>
      <c r="L45" s="58" t="str">
        <f>"99,1462"</f>
        <v>99,1462</v>
      </c>
      <c r="M45" s="51" t="s">
        <v>132</v>
      </c>
    </row>
    <row r="46" spans="1:13">
      <c r="A46" s="58">
        <v>5</v>
      </c>
      <c r="B46" s="51" t="s">
        <v>461</v>
      </c>
      <c r="C46" s="51" t="s">
        <v>462</v>
      </c>
      <c r="D46" s="51" t="s">
        <v>463</v>
      </c>
      <c r="E46" s="51" t="s">
        <v>629</v>
      </c>
      <c r="F46" s="51" t="s">
        <v>257</v>
      </c>
      <c r="G46" s="56" t="s">
        <v>20</v>
      </c>
      <c r="H46" s="57" t="s">
        <v>325</v>
      </c>
      <c r="I46" s="57" t="s">
        <v>325</v>
      </c>
      <c r="J46" s="58"/>
      <c r="K46" s="63" t="str">
        <f>"150,0"</f>
        <v>150,0</v>
      </c>
      <c r="L46" s="58" t="str">
        <f>"91,8450"</f>
        <v>91,8450</v>
      </c>
      <c r="M46" s="51" t="s">
        <v>262</v>
      </c>
    </row>
    <row r="47" spans="1:13">
      <c r="A47" s="61">
        <v>6</v>
      </c>
      <c r="B47" s="52" t="s">
        <v>464</v>
      </c>
      <c r="C47" s="52" t="s">
        <v>465</v>
      </c>
      <c r="D47" s="52" t="s">
        <v>466</v>
      </c>
      <c r="E47" s="52" t="s">
        <v>629</v>
      </c>
      <c r="F47" s="52" t="s">
        <v>173</v>
      </c>
      <c r="G47" s="59" t="s">
        <v>18</v>
      </c>
      <c r="H47" s="59" t="s">
        <v>19</v>
      </c>
      <c r="I47" s="60" t="s">
        <v>20</v>
      </c>
      <c r="J47" s="61"/>
      <c r="K47" s="64" t="str">
        <f>"140,0"</f>
        <v>140,0</v>
      </c>
      <c r="L47" s="61" t="str">
        <f>"86,8840"</f>
        <v>86,8840</v>
      </c>
      <c r="M47" s="52"/>
    </row>
    <row r="49" spans="1:13" ht="16">
      <c r="A49" s="66" t="s">
        <v>115</v>
      </c>
      <c r="B49" s="66"/>
      <c r="C49" s="66"/>
      <c r="D49" s="66"/>
      <c r="E49" s="66"/>
      <c r="F49" s="66"/>
      <c r="G49" s="66"/>
      <c r="H49" s="66"/>
      <c r="I49" s="66"/>
      <c r="J49" s="66"/>
    </row>
    <row r="50" spans="1:13">
      <c r="A50" s="48">
        <v>1</v>
      </c>
      <c r="B50" s="36" t="s">
        <v>467</v>
      </c>
      <c r="C50" s="36" t="s">
        <v>468</v>
      </c>
      <c r="D50" s="36" t="s">
        <v>469</v>
      </c>
      <c r="E50" s="36" t="s">
        <v>629</v>
      </c>
      <c r="F50" s="36" t="s">
        <v>470</v>
      </c>
      <c r="G50" s="47" t="s">
        <v>374</v>
      </c>
      <c r="H50" s="47" t="s">
        <v>151</v>
      </c>
      <c r="I50" s="47" t="s">
        <v>168</v>
      </c>
      <c r="J50" s="48"/>
      <c r="K50" s="65" t="str">
        <f>"175,0"</f>
        <v>175,0</v>
      </c>
      <c r="L50" s="48" t="str">
        <f>"103,8975"</f>
        <v>103,8975</v>
      </c>
      <c r="M50" s="36"/>
    </row>
    <row r="52" spans="1:13" ht="16">
      <c r="A52" s="66" t="s">
        <v>58</v>
      </c>
      <c r="B52" s="66"/>
      <c r="C52" s="66"/>
      <c r="D52" s="66"/>
      <c r="E52" s="66"/>
      <c r="F52" s="66"/>
      <c r="G52" s="66"/>
      <c r="H52" s="66"/>
      <c r="I52" s="66"/>
      <c r="J52" s="66"/>
    </row>
    <row r="53" spans="1:13">
      <c r="A53" s="48">
        <v>1</v>
      </c>
      <c r="B53" s="36" t="s">
        <v>471</v>
      </c>
      <c r="C53" s="36" t="s">
        <v>472</v>
      </c>
      <c r="D53" s="36" t="s">
        <v>473</v>
      </c>
      <c r="E53" s="36" t="s">
        <v>629</v>
      </c>
      <c r="F53" s="36" t="s">
        <v>173</v>
      </c>
      <c r="G53" s="47" t="s">
        <v>151</v>
      </c>
      <c r="H53" s="47" t="s">
        <v>168</v>
      </c>
      <c r="I53" s="49" t="s">
        <v>160</v>
      </c>
      <c r="J53" s="48"/>
      <c r="K53" s="65" t="str">
        <f>"175,0"</f>
        <v>175,0</v>
      </c>
      <c r="L53" s="48" t="str">
        <f>"101,8500"</f>
        <v>101,8500</v>
      </c>
      <c r="M53" s="36"/>
    </row>
    <row r="55" spans="1:13" ht="16">
      <c r="F55" s="38"/>
      <c r="G55" s="37"/>
    </row>
    <row r="56" spans="1:13">
      <c r="G56" s="37"/>
    </row>
    <row r="57" spans="1:13" ht="18">
      <c r="B57" s="39" t="s">
        <v>78</v>
      </c>
      <c r="C57" s="39"/>
    </row>
    <row r="58" spans="1:13" ht="16">
      <c r="B58" s="40" t="s">
        <v>79</v>
      </c>
      <c r="C58" s="40"/>
    </row>
    <row r="59" spans="1:13" ht="14">
      <c r="B59" s="41"/>
      <c r="C59" s="42" t="s">
        <v>84</v>
      </c>
    </row>
    <row r="60" spans="1:13" ht="14">
      <c r="B60" s="43" t="s">
        <v>80</v>
      </c>
      <c r="C60" s="43" t="s">
        <v>81</v>
      </c>
      <c r="D60" s="43" t="s">
        <v>596</v>
      </c>
      <c r="E60" s="43" t="s">
        <v>401</v>
      </c>
      <c r="F60" s="43" t="s">
        <v>83</v>
      </c>
    </row>
    <row r="61" spans="1:13">
      <c r="B61" s="37" t="s">
        <v>455</v>
      </c>
      <c r="C61" s="37" t="s">
        <v>84</v>
      </c>
      <c r="D61" s="45">
        <v>100</v>
      </c>
      <c r="E61" s="46">
        <v>205</v>
      </c>
      <c r="F61" s="44">
        <v>125.685498416424</v>
      </c>
    </row>
    <row r="62" spans="1:13">
      <c r="B62" s="37" t="s">
        <v>315</v>
      </c>
      <c r="C62" s="37" t="s">
        <v>84</v>
      </c>
      <c r="D62" s="45">
        <v>100</v>
      </c>
      <c r="E62" s="46">
        <v>195</v>
      </c>
      <c r="F62" s="44">
        <v>119.203498363495</v>
      </c>
    </row>
    <row r="63" spans="1:13">
      <c r="B63" s="37" t="s">
        <v>437</v>
      </c>
      <c r="C63" s="37" t="s">
        <v>84</v>
      </c>
      <c r="D63" s="45">
        <v>90</v>
      </c>
      <c r="E63" s="46">
        <v>180</v>
      </c>
      <c r="F63" s="44">
        <v>115.992000102997</v>
      </c>
    </row>
    <row r="64" spans="1:13">
      <c r="F64" s="45"/>
    </row>
  </sheetData>
  <mergeCells count="22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34:J34"/>
    <mergeCell ref="A41:J41"/>
    <mergeCell ref="A49:J49"/>
    <mergeCell ref="A52:J52"/>
    <mergeCell ref="B3:B4"/>
    <mergeCell ref="A8:J8"/>
    <mergeCell ref="A12:J12"/>
    <mergeCell ref="A16:J16"/>
    <mergeCell ref="A19:J19"/>
    <mergeCell ref="A23:J23"/>
    <mergeCell ref="A28:J2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5305A-A00D-4D38-B375-5CA53C5DF10F}">
  <dimension ref="A1:M47"/>
  <sheetViews>
    <sheetView topLeftCell="A12" workbookViewId="0">
      <selection activeCell="E37" sqref="E37"/>
    </sheetView>
  </sheetViews>
  <sheetFormatPr baseColWidth="10" defaultColWidth="8.83203125" defaultRowHeight="13"/>
  <cols>
    <col min="1" max="1" width="7.5" style="37" bestFit="1" customWidth="1"/>
    <col min="2" max="2" width="19.1640625" style="37" bestFit="1" customWidth="1"/>
    <col min="3" max="3" width="27.5" style="37" bestFit="1" customWidth="1"/>
    <col min="4" max="4" width="21.5" style="37" bestFit="1" customWidth="1"/>
    <col min="5" max="5" width="10.5" style="37" bestFit="1" customWidth="1"/>
    <col min="6" max="6" width="39.5" style="37" bestFit="1" customWidth="1"/>
    <col min="7" max="10" width="5.5" style="45" customWidth="1"/>
    <col min="11" max="11" width="10.5" style="45" bestFit="1" customWidth="1"/>
    <col min="12" max="12" width="8.6640625" style="45" bestFit="1" customWidth="1"/>
    <col min="13" max="13" width="20.33203125" style="37" customWidth="1"/>
  </cols>
  <sheetData>
    <row r="1" spans="1:13" s="2" customFormat="1" ht="29" customHeight="1">
      <c r="A1" s="77" t="s">
        <v>604</v>
      </c>
      <c r="B1" s="78"/>
      <c r="C1" s="79"/>
      <c r="D1" s="79"/>
      <c r="E1" s="79"/>
      <c r="F1" s="79"/>
      <c r="G1" s="79"/>
      <c r="H1" s="79"/>
      <c r="I1" s="79"/>
      <c r="J1" s="79"/>
      <c r="K1" s="79"/>
      <c r="L1" s="79"/>
      <c r="M1" s="80"/>
    </row>
    <row r="2" spans="1:13" s="2" customFormat="1" ht="62" customHeight="1" thickBot="1">
      <c r="A2" s="81"/>
      <c r="B2" s="82"/>
      <c r="C2" s="83"/>
      <c r="D2" s="83"/>
      <c r="E2" s="83"/>
      <c r="F2" s="83"/>
      <c r="G2" s="83"/>
      <c r="H2" s="83"/>
      <c r="I2" s="83"/>
      <c r="J2" s="83"/>
      <c r="K2" s="83"/>
      <c r="L2" s="83"/>
      <c r="M2" s="84"/>
    </row>
    <row r="3" spans="1:13" s="1" customFormat="1" ht="12.75" customHeight="1">
      <c r="A3" s="85" t="s">
        <v>625</v>
      </c>
      <c r="B3" s="67" t="s">
        <v>0</v>
      </c>
      <c r="C3" s="87" t="s">
        <v>627</v>
      </c>
      <c r="D3" s="87" t="s">
        <v>6</v>
      </c>
      <c r="E3" s="71" t="s">
        <v>628</v>
      </c>
      <c r="F3" s="89" t="s">
        <v>5</v>
      </c>
      <c r="G3" s="89" t="s">
        <v>8</v>
      </c>
      <c r="H3" s="89"/>
      <c r="I3" s="89"/>
      <c r="J3" s="89"/>
      <c r="K3" s="71" t="s">
        <v>345</v>
      </c>
      <c r="L3" s="71" t="s">
        <v>3</v>
      </c>
      <c r="M3" s="73" t="s">
        <v>2</v>
      </c>
    </row>
    <row r="4" spans="1:13" s="1" customFormat="1" ht="21" customHeight="1" thickBot="1">
      <c r="A4" s="86"/>
      <c r="B4" s="68"/>
      <c r="C4" s="88"/>
      <c r="D4" s="88"/>
      <c r="E4" s="72"/>
      <c r="F4" s="88"/>
      <c r="G4" s="4">
        <v>1</v>
      </c>
      <c r="H4" s="4">
        <v>2</v>
      </c>
      <c r="I4" s="4">
        <v>3</v>
      </c>
      <c r="J4" s="4" t="s">
        <v>4</v>
      </c>
      <c r="K4" s="72"/>
      <c r="L4" s="72"/>
      <c r="M4" s="74"/>
    </row>
    <row r="5" spans="1:13" s="3" customFormat="1" ht="16">
      <c r="A5" s="75" t="s">
        <v>10</v>
      </c>
      <c r="B5" s="75"/>
      <c r="C5" s="76"/>
      <c r="D5" s="76"/>
      <c r="E5" s="76"/>
      <c r="F5" s="76"/>
      <c r="G5" s="76"/>
      <c r="H5" s="76"/>
      <c r="I5" s="76"/>
      <c r="J5" s="76"/>
      <c r="K5" s="6"/>
      <c r="L5" s="6"/>
      <c r="M5" s="5"/>
    </row>
    <row r="6" spans="1:13">
      <c r="A6" s="48">
        <v>1</v>
      </c>
      <c r="B6" s="36" t="s">
        <v>346</v>
      </c>
      <c r="C6" s="36" t="s">
        <v>347</v>
      </c>
      <c r="D6" s="36" t="s">
        <v>348</v>
      </c>
      <c r="E6" s="36" t="s">
        <v>629</v>
      </c>
      <c r="F6" s="36" t="s">
        <v>136</v>
      </c>
      <c r="G6" s="47" t="s">
        <v>33</v>
      </c>
      <c r="H6" s="49" t="s">
        <v>19</v>
      </c>
      <c r="I6" s="47" t="s">
        <v>34</v>
      </c>
      <c r="J6" s="49" t="s">
        <v>349</v>
      </c>
      <c r="K6" s="48" t="str">
        <f>"145,0"</f>
        <v>145,0</v>
      </c>
      <c r="L6" s="48" t="str">
        <f>"144,2460"</f>
        <v>144,2460</v>
      </c>
      <c r="M6" s="36" t="s">
        <v>132</v>
      </c>
    </row>
    <row r="8" spans="1:13" ht="16">
      <c r="A8" s="66" t="s">
        <v>109</v>
      </c>
      <c r="B8" s="66"/>
      <c r="C8" s="66"/>
      <c r="D8" s="66"/>
      <c r="E8" s="66"/>
      <c r="F8" s="66"/>
      <c r="G8" s="66"/>
      <c r="H8" s="66"/>
      <c r="I8" s="66"/>
      <c r="J8" s="66"/>
    </row>
    <row r="9" spans="1:13">
      <c r="A9" s="54">
        <v>1</v>
      </c>
      <c r="B9" s="50" t="s">
        <v>350</v>
      </c>
      <c r="C9" s="50" t="s">
        <v>351</v>
      </c>
      <c r="D9" s="50" t="s">
        <v>352</v>
      </c>
      <c r="E9" s="50" t="s">
        <v>630</v>
      </c>
      <c r="F9" s="50" t="s">
        <v>136</v>
      </c>
      <c r="G9" s="53" t="s">
        <v>94</v>
      </c>
      <c r="H9" s="53" t="s">
        <v>95</v>
      </c>
      <c r="I9" s="53" t="s">
        <v>96</v>
      </c>
      <c r="J9" s="54"/>
      <c r="K9" s="54" t="str">
        <f>"82,5"</f>
        <v>82,5</v>
      </c>
      <c r="L9" s="54" t="str">
        <f>"64,9440"</f>
        <v>64,9440</v>
      </c>
      <c r="M9" s="50" t="s">
        <v>353</v>
      </c>
    </row>
    <row r="10" spans="1:13">
      <c r="A10" s="61">
        <v>2</v>
      </c>
      <c r="B10" s="52" t="s">
        <v>354</v>
      </c>
      <c r="C10" s="52" t="s">
        <v>355</v>
      </c>
      <c r="D10" s="52" t="s">
        <v>356</v>
      </c>
      <c r="E10" s="52" t="s">
        <v>630</v>
      </c>
      <c r="F10" s="52" t="s">
        <v>173</v>
      </c>
      <c r="G10" s="59" t="s">
        <v>197</v>
      </c>
      <c r="H10" s="59" t="s">
        <v>108</v>
      </c>
      <c r="I10" s="59" t="s">
        <v>239</v>
      </c>
      <c r="J10" s="61"/>
      <c r="K10" s="61" t="str">
        <f>"60,0"</f>
        <v>60,0</v>
      </c>
      <c r="L10" s="61" t="str">
        <f>"48,1500"</f>
        <v>48,1500</v>
      </c>
      <c r="M10" s="52"/>
    </row>
    <row r="12" spans="1:13" ht="16">
      <c r="A12" s="66" t="s">
        <v>10</v>
      </c>
      <c r="B12" s="66"/>
      <c r="C12" s="66"/>
      <c r="D12" s="66"/>
      <c r="E12" s="66"/>
      <c r="F12" s="66"/>
      <c r="G12" s="66"/>
      <c r="H12" s="66"/>
      <c r="I12" s="66"/>
      <c r="J12" s="66"/>
    </row>
    <row r="13" spans="1:13">
      <c r="A13" s="48">
        <v>1</v>
      </c>
      <c r="B13" s="36" t="s">
        <v>357</v>
      </c>
      <c r="C13" s="36" t="s">
        <v>358</v>
      </c>
      <c r="D13" s="36" t="s">
        <v>348</v>
      </c>
      <c r="E13" s="36" t="s">
        <v>635</v>
      </c>
      <c r="F13" s="36" t="s">
        <v>173</v>
      </c>
      <c r="G13" s="47" t="s">
        <v>100</v>
      </c>
      <c r="H13" s="47" t="s">
        <v>131</v>
      </c>
      <c r="I13" s="48"/>
      <c r="J13" s="48"/>
      <c r="K13" s="48" t="str">
        <f>"90,0"</f>
        <v>90,0</v>
      </c>
      <c r="L13" s="48" t="str">
        <f>"95,0989"</f>
        <v>95,0989</v>
      </c>
      <c r="M13" s="36"/>
    </row>
    <row r="15" spans="1:13" ht="16">
      <c r="A15" s="66" t="s">
        <v>37</v>
      </c>
      <c r="B15" s="66"/>
      <c r="C15" s="66"/>
      <c r="D15" s="66"/>
      <c r="E15" s="66"/>
      <c r="F15" s="66"/>
      <c r="G15" s="66"/>
      <c r="H15" s="66"/>
      <c r="I15" s="66"/>
      <c r="J15" s="66"/>
    </row>
    <row r="16" spans="1:13">
      <c r="A16" s="54">
        <v>1</v>
      </c>
      <c r="B16" s="50" t="s">
        <v>162</v>
      </c>
      <c r="C16" s="50" t="s">
        <v>163</v>
      </c>
      <c r="D16" s="50" t="s">
        <v>164</v>
      </c>
      <c r="E16" s="50" t="s">
        <v>629</v>
      </c>
      <c r="F16" s="50" t="s">
        <v>165</v>
      </c>
      <c r="G16" s="53" t="s">
        <v>151</v>
      </c>
      <c r="H16" s="53" t="s">
        <v>168</v>
      </c>
      <c r="I16" s="53" t="s">
        <v>160</v>
      </c>
      <c r="J16" s="54"/>
      <c r="K16" s="54" t="str">
        <f>"180,0"</f>
        <v>180,0</v>
      </c>
      <c r="L16" s="54" t="str">
        <f>"116,8380"</f>
        <v>116,8380</v>
      </c>
      <c r="M16" s="50" t="s">
        <v>132</v>
      </c>
    </row>
    <row r="17" spans="1:13">
      <c r="A17" s="58">
        <v>2</v>
      </c>
      <c r="B17" s="51" t="s">
        <v>359</v>
      </c>
      <c r="C17" s="51" t="s">
        <v>360</v>
      </c>
      <c r="D17" s="51" t="s">
        <v>361</v>
      </c>
      <c r="E17" s="51" t="s">
        <v>629</v>
      </c>
      <c r="F17" s="51" t="s">
        <v>288</v>
      </c>
      <c r="G17" s="56" t="s">
        <v>168</v>
      </c>
      <c r="H17" s="56" t="s">
        <v>160</v>
      </c>
      <c r="I17" s="57" t="s">
        <v>258</v>
      </c>
      <c r="J17" s="58"/>
      <c r="K17" s="58" t="str">
        <f>"180,0"</f>
        <v>180,0</v>
      </c>
      <c r="L17" s="58" t="str">
        <f>"116,3340"</f>
        <v>116,3340</v>
      </c>
      <c r="M17" s="51" t="s">
        <v>362</v>
      </c>
    </row>
    <row r="18" spans="1:13">
      <c r="A18" s="61">
        <v>3</v>
      </c>
      <c r="B18" s="52" t="s">
        <v>363</v>
      </c>
      <c r="C18" s="52" t="s">
        <v>364</v>
      </c>
      <c r="D18" s="52" t="s">
        <v>309</v>
      </c>
      <c r="E18" s="52" t="s">
        <v>629</v>
      </c>
      <c r="F18" s="52" t="s">
        <v>173</v>
      </c>
      <c r="G18" s="60" t="s">
        <v>168</v>
      </c>
      <c r="H18" s="59" t="s">
        <v>168</v>
      </c>
      <c r="I18" s="60" t="s">
        <v>153</v>
      </c>
      <c r="J18" s="61"/>
      <c r="K18" s="61" t="str">
        <f>"175,0"</f>
        <v>175,0</v>
      </c>
      <c r="L18" s="61" t="str">
        <f>"111,7200"</f>
        <v>111,7200</v>
      </c>
      <c r="M18" s="52"/>
    </row>
    <row r="20" spans="1:13" ht="16">
      <c r="A20" s="66" t="s">
        <v>46</v>
      </c>
      <c r="B20" s="66"/>
      <c r="C20" s="66"/>
      <c r="D20" s="66"/>
      <c r="E20" s="66"/>
      <c r="F20" s="66"/>
      <c r="G20" s="66"/>
      <c r="H20" s="66"/>
      <c r="I20" s="66"/>
      <c r="J20" s="66"/>
    </row>
    <row r="21" spans="1:13">
      <c r="A21" s="54">
        <v>1</v>
      </c>
      <c r="B21" s="50" t="s">
        <v>365</v>
      </c>
      <c r="C21" s="50" t="s">
        <v>366</v>
      </c>
      <c r="D21" s="50" t="s">
        <v>367</v>
      </c>
      <c r="E21" s="50" t="s">
        <v>629</v>
      </c>
      <c r="F21" s="50" t="s">
        <v>275</v>
      </c>
      <c r="G21" s="53" t="s">
        <v>74</v>
      </c>
      <c r="H21" s="53" t="s">
        <v>75</v>
      </c>
      <c r="I21" s="53" t="s">
        <v>298</v>
      </c>
      <c r="J21" s="54"/>
      <c r="K21" s="54" t="str">
        <f>"237,5"</f>
        <v>237,5</v>
      </c>
      <c r="L21" s="54" t="str">
        <f>"148,4375"</f>
        <v>148,4375</v>
      </c>
      <c r="M21" s="50"/>
    </row>
    <row r="22" spans="1:13">
      <c r="A22" s="58">
        <v>2</v>
      </c>
      <c r="B22" s="51" t="s">
        <v>368</v>
      </c>
      <c r="C22" s="51" t="s">
        <v>369</v>
      </c>
      <c r="D22" s="51" t="s">
        <v>370</v>
      </c>
      <c r="E22" s="51" t="s">
        <v>629</v>
      </c>
      <c r="F22" s="51" t="s">
        <v>93</v>
      </c>
      <c r="G22" s="56" t="s">
        <v>152</v>
      </c>
      <c r="H22" s="57" t="s">
        <v>258</v>
      </c>
      <c r="I22" s="57" t="s">
        <v>258</v>
      </c>
      <c r="J22" s="58"/>
      <c r="K22" s="58" t="str">
        <f>"177,5"</f>
        <v>177,5</v>
      </c>
      <c r="L22" s="58" t="str">
        <f>"108,2395"</f>
        <v>108,2395</v>
      </c>
      <c r="M22" s="51"/>
    </row>
    <row r="23" spans="1:13">
      <c r="A23" s="61">
        <v>3</v>
      </c>
      <c r="B23" s="52" t="s">
        <v>371</v>
      </c>
      <c r="C23" s="52" t="s">
        <v>372</v>
      </c>
      <c r="D23" s="52" t="s">
        <v>320</v>
      </c>
      <c r="E23" s="52" t="s">
        <v>629</v>
      </c>
      <c r="F23" s="52" t="s">
        <v>373</v>
      </c>
      <c r="G23" s="59" t="s">
        <v>189</v>
      </c>
      <c r="H23" s="59" t="s">
        <v>374</v>
      </c>
      <c r="I23" s="59" t="s">
        <v>151</v>
      </c>
      <c r="J23" s="61"/>
      <c r="K23" s="61" t="str">
        <f>"170,0"</f>
        <v>170,0</v>
      </c>
      <c r="L23" s="61" t="str">
        <f>"104,4140"</f>
        <v>104,4140</v>
      </c>
      <c r="M23" s="52" t="s">
        <v>132</v>
      </c>
    </row>
    <row r="25" spans="1:13" ht="16">
      <c r="A25" s="66" t="s">
        <v>115</v>
      </c>
      <c r="B25" s="66"/>
      <c r="C25" s="66"/>
      <c r="D25" s="66"/>
      <c r="E25" s="66"/>
      <c r="F25" s="66"/>
      <c r="G25" s="66"/>
      <c r="H25" s="66"/>
      <c r="I25" s="66"/>
      <c r="J25" s="66"/>
    </row>
    <row r="26" spans="1:13">
      <c r="A26" s="54">
        <v>1</v>
      </c>
      <c r="B26" s="50" t="s">
        <v>375</v>
      </c>
      <c r="C26" s="50" t="s">
        <v>376</v>
      </c>
      <c r="D26" s="50" t="s">
        <v>377</v>
      </c>
      <c r="E26" s="50" t="s">
        <v>629</v>
      </c>
      <c r="F26" s="50" t="s">
        <v>378</v>
      </c>
      <c r="G26" s="53" t="s">
        <v>56</v>
      </c>
      <c r="H26" s="53" t="s">
        <v>260</v>
      </c>
      <c r="I26" s="53" t="s">
        <v>261</v>
      </c>
      <c r="J26" s="54"/>
      <c r="K26" s="54" t="str">
        <f>"222,5"</f>
        <v>222,5</v>
      </c>
      <c r="L26" s="54" t="str">
        <f>"131,1638"</f>
        <v>131,1638</v>
      </c>
      <c r="M26" s="50"/>
    </row>
    <row r="27" spans="1:13">
      <c r="A27" s="58">
        <v>2</v>
      </c>
      <c r="B27" s="51" t="s">
        <v>379</v>
      </c>
      <c r="C27" s="51" t="s">
        <v>380</v>
      </c>
      <c r="D27" s="51" t="s">
        <v>381</v>
      </c>
      <c r="E27" s="51" t="s">
        <v>629</v>
      </c>
      <c r="F27" s="51" t="s">
        <v>93</v>
      </c>
      <c r="G27" s="56" t="s">
        <v>56</v>
      </c>
      <c r="H27" s="56" t="s">
        <v>64</v>
      </c>
      <c r="I27" s="57" t="s">
        <v>74</v>
      </c>
      <c r="J27" s="58"/>
      <c r="K27" s="58" t="str">
        <f>"215,0"</f>
        <v>215,0</v>
      </c>
      <c r="L27" s="58" t="str">
        <f>"130,4405"</f>
        <v>130,4405</v>
      </c>
      <c r="M27" s="51"/>
    </row>
    <row r="28" spans="1:13">
      <c r="A28" s="61">
        <v>3</v>
      </c>
      <c r="B28" s="52" t="s">
        <v>382</v>
      </c>
      <c r="C28" s="52" t="s">
        <v>383</v>
      </c>
      <c r="D28" s="52" t="s">
        <v>384</v>
      </c>
      <c r="E28" s="52" t="s">
        <v>629</v>
      </c>
      <c r="F28" s="52" t="s">
        <v>385</v>
      </c>
      <c r="G28" s="59" t="s">
        <v>52</v>
      </c>
      <c r="H28" s="59" t="s">
        <v>64</v>
      </c>
      <c r="I28" s="60" t="s">
        <v>74</v>
      </c>
      <c r="J28" s="61"/>
      <c r="K28" s="61" t="str">
        <f>"215,0"</f>
        <v>215,0</v>
      </c>
      <c r="L28" s="61" t="str">
        <f>"126,6350"</f>
        <v>126,6350</v>
      </c>
      <c r="M28" s="52"/>
    </row>
    <row r="30" spans="1:13" ht="16">
      <c r="A30" s="66" t="s">
        <v>58</v>
      </c>
      <c r="B30" s="66"/>
      <c r="C30" s="66"/>
      <c r="D30" s="66"/>
      <c r="E30" s="66"/>
      <c r="F30" s="66"/>
      <c r="G30" s="66"/>
      <c r="H30" s="66"/>
      <c r="I30" s="66"/>
      <c r="J30" s="66"/>
    </row>
    <row r="31" spans="1:13">
      <c r="A31" s="54">
        <v>1</v>
      </c>
      <c r="B31" s="50" t="s">
        <v>386</v>
      </c>
      <c r="C31" s="50" t="s">
        <v>387</v>
      </c>
      <c r="D31" s="50" t="s">
        <v>388</v>
      </c>
      <c r="E31" s="50" t="s">
        <v>629</v>
      </c>
      <c r="F31" s="50" t="s">
        <v>615</v>
      </c>
      <c r="G31" s="53" t="s">
        <v>16</v>
      </c>
      <c r="H31" s="55" t="s">
        <v>389</v>
      </c>
      <c r="I31" s="55" t="s">
        <v>389</v>
      </c>
      <c r="J31" s="54"/>
      <c r="K31" s="54" t="str">
        <f>"265,0"</f>
        <v>265,0</v>
      </c>
      <c r="L31" s="54" t="str">
        <f>"154,6540"</f>
        <v>154,6540</v>
      </c>
      <c r="M31" s="50"/>
    </row>
    <row r="32" spans="1:13">
      <c r="A32" s="58">
        <v>2</v>
      </c>
      <c r="B32" s="51" t="s">
        <v>390</v>
      </c>
      <c r="C32" s="51" t="s">
        <v>391</v>
      </c>
      <c r="D32" s="51" t="s">
        <v>392</v>
      </c>
      <c r="E32" s="51" t="s">
        <v>629</v>
      </c>
      <c r="F32" s="51" t="s">
        <v>173</v>
      </c>
      <c r="G32" s="57" t="s">
        <v>64</v>
      </c>
      <c r="H32" s="57" t="s">
        <v>64</v>
      </c>
      <c r="I32" s="56" t="s">
        <v>64</v>
      </c>
      <c r="J32" s="58"/>
      <c r="K32" s="58" t="str">
        <f>"215,0"</f>
        <v>215,0</v>
      </c>
      <c r="L32" s="58" t="str">
        <f>"122,5930"</f>
        <v>122,5930</v>
      </c>
      <c r="M32" s="51" t="s">
        <v>393</v>
      </c>
    </row>
    <row r="33" spans="1:13">
      <c r="A33" s="61">
        <v>3</v>
      </c>
      <c r="B33" s="52" t="s">
        <v>394</v>
      </c>
      <c r="C33" s="52" t="s">
        <v>395</v>
      </c>
      <c r="D33" s="52" t="s">
        <v>396</v>
      </c>
      <c r="E33" s="52" t="s">
        <v>629</v>
      </c>
      <c r="F33" s="52" t="s">
        <v>29</v>
      </c>
      <c r="G33" s="59" t="s">
        <v>42</v>
      </c>
      <c r="H33" s="59" t="s">
        <v>43</v>
      </c>
      <c r="I33" s="59" t="s">
        <v>44</v>
      </c>
      <c r="J33" s="61"/>
      <c r="K33" s="61" t="str">
        <f>"212,5"</f>
        <v>212,5</v>
      </c>
      <c r="L33" s="61" t="str">
        <f>"121,9325"</f>
        <v>121,9325</v>
      </c>
      <c r="M33" s="52" t="s">
        <v>397</v>
      </c>
    </row>
    <row r="35" spans="1:13" ht="16">
      <c r="A35" s="66" t="s">
        <v>67</v>
      </c>
      <c r="B35" s="66"/>
      <c r="C35" s="66"/>
      <c r="D35" s="66"/>
      <c r="E35" s="66"/>
      <c r="F35" s="66"/>
      <c r="G35" s="66"/>
      <c r="H35" s="66"/>
      <c r="I35" s="66"/>
      <c r="J35" s="66"/>
    </row>
    <row r="36" spans="1:13">
      <c r="A36" s="48">
        <v>1</v>
      </c>
      <c r="B36" s="36" t="s">
        <v>398</v>
      </c>
      <c r="C36" s="36" t="s">
        <v>399</v>
      </c>
      <c r="D36" s="36" t="s">
        <v>400</v>
      </c>
      <c r="E36" s="36" t="s">
        <v>629</v>
      </c>
      <c r="F36" s="36" t="s">
        <v>211</v>
      </c>
      <c r="G36" s="47" t="s">
        <v>51</v>
      </c>
      <c r="H36" s="49" t="s">
        <v>259</v>
      </c>
      <c r="I36" s="49" t="s">
        <v>259</v>
      </c>
      <c r="J36" s="48"/>
      <c r="K36" s="48" t="str">
        <f>"190,0"</f>
        <v>190,0</v>
      </c>
      <c r="L36" s="48" t="str">
        <f>"106,4190"</f>
        <v>106,4190</v>
      </c>
      <c r="M36" s="36" t="s">
        <v>132</v>
      </c>
    </row>
    <row r="38" spans="1:13" ht="16">
      <c r="F38" s="38"/>
      <c r="G38" s="37"/>
    </row>
    <row r="39" spans="1:13">
      <c r="G39" s="37"/>
    </row>
    <row r="40" spans="1:13" ht="18">
      <c r="B40" s="39" t="s">
        <v>78</v>
      </c>
      <c r="C40" s="39"/>
    </row>
    <row r="41" spans="1:13" ht="16">
      <c r="B41" s="40" t="s">
        <v>79</v>
      </c>
      <c r="C41" s="40"/>
    </row>
    <row r="42" spans="1:13" ht="14">
      <c r="B42" s="41"/>
      <c r="C42" s="42" t="s">
        <v>84</v>
      </c>
    </row>
    <row r="43" spans="1:13" ht="14">
      <c r="B43" s="43" t="s">
        <v>80</v>
      </c>
      <c r="C43" s="43" t="s">
        <v>81</v>
      </c>
      <c r="D43" s="43" t="s">
        <v>596</v>
      </c>
      <c r="E43" s="43" t="s">
        <v>401</v>
      </c>
      <c r="F43" s="43" t="s">
        <v>83</v>
      </c>
    </row>
    <row r="44" spans="1:13">
      <c r="B44" s="37" t="s">
        <v>386</v>
      </c>
      <c r="C44" s="37" t="s">
        <v>84</v>
      </c>
      <c r="D44" s="45">
        <v>125</v>
      </c>
      <c r="E44" s="46">
        <v>265</v>
      </c>
      <c r="F44" s="44">
        <v>154.65399593114901</v>
      </c>
    </row>
    <row r="45" spans="1:13">
      <c r="B45" s="37" t="s">
        <v>365</v>
      </c>
      <c r="C45" s="37" t="s">
        <v>84</v>
      </c>
      <c r="D45" s="45">
        <v>100</v>
      </c>
      <c r="E45" s="46">
        <v>237.5</v>
      </c>
      <c r="F45" s="44">
        <v>148.4375</v>
      </c>
    </row>
    <row r="46" spans="1:13">
      <c r="B46" s="37" t="s">
        <v>375</v>
      </c>
      <c r="C46" s="37" t="s">
        <v>84</v>
      </c>
      <c r="D46" s="45">
        <v>110</v>
      </c>
      <c r="E46" s="46">
        <v>222.5</v>
      </c>
      <c r="F46" s="44">
        <v>131.16375222802199</v>
      </c>
    </row>
    <row r="47" spans="1:13">
      <c r="G47" s="37"/>
    </row>
  </sheetData>
  <mergeCells count="19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35:J35"/>
    <mergeCell ref="B3:B4"/>
    <mergeCell ref="A8:J8"/>
    <mergeCell ref="A12:J12"/>
    <mergeCell ref="A15:J15"/>
    <mergeCell ref="A20:J20"/>
    <mergeCell ref="A25:J25"/>
    <mergeCell ref="A30:J3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8402C-8AC8-468B-99D0-BCDD06A4651E}">
  <dimension ref="A1:M6"/>
  <sheetViews>
    <sheetView workbookViewId="0">
      <selection activeCell="E7" sqref="E7"/>
    </sheetView>
  </sheetViews>
  <sheetFormatPr baseColWidth="10" defaultColWidth="8.83203125" defaultRowHeight="13"/>
  <cols>
    <col min="1" max="1" width="7.5" style="37" bestFit="1" customWidth="1"/>
    <col min="2" max="2" width="16.33203125" style="37" bestFit="1" customWidth="1"/>
    <col min="3" max="3" width="26" style="37" bestFit="1" customWidth="1"/>
    <col min="4" max="4" width="21.5" style="37" bestFit="1" customWidth="1"/>
    <col min="5" max="5" width="10.5" style="37" bestFit="1" customWidth="1"/>
    <col min="6" max="6" width="29.6640625" style="37" bestFit="1" customWidth="1"/>
    <col min="7" max="9" width="5.5" style="45" customWidth="1"/>
    <col min="10" max="10" width="4.83203125" style="45" customWidth="1"/>
    <col min="11" max="11" width="10.5" style="37" bestFit="1" customWidth="1"/>
    <col min="12" max="12" width="8.5" style="37" bestFit="1" customWidth="1"/>
    <col min="13" max="13" width="19.33203125" style="37" customWidth="1"/>
  </cols>
  <sheetData>
    <row r="1" spans="1:13" s="2" customFormat="1" ht="29" customHeight="1">
      <c r="A1" s="77" t="s">
        <v>605</v>
      </c>
      <c r="B1" s="78"/>
      <c r="C1" s="79"/>
      <c r="D1" s="79"/>
      <c r="E1" s="79"/>
      <c r="F1" s="79"/>
      <c r="G1" s="79"/>
      <c r="H1" s="79"/>
      <c r="I1" s="79"/>
      <c r="J1" s="79"/>
      <c r="K1" s="79"/>
      <c r="L1" s="79"/>
      <c r="M1" s="80"/>
    </row>
    <row r="2" spans="1:13" s="2" customFormat="1" ht="62" customHeight="1" thickBot="1">
      <c r="A2" s="81"/>
      <c r="B2" s="82"/>
      <c r="C2" s="83"/>
      <c r="D2" s="83"/>
      <c r="E2" s="83"/>
      <c r="F2" s="83"/>
      <c r="G2" s="83"/>
      <c r="H2" s="83"/>
      <c r="I2" s="83"/>
      <c r="J2" s="83"/>
      <c r="K2" s="83"/>
      <c r="L2" s="83"/>
      <c r="M2" s="84"/>
    </row>
    <row r="3" spans="1:13" s="1" customFormat="1" ht="12.75" customHeight="1">
      <c r="A3" s="85" t="s">
        <v>625</v>
      </c>
      <c r="B3" s="67" t="s">
        <v>0</v>
      </c>
      <c r="C3" s="87" t="s">
        <v>627</v>
      </c>
      <c r="D3" s="87" t="s">
        <v>6</v>
      </c>
      <c r="E3" s="71" t="s">
        <v>628</v>
      </c>
      <c r="F3" s="89" t="s">
        <v>5</v>
      </c>
      <c r="G3" s="89" t="s">
        <v>8</v>
      </c>
      <c r="H3" s="89"/>
      <c r="I3" s="89"/>
      <c r="J3" s="89"/>
      <c r="K3" s="71" t="s">
        <v>345</v>
      </c>
      <c r="L3" s="71" t="s">
        <v>3</v>
      </c>
      <c r="M3" s="73" t="s">
        <v>2</v>
      </c>
    </row>
    <row r="4" spans="1:13" s="1" customFormat="1" ht="21" customHeight="1" thickBot="1">
      <c r="A4" s="86"/>
      <c r="B4" s="68"/>
      <c r="C4" s="88"/>
      <c r="D4" s="88"/>
      <c r="E4" s="72"/>
      <c r="F4" s="88"/>
      <c r="G4" s="4">
        <v>1</v>
      </c>
      <c r="H4" s="4">
        <v>2</v>
      </c>
      <c r="I4" s="4">
        <v>3</v>
      </c>
      <c r="J4" s="4" t="s">
        <v>4</v>
      </c>
      <c r="K4" s="72"/>
      <c r="L4" s="72"/>
      <c r="M4" s="74"/>
    </row>
    <row r="5" spans="1:13" s="3" customFormat="1" ht="16">
      <c r="A5" s="75" t="s">
        <v>25</v>
      </c>
      <c r="B5" s="75"/>
      <c r="C5" s="76"/>
      <c r="D5" s="76"/>
      <c r="E5" s="76"/>
      <c r="F5" s="76"/>
      <c r="G5" s="76"/>
      <c r="H5" s="76"/>
      <c r="I5" s="76"/>
      <c r="J5" s="76"/>
      <c r="K5" s="6"/>
      <c r="L5" s="6"/>
      <c r="M5" s="5"/>
    </row>
    <row r="6" spans="1:13">
      <c r="A6" s="48">
        <v>1</v>
      </c>
      <c r="B6" s="36" t="s">
        <v>474</v>
      </c>
      <c r="C6" s="36" t="s">
        <v>475</v>
      </c>
      <c r="D6" s="36" t="s">
        <v>424</v>
      </c>
      <c r="E6" s="36" t="s">
        <v>629</v>
      </c>
      <c r="F6" s="36" t="s">
        <v>476</v>
      </c>
      <c r="G6" s="47" t="s">
        <v>51</v>
      </c>
      <c r="H6" s="47" t="s">
        <v>63</v>
      </c>
      <c r="I6" s="49" t="s">
        <v>43</v>
      </c>
      <c r="J6" s="48"/>
      <c r="K6" s="48" t="str">
        <f>"202,5"</f>
        <v>202,5</v>
      </c>
      <c r="L6" s="48" t="str">
        <f>"131,5744"</f>
        <v>131,5744</v>
      </c>
      <c r="M6" s="36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WRPF ПЛ без экипировки ДК</vt:lpstr>
      <vt:lpstr>WRPF ПЛ без экипировки</vt:lpstr>
      <vt:lpstr>WRPF ПЛ в бинтах ДК</vt:lpstr>
      <vt:lpstr>WRPF ПЛ в бинтах</vt:lpstr>
      <vt:lpstr>WRPF Двоеборье без экип ДК</vt:lpstr>
      <vt:lpstr>WRPF Двоеборье без экип</vt:lpstr>
      <vt:lpstr>WRPF Жим лежа без экип ДК</vt:lpstr>
      <vt:lpstr>WRPF Жим лежа без экип</vt:lpstr>
      <vt:lpstr>WEPF Жим софт однопетельная ДК</vt:lpstr>
      <vt:lpstr>WRPF Тяга без экипировки ДК</vt:lpstr>
      <vt:lpstr>WRPF Тяга без экипировки</vt:lpstr>
      <vt:lpstr>WRPF Подъем на бицепс ДК</vt:lpstr>
      <vt:lpstr>WRPF Подъем на бицепс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2022-06-13T20:51:56Z</dcterms:modified>
</cp:coreProperties>
</file>