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Июнь/"/>
    </mc:Choice>
  </mc:AlternateContent>
  <xr:revisionPtr revIDLastSave="0" documentId="13_ncr:1_{F0D08DE8-0D21-0E4B-8130-D8B48B92554F}" xr6:coauthVersionLast="45" xr6:coauthVersionMax="45" xr10:uidLastSave="{00000000-0000-0000-0000-000000000000}"/>
  <bookViews>
    <workbookView xWindow="0" yWindow="460" windowWidth="28800" windowHeight="15740" firstSheet="13" activeTab="18" xr2:uid="{00000000-000D-0000-FFFF-FFFF00000000}"/>
  </bookViews>
  <sheets>
    <sheet name="GPA ПЛ без экипировки ДК" sheetId="5" r:id="rId1"/>
    <sheet name="GPA ПЛ без экипировки" sheetId="8" r:id="rId2"/>
    <sheet name="GPA ПЛ в бинтах ДК" sheetId="7" r:id="rId3"/>
    <sheet name="GPA ПЛ в бинтах" sheetId="6" r:id="rId4"/>
    <sheet name="GPA Двоеборье без экип ДК" sheetId="15" r:id="rId5"/>
    <sheet name="GPA Двоеборье без экип" sheetId="14" r:id="rId6"/>
    <sheet name="GPA Присед без экипировки ДК" sheetId="13" r:id="rId7"/>
    <sheet name="GPA Жим без экипировки ДК" sheetId="10" r:id="rId8"/>
    <sheet name="GPA Жим без экипировки" sheetId="9" r:id="rId9"/>
    <sheet name="СПР Жим софт однопетельная ДК" sheetId="31" r:id="rId10"/>
    <sheet name="СПР Жим софт однопетельная" sheetId="30" r:id="rId11"/>
    <sheet name="СПР Жим софт многопетельная ДК" sheetId="33" r:id="rId12"/>
    <sheet name="СПР Жим софт многопетельная" sheetId="32" r:id="rId13"/>
    <sheet name="GPA Тяга без экипировки ДК" sheetId="12" r:id="rId14"/>
    <sheet name="GPA Тяга без экипировки" sheetId="11" r:id="rId15"/>
    <sheet name="СПР Пауэрспорт ДК" sheetId="29" r:id="rId16"/>
    <sheet name="СПР Пауэрспорт" sheetId="28" r:id="rId17"/>
    <sheet name="СПР Подъем на бицепс ДК" sheetId="27" r:id="rId18"/>
    <sheet name="СПР Подъем на бицепс" sheetId="26" r:id="rId19"/>
  </sheets>
  <definedNames>
    <definedName name="_FilterDatabase" localSheetId="0" hidden="1">'GPA ПЛ без экипировки ДК'!$A$1:$S$3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33" l="1"/>
  <c r="K6" i="33"/>
  <c r="L9" i="32"/>
  <c r="K9" i="32"/>
  <c r="L6" i="32"/>
  <c r="K6" i="32"/>
  <c r="L6" i="31"/>
  <c r="K6" i="31"/>
  <c r="L14" i="30"/>
  <c r="K14" i="30"/>
  <c r="L11" i="30"/>
  <c r="K11" i="30"/>
  <c r="L10" i="30"/>
  <c r="K10" i="30"/>
  <c r="L7" i="30"/>
  <c r="K7" i="30"/>
  <c r="L6" i="30"/>
  <c r="K6" i="30"/>
  <c r="P32" i="29"/>
  <c r="O32" i="29"/>
  <c r="P29" i="29"/>
  <c r="O29" i="29"/>
  <c r="P28" i="29"/>
  <c r="O28" i="29"/>
  <c r="P27" i="29"/>
  <c r="O27" i="29"/>
  <c r="P24" i="29"/>
  <c r="O24" i="29"/>
  <c r="P23" i="29"/>
  <c r="O23" i="29"/>
  <c r="P20" i="29"/>
  <c r="O20" i="29"/>
  <c r="P17" i="29"/>
  <c r="O17" i="29"/>
  <c r="P16" i="29"/>
  <c r="O16" i="29"/>
  <c r="P13" i="29"/>
  <c r="O13" i="29"/>
  <c r="P12" i="29"/>
  <c r="O12" i="29"/>
  <c r="P9" i="29"/>
  <c r="O9" i="29"/>
  <c r="P6" i="29"/>
  <c r="O6" i="29"/>
  <c r="P12" i="28"/>
  <c r="O12" i="28"/>
  <c r="P9" i="28"/>
  <c r="O9" i="28"/>
  <c r="P6" i="28"/>
  <c r="O6" i="28"/>
  <c r="L48" i="27"/>
  <c r="K48" i="27"/>
  <c r="L45" i="27"/>
  <c r="K45" i="27"/>
  <c r="L42" i="27"/>
  <c r="K42" i="27"/>
  <c r="L41" i="27"/>
  <c r="K41" i="27"/>
  <c r="L40" i="27"/>
  <c r="K40" i="27"/>
  <c r="L39" i="27"/>
  <c r="K39" i="27"/>
  <c r="L36" i="27"/>
  <c r="K36" i="27"/>
  <c r="L35" i="27"/>
  <c r="K35" i="27"/>
  <c r="L34" i="27"/>
  <c r="K34" i="27"/>
  <c r="L33" i="27"/>
  <c r="K33" i="27"/>
  <c r="L32" i="27"/>
  <c r="K32" i="27"/>
  <c r="L29" i="27"/>
  <c r="K29" i="27"/>
  <c r="L28" i="27"/>
  <c r="K28" i="27"/>
  <c r="L25" i="27"/>
  <c r="K25" i="27"/>
  <c r="L24" i="27"/>
  <c r="K24" i="27"/>
  <c r="L23" i="27"/>
  <c r="K23" i="27"/>
  <c r="L20" i="27"/>
  <c r="K20" i="27"/>
  <c r="L19" i="27"/>
  <c r="K19" i="27"/>
  <c r="L16" i="27"/>
  <c r="K16" i="27"/>
  <c r="L13" i="27"/>
  <c r="K13" i="27"/>
  <c r="L12" i="27"/>
  <c r="K12" i="27"/>
  <c r="L9" i="27"/>
  <c r="K9" i="27"/>
  <c r="L6" i="27"/>
  <c r="K6" i="27"/>
  <c r="L15" i="26"/>
  <c r="K15" i="26"/>
  <c r="L12" i="26"/>
  <c r="K12" i="26"/>
  <c r="L9" i="26"/>
  <c r="K9" i="26"/>
  <c r="L6" i="26"/>
  <c r="K6" i="26"/>
  <c r="P23" i="15"/>
  <c r="O23" i="15"/>
  <c r="P20" i="15"/>
  <c r="O20" i="15"/>
  <c r="P17" i="15"/>
  <c r="O17" i="15"/>
  <c r="P16" i="15"/>
  <c r="P15" i="15"/>
  <c r="O15" i="15"/>
  <c r="P12" i="15"/>
  <c r="O12" i="15"/>
  <c r="P9" i="15"/>
  <c r="O9" i="15"/>
  <c r="P6" i="15"/>
  <c r="P6" i="14"/>
  <c r="L6" i="13"/>
  <c r="K6" i="13"/>
  <c r="L26" i="12"/>
  <c r="K26" i="12"/>
  <c r="L23" i="12"/>
  <c r="K23" i="12"/>
  <c r="L20" i="12"/>
  <c r="L19" i="12"/>
  <c r="K19" i="12"/>
  <c r="L16" i="12"/>
  <c r="K16" i="12"/>
  <c r="L13" i="12"/>
  <c r="K13" i="12"/>
  <c r="L10" i="12"/>
  <c r="K10" i="12"/>
  <c r="L9" i="12"/>
  <c r="K9" i="12"/>
  <c r="L6" i="12"/>
  <c r="K6" i="12"/>
  <c r="L16" i="11"/>
  <c r="K16" i="11"/>
  <c r="L13" i="11"/>
  <c r="K13" i="11"/>
  <c r="L10" i="11"/>
  <c r="K10" i="11"/>
  <c r="L9" i="11"/>
  <c r="K9" i="11"/>
  <c r="L6" i="11"/>
  <c r="K6" i="11"/>
  <c r="L71" i="10"/>
  <c r="K71" i="10"/>
  <c r="L68" i="10"/>
  <c r="K68" i="10"/>
  <c r="L67" i="10"/>
  <c r="K67" i="10"/>
  <c r="L66" i="10"/>
  <c r="K66" i="10"/>
  <c r="L63" i="10"/>
  <c r="L62" i="10"/>
  <c r="K62" i="10"/>
  <c r="L61" i="10"/>
  <c r="K61" i="10"/>
  <c r="L60" i="10"/>
  <c r="K60" i="10"/>
  <c r="L57" i="10"/>
  <c r="K57" i="10"/>
  <c r="L56" i="10"/>
  <c r="K56" i="10"/>
  <c r="L55" i="10"/>
  <c r="K55" i="10"/>
  <c r="L54" i="10"/>
  <c r="K54" i="10"/>
  <c r="L53" i="10"/>
  <c r="K53" i="10"/>
  <c r="L52" i="10"/>
  <c r="K52" i="10"/>
  <c r="L51" i="10"/>
  <c r="K51" i="10"/>
  <c r="L50" i="10"/>
  <c r="K50" i="10"/>
  <c r="L47" i="10"/>
  <c r="K47" i="10"/>
  <c r="L46" i="10"/>
  <c r="K46" i="10"/>
  <c r="L45" i="10"/>
  <c r="K45" i="10"/>
  <c r="L44" i="10"/>
  <c r="K44" i="10"/>
  <c r="L43" i="10"/>
  <c r="K43" i="10"/>
  <c r="L42" i="10"/>
  <c r="K42" i="10"/>
  <c r="L39" i="10"/>
  <c r="K39" i="10"/>
  <c r="L38" i="10"/>
  <c r="L37" i="10"/>
  <c r="K37" i="10"/>
  <c r="L36" i="10"/>
  <c r="K36" i="10"/>
  <c r="L35" i="10"/>
  <c r="K35" i="10"/>
  <c r="L32" i="10"/>
  <c r="K32" i="10"/>
  <c r="L29" i="10"/>
  <c r="K29" i="10"/>
  <c r="L26" i="10"/>
  <c r="K26" i="10"/>
  <c r="L25" i="10"/>
  <c r="K25" i="10"/>
  <c r="L24" i="10"/>
  <c r="K24" i="10"/>
  <c r="L23" i="10"/>
  <c r="K23" i="10"/>
  <c r="L22" i="10"/>
  <c r="K22" i="10"/>
  <c r="L19" i="10"/>
  <c r="K19" i="10"/>
  <c r="L16" i="10"/>
  <c r="K16" i="10"/>
  <c r="L15" i="10"/>
  <c r="K15" i="10"/>
  <c r="L14" i="10"/>
  <c r="K14" i="10"/>
  <c r="L11" i="10"/>
  <c r="K11" i="10"/>
  <c r="L10" i="10"/>
  <c r="K10" i="10"/>
  <c r="L7" i="10"/>
  <c r="K7" i="10"/>
  <c r="L6" i="10"/>
  <c r="L39" i="9"/>
  <c r="K39" i="9"/>
  <c r="L36" i="9"/>
  <c r="K36" i="9"/>
  <c r="L33" i="9"/>
  <c r="K33" i="9"/>
  <c r="L32" i="9"/>
  <c r="L31" i="9"/>
  <c r="K31" i="9"/>
  <c r="L28" i="9"/>
  <c r="K28" i="9"/>
  <c r="L27" i="9"/>
  <c r="K27" i="9"/>
  <c r="L26" i="9"/>
  <c r="L25" i="9"/>
  <c r="K25" i="9"/>
  <c r="L24" i="9"/>
  <c r="K24" i="9"/>
  <c r="L23" i="9"/>
  <c r="K23" i="9"/>
  <c r="L20" i="9"/>
  <c r="K20" i="9"/>
  <c r="L19" i="9"/>
  <c r="K19" i="9"/>
  <c r="L18" i="9"/>
  <c r="K18" i="9"/>
  <c r="L17" i="9"/>
  <c r="K17" i="9"/>
  <c r="L16" i="9"/>
  <c r="K16" i="9"/>
  <c r="L15" i="9"/>
  <c r="K15" i="9"/>
  <c r="L12" i="9"/>
  <c r="K12" i="9"/>
  <c r="L9" i="9"/>
  <c r="K9" i="9"/>
  <c r="L6" i="9"/>
  <c r="K6" i="9"/>
  <c r="T9" i="8"/>
  <c r="S9" i="8"/>
  <c r="T6" i="8"/>
  <c r="S6" i="8"/>
  <c r="T33" i="7"/>
  <c r="S33" i="7"/>
  <c r="T30" i="7"/>
  <c r="S30" i="7"/>
  <c r="T27" i="7"/>
  <c r="S27" i="7"/>
  <c r="T26" i="7"/>
  <c r="S26" i="7"/>
  <c r="T23" i="7"/>
  <c r="S23" i="7"/>
  <c r="T20" i="7"/>
  <c r="S20" i="7"/>
  <c r="T17" i="7"/>
  <c r="S17" i="7"/>
  <c r="T14" i="7"/>
  <c r="S14" i="7"/>
  <c r="T11" i="7"/>
  <c r="S11" i="7"/>
  <c r="T10" i="7"/>
  <c r="S10" i="7"/>
  <c r="T9" i="7"/>
  <c r="S9" i="7"/>
  <c r="T6" i="7"/>
  <c r="S6" i="7"/>
  <c r="T10" i="6"/>
  <c r="T9" i="6"/>
  <c r="S9" i="6"/>
  <c r="T6" i="6"/>
  <c r="T37" i="5"/>
  <c r="S37" i="5"/>
  <c r="T34" i="5"/>
  <c r="S34" i="5"/>
  <c r="T33" i="5"/>
  <c r="S33" i="5"/>
  <c r="T30" i="5"/>
  <c r="S30" i="5"/>
  <c r="T29" i="5"/>
  <c r="S29" i="5"/>
  <c r="T26" i="5"/>
  <c r="S26" i="5"/>
  <c r="T25" i="5"/>
  <c r="S25" i="5"/>
  <c r="T22" i="5"/>
  <c r="S22" i="5"/>
  <c r="T21" i="5"/>
  <c r="S21" i="5"/>
  <c r="T18" i="5"/>
  <c r="S18" i="5"/>
  <c r="T17" i="5"/>
  <c r="S17" i="5"/>
  <c r="T16" i="5"/>
  <c r="S16" i="5"/>
  <c r="T13" i="5"/>
  <c r="S13" i="5"/>
  <c r="T10" i="5"/>
  <c r="S10" i="5"/>
  <c r="T9" i="5"/>
  <c r="S9" i="5"/>
  <c r="T6" i="5"/>
  <c r="S6" i="5"/>
</calcChain>
</file>

<file path=xl/sharedStrings.xml><?xml version="1.0" encoding="utf-8"?>
<sst xmlns="http://schemas.openxmlformats.org/spreadsheetml/2006/main" count="2181" uniqueCount="631">
  <si>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</si>
  <si>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</si>
  <si>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</si>
  <si>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</si>
  <si>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</si>
  <si>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</si>
  <si>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</si>
  <si>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</si>
  <si>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</si>
  <si>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</si>
  <si>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44</t>
  </si>
  <si>
    <t>Жунина Екатерина</t>
  </si>
  <si>
    <t>Открытая (17.12.1989)/32</t>
  </si>
  <si>
    <t>43,90</t>
  </si>
  <si>
    <t xml:space="preserve">Череповец/Вологодская область </t>
  </si>
  <si>
    <t>70,0</t>
  </si>
  <si>
    <t>72,5</t>
  </si>
  <si>
    <t>50,0</t>
  </si>
  <si>
    <t>52,5</t>
  </si>
  <si>
    <t>92,5</t>
  </si>
  <si>
    <t>97,5</t>
  </si>
  <si>
    <t>100,0</t>
  </si>
  <si>
    <t>ВЕСОВАЯ КАТЕГОРИЯ   52</t>
  </si>
  <si>
    <t>Груздева Дарья</t>
  </si>
  <si>
    <t>Открытая (14.12.1991)/30</t>
  </si>
  <si>
    <t>51,80</t>
  </si>
  <si>
    <t xml:space="preserve">Великий Устюг/Вологодская область </t>
  </si>
  <si>
    <t>90,0</t>
  </si>
  <si>
    <t>95,0</t>
  </si>
  <si>
    <t>112,5</t>
  </si>
  <si>
    <t>120,0</t>
  </si>
  <si>
    <t>122,5</t>
  </si>
  <si>
    <t xml:space="preserve">Чебыкин А. </t>
  </si>
  <si>
    <t>Присада Яна</t>
  </si>
  <si>
    <t>Открытая (10.08.1990)/31</t>
  </si>
  <si>
    <t>51,10</t>
  </si>
  <si>
    <t xml:space="preserve">Вологда/Вологодская область </t>
  </si>
  <si>
    <t>55,0</t>
  </si>
  <si>
    <t>107,5</t>
  </si>
  <si>
    <t xml:space="preserve">Присада Р. </t>
  </si>
  <si>
    <t>ВЕСОВАЯ КАТЕГОРИЯ   56</t>
  </si>
  <si>
    <t>Мякишева Мария</t>
  </si>
  <si>
    <t>Открытая (10.12.1990)/31</t>
  </si>
  <si>
    <t>55,20</t>
  </si>
  <si>
    <t>57,5</t>
  </si>
  <si>
    <t>60,0</t>
  </si>
  <si>
    <t>125,0</t>
  </si>
  <si>
    <t>127,5</t>
  </si>
  <si>
    <t xml:space="preserve">Макрашов В. </t>
  </si>
  <si>
    <t>ВЕСОВАЯ КАТЕГОРИЯ   60</t>
  </si>
  <si>
    <t>Измайлова Ирина</t>
  </si>
  <si>
    <t>57,10</t>
  </si>
  <si>
    <t xml:space="preserve">Чагода/Вологодская область </t>
  </si>
  <si>
    <t>80,0</t>
  </si>
  <si>
    <t>82,5</t>
  </si>
  <si>
    <t>85,0</t>
  </si>
  <si>
    <t xml:space="preserve">Смелова Ж. </t>
  </si>
  <si>
    <t>Смелова Жанна</t>
  </si>
  <si>
    <t>57,20</t>
  </si>
  <si>
    <t>75,0</t>
  </si>
  <si>
    <t>77,5</t>
  </si>
  <si>
    <t>Суринова Юлия</t>
  </si>
  <si>
    <t>59,40</t>
  </si>
  <si>
    <t>67,5</t>
  </si>
  <si>
    <t>62,5</t>
  </si>
  <si>
    <t xml:space="preserve">Якушевич А. </t>
  </si>
  <si>
    <t>ВЕСОВАЯ КАТЕГОРИЯ   67.5</t>
  </si>
  <si>
    <t>Кузьмина Станислава</t>
  </si>
  <si>
    <t>66,10</t>
  </si>
  <si>
    <t>87,5</t>
  </si>
  <si>
    <t>37,5</t>
  </si>
  <si>
    <t>40,0</t>
  </si>
  <si>
    <t>42,5</t>
  </si>
  <si>
    <t xml:space="preserve">Кузьмин А. </t>
  </si>
  <si>
    <t>Шубник Ольга</t>
  </si>
  <si>
    <t>Открытая (17.09.1989)/32</t>
  </si>
  <si>
    <t>66,70</t>
  </si>
  <si>
    <t>65,0</t>
  </si>
  <si>
    <t>32,5</t>
  </si>
  <si>
    <t>45,0</t>
  </si>
  <si>
    <t>102,5</t>
  </si>
  <si>
    <t>Малышев Алексей</t>
  </si>
  <si>
    <t>Открытая (30.06.2004)/17</t>
  </si>
  <si>
    <t>58,50</t>
  </si>
  <si>
    <t xml:space="preserve">Тотьма/Вологодская область </t>
  </si>
  <si>
    <t>145,0</t>
  </si>
  <si>
    <t>152,5</t>
  </si>
  <si>
    <t>160,0</t>
  </si>
  <si>
    <t>175,0</t>
  </si>
  <si>
    <t>192,5</t>
  </si>
  <si>
    <t>200,0</t>
  </si>
  <si>
    <t>Двойников Олег</t>
  </si>
  <si>
    <t>59,60</t>
  </si>
  <si>
    <t>110,0</t>
  </si>
  <si>
    <t>115,0</t>
  </si>
  <si>
    <t>150,0</t>
  </si>
  <si>
    <t>155,0</t>
  </si>
  <si>
    <t>ВЕСОВАЯ КАТЕГОРИЯ   82.5</t>
  </si>
  <si>
    <t>Дурягин Максим</t>
  </si>
  <si>
    <t>80,70</t>
  </si>
  <si>
    <t>130,0</t>
  </si>
  <si>
    <t>Открытая (24.05.2000)/22</t>
  </si>
  <si>
    <t>ВЕСОВАЯ КАТЕГОРИЯ   90</t>
  </si>
  <si>
    <t>Воронец Георгий</t>
  </si>
  <si>
    <t>88,00</t>
  </si>
  <si>
    <t>140,0</t>
  </si>
  <si>
    <t>170,0</t>
  </si>
  <si>
    <t>Новожилов Николай</t>
  </si>
  <si>
    <t>Открытая (19.05.1982)/40</t>
  </si>
  <si>
    <t>89,40</t>
  </si>
  <si>
    <t>135,0</t>
  </si>
  <si>
    <t>205,0</t>
  </si>
  <si>
    <t>215,0</t>
  </si>
  <si>
    <t>222,5</t>
  </si>
  <si>
    <t>ВЕСОВАЯ КАТЕГОРИЯ   100</t>
  </si>
  <si>
    <t>Молодцов Александр</t>
  </si>
  <si>
    <t>Открытая (21.10.1978)/43</t>
  </si>
  <si>
    <t>95,60</t>
  </si>
  <si>
    <t xml:space="preserve">Сокол/Вологодская область </t>
  </si>
  <si>
    <t>180,0</t>
  </si>
  <si>
    <t>230,0</t>
  </si>
  <si>
    <t>240,0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</si>
  <si>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</si>
  <si>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</si>
  <si>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</si>
  <si>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</si>
  <si>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 xml:space="preserve">Сумма </t>
  </si>
  <si>
    <t xml:space="preserve">Reshel </t>
  </si>
  <si>
    <t xml:space="preserve">Открытая </t>
  </si>
  <si>
    <t>44</t>
  </si>
  <si>
    <t>52</t>
  </si>
  <si>
    <t xml:space="preserve">Мужчины </t>
  </si>
  <si>
    <t>1</t>
  </si>
  <si>
    <t>2</t>
  </si>
  <si>
    <t>Кузнецов Руслан</t>
  </si>
  <si>
    <t>Открытая (26.01.1995)/27</t>
  </si>
  <si>
    <t>96,90</t>
  </si>
  <si>
    <t>270,0</t>
  </si>
  <si>
    <t>285,0</t>
  </si>
  <si>
    <t>300,0</t>
  </si>
  <si>
    <t xml:space="preserve">Ступников Р. </t>
  </si>
  <si>
    <t>ВЕСОВАЯ КАТЕГОРИЯ   110</t>
  </si>
  <si>
    <t>Худиев Руслан</t>
  </si>
  <si>
    <t>Открытая (17.04.1992)/30</t>
  </si>
  <si>
    <t>105,80</t>
  </si>
  <si>
    <t>260,0</t>
  </si>
  <si>
    <t>280,0</t>
  </si>
  <si>
    <t>295,0</t>
  </si>
  <si>
    <t xml:space="preserve">Щиголь А. </t>
  </si>
  <si>
    <t>Самодуров Владимир</t>
  </si>
  <si>
    <t>106,50</t>
  </si>
  <si>
    <t>190,0</t>
  </si>
  <si>
    <t>220,0</t>
  </si>
  <si>
    <t>-</t>
  </si>
  <si>
    <t>Жирнова Анна</t>
  </si>
  <si>
    <t>Открытая (12.07.2002)/19</t>
  </si>
  <si>
    <t xml:space="preserve">Челябинск/Челябинская область </t>
  </si>
  <si>
    <t xml:space="preserve">Румянцев С. </t>
  </si>
  <si>
    <t>Литомина Любовь</t>
  </si>
  <si>
    <t>Открытая (18.05.1999)/23</t>
  </si>
  <si>
    <t>56,00</t>
  </si>
  <si>
    <t xml:space="preserve">Гук Н. </t>
  </si>
  <si>
    <t>Булдакова Софья</t>
  </si>
  <si>
    <t>Открытая (12.03.2003)/19</t>
  </si>
  <si>
    <t>54,40</t>
  </si>
  <si>
    <t xml:space="preserve">Глазов/Удмуртия </t>
  </si>
  <si>
    <t>105,0</t>
  </si>
  <si>
    <t>Джунусбаева Бегимай</t>
  </si>
  <si>
    <t>Открытая (13.01.2002)/20</t>
  </si>
  <si>
    <t>54,70</t>
  </si>
  <si>
    <t xml:space="preserve">Балашиха/Московская область </t>
  </si>
  <si>
    <t>Ловцова Наталья</t>
  </si>
  <si>
    <t>Открытая (29.05.1986)/36</t>
  </si>
  <si>
    <t>67,20</t>
  </si>
  <si>
    <t xml:space="preserve">Кузнецов Р. </t>
  </si>
  <si>
    <t>Остапенко Василий</t>
  </si>
  <si>
    <t>Открытая (30.07.1983)/38</t>
  </si>
  <si>
    <t>67,00</t>
  </si>
  <si>
    <t>ВЕСОВАЯ КАТЕГОРИЯ   75</t>
  </si>
  <si>
    <t>Абдуллаев Анвар</t>
  </si>
  <si>
    <t>Открытая (17.04.2002)/20</t>
  </si>
  <si>
    <t>73,90</t>
  </si>
  <si>
    <t>162,5</t>
  </si>
  <si>
    <t>165,0</t>
  </si>
  <si>
    <t>177,5</t>
  </si>
  <si>
    <t>Зыков Максим</t>
  </si>
  <si>
    <t>Открытая (21.06.2002)/19</t>
  </si>
  <si>
    <t>82,40</t>
  </si>
  <si>
    <t xml:space="preserve">Кемерово/Кемеровская область </t>
  </si>
  <si>
    <t>225,0</t>
  </si>
  <si>
    <t>235,0</t>
  </si>
  <si>
    <t>137,5</t>
  </si>
  <si>
    <t>142,5</t>
  </si>
  <si>
    <t>210,0</t>
  </si>
  <si>
    <t>217,5</t>
  </si>
  <si>
    <t>Кеслер Антон</t>
  </si>
  <si>
    <t>Открытая (21.07.1992)/29</t>
  </si>
  <si>
    <t>86,30</t>
  </si>
  <si>
    <t>247,5</t>
  </si>
  <si>
    <t>Шишкин Даниил</t>
  </si>
  <si>
    <t>Открытая (12.11.1999)/22</t>
  </si>
  <si>
    <t>86,70</t>
  </si>
  <si>
    <t>Огулявичюс Рихард</t>
  </si>
  <si>
    <t>Открытая (01.03.1991)/31</t>
  </si>
  <si>
    <t>96,60</t>
  </si>
  <si>
    <t>275,0</t>
  </si>
  <si>
    <t>Пеунков Михаил</t>
  </si>
  <si>
    <t>Открытая (08.03.1987)/35</t>
  </si>
  <si>
    <t>105,40</t>
  </si>
  <si>
    <t>245,0</t>
  </si>
  <si>
    <t>Зыкова Валентина</t>
  </si>
  <si>
    <t>Открытая (13.12.1985)/36</t>
  </si>
  <si>
    <t>65,10</t>
  </si>
  <si>
    <t xml:space="preserve">Розанов И. </t>
  </si>
  <si>
    <t>Кулигин Георгий</t>
  </si>
  <si>
    <t>Открытая (15.12.1992)/29</t>
  </si>
  <si>
    <t>86,20</t>
  </si>
  <si>
    <t>157,5</t>
  </si>
  <si>
    <t>Мощева Мария</t>
  </si>
  <si>
    <t>Открытая (28.08.1990)/31</t>
  </si>
  <si>
    <t>59,30</t>
  </si>
  <si>
    <t xml:space="preserve">Тепляков Д. </t>
  </si>
  <si>
    <t>Осипов Владимир</t>
  </si>
  <si>
    <t>Открытая (27.10.1985)/36</t>
  </si>
  <si>
    <t xml:space="preserve">Няндома/Архангельская область </t>
  </si>
  <si>
    <t>Соков Денис</t>
  </si>
  <si>
    <t>Открытая (26.12.1985)/36</t>
  </si>
  <si>
    <t>80,60</t>
  </si>
  <si>
    <t xml:space="preserve">Кострома/Костромская область </t>
  </si>
  <si>
    <t>185,0</t>
  </si>
  <si>
    <t>Баландин Сергей</t>
  </si>
  <si>
    <t>Открытая (14.12.1984)/37</t>
  </si>
  <si>
    <t>88,40</t>
  </si>
  <si>
    <t xml:space="preserve">Пермь/Пермский край </t>
  </si>
  <si>
    <t>Павлов Алексей</t>
  </si>
  <si>
    <t>Открытая (18.01.1978)/44</t>
  </si>
  <si>
    <t>87,70</t>
  </si>
  <si>
    <t>182,5</t>
  </si>
  <si>
    <t>Белов Станислав</t>
  </si>
  <si>
    <t>Открытая (11.11.1990)/31</t>
  </si>
  <si>
    <t>90,00</t>
  </si>
  <si>
    <t xml:space="preserve">Тихвин/Ленинградская область </t>
  </si>
  <si>
    <t xml:space="preserve">Никитинский А. </t>
  </si>
  <si>
    <t>Уткин Андрей</t>
  </si>
  <si>
    <t>89,10</t>
  </si>
  <si>
    <t>Анисимов Олег</t>
  </si>
  <si>
    <t xml:space="preserve">Харовск/Вологодская область </t>
  </si>
  <si>
    <t>Зарубин Сергей</t>
  </si>
  <si>
    <t>87,40</t>
  </si>
  <si>
    <t>132,5</t>
  </si>
  <si>
    <t>Пацерук Максим</t>
  </si>
  <si>
    <t>94,40</t>
  </si>
  <si>
    <t xml:space="preserve">Васев А. </t>
  </si>
  <si>
    <t>Некрасов Иван</t>
  </si>
  <si>
    <t>Открытая (18.03.1982)/40</t>
  </si>
  <si>
    <t>195,0</t>
  </si>
  <si>
    <t xml:space="preserve">Смирнов Д. </t>
  </si>
  <si>
    <t>Зеленков Михаил</t>
  </si>
  <si>
    <t>Открытая (27.01.1991)/31</t>
  </si>
  <si>
    <t>97,60</t>
  </si>
  <si>
    <t>167,5</t>
  </si>
  <si>
    <t>Федотов Игорь</t>
  </si>
  <si>
    <t>Открытая (05.10.1997)/24</t>
  </si>
  <si>
    <t>99,90</t>
  </si>
  <si>
    <t>Васильев Алексей</t>
  </si>
  <si>
    <t>Бебякин Олег</t>
  </si>
  <si>
    <t>Открытая (25.10.1989)/32</t>
  </si>
  <si>
    <t>108,80</t>
  </si>
  <si>
    <t>187,5</t>
  </si>
  <si>
    <t>Открытая (21.06.1981)/40</t>
  </si>
  <si>
    <t>Малыгин Дмитрий</t>
  </si>
  <si>
    <t>108,20</t>
  </si>
  <si>
    <t>ВЕСОВАЯ КАТЕГОРИЯ   125</t>
  </si>
  <si>
    <t>Мамаев Юрий</t>
  </si>
  <si>
    <t>Открытая (13.01.1983)/39</t>
  </si>
  <si>
    <t>124,20</t>
  </si>
  <si>
    <t xml:space="preserve">Погодин И. </t>
  </si>
  <si>
    <t>ВЕСОВАЯ КАТЕГОРИЯ   140</t>
  </si>
  <si>
    <t>Филиппов Антон</t>
  </si>
  <si>
    <t>Открытая (12.08.1986)/35</t>
  </si>
  <si>
    <t>134,50</t>
  </si>
  <si>
    <t>202,5</t>
  </si>
  <si>
    <t xml:space="preserve">Результат </t>
  </si>
  <si>
    <t>Результат</t>
  </si>
  <si>
    <t>ВЕСОВАЯ КАТЕГОРИЯ   48</t>
  </si>
  <si>
    <t>Игнашева Ольга</t>
  </si>
  <si>
    <t>48,00</t>
  </si>
  <si>
    <t xml:space="preserve">Кузнецов М. </t>
  </si>
  <si>
    <t>Скляр Екатерина</t>
  </si>
  <si>
    <t>47,80</t>
  </si>
  <si>
    <t xml:space="preserve">Завьялова А. </t>
  </si>
  <si>
    <t>Карпова Анастасия</t>
  </si>
  <si>
    <t>Открытая (14.07.1987)/34</t>
  </si>
  <si>
    <t>50,40</t>
  </si>
  <si>
    <t xml:space="preserve">Кудряшов Д. </t>
  </si>
  <si>
    <t>Ерофеева Елена</t>
  </si>
  <si>
    <t>Открытая (27.05.1984)/38</t>
  </si>
  <si>
    <t>50,50</t>
  </si>
  <si>
    <t xml:space="preserve">Баландин С. </t>
  </si>
  <si>
    <t>Филимонова Валерия</t>
  </si>
  <si>
    <t>55,70</t>
  </si>
  <si>
    <t>Геташвили Мария</t>
  </si>
  <si>
    <t>Открытая (18.06.1980)/41</t>
  </si>
  <si>
    <t>55,90</t>
  </si>
  <si>
    <t>Лаврентьева Ольга</t>
  </si>
  <si>
    <t>Открытая (26.04.1983)/39</t>
  </si>
  <si>
    <t>54,30</t>
  </si>
  <si>
    <t>47,5</t>
  </si>
  <si>
    <t>Шаламова Ольга</t>
  </si>
  <si>
    <t>57,70</t>
  </si>
  <si>
    <t>Садовникова Юлия</t>
  </si>
  <si>
    <t>Открытая (26.06.1983)/38</t>
  </si>
  <si>
    <t>60,70</t>
  </si>
  <si>
    <t xml:space="preserve">Анисимов И. </t>
  </si>
  <si>
    <t>Емельянова Ирина</t>
  </si>
  <si>
    <t>Открытая (20.03.1975)/47</t>
  </si>
  <si>
    <t>62,00</t>
  </si>
  <si>
    <t>Мельникова Алена</t>
  </si>
  <si>
    <t>Открытая (24.12.1985)/36</t>
  </si>
  <si>
    <t>60,80</t>
  </si>
  <si>
    <t>Васильева Алина</t>
  </si>
  <si>
    <t>Открытая (28.02.1992)/30</t>
  </si>
  <si>
    <t>62,20</t>
  </si>
  <si>
    <t xml:space="preserve">Шиловский Е. </t>
  </si>
  <si>
    <t>Некрасова Светлана</t>
  </si>
  <si>
    <t>75,00</t>
  </si>
  <si>
    <t>Гавриков Иван</t>
  </si>
  <si>
    <t>49,20</t>
  </si>
  <si>
    <t>27,5</t>
  </si>
  <si>
    <t>Плех Владимир</t>
  </si>
  <si>
    <t>63,30</t>
  </si>
  <si>
    <t>Пасынков Андрей</t>
  </si>
  <si>
    <t>61,20</t>
  </si>
  <si>
    <t>Пасынков Роман</t>
  </si>
  <si>
    <t>Буланов Максим</t>
  </si>
  <si>
    <t>66,00</t>
  </si>
  <si>
    <t>Карпов Роман</t>
  </si>
  <si>
    <t>Открытая (09.03.1996)/26</t>
  </si>
  <si>
    <t>61,60</t>
  </si>
  <si>
    <t>Тропман Антон</t>
  </si>
  <si>
    <t>Кузнецов Максим</t>
  </si>
  <si>
    <t>Открытая (04.01.1995)/27</t>
  </si>
  <si>
    <t>72,10</t>
  </si>
  <si>
    <t>Багаев Эрик</t>
  </si>
  <si>
    <t>Открытая (01.06.1990)/32</t>
  </si>
  <si>
    <t>74,40</t>
  </si>
  <si>
    <t>Сюртуков Константин</t>
  </si>
  <si>
    <t>Открытая (19.03.1990)/32</t>
  </si>
  <si>
    <t>74,20</t>
  </si>
  <si>
    <t>117,5</t>
  </si>
  <si>
    <t>Китов Никита</t>
  </si>
  <si>
    <t>Открытая (13.06.2002)/19</t>
  </si>
  <si>
    <t>72,30</t>
  </si>
  <si>
    <t>Некрасов Дмитрий</t>
  </si>
  <si>
    <t>72,70</t>
  </si>
  <si>
    <t>Кокорев Илья</t>
  </si>
  <si>
    <t>Открытая (19.01.1973)/49</t>
  </si>
  <si>
    <t xml:space="preserve">Ярославль/Ярославская область </t>
  </si>
  <si>
    <t>Соколов Андрей</t>
  </si>
  <si>
    <t>Открытая (29.10.1995)/26</t>
  </si>
  <si>
    <t>80,80</t>
  </si>
  <si>
    <t>Шубник Андрей</t>
  </si>
  <si>
    <t>Открытая (03.09.1988)/33</t>
  </si>
  <si>
    <t>77,40</t>
  </si>
  <si>
    <t>Теплов Сергей</t>
  </si>
  <si>
    <t>80,30</t>
  </si>
  <si>
    <t>Николаев Александр</t>
  </si>
  <si>
    <t>81,20</t>
  </si>
  <si>
    <t>Акинтьев Евгений</t>
  </si>
  <si>
    <t>Открытая (28.05.1996)/26</t>
  </si>
  <si>
    <t>Виноградов Олег</t>
  </si>
  <si>
    <t>Открытая (18.08.1988)/33</t>
  </si>
  <si>
    <t>Смирнов Анатолий</t>
  </si>
  <si>
    <t>Открытая (17.02.1986)/36</t>
  </si>
  <si>
    <t>88,20</t>
  </si>
  <si>
    <t xml:space="preserve">Бабаево/Вологодская область </t>
  </si>
  <si>
    <t xml:space="preserve">Байбулин А. </t>
  </si>
  <si>
    <t>Нранян Роман</t>
  </si>
  <si>
    <t>Открытая (05.02.1989)/33</t>
  </si>
  <si>
    <t>Анисимов Игорь</t>
  </si>
  <si>
    <t>Открытая (23.12.1976)/45</t>
  </si>
  <si>
    <t>99,40</t>
  </si>
  <si>
    <t>Денисов Павел</t>
  </si>
  <si>
    <t>97,00</t>
  </si>
  <si>
    <t>147,5</t>
  </si>
  <si>
    <t>Кулаков Вячеслав</t>
  </si>
  <si>
    <t>98,00</t>
  </si>
  <si>
    <t xml:space="preserve">Архангельск/Архангельская область </t>
  </si>
  <si>
    <t xml:space="preserve">Левин А. </t>
  </si>
  <si>
    <t>Зыков Олег</t>
  </si>
  <si>
    <t>Открытая (25.09.1993)/28</t>
  </si>
  <si>
    <t>106,60</t>
  </si>
  <si>
    <t>Казарина Елена</t>
  </si>
  <si>
    <t xml:space="preserve">Королёв/Московская область </t>
  </si>
  <si>
    <t xml:space="preserve">Постнов Д. </t>
  </si>
  <si>
    <t>Пшеницын Владимир</t>
  </si>
  <si>
    <t>Открытая (06.05.1982)/40</t>
  </si>
  <si>
    <t>88,50</t>
  </si>
  <si>
    <t xml:space="preserve">Лысьва/Пермский край </t>
  </si>
  <si>
    <t>287,5</t>
  </si>
  <si>
    <t xml:space="preserve">Максимов В. </t>
  </si>
  <si>
    <t>Горин Юрий</t>
  </si>
  <si>
    <t>Открытая (18.02.1983)/39</t>
  </si>
  <si>
    <t>94,00</t>
  </si>
  <si>
    <t>Костылев Алексей</t>
  </si>
  <si>
    <t>117,90</t>
  </si>
  <si>
    <t>310,0</t>
  </si>
  <si>
    <t xml:space="preserve">Длужневский С. </t>
  </si>
  <si>
    <t>Шадрина Ирина</t>
  </si>
  <si>
    <t>Открытая (07.05.1994)/28</t>
  </si>
  <si>
    <t>51,50</t>
  </si>
  <si>
    <t>Садовников Артем</t>
  </si>
  <si>
    <t>58,10</t>
  </si>
  <si>
    <t xml:space="preserve">Кувалдов Д. </t>
  </si>
  <si>
    <t>Филиппов Даниил</t>
  </si>
  <si>
    <t>63,10</t>
  </si>
  <si>
    <t>Пешков Игорь</t>
  </si>
  <si>
    <t>Открытая (08.05.1989)/33</t>
  </si>
  <si>
    <t>73,30</t>
  </si>
  <si>
    <t>207,5</t>
  </si>
  <si>
    <t xml:space="preserve">Дурапов Н. </t>
  </si>
  <si>
    <t>Минкин Александр</t>
  </si>
  <si>
    <t>Открытая (15.07.1995)/26</t>
  </si>
  <si>
    <t>68,90</t>
  </si>
  <si>
    <t>Бакин Александр</t>
  </si>
  <si>
    <t>Открытая (06.05.1995)/27</t>
  </si>
  <si>
    <t>Тимофеев Антон</t>
  </si>
  <si>
    <t>Открытая (29.04.1985)/37</t>
  </si>
  <si>
    <t>102,90</t>
  </si>
  <si>
    <t xml:space="preserve">Новиков И. </t>
  </si>
  <si>
    <t>Попов Михаил</t>
  </si>
  <si>
    <t>Открытая (23.03.1991)/31</t>
  </si>
  <si>
    <t>80,40</t>
  </si>
  <si>
    <t>Рогова Алла</t>
  </si>
  <si>
    <t>62,10</t>
  </si>
  <si>
    <t>30,0</t>
  </si>
  <si>
    <t>35,0</t>
  </si>
  <si>
    <t xml:space="preserve">Бакин А. </t>
  </si>
  <si>
    <t>Киричатый Владимир</t>
  </si>
  <si>
    <t xml:space="preserve">Корельский О. </t>
  </si>
  <si>
    <t>Пестерев Сергей</t>
  </si>
  <si>
    <t>Открытая (19.09.1988)/33</t>
  </si>
  <si>
    <t>81,60</t>
  </si>
  <si>
    <t>Киршин Евгений</t>
  </si>
  <si>
    <t>88,10</t>
  </si>
  <si>
    <t xml:space="preserve">Люберцы/Московская область </t>
  </si>
  <si>
    <t>Тяга</t>
  </si>
  <si>
    <t xml:space="preserve">Gloss </t>
  </si>
  <si>
    <t>Виноградов Александр</t>
  </si>
  <si>
    <t>Открытая (10.12.1992)/29</t>
  </si>
  <si>
    <t>83,50</t>
  </si>
  <si>
    <t xml:space="preserve">Горин Ю. </t>
  </si>
  <si>
    <t>66,20</t>
  </si>
  <si>
    <t>73,50</t>
  </si>
  <si>
    <t>58,0</t>
  </si>
  <si>
    <t>38,0</t>
  </si>
  <si>
    <t>81,70</t>
  </si>
  <si>
    <t>Блинов Дмитрий</t>
  </si>
  <si>
    <t>78,0</t>
  </si>
  <si>
    <t>25,0</t>
  </si>
  <si>
    <t>Галкина Нина</t>
  </si>
  <si>
    <t>Открытая (02.04.1988)/34</t>
  </si>
  <si>
    <t>59,90</t>
  </si>
  <si>
    <t>Открытая (15.09.1977)/44</t>
  </si>
  <si>
    <t>Радионов Григорий</t>
  </si>
  <si>
    <t>Онучин Павел</t>
  </si>
  <si>
    <t>58,20</t>
  </si>
  <si>
    <t xml:space="preserve">Осипов В. </t>
  </si>
  <si>
    <t>Пацерковский Евгений</t>
  </si>
  <si>
    <t>59,20</t>
  </si>
  <si>
    <t>Назаров Николай</t>
  </si>
  <si>
    <t>Редер Виктор</t>
  </si>
  <si>
    <t>64,50</t>
  </si>
  <si>
    <t>Николаев Евгений</t>
  </si>
  <si>
    <t>Открытая (19.01.1987)/35</t>
  </si>
  <si>
    <t>Флегантов Антон</t>
  </si>
  <si>
    <t>Открытая (30.03.1993)/29</t>
  </si>
  <si>
    <t>71,70</t>
  </si>
  <si>
    <t>Иоганн Никита</t>
  </si>
  <si>
    <t>Открытая (14.09.1989)/32</t>
  </si>
  <si>
    <t>Калачев Александр</t>
  </si>
  <si>
    <t>Открытая (07.05.1993)/29</t>
  </si>
  <si>
    <t>79,50</t>
  </si>
  <si>
    <t>Кургузкин Владимир</t>
  </si>
  <si>
    <t>Открытая (13.12.1972)/49</t>
  </si>
  <si>
    <t>79,30</t>
  </si>
  <si>
    <t>Бокоч Михаил</t>
  </si>
  <si>
    <t>Открытая (02.05.1988)/34</t>
  </si>
  <si>
    <t>Пунов Андрей</t>
  </si>
  <si>
    <t>Открытая (16.05.1983)/39</t>
  </si>
  <si>
    <t>Гребелкин Алексей</t>
  </si>
  <si>
    <t>Открытая (14.10.1983)/38</t>
  </si>
  <si>
    <t>88,70</t>
  </si>
  <si>
    <t>Фесенко Илья</t>
  </si>
  <si>
    <t>Открытая (29.09.1982)/39</t>
  </si>
  <si>
    <t>87,50</t>
  </si>
  <si>
    <t>Солдаткин Сергей</t>
  </si>
  <si>
    <t>Открытая (30.12.1995)/26</t>
  </si>
  <si>
    <t>89,00</t>
  </si>
  <si>
    <t>Гладышев Александр</t>
  </si>
  <si>
    <t>94,90</t>
  </si>
  <si>
    <t xml:space="preserve">Вожега/Вологодская область </t>
  </si>
  <si>
    <t xml:space="preserve">Воронов А. </t>
  </si>
  <si>
    <t>Феничев Сергей</t>
  </si>
  <si>
    <t>Открытая (08.08.1987)/34</t>
  </si>
  <si>
    <t>106,40</t>
  </si>
  <si>
    <t>Афоничев Илья</t>
  </si>
  <si>
    <t>Открытая (29.03.1993)/29</t>
  </si>
  <si>
    <t>74,10</t>
  </si>
  <si>
    <t>Крюков Александр</t>
  </si>
  <si>
    <t xml:space="preserve">Сапун А. </t>
  </si>
  <si>
    <t>Попов Максим</t>
  </si>
  <si>
    <t>Открытая (18.09.1979)/42</t>
  </si>
  <si>
    <t>78,60</t>
  </si>
  <si>
    <t>255,0</t>
  </si>
  <si>
    <t xml:space="preserve">Койков Е. </t>
  </si>
  <si>
    <t>Шестаков Максим</t>
  </si>
  <si>
    <t>Открытая (04.11.1986)/35</t>
  </si>
  <si>
    <t>99,60</t>
  </si>
  <si>
    <t xml:space="preserve">Нытва/Пермский край </t>
  </si>
  <si>
    <t>250,0</t>
  </si>
  <si>
    <t>Щиголь Алексей</t>
  </si>
  <si>
    <t>Открытая (05.11.1985)/36</t>
  </si>
  <si>
    <t>98,90</t>
  </si>
  <si>
    <t>Койков Егор</t>
  </si>
  <si>
    <t>Открытая (27.03.1985)/37</t>
  </si>
  <si>
    <t>104,90</t>
  </si>
  <si>
    <t>315,0</t>
  </si>
  <si>
    <t>Сидельцев Роман</t>
  </si>
  <si>
    <t>Открытая (22.02.1991)/31</t>
  </si>
  <si>
    <t>81,50</t>
  </si>
  <si>
    <t>Терешичев Антон</t>
  </si>
  <si>
    <t>Открытая (31.03.1986)/36</t>
  </si>
  <si>
    <t>82,10</t>
  </si>
  <si>
    <t xml:space="preserve">Громов А. </t>
  </si>
  <si>
    <t>Чебыкин Андрей</t>
  </si>
  <si>
    <t>Открытая (26.03.1976)/46</t>
  </si>
  <si>
    <t>100,00</t>
  </si>
  <si>
    <t>290,0</t>
  </si>
  <si>
    <t>305,0</t>
  </si>
  <si>
    <t>Открытый Чемпионат Северо-Западного федерального округа
GPA Пауэрлифтинг без экипировки ДК
Вологда/Вологодская область, 4 июня 2022 года</t>
  </si>
  <si>
    <t>Открытый Чемпионат Северо-Западного федерального округа
GPA Пауэрлифтинг без экипировки
Вологда/Вологодская область, 4 июня 2022 года</t>
  </si>
  <si>
    <t>Открытый Чемпионат Северо-Западного федерального округа
GPA Пауэрлифтинг в бинтах ДК
Вологда/Вологодская область, 4 июня 2022 года</t>
  </si>
  <si>
    <t>Открытый Чемпионат Северо-Западного федерального округа
GPA Пауэрлифтинг в бинтах
Вологда/Вологодская область, 4 июня 2022 года</t>
  </si>
  <si>
    <t>Открытый Чемпионат Северо-Западного федерального округа
GPA Силовое двоеборье без экипировки ДК
Вологда/Вологодская область, 4 июня 2022 года</t>
  </si>
  <si>
    <t>Открытый Чемпионат Северо-Западного федерального округа
GPA Силовое двоеборье без экипировки
Вологда/Вологодская область, 4 июня 2022 года</t>
  </si>
  <si>
    <t>Открытый Чемпионат Северо-Западного федерального округа
GPA Присед без экипировки ДК
Вологда/Вологодская область, 4 июня 2022 года</t>
  </si>
  <si>
    <t>Открытый Чемпионат Северо-Западного федерального округа
GPA Жим лежа без экипировки ДК
Вологда/Вологодская область, 4 июня 2022 года</t>
  </si>
  <si>
    <t>Открытый Чемпионат Северо-Западного федерального округа
GPA Жим лежа без экипировки
Вологда/Вологодская область, 4 июня 2022 года</t>
  </si>
  <si>
    <t>Открытый Чемпионат Северо-Западного федерального округа
СПР Жим лежа в однопетельной софт экипировке ДК
Вологда/Вологодская область, 4 июня 2022 года</t>
  </si>
  <si>
    <t>Открытый Чемпионат Северо-Западного федерального округа
СПР Жим лежа в однопетельной софт экипировке
Вологда/Вологодская область, 4 июня 2022 года</t>
  </si>
  <si>
    <t>Открытый Чемпионат Северо-Западного федерального округа
СПР Жим лежа в многопетельной софт экипировке ДК
Вологда/Вологодская область, 4 июня 2022 года</t>
  </si>
  <si>
    <t>Открытый Чемпионат Северо-Западного федерального округа
СПР Жим лежа в многопетельной софт экипировке
Вологда/Вологодская область, 4 июня 2022 года</t>
  </si>
  <si>
    <t>Открытый Чемпионат Северо-Западного федерального округа
GPA Становая тяга без экипировки ДК
Вологда/Вологодская область, 4 июня 2022 года</t>
  </si>
  <si>
    <t>Открытый Чемпионат Северо-Западного федерального округа
GPA Становая тяга без экипировки
Вологда/Вологодская область, 4 июня 2022 года</t>
  </si>
  <si>
    <t>Открытый Чемпионат Северо-Западного федерального округа
СПР Пауэрспорт ДК
Вологда/Вологодская область, 4 июня 2022 года</t>
  </si>
  <si>
    <t>Открытый Чемпионат Северо-Западного федерального округа
СПР Пауэрспорт
Вологда/Вологодская область, 4 июня 2022 года</t>
  </si>
  <si>
    <t>Открытый Чемпионат Северо-Западного федерального округа
СПР Строгий подъем штанги на бицепс ДК
Вологда/Вологодская область, 4 июня 2022 года</t>
  </si>
  <si>
    <t>Открытый Чемпионат Северо-Западного федерального округа
СПР Строгий подъем штанги на бицепс
Вологда/Вологодская область, 4 июня 2022 года</t>
  </si>
  <si>
    <t>Девушки 16-17 (28.04.2006)/16</t>
  </si>
  <si>
    <t>Юниорки 20-23 (09.05.1999)/23</t>
  </si>
  <si>
    <t>Мастера 40-44 (13.09.1980)/41</t>
  </si>
  <si>
    <t>Девушки 13-15 (31.01.2007)/15</t>
  </si>
  <si>
    <t>Мастера 60-64 (08.10.1960)/61</t>
  </si>
  <si>
    <t>Юниоры 20-23 (24.05.2000)/22</t>
  </si>
  <si>
    <t>Юноши 18-19 (04.02.2004)/18</t>
  </si>
  <si>
    <t>Мастера 40-44 (21.06.1981)/40</t>
  </si>
  <si>
    <t>Юниорки 20-23 (19.06.2000)/21</t>
  </si>
  <si>
    <t>Мастера 50-54 (27.03.1968)/54</t>
  </si>
  <si>
    <t>Мастера 40-44 (02.06.1981)/41</t>
  </si>
  <si>
    <t>Мастера 40-44 (15.06.1978)/43</t>
  </si>
  <si>
    <t>Юниорки 20-23 (17.05.1999)/23</t>
  </si>
  <si>
    <t>Мастера 40-44 (15.09.1977)/44</t>
  </si>
  <si>
    <t>Мастера 55-59 (02.03.1963)/59</t>
  </si>
  <si>
    <t>Юноши 13-15 (19.05.2010)/12</t>
  </si>
  <si>
    <t>Юноши 16-17 (30.04.2006)/16</t>
  </si>
  <si>
    <t>Юноши 16-17 (17.01.2006)/16</t>
  </si>
  <si>
    <t>Юноши 18-19 (03.03.2003)/19</t>
  </si>
  <si>
    <t>Юниоры 20-23 (24.04.2002)/20</t>
  </si>
  <si>
    <t>Юниоры 20-23 (22.10.2001)/20</t>
  </si>
  <si>
    <t>Мастера 55-59 (06.06.1963)/58</t>
  </si>
  <si>
    <t>Мастера 40-44 (10.11.1980)/41</t>
  </si>
  <si>
    <t>Мастера 45-49 (19.01.1973)/49</t>
  </si>
  <si>
    <t>Мастера 60-64 (08.07.1959)/62</t>
  </si>
  <si>
    <t>Мастера 40-44 (02.04.1979)/43</t>
  </si>
  <si>
    <t>Мастера 50-54 (04.12.1967)/54</t>
  </si>
  <si>
    <t>Мастера 40-44 (30.09.1979)/42</t>
  </si>
  <si>
    <t>Мастера 50-54 (01.09.1970)/51</t>
  </si>
  <si>
    <t>Мастера 60-64 (13.09.1959)/62</t>
  </si>
  <si>
    <t>Юниоры 20-23 (27.08.1999)/22</t>
  </si>
  <si>
    <t>Мастера 40-44 (18.03.1982)/40</t>
  </si>
  <si>
    <t>Мастера 45-49 (04.10.1975)/46</t>
  </si>
  <si>
    <t>Мастера 55-59 (12.04.1967)/55</t>
  </si>
  <si>
    <t>Мастера 40-49 (18.09.1979)/42</t>
  </si>
  <si>
    <t>Юноши 13-15 (21.08.2007)/14</t>
  </si>
  <si>
    <t>Юноши 16-17 (28.02.2006)/16</t>
  </si>
  <si>
    <t>Мастера 40-44 (14.10.1980)/41</t>
  </si>
  <si>
    <t>Мастера 40-44 (06.05.1982)/40</t>
  </si>
  <si>
    <t>Мастера 45-49 (04.09.1973)/48</t>
  </si>
  <si>
    <t>Юноши 13-19 (19.05.2007)/15</t>
  </si>
  <si>
    <t>Юниоры 20-23 (28.05.2000)/22</t>
  </si>
  <si>
    <t>Юноши 13-19 (06.05.2005)/17</t>
  </si>
  <si>
    <t>Юноши 13-19 (10.04.2005)/17</t>
  </si>
  <si>
    <t>Юниоры 20-23 (27.07.2000)/21</t>
  </si>
  <si>
    <t>Мастера 40-49 (02.04.1979)/43</t>
  </si>
  <si>
    <t>Юноши 13-19 (27.04.2006)/16</t>
  </si>
  <si>
    <t>Мастера 40-49 (01.06.1978)/44</t>
  </si>
  <si>
    <t>Мастера 40-49 (11.04.1982)/40</t>
  </si>
  <si>
    <t>Мастера 40-49 (30.09.1979)/42</t>
  </si>
  <si>
    <t>Весовая категория</t>
  </si>
  <si>
    <t>DQ</t>
  </si>
  <si>
    <t>Москва</t>
  </si>
  <si>
    <t xml:space="preserve">Алатырь/Чувашская Республика </t>
  </si>
  <si>
    <t xml:space="preserve">Воркута/Ремпублика Коми </t>
  </si>
  <si>
    <t xml:space="preserve">Ишимбай/Республика Башкортостан </t>
  </si>
  <si>
    <t xml:space="preserve">Петрозаводск/Республика Карелия </t>
  </si>
  <si>
    <t>№</t>
  </si>
  <si>
    <t>Жим</t>
  </si>
  <si>
    <t xml:space="preserve">
Дата рождения/Возраст</t>
  </si>
  <si>
    <t>Возрастная группа</t>
  </si>
  <si>
    <t>O</t>
  </si>
  <si>
    <t>T2</t>
  </si>
  <si>
    <t>J</t>
  </si>
  <si>
    <t>M1</t>
  </si>
  <si>
    <t>T1</t>
  </si>
  <si>
    <t>M5</t>
  </si>
  <si>
    <t>T3</t>
  </si>
  <si>
    <t>M3</t>
  </si>
  <si>
    <t>M4</t>
  </si>
  <si>
    <t>M2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</si>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</sst>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b/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47"/>
  <sheetViews>
    <sheetView topLeftCell="A19" workbookViewId="0">
      <selection activeCell="E38" sqref="E38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9" style="5" bestFit="1" customWidth="1"/>
    <col min="4" max="4" width="21.5" style="5" bestFit="1" customWidth="1"/>
    <col min="5" max="5" width="10.5" style="19" bestFit="1" customWidth="1"/>
    <col min="6" max="6" width="34" style="5" bestFit="1" customWidth="1"/>
    <col min="7" max="9" width="5.5" style="27" customWidth="1"/>
    <col min="10" max="10" width="4.83203125" style="27" customWidth="1"/>
    <col min="11" max="13" width="5.5" style="27" customWidth="1"/>
    <col min="14" max="14" width="4.83203125" style="27" customWidth="1"/>
    <col min="15" max="17" width="5.5" style="27" customWidth="1"/>
    <col min="18" max="18" width="4.83203125" style="27" customWidth="1"/>
    <col min="19" max="19" width="7.83203125" style="6" bestFit="1" customWidth="1"/>
    <col min="20" max="20" width="8.5" style="6" bestFit="1" customWidth="1"/>
    <col min="21" max="21" width="21" style="5" customWidth="1"/>
    <col min="22" max="16384" width="9.1640625" style="3"/>
  </cols>
  <sheetData>
    <row r="1" spans="1:21" s="2" customFormat="1" ht="29" customHeight="1">
      <c r="A1" s="80" t="s">
        <v>540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</row>
    <row r="2" spans="1:21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</row>
    <row r="3" spans="1:21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7</v>
      </c>
      <c r="H3" s="88"/>
      <c r="I3" s="88"/>
      <c r="J3" s="88"/>
      <c r="K3" s="88" t="s">
        <v>8</v>
      </c>
      <c r="L3" s="88"/>
      <c r="M3" s="88"/>
      <c r="N3" s="88"/>
      <c r="O3" s="88" t="s">
        <v>9</v>
      </c>
      <c r="P3" s="88"/>
      <c r="Q3" s="88"/>
      <c r="R3" s="88"/>
      <c r="S3" s="78" t="s">
        <v>1</v>
      </c>
      <c r="T3" s="78" t="s">
        <v>3</v>
      </c>
      <c r="U3" s="93" t="s">
        <v>2</v>
      </c>
    </row>
    <row r="4" spans="1:21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9"/>
      <c r="T4" s="79"/>
      <c r="U4" s="94"/>
    </row>
    <row r="5" spans="1:21" ht="16">
      <c r="A5" s="76" t="s">
        <v>10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21">
      <c r="A6" s="31" t="s">
        <v>132</v>
      </c>
      <c r="B6" s="7" t="s">
        <v>11</v>
      </c>
      <c r="C6" s="7" t="s">
        <v>12</v>
      </c>
      <c r="D6" s="7" t="s">
        <v>13</v>
      </c>
      <c r="E6" s="8" t="s">
        <v>620</v>
      </c>
      <c r="F6" s="7" t="s">
        <v>14</v>
      </c>
      <c r="G6" s="29" t="s">
        <v>15</v>
      </c>
      <c r="H6" s="30" t="s">
        <v>15</v>
      </c>
      <c r="I6" s="29" t="s">
        <v>16</v>
      </c>
      <c r="J6" s="31"/>
      <c r="K6" s="30" t="s">
        <v>17</v>
      </c>
      <c r="L6" s="29" t="s">
        <v>18</v>
      </c>
      <c r="M6" s="29" t="s">
        <v>18</v>
      </c>
      <c r="N6" s="31"/>
      <c r="O6" s="30" t="s">
        <v>19</v>
      </c>
      <c r="P6" s="30" t="s">
        <v>20</v>
      </c>
      <c r="Q6" s="30" t="s">
        <v>21</v>
      </c>
      <c r="R6" s="31"/>
      <c r="S6" s="9" t="str">
        <f>"220,0"</f>
        <v>220,0</v>
      </c>
      <c r="T6" s="9" t="str">
        <f>"581,1520"</f>
        <v>581,1520</v>
      </c>
      <c r="U6" s="7"/>
    </row>
    <row r="8" spans="1:21" ht="16">
      <c r="A8" s="72" t="s">
        <v>22</v>
      </c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21">
      <c r="A9" s="34" t="s">
        <v>132</v>
      </c>
      <c r="B9" s="10" t="s">
        <v>23</v>
      </c>
      <c r="C9" s="10" t="s">
        <v>24</v>
      </c>
      <c r="D9" s="10" t="s">
        <v>25</v>
      </c>
      <c r="E9" s="11" t="s">
        <v>620</v>
      </c>
      <c r="F9" s="10" t="s">
        <v>26</v>
      </c>
      <c r="G9" s="32" t="s">
        <v>27</v>
      </c>
      <c r="H9" s="33" t="s">
        <v>27</v>
      </c>
      <c r="I9" s="33" t="s">
        <v>28</v>
      </c>
      <c r="J9" s="34"/>
      <c r="K9" s="33" t="s">
        <v>17</v>
      </c>
      <c r="L9" s="32" t="s">
        <v>18</v>
      </c>
      <c r="M9" s="33" t="s">
        <v>18</v>
      </c>
      <c r="N9" s="34"/>
      <c r="O9" s="33" t="s">
        <v>29</v>
      </c>
      <c r="P9" s="33" t="s">
        <v>30</v>
      </c>
      <c r="Q9" s="33" t="s">
        <v>31</v>
      </c>
      <c r="R9" s="34"/>
      <c r="S9" s="12" t="str">
        <f>"270,0"</f>
        <v>270,0</v>
      </c>
      <c r="T9" s="12" t="str">
        <f>"564,1380"</f>
        <v>564,1380</v>
      </c>
      <c r="U9" s="10" t="s">
        <v>32</v>
      </c>
    </row>
    <row r="10" spans="1:21">
      <c r="A10" s="37" t="s">
        <v>133</v>
      </c>
      <c r="B10" s="13" t="s">
        <v>33</v>
      </c>
      <c r="C10" s="13" t="s">
        <v>34</v>
      </c>
      <c r="D10" s="13" t="s">
        <v>35</v>
      </c>
      <c r="E10" s="14" t="s">
        <v>620</v>
      </c>
      <c r="F10" s="13" t="s">
        <v>36</v>
      </c>
      <c r="G10" s="35" t="s">
        <v>27</v>
      </c>
      <c r="H10" s="36" t="s">
        <v>28</v>
      </c>
      <c r="I10" s="35" t="s">
        <v>28</v>
      </c>
      <c r="J10" s="37"/>
      <c r="K10" s="35" t="s">
        <v>18</v>
      </c>
      <c r="L10" s="36" t="s">
        <v>37</v>
      </c>
      <c r="M10" s="36" t="s">
        <v>37</v>
      </c>
      <c r="N10" s="37"/>
      <c r="O10" s="36" t="s">
        <v>38</v>
      </c>
      <c r="P10" s="35" t="s">
        <v>29</v>
      </c>
      <c r="Q10" s="35" t="s">
        <v>30</v>
      </c>
      <c r="R10" s="37"/>
      <c r="S10" s="15" t="str">
        <f>"267,5"</f>
        <v>267,5</v>
      </c>
      <c r="T10" s="15" t="str">
        <f>"568,9190"</f>
        <v>568,9190</v>
      </c>
      <c r="U10" s="13" t="s">
        <v>39</v>
      </c>
    </row>
    <row r="12" spans="1:21" ht="16">
      <c r="A12" s="72" t="s">
        <v>40</v>
      </c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spans="1:21">
      <c r="A13" s="31" t="s">
        <v>132</v>
      </c>
      <c r="B13" s="7" t="s">
        <v>41</v>
      </c>
      <c r="C13" s="7" t="s">
        <v>42</v>
      </c>
      <c r="D13" s="7" t="s">
        <v>43</v>
      </c>
      <c r="E13" s="8" t="s">
        <v>620</v>
      </c>
      <c r="F13" s="7" t="s">
        <v>36</v>
      </c>
      <c r="G13" s="30" t="s">
        <v>27</v>
      </c>
      <c r="H13" s="30" t="s">
        <v>28</v>
      </c>
      <c r="I13" s="29" t="s">
        <v>20</v>
      </c>
      <c r="J13" s="31"/>
      <c r="K13" s="30" t="s">
        <v>37</v>
      </c>
      <c r="L13" s="30" t="s">
        <v>44</v>
      </c>
      <c r="M13" s="29" t="s">
        <v>45</v>
      </c>
      <c r="N13" s="31"/>
      <c r="O13" s="30" t="s">
        <v>30</v>
      </c>
      <c r="P13" s="30" t="s">
        <v>46</v>
      </c>
      <c r="Q13" s="29" t="s">
        <v>47</v>
      </c>
      <c r="R13" s="31"/>
      <c r="S13" s="9" t="str">
        <f>"277,5"</f>
        <v>277,5</v>
      </c>
      <c r="T13" s="9" t="str">
        <f>"536,6850"</f>
        <v>536,6850</v>
      </c>
      <c r="U13" s="7" t="s">
        <v>48</v>
      </c>
    </row>
    <row r="15" spans="1:21" ht="16">
      <c r="A15" s="72" t="s">
        <v>49</v>
      </c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21">
      <c r="A16" s="34" t="s">
        <v>132</v>
      </c>
      <c r="B16" s="10" t="s">
        <v>50</v>
      </c>
      <c r="C16" s="10" t="s">
        <v>559</v>
      </c>
      <c r="D16" s="10" t="s">
        <v>51</v>
      </c>
      <c r="E16" s="11" t="s">
        <v>621</v>
      </c>
      <c r="F16" s="10" t="s">
        <v>52</v>
      </c>
      <c r="G16" s="33" t="s">
        <v>53</v>
      </c>
      <c r="H16" s="33" t="s">
        <v>54</v>
      </c>
      <c r="I16" s="33" t="s">
        <v>27</v>
      </c>
      <c r="J16" s="34"/>
      <c r="K16" s="32" t="s">
        <v>17</v>
      </c>
      <c r="L16" s="33" t="s">
        <v>37</v>
      </c>
      <c r="M16" s="33" t="s">
        <v>44</v>
      </c>
      <c r="N16" s="34"/>
      <c r="O16" s="33" t="s">
        <v>55</v>
      </c>
      <c r="P16" s="33" t="s">
        <v>19</v>
      </c>
      <c r="Q16" s="32" t="s">
        <v>21</v>
      </c>
      <c r="R16" s="34"/>
      <c r="S16" s="12" t="str">
        <f>"240,0"</f>
        <v>240,0</v>
      </c>
      <c r="T16" s="12" t="str">
        <f>"447,6960"</f>
        <v>447,6960</v>
      </c>
      <c r="U16" s="10" t="s">
        <v>56</v>
      </c>
    </row>
    <row r="17" spans="1:21">
      <c r="A17" s="40" t="s">
        <v>132</v>
      </c>
      <c r="B17" s="16" t="s">
        <v>57</v>
      </c>
      <c r="C17" s="16" t="s">
        <v>560</v>
      </c>
      <c r="D17" s="16" t="s">
        <v>58</v>
      </c>
      <c r="E17" s="17" t="s">
        <v>622</v>
      </c>
      <c r="F17" s="16" t="s">
        <v>52</v>
      </c>
      <c r="G17" s="38" t="s">
        <v>59</v>
      </c>
      <c r="H17" s="38" t="s">
        <v>59</v>
      </c>
      <c r="I17" s="39" t="s">
        <v>60</v>
      </c>
      <c r="J17" s="40"/>
      <c r="K17" s="38" t="s">
        <v>37</v>
      </c>
      <c r="L17" s="39" t="s">
        <v>37</v>
      </c>
      <c r="M17" s="39" t="s">
        <v>44</v>
      </c>
      <c r="N17" s="40"/>
      <c r="O17" s="39" t="s">
        <v>55</v>
      </c>
      <c r="P17" s="39" t="s">
        <v>28</v>
      </c>
      <c r="Q17" s="39" t="s">
        <v>21</v>
      </c>
      <c r="R17" s="40"/>
      <c r="S17" s="18" t="str">
        <f>"235,0"</f>
        <v>235,0</v>
      </c>
      <c r="T17" s="18" t="str">
        <f>"437,5230"</f>
        <v>437,5230</v>
      </c>
      <c r="U17" s="16"/>
    </row>
    <row r="18" spans="1:21">
      <c r="A18" s="37" t="s">
        <v>132</v>
      </c>
      <c r="B18" s="13" t="s">
        <v>61</v>
      </c>
      <c r="C18" s="13" t="s">
        <v>561</v>
      </c>
      <c r="D18" s="13" t="s">
        <v>62</v>
      </c>
      <c r="E18" s="14" t="s">
        <v>623</v>
      </c>
      <c r="F18" s="13" t="s">
        <v>36</v>
      </c>
      <c r="G18" s="35" t="s">
        <v>17</v>
      </c>
      <c r="H18" s="35" t="s">
        <v>45</v>
      </c>
      <c r="I18" s="35" t="s">
        <v>63</v>
      </c>
      <c r="J18" s="37"/>
      <c r="K18" s="35" t="s">
        <v>17</v>
      </c>
      <c r="L18" s="35" t="s">
        <v>45</v>
      </c>
      <c r="M18" s="36" t="s">
        <v>64</v>
      </c>
      <c r="N18" s="37"/>
      <c r="O18" s="35" t="s">
        <v>15</v>
      </c>
      <c r="P18" s="35" t="s">
        <v>27</v>
      </c>
      <c r="Q18" s="35" t="s">
        <v>21</v>
      </c>
      <c r="R18" s="37"/>
      <c r="S18" s="15" t="str">
        <f>"227,5"</f>
        <v>227,5</v>
      </c>
      <c r="T18" s="15" t="str">
        <f>"411,0445"</f>
        <v>411,0445</v>
      </c>
      <c r="U18" s="13" t="s">
        <v>65</v>
      </c>
    </row>
    <row r="20" spans="1:21" ht="16">
      <c r="A20" s="72" t="s">
        <v>66</v>
      </c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</row>
    <row r="21" spans="1:21">
      <c r="A21" s="34" t="s">
        <v>132</v>
      </c>
      <c r="B21" s="10" t="s">
        <v>67</v>
      </c>
      <c r="C21" s="10" t="s">
        <v>562</v>
      </c>
      <c r="D21" s="10" t="s">
        <v>68</v>
      </c>
      <c r="E21" s="11" t="s">
        <v>624</v>
      </c>
      <c r="F21" s="10" t="s">
        <v>14</v>
      </c>
      <c r="G21" s="33" t="s">
        <v>53</v>
      </c>
      <c r="H21" s="33" t="s">
        <v>69</v>
      </c>
      <c r="I21" s="32" t="s">
        <v>19</v>
      </c>
      <c r="J21" s="34"/>
      <c r="K21" s="33" t="s">
        <v>70</v>
      </c>
      <c r="L21" s="33" t="s">
        <v>71</v>
      </c>
      <c r="M21" s="33" t="s">
        <v>72</v>
      </c>
      <c r="N21" s="34"/>
      <c r="O21" s="33" t="s">
        <v>55</v>
      </c>
      <c r="P21" s="33" t="s">
        <v>27</v>
      </c>
      <c r="Q21" s="34"/>
      <c r="R21" s="34"/>
      <c r="S21" s="12" t="str">
        <f>"220,0"</f>
        <v>220,0</v>
      </c>
      <c r="T21" s="12" t="str">
        <f>"365,7280"</f>
        <v>365,7280</v>
      </c>
      <c r="U21" s="10" t="s">
        <v>73</v>
      </c>
    </row>
    <row r="22" spans="1:21">
      <c r="A22" s="37" t="s">
        <v>132</v>
      </c>
      <c r="B22" s="13" t="s">
        <v>74</v>
      </c>
      <c r="C22" s="13" t="s">
        <v>75</v>
      </c>
      <c r="D22" s="13" t="s">
        <v>76</v>
      </c>
      <c r="E22" s="14" t="s">
        <v>620</v>
      </c>
      <c r="F22" s="13" t="s">
        <v>36</v>
      </c>
      <c r="G22" s="35" t="s">
        <v>37</v>
      </c>
      <c r="H22" s="36" t="s">
        <v>77</v>
      </c>
      <c r="I22" s="35" t="s">
        <v>16</v>
      </c>
      <c r="J22" s="37"/>
      <c r="K22" s="35" t="s">
        <v>78</v>
      </c>
      <c r="L22" s="35" t="s">
        <v>71</v>
      </c>
      <c r="M22" s="36" t="s">
        <v>79</v>
      </c>
      <c r="N22" s="37"/>
      <c r="O22" s="35" t="s">
        <v>59</v>
      </c>
      <c r="P22" s="35" t="s">
        <v>19</v>
      </c>
      <c r="Q22" s="35" t="s">
        <v>80</v>
      </c>
      <c r="R22" s="37"/>
      <c r="S22" s="15" t="str">
        <f>"215,0"</f>
        <v>215,0</v>
      </c>
      <c r="T22" s="15" t="str">
        <f>"355,1370"</f>
        <v>355,1370</v>
      </c>
      <c r="U22" s="13" t="s">
        <v>65</v>
      </c>
    </row>
    <row r="24" spans="1:21" ht="16">
      <c r="A24" s="72" t="s">
        <v>49</v>
      </c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</row>
    <row r="25" spans="1:21">
      <c r="A25" s="34" t="s">
        <v>132</v>
      </c>
      <c r="B25" s="10" t="s">
        <v>81</v>
      </c>
      <c r="C25" s="10" t="s">
        <v>82</v>
      </c>
      <c r="D25" s="10" t="s">
        <v>83</v>
      </c>
      <c r="E25" s="11" t="s">
        <v>620</v>
      </c>
      <c r="F25" s="10" t="s">
        <v>84</v>
      </c>
      <c r="G25" s="33" t="s">
        <v>85</v>
      </c>
      <c r="H25" s="33" t="s">
        <v>86</v>
      </c>
      <c r="I25" s="33" t="s">
        <v>87</v>
      </c>
      <c r="J25" s="34"/>
      <c r="K25" s="33" t="s">
        <v>21</v>
      </c>
      <c r="L25" s="33" t="s">
        <v>29</v>
      </c>
      <c r="M25" s="33" t="s">
        <v>30</v>
      </c>
      <c r="N25" s="34"/>
      <c r="O25" s="33" t="s">
        <v>88</v>
      </c>
      <c r="P25" s="33" t="s">
        <v>89</v>
      </c>
      <c r="Q25" s="32" t="s">
        <v>90</v>
      </c>
      <c r="R25" s="34"/>
      <c r="S25" s="12" t="str">
        <f>"472,5"</f>
        <v>472,5</v>
      </c>
      <c r="T25" s="12" t="str">
        <f>"698,3550"</f>
        <v>698,3550</v>
      </c>
      <c r="U25" s="10"/>
    </row>
    <row r="26" spans="1:21">
      <c r="A26" s="37" t="s">
        <v>132</v>
      </c>
      <c r="B26" s="13" t="s">
        <v>91</v>
      </c>
      <c r="C26" s="13" t="s">
        <v>563</v>
      </c>
      <c r="D26" s="13" t="s">
        <v>92</v>
      </c>
      <c r="E26" s="14" t="s">
        <v>625</v>
      </c>
      <c r="F26" s="13" t="s">
        <v>26</v>
      </c>
      <c r="G26" s="35" t="s">
        <v>21</v>
      </c>
      <c r="H26" s="35" t="s">
        <v>93</v>
      </c>
      <c r="I26" s="35" t="s">
        <v>94</v>
      </c>
      <c r="J26" s="37"/>
      <c r="K26" s="35" t="s">
        <v>53</v>
      </c>
      <c r="L26" s="36" t="s">
        <v>55</v>
      </c>
      <c r="M26" s="36" t="s">
        <v>55</v>
      </c>
      <c r="N26" s="37"/>
      <c r="O26" s="35" t="s">
        <v>85</v>
      </c>
      <c r="P26" s="35" t="s">
        <v>95</v>
      </c>
      <c r="Q26" s="35" t="s">
        <v>96</v>
      </c>
      <c r="R26" s="37"/>
      <c r="S26" s="15" t="str">
        <f>"350,0"</f>
        <v>350,0</v>
      </c>
      <c r="T26" s="15" t="str">
        <f>"709,6530"</f>
        <v>709,6530</v>
      </c>
      <c r="U26" s="13"/>
    </row>
    <row r="28" spans="1:21" ht="16">
      <c r="A28" s="72" t="s">
        <v>97</v>
      </c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</row>
    <row r="29" spans="1:21">
      <c r="A29" s="34" t="s">
        <v>132</v>
      </c>
      <c r="B29" s="10" t="s">
        <v>98</v>
      </c>
      <c r="C29" s="10" t="s">
        <v>564</v>
      </c>
      <c r="D29" s="10" t="s">
        <v>99</v>
      </c>
      <c r="E29" s="11" t="s">
        <v>622</v>
      </c>
      <c r="F29" s="10" t="s">
        <v>26</v>
      </c>
      <c r="G29" s="33" t="s">
        <v>30</v>
      </c>
      <c r="H29" s="33" t="s">
        <v>100</v>
      </c>
      <c r="I29" s="33" t="s">
        <v>85</v>
      </c>
      <c r="J29" s="34"/>
      <c r="K29" s="32" t="s">
        <v>94</v>
      </c>
      <c r="L29" s="33" t="s">
        <v>30</v>
      </c>
      <c r="M29" s="33" t="s">
        <v>100</v>
      </c>
      <c r="N29" s="34"/>
      <c r="O29" s="32" t="s">
        <v>30</v>
      </c>
      <c r="P29" s="33" t="s">
        <v>100</v>
      </c>
      <c r="Q29" s="33" t="s">
        <v>85</v>
      </c>
      <c r="R29" s="34"/>
      <c r="S29" s="12" t="str">
        <f>"420,0"</f>
        <v>420,0</v>
      </c>
      <c r="T29" s="12" t="str">
        <f>"439,4880"</f>
        <v>439,4880</v>
      </c>
      <c r="U29" s="10"/>
    </row>
    <row r="30" spans="1:21">
      <c r="A30" s="37" t="s">
        <v>132</v>
      </c>
      <c r="B30" s="13" t="s">
        <v>98</v>
      </c>
      <c r="C30" s="13" t="s">
        <v>101</v>
      </c>
      <c r="D30" s="13" t="s">
        <v>99</v>
      </c>
      <c r="E30" s="14" t="s">
        <v>620</v>
      </c>
      <c r="F30" s="13" t="s">
        <v>26</v>
      </c>
      <c r="G30" s="35" t="s">
        <v>30</v>
      </c>
      <c r="H30" s="35" t="s">
        <v>100</v>
      </c>
      <c r="I30" s="35" t="s">
        <v>85</v>
      </c>
      <c r="J30" s="37"/>
      <c r="K30" s="36" t="s">
        <v>94</v>
      </c>
      <c r="L30" s="35" t="s">
        <v>30</v>
      </c>
      <c r="M30" s="35" t="s">
        <v>100</v>
      </c>
      <c r="N30" s="37"/>
      <c r="O30" s="36" t="s">
        <v>30</v>
      </c>
      <c r="P30" s="35" t="s">
        <v>100</v>
      </c>
      <c r="Q30" s="35" t="s">
        <v>85</v>
      </c>
      <c r="R30" s="37"/>
      <c r="S30" s="15" t="str">
        <f>"420,0"</f>
        <v>420,0</v>
      </c>
      <c r="T30" s="15" t="str">
        <f>"439,4880"</f>
        <v>439,4880</v>
      </c>
      <c r="U30" s="13"/>
    </row>
    <row r="32" spans="1:21" ht="16">
      <c r="A32" s="72" t="s">
        <v>102</v>
      </c>
      <c r="B32" s="7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</row>
    <row r="33" spans="1:21">
      <c r="A33" s="34" t="s">
        <v>132</v>
      </c>
      <c r="B33" s="10" t="s">
        <v>103</v>
      </c>
      <c r="C33" s="10" t="s">
        <v>565</v>
      </c>
      <c r="D33" s="10" t="s">
        <v>104</v>
      </c>
      <c r="E33" s="11" t="s">
        <v>626</v>
      </c>
      <c r="F33" s="10" t="s">
        <v>14</v>
      </c>
      <c r="G33" s="33" t="s">
        <v>105</v>
      </c>
      <c r="H33" s="33" t="s">
        <v>85</v>
      </c>
      <c r="I33" s="33" t="s">
        <v>95</v>
      </c>
      <c r="J33" s="34"/>
      <c r="K33" s="33" t="s">
        <v>93</v>
      </c>
      <c r="L33" s="33" t="s">
        <v>94</v>
      </c>
      <c r="M33" s="33" t="s">
        <v>30</v>
      </c>
      <c r="N33" s="34"/>
      <c r="O33" s="33" t="s">
        <v>95</v>
      </c>
      <c r="P33" s="33" t="s">
        <v>87</v>
      </c>
      <c r="Q33" s="33" t="s">
        <v>106</v>
      </c>
      <c r="R33" s="34"/>
      <c r="S33" s="12" t="str">
        <f>"440,0"</f>
        <v>440,0</v>
      </c>
      <c r="T33" s="12" t="str">
        <f>"432,5200"</f>
        <v>432,5200</v>
      </c>
      <c r="U33" s="10" t="s">
        <v>73</v>
      </c>
    </row>
    <row r="34" spans="1:21">
      <c r="A34" s="37" t="s">
        <v>132</v>
      </c>
      <c r="B34" s="13" t="s">
        <v>107</v>
      </c>
      <c r="C34" s="13" t="s">
        <v>108</v>
      </c>
      <c r="D34" s="13" t="s">
        <v>109</v>
      </c>
      <c r="E34" s="14" t="s">
        <v>620</v>
      </c>
      <c r="F34" s="13" t="s">
        <v>36</v>
      </c>
      <c r="G34" s="35" t="s">
        <v>96</v>
      </c>
      <c r="H34" s="36" t="s">
        <v>106</v>
      </c>
      <c r="I34" s="36" t="s">
        <v>106</v>
      </c>
      <c r="J34" s="37"/>
      <c r="K34" s="35" t="s">
        <v>100</v>
      </c>
      <c r="L34" s="36" t="s">
        <v>110</v>
      </c>
      <c r="M34" s="36" t="s">
        <v>110</v>
      </c>
      <c r="N34" s="37"/>
      <c r="O34" s="35" t="s">
        <v>111</v>
      </c>
      <c r="P34" s="35" t="s">
        <v>112</v>
      </c>
      <c r="Q34" s="36" t="s">
        <v>113</v>
      </c>
      <c r="R34" s="37"/>
      <c r="S34" s="15" t="str">
        <f>"500,0"</f>
        <v>500,0</v>
      </c>
      <c r="T34" s="15" t="str">
        <f>"486,4000"</f>
        <v>486,4000</v>
      </c>
      <c r="U34" s="13" t="s">
        <v>65</v>
      </c>
    </row>
    <row r="36" spans="1:21" ht="16">
      <c r="A36" s="72" t="s">
        <v>114</v>
      </c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</row>
    <row r="37" spans="1:21">
      <c r="A37" s="31" t="s">
        <v>132</v>
      </c>
      <c r="B37" s="7" t="s">
        <v>115</v>
      </c>
      <c r="C37" s="7" t="s">
        <v>116</v>
      </c>
      <c r="D37" s="7" t="s">
        <v>117</v>
      </c>
      <c r="E37" s="8" t="s">
        <v>620</v>
      </c>
      <c r="F37" s="7" t="s">
        <v>118</v>
      </c>
      <c r="G37" s="30" t="s">
        <v>119</v>
      </c>
      <c r="H37" s="29" t="s">
        <v>90</v>
      </c>
      <c r="I37" s="30" t="s">
        <v>90</v>
      </c>
      <c r="J37" s="31"/>
      <c r="K37" s="30" t="s">
        <v>105</v>
      </c>
      <c r="L37" s="30" t="s">
        <v>95</v>
      </c>
      <c r="M37" s="29" t="s">
        <v>96</v>
      </c>
      <c r="N37" s="31"/>
      <c r="O37" s="30" t="s">
        <v>112</v>
      </c>
      <c r="P37" s="30" t="s">
        <v>120</v>
      </c>
      <c r="Q37" s="29" t="s">
        <v>121</v>
      </c>
      <c r="R37" s="31"/>
      <c r="S37" s="9" t="str">
        <f>"580,0"</f>
        <v>580,0</v>
      </c>
      <c r="T37" s="9" t="str">
        <f>"541,4880"</f>
        <v>541,4880</v>
      </c>
      <c r="U37" s="7"/>
    </row>
    <row r="39" spans="1:21">
      <c r="G39" s="5"/>
    </row>
    <row r="41" spans="1:21" ht="18">
      <c r="B41" s="20" t="s">
        <v>122</v>
      </c>
      <c r="C41" s="20"/>
      <c r="E41" s="5"/>
    </row>
    <row r="42" spans="1:21" ht="16">
      <c r="B42" s="21" t="s">
        <v>123</v>
      </c>
      <c r="C42" s="21"/>
      <c r="E42" s="5"/>
    </row>
    <row r="43" spans="1:21" ht="14">
      <c r="B43" s="22"/>
      <c r="C43" s="23" t="s">
        <v>128</v>
      </c>
      <c r="E43" s="5"/>
    </row>
    <row r="44" spans="1:21" ht="14">
      <c r="B44" s="24" t="s">
        <v>124</v>
      </c>
      <c r="C44" s="24" t="s">
        <v>125</v>
      </c>
      <c r="D44" s="24" t="s">
        <v>609</v>
      </c>
      <c r="E44" s="25" t="s">
        <v>126</v>
      </c>
      <c r="F44" s="24" t="s">
        <v>127</v>
      </c>
    </row>
    <row r="45" spans="1:21">
      <c r="B45" s="5" t="s">
        <v>11</v>
      </c>
      <c r="C45" s="5" t="s">
        <v>128</v>
      </c>
      <c r="D45" s="27" t="s">
        <v>129</v>
      </c>
      <c r="E45" s="28">
        <v>220</v>
      </c>
      <c r="F45" s="26">
        <v>581.15197658538796</v>
      </c>
    </row>
    <row r="46" spans="1:21">
      <c r="B46" s="5" t="s">
        <v>33</v>
      </c>
      <c r="C46" s="5" t="s">
        <v>128</v>
      </c>
      <c r="D46" s="27" t="s">
        <v>130</v>
      </c>
      <c r="E46" s="28">
        <v>267.5</v>
      </c>
      <c r="F46" s="26">
        <v>568.91901612281799</v>
      </c>
    </row>
    <row r="47" spans="1:21">
      <c r="B47" s="5" t="s">
        <v>23</v>
      </c>
      <c r="C47" s="5" t="s">
        <v>128</v>
      </c>
      <c r="D47" s="27" t="s">
        <v>130</v>
      </c>
      <c r="E47" s="28">
        <v>270</v>
      </c>
      <c r="F47" s="26">
        <v>564.13801431655895</v>
      </c>
      <c r="G47" s="5"/>
    </row>
  </sheetData>
  <mergeCells count="22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24:R24"/>
    <mergeCell ref="A28:R28"/>
    <mergeCell ref="A32:R32"/>
    <mergeCell ref="A36:R36"/>
    <mergeCell ref="B3:B4"/>
    <mergeCell ref="A5:R5"/>
    <mergeCell ref="A8:R8"/>
    <mergeCell ref="A12:R12"/>
    <mergeCell ref="A15:R15"/>
    <mergeCell ref="A20:R20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9012-7592-4EE4-ACE8-899B17591794}">
  <dimension ref="A1:M6"/>
  <sheetViews>
    <sheetView workbookViewId="0">
      <selection activeCell="E7" sqref="E7"/>
    </sheetView>
  </sheetViews>
  <sheetFormatPr baseColWidth="10" defaultColWidth="8.83203125" defaultRowHeight="13"/>
  <cols>
    <col min="1" max="1" width="7.5" style="42" bestFit="1" customWidth="1"/>
    <col min="2" max="2" width="20.83203125" style="42" customWidth="1"/>
    <col min="3" max="3" width="26" style="42" bestFit="1" customWidth="1"/>
    <col min="4" max="4" width="21.5" style="42" bestFit="1" customWidth="1"/>
    <col min="5" max="5" width="10.5" style="42" bestFit="1" customWidth="1"/>
    <col min="6" max="6" width="20.83203125" style="42" bestFit="1" customWidth="1"/>
    <col min="7" max="9" width="5.5" style="51" customWidth="1"/>
    <col min="10" max="10" width="4.83203125" style="51" customWidth="1"/>
    <col min="11" max="11" width="10.5" style="51" bestFit="1" customWidth="1"/>
    <col min="12" max="12" width="8.6640625" style="51" bestFit="1" customWidth="1"/>
    <col min="13" max="13" width="21" style="42" customWidth="1"/>
  </cols>
  <sheetData>
    <row r="1" spans="1:13" s="2" customFormat="1" ht="29" customHeight="1">
      <c r="A1" s="80" t="s">
        <v>549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8</v>
      </c>
      <c r="H3" s="88"/>
      <c r="I3" s="88"/>
      <c r="J3" s="88"/>
      <c r="K3" s="78" t="s">
        <v>283</v>
      </c>
      <c r="L3" s="78" t="s">
        <v>3</v>
      </c>
      <c r="M3" s="93" t="s">
        <v>2</v>
      </c>
    </row>
    <row r="4" spans="1:13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79"/>
      <c r="L4" s="79"/>
      <c r="M4" s="94"/>
    </row>
    <row r="5" spans="1:13" s="3" customFormat="1" ht="16">
      <c r="A5" s="76" t="s">
        <v>97</v>
      </c>
      <c r="B5" s="76"/>
      <c r="C5" s="77"/>
      <c r="D5" s="77"/>
      <c r="E5" s="77"/>
      <c r="F5" s="77"/>
      <c r="G5" s="77"/>
      <c r="H5" s="77"/>
      <c r="I5" s="77"/>
      <c r="J5" s="77"/>
      <c r="K5" s="6"/>
      <c r="L5" s="6"/>
      <c r="M5" s="5"/>
    </row>
    <row r="6" spans="1:13">
      <c r="A6" s="55">
        <v>1</v>
      </c>
      <c r="B6" s="41" t="s">
        <v>528</v>
      </c>
      <c r="C6" s="41" t="s">
        <v>529</v>
      </c>
      <c r="D6" s="41" t="s">
        <v>530</v>
      </c>
      <c r="E6" s="41" t="s">
        <v>620</v>
      </c>
      <c r="F6" s="41" t="s">
        <v>233</v>
      </c>
      <c r="G6" s="53" t="s">
        <v>88</v>
      </c>
      <c r="H6" s="53" t="s">
        <v>119</v>
      </c>
      <c r="I6" s="53" t="s">
        <v>229</v>
      </c>
      <c r="J6" s="55"/>
      <c r="K6" s="55" t="str">
        <f>"185,0"</f>
        <v>185,0</v>
      </c>
      <c r="L6" s="55" t="str">
        <f>"120,2037"</f>
        <v>120,2037</v>
      </c>
      <c r="M6" s="41" t="s">
        <v>298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15F34-BF80-49C7-BEAF-974A335EDFCB}">
  <dimension ref="A1:M14"/>
  <sheetViews>
    <sheetView workbookViewId="0">
      <selection activeCell="E15" sqref="E15"/>
    </sheetView>
  </sheetViews>
  <sheetFormatPr baseColWidth="10" defaultColWidth="8.83203125" defaultRowHeight="13"/>
  <cols>
    <col min="1" max="1" width="7.5" style="42" bestFit="1" customWidth="1"/>
    <col min="2" max="2" width="22.33203125" style="42" customWidth="1"/>
    <col min="3" max="3" width="28.5" style="42" bestFit="1" customWidth="1"/>
    <col min="4" max="4" width="21.5" style="42" bestFit="1" customWidth="1"/>
    <col min="5" max="5" width="10.5" style="42" bestFit="1" customWidth="1"/>
    <col min="6" max="6" width="35.1640625" style="42" customWidth="1"/>
    <col min="7" max="9" width="5.5" style="51" customWidth="1"/>
    <col min="10" max="10" width="4.83203125" style="51" customWidth="1"/>
    <col min="11" max="11" width="10.5" style="51" bestFit="1" customWidth="1"/>
    <col min="12" max="12" width="8.6640625" style="51" bestFit="1" customWidth="1"/>
    <col min="13" max="13" width="20.33203125" style="42" customWidth="1"/>
  </cols>
  <sheetData>
    <row r="1" spans="1:13" s="2" customFormat="1" ht="29" customHeight="1">
      <c r="A1" s="80" t="s">
        <v>550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8</v>
      </c>
      <c r="H3" s="88"/>
      <c r="I3" s="88"/>
      <c r="J3" s="88"/>
      <c r="K3" s="78" t="s">
        <v>283</v>
      </c>
      <c r="L3" s="78" t="s">
        <v>3</v>
      </c>
      <c r="M3" s="93" t="s">
        <v>2</v>
      </c>
    </row>
    <row r="4" spans="1:13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79"/>
      <c r="L4" s="79"/>
      <c r="M4" s="94"/>
    </row>
    <row r="5" spans="1:13" s="3" customFormat="1" ht="16">
      <c r="A5" s="76" t="s">
        <v>97</v>
      </c>
      <c r="B5" s="76"/>
      <c r="C5" s="77"/>
      <c r="D5" s="77"/>
      <c r="E5" s="77"/>
      <c r="F5" s="77"/>
      <c r="G5" s="77"/>
      <c r="H5" s="77"/>
      <c r="I5" s="77"/>
      <c r="J5" s="77"/>
      <c r="K5" s="6"/>
      <c r="L5" s="6"/>
      <c r="M5" s="5"/>
    </row>
    <row r="6" spans="1:13">
      <c r="A6" s="58">
        <v>1</v>
      </c>
      <c r="B6" s="43" t="s">
        <v>511</v>
      </c>
      <c r="C6" s="43" t="s">
        <v>512</v>
      </c>
      <c r="D6" s="43" t="s">
        <v>513</v>
      </c>
      <c r="E6" s="43" t="s">
        <v>620</v>
      </c>
      <c r="F6" s="43" t="s">
        <v>233</v>
      </c>
      <c r="G6" s="56" t="s">
        <v>121</v>
      </c>
      <c r="H6" s="57" t="s">
        <v>121</v>
      </c>
      <c r="I6" s="56" t="s">
        <v>514</v>
      </c>
      <c r="J6" s="58"/>
      <c r="K6" s="58" t="str">
        <f>"240,0"</f>
        <v>240,0</v>
      </c>
      <c r="L6" s="58" t="str">
        <f>"159,8040"</f>
        <v>159,8040</v>
      </c>
      <c r="M6" s="43" t="s">
        <v>515</v>
      </c>
    </row>
    <row r="7" spans="1:13">
      <c r="A7" s="61">
        <v>1</v>
      </c>
      <c r="B7" s="44" t="s">
        <v>511</v>
      </c>
      <c r="C7" s="44" t="s">
        <v>593</v>
      </c>
      <c r="D7" s="44" t="s">
        <v>513</v>
      </c>
      <c r="E7" s="44" t="s">
        <v>623</v>
      </c>
      <c r="F7" s="44" t="s">
        <v>233</v>
      </c>
      <c r="G7" s="59" t="s">
        <v>121</v>
      </c>
      <c r="H7" s="60" t="s">
        <v>121</v>
      </c>
      <c r="I7" s="59" t="s">
        <v>514</v>
      </c>
      <c r="J7" s="61"/>
      <c r="K7" s="61" t="str">
        <f>"240,0"</f>
        <v>240,0</v>
      </c>
      <c r="L7" s="61" t="str">
        <f>"163,0001"</f>
        <v>163,0001</v>
      </c>
      <c r="M7" s="44" t="s">
        <v>515</v>
      </c>
    </row>
    <row r="9" spans="1:13" ht="16">
      <c r="A9" s="73" t="s">
        <v>114</v>
      </c>
      <c r="B9" s="73"/>
      <c r="C9" s="73"/>
      <c r="D9" s="73"/>
      <c r="E9" s="73"/>
      <c r="F9" s="73"/>
      <c r="G9" s="73"/>
      <c r="H9" s="73"/>
      <c r="I9" s="73"/>
      <c r="J9" s="73"/>
    </row>
    <row r="10" spans="1:13">
      <c r="A10" s="58">
        <v>1</v>
      </c>
      <c r="B10" s="43" t="s">
        <v>516</v>
      </c>
      <c r="C10" s="43" t="s">
        <v>517</v>
      </c>
      <c r="D10" s="43" t="s">
        <v>518</v>
      </c>
      <c r="E10" s="43" t="s">
        <v>620</v>
      </c>
      <c r="F10" s="43" t="s">
        <v>519</v>
      </c>
      <c r="G10" s="57" t="s">
        <v>520</v>
      </c>
      <c r="H10" s="57" t="s">
        <v>145</v>
      </c>
      <c r="I10" s="57" t="s">
        <v>137</v>
      </c>
      <c r="J10" s="58"/>
      <c r="K10" s="58" t="str">
        <f>"270,0"</f>
        <v>270,0</v>
      </c>
      <c r="L10" s="58" t="str">
        <f>"157,2210"</f>
        <v>157,2210</v>
      </c>
      <c r="M10" s="43"/>
    </row>
    <row r="11" spans="1:13">
      <c r="A11" s="61">
        <v>2</v>
      </c>
      <c r="B11" s="44" t="s">
        <v>521</v>
      </c>
      <c r="C11" s="44" t="s">
        <v>522</v>
      </c>
      <c r="D11" s="44" t="s">
        <v>523</v>
      </c>
      <c r="E11" s="44" t="s">
        <v>620</v>
      </c>
      <c r="F11" s="44" t="s">
        <v>614</v>
      </c>
      <c r="G11" s="59" t="s">
        <v>121</v>
      </c>
      <c r="H11" s="60" t="s">
        <v>121</v>
      </c>
      <c r="I11" s="59" t="s">
        <v>145</v>
      </c>
      <c r="J11" s="61"/>
      <c r="K11" s="61" t="str">
        <f>"240,0"</f>
        <v>240,0</v>
      </c>
      <c r="L11" s="61" t="str">
        <f>"140,1720"</f>
        <v>140,1720</v>
      </c>
      <c r="M11" s="44"/>
    </row>
    <row r="13" spans="1:13" ht="16">
      <c r="A13" s="73" t="s">
        <v>141</v>
      </c>
      <c r="B13" s="73"/>
      <c r="C13" s="73"/>
      <c r="D13" s="73"/>
      <c r="E13" s="73"/>
      <c r="F13" s="73"/>
      <c r="G13" s="73"/>
      <c r="H13" s="73"/>
      <c r="I13" s="73"/>
      <c r="J13" s="73"/>
    </row>
    <row r="14" spans="1:13">
      <c r="A14" s="55">
        <v>1</v>
      </c>
      <c r="B14" s="41" t="s">
        <v>524</v>
      </c>
      <c r="C14" s="41" t="s">
        <v>525</v>
      </c>
      <c r="D14" s="41" t="s">
        <v>526</v>
      </c>
      <c r="E14" s="41" t="s">
        <v>620</v>
      </c>
      <c r="F14" s="41" t="s">
        <v>233</v>
      </c>
      <c r="G14" s="54" t="s">
        <v>139</v>
      </c>
      <c r="H14" s="53" t="s">
        <v>139</v>
      </c>
      <c r="I14" s="54" t="s">
        <v>527</v>
      </c>
      <c r="J14" s="55"/>
      <c r="K14" s="55" t="str">
        <f>"300,0"</f>
        <v>300,0</v>
      </c>
      <c r="L14" s="55" t="str">
        <f>"171,2550"</f>
        <v>171,2550</v>
      </c>
      <c r="M14" s="41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3:J13"/>
    <mergeCell ref="B3:B4"/>
    <mergeCell ref="K3:K4"/>
    <mergeCell ref="L3:L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A3FF9-9F6F-4065-9459-58D0C3485CED}">
  <dimension ref="A1:M8"/>
  <sheetViews>
    <sheetView workbookViewId="0">
      <selection activeCell="E7" sqref="E7"/>
    </sheetView>
  </sheetViews>
  <sheetFormatPr baseColWidth="10" defaultColWidth="8.83203125" defaultRowHeight="13"/>
  <cols>
    <col min="1" max="1" width="7.5" style="42" bestFit="1" customWidth="1"/>
    <col min="2" max="2" width="20.5" style="42" customWidth="1"/>
    <col min="3" max="3" width="26" style="42" bestFit="1" customWidth="1"/>
    <col min="4" max="4" width="21.5" style="42" bestFit="1" customWidth="1"/>
    <col min="5" max="5" width="10.5" style="42" bestFit="1" customWidth="1"/>
    <col min="6" max="6" width="30.5" style="42" bestFit="1" customWidth="1"/>
    <col min="7" max="9" width="5.5" style="51" customWidth="1"/>
    <col min="10" max="10" width="4.83203125" style="51" customWidth="1"/>
    <col min="11" max="11" width="10.5" style="42" bestFit="1" customWidth="1"/>
    <col min="12" max="12" width="8.6640625" style="42" bestFit="1" customWidth="1"/>
    <col min="13" max="13" width="26.83203125" style="42" bestFit="1" customWidth="1"/>
  </cols>
  <sheetData>
    <row r="1" spans="1:13" s="2" customFormat="1" ht="29" customHeight="1">
      <c r="A1" s="80" t="s">
        <v>551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8</v>
      </c>
      <c r="H3" s="88"/>
      <c r="I3" s="88"/>
      <c r="J3" s="88"/>
      <c r="K3" s="78" t="s">
        <v>283</v>
      </c>
      <c r="L3" s="78" t="s">
        <v>3</v>
      </c>
      <c r="M3" s="93" t="s">
        <v>2</v>
      </c>
    </row>
    <row r="4" spans="1:13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79"/>
      <c r="L4" s="79"/>
      <c r="M4" s="94"/>
    </row>
    <row r="5" spans="1:13" s="3" customFormat="1" ht="16">
      <c r="A5" s="76" t="s">
        <v>141</v>
      </c>
      <c r="B5" s="76"/>
      <c r="C5" s="77"/>
      <c r="D5" s="77"/>
      <c r="E5" s="77"/>
      <c r="F5" s="77"/>
      <c r="G5" s="77"/>
      <c r="H5" s="77"/>
      <c r="I5" s="77"/>
      <c r="J5" s="77"/>
      <c r="K5" s="6"/>
      <c r="L5" s="6"/>
      <c r="M5" s="5"/>
    </row>
    <row r="6" spans="1:13">
      <c r="A6" s="55">
        <v>1</v>
      </c>
      <c r="B6" s="41" t="s">
        <v>503</v>
      </c>
      <c r="C6" s="41" t="s">
        <v>504</v>
      </c>
      <c r="D6" s="41" t="s">
        <v>505</v>
      </c>
      <c r="E6" s="41" t="s">
        <v>620</v>
      </c>
      <c r="F6" s="41" t="s">
        <v>14</v>
      </c>
      <c r="G6" s="53" t="s">
        <v>151</v>
      </c>
      <c r="H6" s="53" t="s">
        <v>193</v>
      </c>
      <c r="I6" s="53" t="s">
        <v>152</v>
      </c>
      <c r="J6" s="55"/>
      <c r="K6" s="55" t="str">
        <f>"220,0"</f>
        <v>220,0</v>
      </c>
      <c r="L6" s="55" t="str">
        <f>"124,9820"</f>
        <v>124,9820</v>
      </c>
      <c r="M6" s="41" t="s">
        <v>534</v>
      </c>
    </row>
    <row r="8" spans="1:13">
      <c r="G8" s="42"/>
      <c r="K8" s="51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784E3-71CA-4F15-BFB6-492727F64EB7}">
  <dimension ref="A1:M9"/>
  <sheetViews>
    <sheetView workbookViewId="0">
      <selection activeCell="E10" sqref="E10"/>
    </sheetView>
  </sheetViews>
  <sheetFormatPr baseColWidth="10" defaultColWidth="8.83203125" defaultRowHeight="13"/>
  <cols>
    <col min="1" max="1" width="7.5" style="42" bestFit="1" customWidth="1"/>
    <col min="2" max="2" width="22" style="42" customWidth="1"/>
    <col min="3" max="3" width="26" style="42" bestFit="1" customWidth="1"/>
    <col min="4" max="4" width="21.5" style="42" bestFit="1" customWidth="1"/>
    <col min="5" max="5" width="10.5" style="42" bestFit="1" customWidth="1"/>
    <col min="6" max="6" width="34" style="42" bestFit="1" customWidth="1"/>
    <col min="7" max="9" width="5.5" style="51" customWidth="1"/>
    <col min="10" max="10" width="4.83203125" style="51" customWidth="1"/>
    <col min="11" max="11" width="10.5" style="51" bestFit="1" customWidth="1"/>
    <col min="12" max="12" width="10.33203125" style="51" customWidth="1"/>
    <col min="13" max="13" width="20.33203125" style="42" customWidth="1"/>
  </cols>
  <sheetData>
    <row r="1" spans="1:13" s="2" customFormat="1" ht="29" customHeight="1">
      <c r="A1" s="80" t="s">
        <v>552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8</v>
      </c>
      <c r="H3" s="88"/>
      <c r="I3" s="88"/>
      <c r="J3" s="88"/>
      <c r="K3" s="78" t="s">
        <v>283</v>
      </c>
      <c r="L3" s="78" t="s">
        <v>3</v>
      </c>
      <c r="M3" s="93" t="s">
        <v>2</v>
      </c>
    </row>
    <row r="4" spans="1:13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79"/>
      <c r="L4" s="79"/>
      <c r="M4" s="94"/>
    </row>
    <row r="5" spans="1:13" s="3" customFormat="1" ht="16">
      <c r="A5" s="76" t="s">
        <v>97</v>
      </c>
      <c r="B5" s="76"/>
      <c r="C5" s="77"/>
      <c r="D5" s="77"/>
      <c r="E5" s="77"/>
      <c r="F5" s="77"/>
      <c r="G5" s="77"/>
      <c r="H5" s="77"/>
      <c r="I5" s="77"/>
      <c r="J5" s="77"/>
      <c r="K5" s="6"/>
      <c r="L5" s="6"/>
      <c r="M5" s="5"/>
    </row>
    <row r="6" spans="1:13">
      <c r="A6" s="55">
        <v>1</v>
      </c>
      <c r="B6" s="41" t="s">
        <v>531</v>
      </c>
      <c r="C6" s="41" t="s">
        <v>532</v>
      </c>
      <c r="D6" s="41" t="s">
        <v>533</v>
      </c>
      <c r="E6" s="41" t="s">
        <v>620</v>
      </c>
      <c r="F6" s="41" t="s">
        <v>14</v>
      </c>
      <c r="G6" s="54" t="s">
        <v>520</v>
      </c>
      <c r="H6" s="54" t="s">
        <v>520</v>
      </c>
      <c r="I6" s="53" t="s">
        <v>520</v>
      </c>
      <c r="J6" s="55"/>
      <c r="K6" s="55" t="str">
        <f>"250,0"</f>
        <v>250,0</v>
      </c>
      <c r="L6" s="55" t="str">
        <f>"161,6625"</f>
        <v>161,6625</v>
      </c>
      <c r="M6" s="41" t="s">
        <v>534</v>
      </c>
    </row>
    <row r="8" spans="1:13" ht="16">
      <c r="A8" s="73" t="s">
        <v>114</v>
      </c>
      <c r="B8" s="73"/>
      <c r="C8" s="73"/>
      <c r="D8" s="73"/>
      <c r="E8" s="73"/>
      <c r="F8" s="73"/>
      <c r="G8" s="73"/>
      <c r="H8" s="73"/>
      <c r="I8" s="73"/>
      <c r="J8" s="73"/>
    </row>
    <row r="9" spans="1:13">
      <c r="A9" s="55">
        <v>1</v>
      </c>
      <c r="B9" s="41" t="s">
        <v>535</v>
      </c>
      <c r="C9" s="41" t="s">
        <v>536</v>
      </c>
      <c r="D9" s="41" t="s">
        <v>537</v>
      </c>
      <c r="E9" s="41" t="s">
        <v>620</v>
      </c>
      <c r="F9" s="41" t="s">
        <v>26</v>
      </c>
      <c r="G9" s="53" t="s">
        <v>538</v>
      </c>
      <c r="H9" s="54" t="s">
        <v>539</v>
      </c>
      <c r="I9" s="54" t="s">
        <v>539</v>
      </c>
      <c r="J9" s="55"/>
      <c r="K9" s="55" t="str">
        <f>"290,0"</f>
        <v>290,0</v>
      </c>
      <c r="L9" s="55" t="str">
        <f>"168,5770"</f>
        <v>168,5770</v>
      </c>
      <c r="M9" s="41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D6EA-D16A-4A8A-8275-51DDF1222199}">
  <dimension ref="A1:M26"/>
  <sheetViews>
    <sheetView workbookViewId="0">
      <selection activeCell="E27" sqref="E27"/>
    </sheetView>
  </sheetViews>
  <sheetFormatPr baseColWidth="10" defaultColWidth="8.83203125" defaultRowHeight="13"/>
  <cols>
    <col min="1" max="1" width="7.5" style="42" bestFit="1" customWidth="1"/>
    <col min="2" max="2" width="21.83203125" style="42" customWidth="1"/>
    <col min="3" max="3" width="29" style="42" bestFit="1" customWidth="1"/>
    <col min="4" max="4" width="21.5" style="42" bestFit="1" customWidth="1"/>
    <col min="5" max="5" width="10.5" style="42" bestFit="1" customWidth="1"/>
    <col min="6" max="6" width="34" style="42" bestFit="1" customWidth="1"/>
    <col min="7" max="9" width="5.5" style="51" customWidth="1"/>
    <col min="10" max="10" width="4.83203125" style="51" customWidth="1"/>
    <col min="11" max="11" width="10.5" style="52" bestFit="1" customWidth="1"/>
    <col min="12" max="12" width="8.6640625" style="51" bestFit="1" customWidth="1"/>
    <col min="13" max="13" width="20.33203125" style="42" customWidth="1"/>
  </cols>
  <sheetData>
    <row r="1" spans="1:13" s="2" customFormat="1" ht="29" customHeight="1">
      <c r="A1" s="80" t="s">
        <v>553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9</v>
      </c>
      <c r="H3" s="88"/>
      <c r="I3" s="88"/>
      <c r="J3" s="88"/>
      <c r="K3" s="95" t="s">
        <v>283</v>
      </c>
      <c r="L3" s="78" t="s">
        <v>3</v>
      </c>
      <c r="M3" s="93" t="s">
        <v>2</v>
      </c>
    </row>
    <row r="4" spans="1:13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96"/>
      <c r="L4" s="79"/>
      <c r="M4" s="94"/>
    </row>
    <row r="5" spans="1:13" s="3" customFormat="1" ht="16">
      <c r="A5" s="76" t="s">
        <v>284</v>
      </c>
      <c r="B5" s="76"/>
      <c r="C5" s="77"/>
      <c r="D5" s="77"/>
      <c r="E5" s="77"/>
      <c r="F5" s="77"/>
      <c r="G5" s="77"/>
      <c r="H5" s="77"/>
      <c r="I5" s="77"/>
      <c r="J5" s="77"/>
      <c r="K5" s="28"/>
      <c r="L5" s="6"/>
      <c r="M5" s="5"/>
    </row>
    <row r="6" spans="1:13">
      <c r="A6" s="55">
        <v>1</v>
      </c>
      <c r="B6" s="41" t="s">
        <v>285</v>
      </c>
      <c r="C6" s="41" t="s">
        <v>567</v>
      </c>
      <c r="D6" s="41" t="s">
        <v>286</v>
      </c>
      <c r="E6" s="41" t="s">
        <v>622</v>
      </c>
      <c r="F6" s="41" t="s">
        <v>36</v>
      </c>
      <c r="G6" s="54" t="s">
        <v>15</v>
      </c>
      <c r="H6" s="53" t="s">
        <v>15</v>
      </c>
      <c r="I6" s="53" t="s">
        <v>55</v>
      </c>
      <c r="J6" s="55"/>
      <c r="K6" s="68" t="str">
        <f>"85,0"</f>
        <v>85,0</v>
      </c>
      <c r="L6" s="55" t="str">
        <f>"196,7750"</f>
        <v>196,7750</v>
      </c>
      <c r="M6" s="41" t="s">
        <v>287</v>
      </c>
    </row>
    <row r="8" spans="1:13" ht="16">
      <c r="A8" s="73" t="s">
        <v>22</v>
      </c>
      <c r="B8" s="73"/>
      <c r="C8" s="73"/>
      <c r="D8" s="73"/>
      <c r="E8" s="73"/>
      <c r="F8" s="73"/>
      <c r="G8" s="73"/>
      <c r="H8" s="73"/>
      <c r="I8" s="73"/>
      <c r="J8" s="73"/>
    </row>
    <row r="9" spans="1:13">
      <c r="A9" s="58">
        <v>1</v>
      </c>
      <c r="B9" s="43" t="s">
        <v>23</v>
      </c>
      <c r="C9" s="43" t="s">
        <v>24</v>
      </c>
      <c r="D9" s="43" t="s">
        <v>25</v>
      </c>
      <c r="E9" s="43" t="s">
        <v>620</v>
      </c>
      <c r="F9" s="43" t="s">
        <v>26</v>
      </c>
      <c r="G9" s="57" t="s">
        <v>29</v>
      </c>
      <c r="H9" s="57" t="s">
        <v>30</v>
      </c>
      <c r="I9" s="57" t="s">
        <v>31</v>
      </c>
      <c r="J9" s="58"/>
      <c r="K9" s="69" t="str">
        <f>"122,5"</f>
        <v>122,5</v>
      </c>
      <c r="L9" s="58" t="str">
        <f>"255,9515"</f>
        <v>255,9515</v>
      </c>
      <c r="M9" s="43" t="s">
        <v>32</v>
      </c>
    </row>
    <row r="10" spans="1:13">
      <c r="A10" s="61">
        <v>2</v>
      </c>
      <c r="B10" s="44" t="s">
        <v>408</v>
      </c>
      <c r="C10" s="44" t="s">
        <v>409</v>
      </c>
      <c r="D10" s="44" t="s">
        <v>410</v>
      </c>
      <c r="E10" s="44" t="s">
        <v>620</v>
      </c>
      <c r="F10" s="44" t="s">
        <v>36</v>
      </c>
      <c r="G10" s="60" t="s">
        <v>17</v>
      </c>
      <c r="H10" s="60" t="s">
        <v>15</v>
      </c>
      <c r="I10" s="59" t="s">
        <v>53</v>
      </c>
      <c r="J10" s="61"/>
      <c r="K10" s="70" t="str">
        <f>"70,0"</f>
        <v>70,0</v>
      </c>
      <c r="L10" s="61" t="str">
        <f>"147,1680"</f>
        <v>147,1680</v>
      </c>
      <c r="M10" s="44" t="s">
        <v>65</v>
      </c>
    </row>
    <row r="12" spans="1:13" ht="16">
      <c r="A12" s="73" t="s">
        <v>49</v>
      </c>
      <c r="B12" s="73"/>
      <c r="C12" s="73"/>
      <c r="D12" s="73"/>
      <c r="E12" s="73"/>
      <c r="F12" s="73"/>
      <c r="G12" s="73"/>
      <c r="H12" s="73"/>
      <c r="I12" s="73"/>
      <c r="J12" s="73"/>
    </row>
    <row r="13" spans="1:13">
      <c r="A13" s="55">
        <v>1</v>
      </c>
      <c r="B13" s="41" t="s">
        <v>411</v>
      </c>
      <c r="C13" s="41" t="s">
        <v>594</v>
      </c>
      <c r="D13" s="41" t="s">
        <v>412</v>
      </c>
      <c r="E13" s="41" t="s">
        <v>624</v>
      </c>
      <c r="F13" s="41" t="s">
        <v>52</v>
      </c>
      <c r="G13" s="53" t="s">
        <v>27</v>
      </c>
      <c r="H13" s="53" t="s">
        <v>28</v>
      </c>
      <c r="I13" s="53" t="s">
        <v>21</v>
      </c>
      <c r="J13" s="55"/>
      <c r="K13" s="68" t="str">
        <f>"100,0"</f>
        <v>100,0</v>
      </c>
      <c r="L13" s="55" t="str">
        <f>"149,3400"</f>
        <v>149,3400</v>
      </c>
      <c r="M13" s="41" t="s">
        <v>413</v>
      </c>
    </row>
    <row r="15" spans="1:13" ht="16">
      <c r="A15" s="73" t="s">
        <v>66</v>
      </c>
      <c r="B15" s="73"/>
      <c r="C15" s="73"/>
      <c r="D15" s="73"/>
      <c r="E15" s="73"/>
      <c r="F15" s="73"/>
      <c r="G15" s="73"/>
      <c r="H15" s="73"/>
      <c r="I15" s="73"/>
      <c r="J15" s="73"/>
    </row>
    <row r="16" spans="1:13">
      <c r="A16" s="55">
        <v>1</v>
      </c>
      <c r="B16" s="41" t="s">
        <v>414</v>
      </c>
      <c r="C16" s="41" t="s">
        <v>595</v>
      </c>
      <c r="D16" s="41" t="s">
        <v>415</v>
      </c>
      <c r="E16" s="41" t="s">
        <v>621</v>
      </c>
      <c r="F16" s="41" t="s">
        <v>52</v>
      </c>
      <c r="G16" s="53" t="s">
        <v>27</v>
      </c>
      <c r="H16" s="53" t="s">
        <v>21</v>
      </c>
      <c r="I16" s="53" t="s">
        <v>93</v>
      </c>
      <c r="J16" s="55"/>
      <c r="K16" s="68" t="str">
        <f>"110,0"</f>
        <v>110,0</v>
      </c>
      <c r="L16" s="55" t="str">
        <f>"146,6520"</f>
        <v>146,6520</v>
      </c>
      <c r="M16" s="41"/>
    </row>
    <row r="18" spans="1:13" ht="16">
      <c r="A18" s="73" t="s">
        <v>178</v>
      </c>
      <c r="B18" s="73"/>
      <c r="C18" s="73"/>
      <c r="D18" s="73"/>
      <c r="E18" s="73"/>
      <c r="F18" s="73"/>
      <c r="G18" s="73"/>
      <c r="H18" s="73"/>
      <c r="I18" s="73"/>
      <c r="J18" s="73"/>
    </row>
    <row r="19" spans="1:13">
      <c r="A19" s="58">
        <v>1</v>
      </c>
      <c r="B19" s="43" t="s">
        <v>416</v>
      </c>
      <c r="C19" s="43" t="s">
        <v>417</v>
      </c>
      <c r="D19" s="43" t="s">
        <v>418</v>
      </c>
      <c r="E19" s="43" t="s">
        <v>620</v>
      </c>
      <c r="F19" s="43" t="s">
        <v>26</v>
      </c>
      <c r="G19" s="57" t="s">
        <v>90</v>
      </c>
      <c r="H19" s="57" t="s">
        <v>419</v>
      </c>
      <c r="I19" s="56" t="s">
        <v>193</v>
      </c>
      <c r="J19" s="58"/>
      <c r="K19" s="69" t="str">
        <f>"207,5"</f>
        <v>207,5</v>
      </c>
      <c r="L19" s="58" t="str">
        <f>"237,0065"</f>
        <v>237,0065</v>
      </c>
      <c r="M19" s="43" t="s">
        <v>420</v>
      </c>
    </row>
    <row r="20" spans="1:13">
      <c r="A20" s="61" t="s">
        <v>153</v>
      </c>
      <c r="B20" s="44" t="s">
        <v>421</v>
      </c>
      <c r="C20" s="44" t="s">
        <v>422</v>
      </c>
      <c r="D20" s="44" t="s">
        <v>423</v>
      </c>
      <c r="E20" s="44" t="s">
        <v>620</v>
      </c>
      <c r="F20" s="44" t="s">
        <v>36</v>
      </c>
      <c r="G20" s="59" t="s">
        <v>184</v>
      </c>
      <c r="H20" s="59" t="s">
        <v>237</v>
      </c>
      <c r="I20" s="59" t="s">
        <v>229</v>
      </c>
      <c r="J20" s="61"/>
      <c r="K20" s="70">
        <v>0</v>
      </c>
      <c r="L20" s="61" t="str">
        <f>"0,0000"</f>
        <v>0,0000</v>
      </c>
      <c r="M20" s="44"/>
    </row>
    <row r="22" spans="1:13" ht="16">
      <c r="A22" s="73" t="s">
        <v>97</v>
      </c>
      <c r="B22" s="73"/>
      <c r="C22" s="73"/>
      <c r="D22" s="73"/>
      <c r="E22" s="73"/>
      <c r="F22" s="73"/>
      <c r="G22" s="73"/>
      <c r="H22" s="73"/>
      <c r="I22" s="73"/>
      <c r="J22" s="73"/>
    </row>
    <row r="23" spans="1:13">
      <c r="A23" s="55">
        <v>1</v>
      </c>
      <c r="B23" s="41" t="s">
        <v>424</v>
      </c>
      <c r="C23" s="41" t="s">
        <v>425</v>
      </c>
      <c r="D23" s="41" t="s">
        <v>360</v>
      </c>
      <c r="E23" s="41" t="s">
        <v>620</v>
      </c>
      <c r="F23" s="41" t="s">
        <v>14</v>
      </c>
      <c r="G23" s="53" t="s">
        <v>90</v>
      </c>
      <c r="H23" s="53" t="s">
        <v>193</v>
      </c>
      <c r="I23" s="53" t="s">
        <v>152</v>
      </c>
      <c r="J23" s="55"/>
      <c r="K23" s="68" t="str">
        <f>"220,0"</f>
        <v>220,0</v>
      </c>
      <c r="L23" s="55" t="str">
        <f>"230,0320"</f>
        <v>230,0320</v>
      </c>
      <c r="M23" s="41" t="s">
        <v>73</v>
      </c>
    </row>
    <row r="25" spans="1:13" ht="16">
      <c r="A25" s="73" t="s">
        <v>141</v>
      </c>
      <c r="B25" s="73"/>
      <c r="C25" s="73"/>
      <c r="D25" s="73"/>
      <c r="E25" s="73"/>
      <c r="F25" s="73"/>
      <c r="G25" s="73"/>
      <c r="H25" s="73"/>
      <c r="I25" s="73"/>
      <c r="J25" s="73"/>
    </row>
    <row r="26" spans="1:13">
      <c r="A26" s="55">
        <v>1</v>
      </c>
      <c r="B26" s="41" t="s">
        <v>426</v>
      </c>
      <c r="C26" s="41" t="s">
        <v>427</v>
      </c>
      <c r="D26" s="41" t="s">
        <v>428</v>
      </c>
      <c r="E26" s="41" t="s">
        <v>620</v>
      </c>
      <c r="F26" s="41" t="s">
        <v>233</v>
      </c>
      <c r="G26" s="53" t="s">
        <v>90</v>
      </c>
      <c r="H26" s="53" t="s">
        <v>194</v>
      </c>
      <c r="I26" s="54" t="s">
        <v>113</v>
      </c>
      <c r="J26" s="55"/>
      <c r="K26" s="68" t="str">
        <f>"217,5"</f>
        <v>217,5</v>
      </c>
      <c r="L26" s="55" t="str">
        <f>"196,7070"</f>
        <v>196,7070</v>
      </c>
      <c r="M26" s="41" t="s">
        <v>429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5:J25"/>
    <mergeCell ref="K3:K4"/>
    <mergeCell ref="L3:L4"/>
    <mergeCell ref="M3:M4"/>
    <mergeCell ref="A5:J5"/>
    <mergeCell ref="B3:B4"/>
    <mergeCell ref="A8:J8"/>
    <mergeCell ref="A12:J12"/>
    <mergeCell ref="A15:J15"/>
    <mergeCell ref="A18:J18"/>
    <mergeCell ref="A22:J2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59B86-9C2E-4992-B441-C51F471F2A0F}">
  <dimension ref="A1:M16"/>
  <sheetViews>
    <sheetView workbookViewId="0">
      <selection activeCell="E17" sqref="E17"/>
    </sheetView>
  </sheetViews>
  <sheetFormatPr baseColWidth="10" defaultColWidth="8.83203125" defaultRowHeight="13"/>
  <cols>
    <col min="1" max="1" width="7.5" style="42" bestFit="1" customWidth="1"/>
    <col min="2" max="2" width="19.6640625" style="42" bestFit="1" customWidth="1"/>
    <col min="3" max="3" width="28.5" style="42" bestFit="1" customWidth="1"/>
    <col min="4" max="4" width="21.5" style="42" bestFit="1" customWidth="1"/>
    <col min="5" max="5" width="10.5" style="42" bestFit="1" customWidth="1"/>
    <col min="6" max="6" width="30.5" style="42" bestFit="1" customWidth="1"/>
    <col min="7" max="9" width="5.5" style="51" customWidth="1"/>
    <col min="10" max="10" width="4.83203125" style="51" customWidth="1"/>
    <col min="11" max="11" width="10.5" style="51" bestFit="1" customWidth="1"/>
    <col min="12" max="12" width="8.6640625" style="51" bestFit="1" customWidth="1"/>
    <col min="13" max="13" width="20.1640625" style="42" customWidth="1"/>
  </cols>
  <sheetData>
    <row r="1" spans="1:13" s="2" customFormat="1" ht="29" customHeight="1">
      <c r="A1" s="80" t="s">
        <v>554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9</v>
      </c>
      <c r="H3" s="88"/>
      <c r="I3" s="88"/>
      <c r="J3" s="88"/>
      <c r="K3" s="78" t="s">
        <v>283</v>
      </c>
      <c r="L3" s="78" t="s">
        <v>3</v>
      </c>
      <c r="M3" s="93" t="s">
        <v>2</v>
      </c>
    </row>
    <row r="4" spans="1:13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79"/>
      <c r="L4" s="79"/>
      <c r="M4" s="94"/>
    </row>
    <row r="5" spans="1:13" s="3" customFormat="1" ht="16">
      <c r="A5" s="76" t="s">
        <v>178</v>
      </c>
      <c r="B5" s="76"/>
      <c r="C5" s="77"/>
      <c r="D5" s="77"/>
      <c r="E5" s="77"/>
      <c r="F5" s="77"/>
      <c r="G5" s="77"/>
      <c r="H5" s="77"/>
      <c r="I5" s="77"/>
      <c r="J5" s="77"/>
      <c r="K5" s="6"/>
      <c r="L5" s="6"/>
      <c r="M5" s="5"/>
    </row>
    <row r="6" spans="1:13">
      <c r="A6" s="55">
        <v>1</v>
      </c>
      <c r="B6" s="41" t="s">
        <v>392</v>
      </c>
      <c r="C6" s="41" t="s">
        <v>596</v>
      </c>
      <c r="D6" s="41" t="s">
        <v>345</v>
      </c>
      <c r="E6" s="41" t="s">
        <v>623</v>
      </c>
      <c r="F6" s="41" t="s">
        <v>393</v>
      </c>
      <c r="G6" s="53" t="s">
        <v>119</v>
      </c>
      <c r="H6" s="53" t="s">
        <v>151</v>
      </c>
      <c r="I6" s="54" t="s">
        <v>90</v>
      </c>
      <c r="J6" s="55"/>
      <c r="K6" s="55" t="str">
        <f>"190,0"</f>
        <v>190,0</v>
      </c>
      <c r="L6" s="55" t="str">
        <f>"296,0107"</f>
        <v>296,0107</v>
      </c>
      <c r="M6" s="41" t="s">
        <v>394</v>
      </c>
    </row>
    <row r="8" spans="1:13" ht="16">
      <c r="A8" s="73" t="s">
        <v>102</v>
      </c>
      <c r="B8" s="73"/>
      <c r="C8" s="73"/>
      <c r="D8" s="73"/>
      <c r="E8" s="73"/>
      <c r="F8" s="73"/>
      <c r="G8" s="73"/>
      <c r="H8" s="73"/>
      <c r="I8" s="73"/>
      <c r="J8" s="73"/>
    </row>
    <row r="9" spans="1:13">
      <c r="A9" s="58">
        <v>1</v>
      </c>
      <c r="B9" s="43" t="s">
        <v>395</v>
      </c>
      <c r="C9" s="43" t="s">
        <v>396</v>
      </c>
      <c r="D9" s="43" t="s">
        <v>397</v>
      </c>
      <c r="E9" s="43" t="s">
        <v>620</v>
      </c>
      <c r="F9" s="43" t="s">
        <v>398</v>
      </c>
      <c r="G9" s="57" t="s">
        <v>205</v>
      </c>
      <c r="H9" s="57" t="s">
        <v>399</v>
      </c>
      <c r="I9" s="57" t="s">
        <v>139</v>
      </c>
      <c r="J9" s="58"/>
      <c r="K9" s="58" t="str">
        <f>"300,0"</f>
        <v>300,0</v>
      </c>
      <c r="L9" s="58" t="str">
        <f>"293,7000"</f>
        <v>293,7000</v>
      </c>
      <c r="M9" s="43" t="s">
        <v>400</v>
      </c>
    </row>
    <row r="10" spans="1:13">
      <c r="A10" s="61">
        <v>1</v>
      </c>
      <c r="B10" s="44" t="s">
        <v>395</v>
      </c>
      <c r="C10" s="44" t="s">
        <v>597</v>
      </c>
      <c r="D10" s="44" t="s">
        <v>397</v>
      </c>
      <c r="E10" s="44" t="s">
        <v>623</v>
      </c>
      <c r="F10" s="44" t="s">
        <v>398</v>
      </c>
      <c r="G10" s="60" t="s">
        <v>205</v>
      </c>
      <c r="H10" s="60" t="s">
        <v>399</v>
      </c>
      <c r="I10" s="60" t="s">
        <v>139</v>
      </c>
      <c r="J10" s="61"/>
      <c r="K10" s="61" t="str">
        <f>"300,0"</f>
        <v>300,0</v>
      </c>
      <c r="L10" s="61" t="str">
        <f>"293,7000"</f>
        <v>293,7000</v>
      </c>
      <c r="M10" s="44" t="s">
        <v>400</v>
      </c>
    </row>
    <row r="12" spans="1:13" ht="16">
      <c r="A12" s="73" t="s">
        <v>114</v>
      </c>
      <c r="B12" s="73"/>
      <c r="C12" s="73"/>
      <c r="D12" s="73"/>
      <c r="E12" s="73"/>
      <c r="F12" s="73"/>
      <c r="G12" s="73"/>
      <c r="H12" s="73"/>
      <c r="I12" s="73"/>
      <c r="J12" s="73"/>
    </row>
    <row r="13" spans="1:13">
      <c r="A13" s="55">
        <v>1</v>
      </c>
      <c r="B13" s="41" t="s">
        <v>401</v>
      </c>
      <c r="C13" s="41" t="s">
        <v>402</v>
      </c>
      <c r="D13" s="41" t="s">
        <v>403</v>
      </c>
      <c r="E13" s="41" t="s">
        <v>620</v>
      </c>
      <c r="F13" s="41" t="s">
        <v>14</v>
      </c>
      <c r="G13" s="53" t="s">
        <v>111</v>
      </c>
      <c r="H13" s="53" t="s">
        <v>112</v>
      </c>
      <c r="I13" s="53" t="s">
        <v>189</v>
      </c>
      <c r="J13" s="55"/>
      <c r="K13" s="55" t="str">
        <f>"225,0"</f>
        <v>225,0</v>
      </c>
      <c r="L13" s="55" t="str">
        <f>"211,9500"</f>
        <v>211,9500</v>
      </c>
      <c r="M13" s="41"/>
    </row>
    <row r="15" spans="1:13" ht="16">
      <c r="A15" s="73" t="s">
        <v>272</v>
      </c>
      <c r="B15" s="73"/>
      <c r="C15" s="73"/>
      <c r="D15" s="73"/>
      <c r="E15" s="73"/>
      <c r="F15" s="73"/>
      <c r="G15" s="73"/>
      <c r="H15" s="73"/>
      <c r="I15" s="73"/>
      <c r="J15" s="73"/>
    </row>
    <row r="16" spans="1:13">
      <c r="A16" s="55">
        <v>1</v>
      </c>
      <c r="B16" s="41" t="s">
        <v>404</v>
      </c>
      <c r="C16" s="41" t="s">
        <v>598</v>
      </c>
      <c r="D16" s="41" t="s">
        <v>405</v>
      </c>
      <c r="E16" s="41" t="s">
        <v>629</v>
      </c>
      <c r="F16" s="41" t="s">
        <v>615</v>
      </c>
      <c r="G16" s="54" t="s">
        <v>139</v>
      </c>
      <c r="H16" s="53" t="s">
        <v>139</v>
      </c>
      <c r="I16" s="54" t="s">
        <v>406</v>
      </c>
      <c r="J16" s="55"/>
      <c r="K16" s="55" t="str">
        <f>"300,0"</f>
        <v>300,0</v>
      </c>
      <c r="L16" s="55" t="str">
        <f>"289,8851"</f>
        <v>289,8851</v>
      </c>
      <c r="M16" s="41" t="s">
        <v>407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5:J15"/>
    <mergeCell ref="B3:B4"/>
    <mergeCell ref="K3:K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C2ACC-05F9-459B-923F-19591145258C}">
  <dimension ref="A1:Q32"/>
  <sheetViews>
    <sheetView workbookViewId="0">
      <selection activeCell="E33" sqref="E33"/>
    </sheetView>
  </sheetViews>
  <sheetFormatPr baseColWidth="10" defaultColWidth="8.83203125" defaultRowHeight="13"/>
  <cols>
    <col min="1" max="1" width="7.5" style="42" bestFit="1" customWidth="1"/>
    <col min="2" max="2" width="20.83203125" style="42" bestFit="1" customWidth="1"/>
    <col min="3" max="3" width="28.5" style="42" bestFit="1" customWidth="1"/>
    <col min="4" max="4" width="21.5" style="42" bestFit="1" customWidth="1"/>
    <col min="5" max="5" width="10.5" style="42" bestFit="1" customWidth="1"/>
    <col min="6" max="6" width="30.6640625" style="42" bestFit="1" customWidth="1"/>
    <col min="7" max="14" width="5.5" style="51" customWidth="1"/>
    <col min="15" max="15" width="9" style="51" customWidth="1"/>
    <col min="16" max="16" width="10.1640625" style="51" customWidth="1"/>
    <col min="17" max="17" width="20.83203125" style="42" customWidth="1"/>
  </cols>
  <sheetData>
    <row r="1" spans="1:17" s="2" customFormat="1" ht="29" customHeight="1">
      <c r="A1" s="80" t="s">
        <v>555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</row>
    <row r="2" spans="1:17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</row>
    <row r="3" spans="1:17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617</v>
      </c>
      <c r="H3" s="88"/>
      <c r="I3" s="88"/>
      <c r="J3" s="88"/>
      <c r="K3" s="88" t="s">
        <v>446</v>
      </c>
      <c r="L3" s="88"/>
      <c r="M3" s="88"/>
      <c r="N3" s="88"/>
      <c r="O3" s="78" t="s">
        <v>1</v>
      </c>
      <c r="P3" s="78" t="s">
        <v>3</v>
      </c>
      <c r="Q3" s="93" t="s">
        <v>2</v>
      </c>
    </row>
    <row r="4" spans="1:17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9"/>
      <c r="P4" s="79"/>
      <c r="Q4" s="94"/>
    </row>
    <row r="5" spans="1:17" s="3" customFormat="1" ht="16">
      <c r="A5" s="76" t="s">
        <v>10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6"/>
      <c r="P5" s="6"/>
      <c r="Q5" s="5"/>
    </row>
    <row r="6" spans="1:17">
      <c r="A6" s="55">
        <v>1</v>
      </c>
      <c r="B6" s="41" t="s">
        <v>11</v>
      </c>
      <c r="C6" s="41" t="s">
        <v>12</v>
      </c>
      <c r="D6" s="41" t="s">
        <v>13</v>
      </c>
      <c r="E6" s="41" t="s">
        <v>620</v>
      </c>
      <c r="F6" s="41" t="s">
        <v>14</v>
      </c>
      <c r="G6" s="53" t="s">
        <v>435</v>
      </c>
      <c r="H6" s="54" t="s">
        <v>78</v>
      </c>
      <c r="I6" s="55"/>
      <c r="J6" s="55"/>
      <c r="K6" s="54" t="s">
        <v>459</v>
      </c>
      <c r="L6" s="53" t="s">
        <v>459</v>
      </c>
      <c r="M6" s="53" t="s">
        <v>328</v>
      </c>
      <c r="N6" s="55"/>
      <c r="O6" s="55" t="str">
        <f>"57,5"</f>
        <v>57,5</v>
      </c>
      <c r="P6" s="55" t="str">
        <f>"72,4500"</f>
        <v>72,4500</v>
      </c>
      <c r="Q6" s="41"/>
    </row>
    <row r="8" spans="1:17" ht="16">
      <c r="A8" s="73" t="s">
        <v>49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7">
      <c r="A9" s="55">
        <v>1</v>
      </c>
      <c r="B9" s="41" t="s">
        <v>460</v>
      </c>
      <c r="C9" s="41" t="s">
        <v>461</v>
      </c>
      <c r="D9" s="41" t="s">
        <v>462</v>
      </c>
      <c r="E9" s="41" t="s">
        <v>620</v>
      </c>
      <c r="F9" s="41" t="s">
        <v>14</v>
      </c>
      <c r="G9" s="53" t="s">
        <v>70</v>
      </c>
      <c r="H9" s="53" t="s">
        <v>71</v>
      </c>
      <c r="I9" s="55"/>
      <c r="J9" s="55"/>
      <c r="K9" s="53" t="s">
        <v>78</v>
      </c>
      <c r="L9" s="53" t="s">
        <v>436</v>
      </c>
      <c r="M9" s="54" t="s">
        <v>70</v>
      </c>
      <c r="N9" s="55"/>
      <c r="O9" s="55" t="str">
        <f>"75,0"</f>
        <v>75,0</v>
      </c>
      <c r="P9" s="55" t="str">
        <f>"74,1675"</f>
        <v>74,1675</v>
      </c>
      <c r="Q9" s="41"/>
    </row>
    <row r="11" spans="1:17" ht="16">
      <c r="A11" s="73" t="s">
        <v>49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7">
      <c r="A12" s="58">
        <v>1</v>
      </c>
      <c r="B12" s="43" t="s">
        <v>465</v>
      </c>
      <c r="C12" s="43" t="s">
        <v>599</v>
      </c>
      <c r="D12" s="43" t="s">
        <v>466</v>
      </c>
      <c r="E12" s="43" t="s">
        <v>630</v>
      </c>
      <c r="F12" s="43" t="s">
        <v>224</v>
      </c>
      <c r="G12" s="56" t="s">
        <v>17</v>
      </c>
      <c r="H12" s="57" t="s">
        <v>17</v>
      </c>
      <c r="I12" s="56" t="s">
        <v>37</v>
      </c>
      <c r="J12" s="58"/>
      <c r="K12" s="56" t="s">
        <v>17</v>
      </c>
      <c r="L12" s="56" t="s">
        <v>17</v>
      </c>
      <c r="M12" s="57" t="s">
        <v>17</v>
      </c>
      <c r="N12" s="58"/>
      <c r="O12" s="58" t="str">
        <f>"100,0"</f>
        <v>100,0</v>
      </c>
      <c r="P12" s="58" t="str">
        <f>"85,8200"</f>
        <v>85,8200</v>
      </c>
      <c r="Q12" s="43" t="s">
        <v>467</v>
      </c>
    </row>
    <row r="13" spans="1:17">
      <c r="A13" s="61">
        <v>1</v>
      </c>
      <c r="B13" s="44" t="s">
        <v>468</v>
      </c>
      <c r="C13" s="44" t="s">
        <v>600</v>
      </c>
      <c r="D13" s="44" t="s">
        <v>469</v>
      </c>
      <c r="E13" s="44" t="s">
        <v>622</v>
      </c>
      <c r="F13" s="44" t="s">
        <v>14</v>
      </c>
      <c r="G13" s="60" t="s">
        <v>17</v>
      </c>
      <c r="H13" s="60" t="s">
        <v>18</v>
      </c>
      <c r="I13" s="59" t="s">
        <v>37</v>
      </c>
      <c r="J13" s="61"/>
      <c r="K13" s="60" t="s">
        <v>37</v>
      </c>
      <c r="L13" s="60" t="s">
        <v>44</v>
      </c>
      <c r="M13" s="60" t="s">
        <v>454</v>
      </c>
      <c r="N13" s="61"/>
      <c r="O13" s="61" t="str">
        <f>"110,5"</f>
        <v>110,5</v>
      </c>
      <c r="P13" s="61" t="str">
        <f>"93,2565"</f>
        <v>93,2565</v>
      </c>
      <c r="Q13" s="44"/>
    </row>
    <row r="15" spans="1:17" ht="16">
      <c r="A15" s="73" t="s">
        <v>66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</row>
    <row r="16" spans="1:17">
      <c r="A16" s="58">
        <v>1</v>
      </c>
      <c r="B16" s="43" t="s">
        <v>470</v>
      </c>
      <c r="C16" s="43" t="s">
        <v>601</v>
      </c>
      <c r="D16" s="43" t="s">
        <v>452</v>
      </c>
      <c r="E16" s="43" t="s">
        <v>630</v>
      </c>
      <c r="F16" s="43" t="s">
        <v>224</v>
      </c>
      <c r="G16" s="57" t="s">
        <v>18</v>
      </c>
      <c r="H16" s="56" t="s">
        <v>37</v>
      </c>
      <c r="I16" s="56" t="s">
        <v>37</v>
      </c>
      <c r="J16" s="58"/>
      <c r="K16" s="57" t="s">
        <v>17</v>
      </c>
      <c r="L16" s="56" t="s">
        <v>37</v>
      </c>
      <c r="M16" s="57" t="s">
        <v>37</v>
      </c>
      <c r="N16" s="58"/>
      <c r="O16" s="58" t="str">
        <f>"107,5"</f>
        <v>107,5</v>
      </c>
      <c r="P16" s="58" t="str">
        <f>"81,8021"</f>
        <v>81,8021</v>
      </c>
      <c r="Q16" s="43" t="s">
        <v>467</v>
      </c>
    </row>
    <row r="17" spans="1:17">
      <c r="A17" s="61">
        <v>2</v>
      </c>
      <c r="B17" s="44" t="s">
        <v>471</v>
      </c>
      <c r="C17" s="44" t="s">
        <v>602</v>
      </c>
      <c r="D17" s="44" t="s">
        <v>472</v>
      </c>
      <c r="E17" s="44" t="s">
        <v>630</v>
      </c>
      <c r="F17" s="44" t="s">
        <v>224</v>
      </c>
      <c r="G17" s="60" t="s">
        <v>17</v>
      </c>
      <c r="H17" s="60" t="s">
        <v>18</v>
      </c>
      <c r="I17" s="59" t="s">
        <v>37</v>
      </c>
      <c r="J17" s="61"/>
      <c r="K17" s="60" t="s">
        <v>71</v>
      </c>
      <c r="L17" s="59" t="s">
        <v>79</v>
      </c>
      <c r="M17" s="59" t="s">
        <v>79</v>
      </c>
      <c r="N17" s="61"/>
      <c r="O17" s="61" t="str">
        <f>"92,5"</f>
        <v>92,5</v>
      </c>
      <c r="P17" s="61" t="str">
        <f>"72,0205"</f>
        <v>72,0205</v>
      </c>
      <c r="Q17" s="44"/>
    </row>
    <row r="19" spans="1:17" ht="16">
      <c r="A19" s="73" t="s">
        <v>178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1:17">
      <c r="A20" s="55">
        <v>1</v>
      </c>
      <c r="B20" s="41" t="s">
        <v>506</v>
      </c>
      <c r="C20" s="41" t="s">
        <v>507</v>
      </c>
      <c r="D20" s="41" t="s">
        <v>508</v>
      </c>
      <c r="E20" s="41" t="s">
        <v>620</v>
      </c>
      <c r="F20" s="41" t="s">
        <v>14</v>
      </c>
      <c r="G20" s="53" t="s">
        <v>15</v>
      </c>
      <c r="H20" s="53" t="s">
        <v>16</v>
      </c>
      <c r="I20" s="53" t="s">
        <v>59</v>
      </c>
      <c r="J20" s="55"/>
      <c r="K20" s="53" t="s">
        <v>18</v>
      </c>
      <c r="L20" s="53" t="s">
        <v>37</v>
      </c>
      <c r="M20" s="54" t="s">
        <v>44</v>
      </c>
      <c r="N20" s="55"/>
      <c r="O20" s="55" t="str">
        <f>"130,0"</f>
        <v>130,0</v>
      </c>
      <c r="P20" s="55" t="str">
        <f>"90,3110"</f>
        <v>90,3110</v>
      </c>
      <c r="Q20" s="41" t="s">
        <v>73</v>
      </c>
    </row>
    <row r="22" spans="1:17" ht="16">
      <c r="A22" s="73" t="s">
        <v>97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</row>
    <row r="23" spans="1:17">
      <c r="A23" s="58">
        <v>1</v>
      </c>
      <c r="B23" s="43" t="s">
        <v>488</v>
      </c>
      <c r="C23" s="43" t="s">
        <v>489</v>
      </c>
      <c r="D23" s="43" t="s">
        <v>456</v>
      </c>
      <c r="E23" s="43" t="s">
        <v>620</v>
      </c>
      <c r="F23" s="43" t="s">
        <v>14</v>
      </c>
      <c r="G23" s="56" t="s">
        <v>63</v>
      </c>
      <c r="H23" s="56" t="s">
        <v>63</v>
      </c>
      <c r="I23" s="57" t="s">
        <v>63</v>
      </c>
      <c r="J23" s="58"/>
      <c r="K23" s="56" t="s">
        <v>44</v>
      </c>
      <c r="L23" s="57" t="s">
        <v>44</v>
      </c>
      <c r="M23" s="57" t="s">
        <v>45</v>
      </c>
      <c r="N23" s="58"/>
      <c r="O23" s="58" t="str">
        <f>"127,5"</f>
        <v>127,5</v>
      </c>
      <c r="P23" s="58" t="str">
        <f>"82,7092"</f>
        <v>82,7092</v>
      </c>
      <c r="Q23" s="43" t="s">
        <v>451</v>
      </c>
    </row>
    <row r="24" spans="1:17">
      <c r="A24" s="61">
        <v>2</v>
      </c>
      <c r="B24" s="44" t="s">
        <v>486</v>
      </c>
      <c r="C24" s="44" t="s">
        <v>487</v>
      </c>
      <c r="D24" s="44" t="s">
        <v>456</v>
      </c>
      <c r="E24" s="44" t="s">
        <v>620</v>
      </c>
      <c r="F24" s="44" t="s">
        <v>14</v>
      </c>
      <c r="G24" s="60" t="s">
        <v>64</v>
      </c>
      <c r="H24" s="59" t="s">
        <v>77</v>
      </c>
      <c r="I24" s="60" t="s">
        <v>77</v>
      </c>
      <c r="J24" s="61"/>
      <c r="K24" s="60" t="s">
        <v>37</v>
      </c>
      <c r="L24" s="59" t="s">
        <v>45</v>
      </c>
      <c r="M24" s="60" t="s">
        <v>45</v>
      </c>
      <c r="N24" s="61"/>
      <c r="O24" s="61" t="str">
        <f>"125,0"</f>
        <v>125,0</v>
      </c>
      <c r="P24" s="61" t="str">
        <f>"81,0875"</f>
        <v>81,0875</v>
      </c>
      <c r="Q24" s="44" t="s">
        <v>451</v>
      </c>
    </row>
    <row r="26" spans="1:17" ht="16">
      <c r="A26" s="73" t="s">
        <v>102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17">
      <c r="A27" s="58">
        <v>1</v>
      </c>
      <c r="B27" s="43" t="s">
        <v>509</v>
      </c>
      <c r="C27" s="43" t="s">
        <v>603</v>
      </c>
      <c r="D27" s="43" t="s">
        <v>240</v>
      </c>
      <c r="E27" s="43" t="s">
        <v>622</v>
      </c>
      <c r="F27" s="43" t="s">
        <v>36</v>
      </c>
      <c r="G27" s="57" t="s">
        <v>59</v>
      </c>
      <c r="H27" s="57" t="s">
        <v>53</v>
      </c>
      <c r="I27" s="57" t="s">
        <v>54</v>
      </c>
      <c r="J27" s="58"/>
      <c r="K27" s="57" t="s">
        <v>45</v>
      </c>
      <c r="L27" s="57" t="s">
        <v>16</v>
      </c>
      <c r="M27" s="56" t="s">
        <v>59</v>
      </c>
      <c r="N27" s="58"/>
      <c r="O27" s="58" t="str">
        <f>"155,0"</f>
        <v>155,0</v>
      </c>
      <c r="P27" s="58" t="str">
        <f>"94,8368"</f>
        <v>94,8368</v>
      </c>
      <c r="Q27" s="43" t="s">
        <v>510</v>
      </c>
    </row>
    <row r="28" spans="1:17">
      <c r="A28" s="65">
        <v>1</v>
      </c>
      <c r="B28" s="62" t="s">
        <v>490</v>
      </c>
      <c r="C28" s="62" t="s">
        <v>491</v>
      </c>
      <c r="D28" s="62" t="s">
        <v>492</v>
      </c>
      <c r="E28" s="62" t="s">
        <v>620</v>
      </c>
      <c r="F28" s="62" t="s">
        <v>14</v>
      </c>
      <c r="G28" s="63" t="s">
        <v>59</v>
      </c>
      <c r="H28" s="64" t="s">
        <v>60</v>
      </c>
      <c r="I28" s="64" t="s">
        <v>60</v>
      </c>
      <c r="J28" s="65"/>
      <c r="K28" s="64" t="s">
        <v>59</v>
      </c>
      <c r="L28" s="63" t="s">
        <v>59</v>
      </c>
      <c r="M28" s="64" t="s">
        <v>60</v>
      </c>
      <c r="N28" s="65"/>
      <c r="O28" s="65" t="str">
        <f>"150,0"</f>
        <v>150,0</v>
      </c>
      <c r="P28" s="65" t="str">
        <f>"92,5275"</f>
        <v>92,5275</v>
      </c>
      <c r="Q28" s="62"/>
    </row>
    <row r="29" spans="1:17">
      <c r="A29" s="61">
        <v>2</v>
      </c>
      <c r="B29" s="44" t="s">
        <v>493</v>
      </c>
      <c r="C29" s="44" t="s">
        <v>494</v>
      </c>
      <c r="D29" s="44" t="s">
        <v>495</v>
      </c>
      <c r="E29" s="44" t="s">
        <v>620</v>
      </c>
      <c r="F29" s="44" t="s">
        <v>14</v>
      </c>
      <c r="G29" s="60" t="s">
        <v>15</v>
      </c>
      <c r="H29" s="59" t="s">
        <v>16</v>
      </c>
      <c r="I29" s="59" t="s">
        <v>16</v>
      </c>
      <c r="J29" s="61"/>
      <c r="K29" s="60" t="s">
        <v>64</v>
      </c>
      <c r="L29" s="60" t="s">
        <v>77</v>
      </c>
      <c r="M29" s="59" t="s">
        <v>63</v>
      </c>
      <c r="N29" s="61"/>
      <c r="O29" s="61" t="str">
        <f>"135,0"</f>
        <v>135,0</v>
      </c>
      <c r="P29" s="61" t="str">
        <f>"83,9362"</f>
        <v>83,9362</v>
      </c>
      <c r="Q29" s="44" t="s">
        <v>451</v>
      </c>
    </row>
    <row r="31" spans="1:17" ht="16">
      <c r="A31" s="73" t="s">
        <v>114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</row>
    <row r="32" spans="1:17">
      <c r="A32" s="55">
        <v>1</v>
      </c>
      <c r="B32" s="41" t="s">
        <v>382</v>
      </c>
      <c r="C32" s="41" t="s">
        <v>604</v>
      </c>
      <c r="D32" s="41" t="s">
        <v>383</v>
      </c>
      <c r="E32" s="41" t="s">
        <v>623</v>
      </c>
      <c r="F32" s="41" t="s">
        <v>224</v>
      </c>
      <c r="G32" s="53" t="s">
        <v>54</v>
      </c>
      <c r="H32" s="54" t="s">
        <v>55</v>
      </c>
      <c r="I32" s="53" t="s">
        <v>55</v>
      </c>
      <c r="J32" s="55"/>
      <c r="K32" s="53" t="s">
        <v>45</v>
      </c>
      <c r="L32" s="54" t="s">
        <v>64</v>
      </c>
      <c r="M32" s="54" t="s">
        <v>77</v>
      </c>
      <c r="N32" s="55"/>
      <c r="O32" s="55" t="str">
        <f>"145,0"</f>
        <v>145,0</v>
      </c>
      <c r="P32" s="55" t="str">
        <f>"88,0675"</f>
        <v>88,0675</v>
      </c>
      <c r="Q32" s="41"/>
    </row>
  </sheetData>
  <mergeCells count="20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31:N31"/>
    <mergeCell ref="B3:B4"/>
    <mergeCell ref="A8:N8"/>
    <mergeCell ref="A11:N11"/>
    <mergeCell ref="A15:N15"/>
    <mergeCell ref="A19:N19"/>
    <mergeCell ref="A22:N22"/>
    <mergeCell ref="A26:N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66EDD-8D60-462B-9E85-525EEB647713}">
  <dimension ref="A1:Q12"/>
  <sheetViews>
    <sheetView workbookViewId="0">
      <selection sqref="A1:Q2"/>
    </sheetView>
  </sheetViews>
  <sheetFormatPr baseColWidth="10" defaultColWidth="8.83203125" defaultRowHeight="13"/>
  <cols>
    <col min="1" max="1" width="7.5" style="42" bestFit="1" customWidth="1"/>
    <col min="2" max="2" width="21.5" style="42" bestFit="1" customWidth="1"/>
    <col min="3" max="3" width="26" style="42" bestFit="1" customWidth="1"/>
    <col min="4" max="4" width="21.5" style="42" bestFit="1" customWidth="1"/>
    <col min="5" max="5" width="10.5" style="42" bestFit="1" customWidth="1"/>
    <col min="6" max="6" width="30.6640625" style="42" bestFit="1" customWidth="1"/>
    <col min="7" max="14" width="5.5" style="51" customWidth="1"/>
    <col min="15" max="15" width="9.5" style="51" customWidth="1"/>
    <col min="16" max="16" width="10" style="51" customWidth="1"/>
    <col min="17" max="17" width="19.5" style="42" customWidth="1"/>
  </cols>
  <sheetData>
    <row r="1" spans="1:17" s="2" customFormat="1" ht="29" customHeight="1">
      <c r="A1" s="80" t="s">
        <v>556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</row>
    <row r="2" spans="1:17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</row>
    <row r="3" spans="1:17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617</v>
      </c>
      <c r="H3" s="88"/>
      <c r="I3" s="88"/>
      <c r="J3" s="88"/>
      <c r="K3" s="88" t="s">
        <v>446</v>
      </c>
      <c r="L3" s="88"/>
      <c r="M3" s="88"/>
      <c r="N3" s="88"/>
      <c r="O3" s="78" t="s">
        <v>1</v>
      </c>
      <c r="P3" s="78" t="s">
        <v>3</v>
      </c>
      <c r="Q3" s="93" t="s">
        <v>2</v>
      </c>
    </row>
    <row r="4" spans="1:17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9"/>
      <c r="P4" s="79"/>
      <c r="Q4" s="94"/>
    </row>
    <row r="5" spans="1:17" s="3" customFormat="1" ht="16">
      <c r="A5" s="76" t="s">
        <v>66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6"/>
      <c r="P5" s="6"/>
      <c r="Q5" s="5"/>
    </row>
    <row r="6" spans="1:17">
      <c r="A6" s="55">
        <v>1</v>
      </c>
      <c r="B6" s="41" t="s">
        <v>222</v>
      </c>
      <c r="C6" s="41" t="s">
        <v>223</v>
      </c>
      <c r="D6" s="41" t="s">
        <v>173</v>
      </c>
      <c r="E6" s="41" t="s">
        <v>620</v>
      </c>
      <c r="F6" s="41" t="s">
        <v>224</v>
      </c>
      <c r="G6" s="53" t="s">
        <v>54</v>
      </c>
      <c r="H6" s="54" t="s">
        <v>69</v>
      </c>
      <c r="I6" s="54" t="s">
        <v>27</v>
      </c>
      <c r="J6" s="55"/>
      <c r="K6" s="53" t="s">
        <v>64</v>
      </c>
      <c r="L6" s="53" t="s">
        <v>77</v>
      </c>
      <c r="M6" s="53" t="s">
        <v>63</v>
      </c>
      <c r="N6" s="55"/>
      <c r="O6" s="55" t="str">
        <f>"150,0"</f>
        <v>150,0</v>
      </c>
      <c r="P6" s="55" t="str">
        <f>"112,6875"</f>
        <v>112,6875</v>
      </c>
      <c r="Q6" s="41"/>
    </row>
    <row r="8" spans="1:17" ht="16">
      <c r="A8" s="73" t="s">
        <v>102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7">
      <c r="A9" s="55">
        <v>1</v>
      </c>
      <c r="B9" s="41" t="s">
        <v>448</v>
      </c>
      <c r="C9" s="41" t="s">
        <v>449</v>
      </c>
      <c r="D9" s="41" t="s">
        <v>450</v>
      </c>
      <c r="E9" s="41" t="s">
        <v>620</v>
      </c>
      <c r="F9" s="41" t="s">
        <v>14</v>
      </c>
      <c r="G9" s="53" t="s">
        <v>45</v>
      </c>
      <c r="H9" s="53" t="s">
        <v>64</v>
      </c>
      <c r="I9" s="54" t="s">
        <v>77</v>
      </c>
      <c r="J9" s="55"/>
      <c r="K9" s="53" t="s">
        <v>37</v>
      </c>
      <c r="L9" s="53" t="s">
        <v>44</v>
      </c>
      <c r="M9" s="53" t="s">
        <v>45</v>
      </c>
      <c r="N9" s="55"/>
      <c r="O9" s="55" t="str">
        <f>"122,5"</f>
        <v>122,5</v>
      </c>
      <c r="P9" s="55" t="str">
        <f>"78,3571"</f>
        <v>78,3571</v>
      </c>
      <c r="Q9" s="41" t="s">
        <v>451</v>
      </c>
    </row>
    <row r="11" spans="1:17" ht="16">
      <c r="A11" s="73" t="s">
        <v>114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7">
      <c r="A12" s="55">
        <v>1</v>
      </c>
      <c r="B12" s="41" t="s">
        <v>401</v>
      </c>
      <c r="C12" s="41" t="s">
        <v>402</v>
      </c>
      <c r="D12" s="41" t="s">
        <v>403</v>
      </c>
      <c r="E12" s="41" t="s">
        <v>620</v>
      </c>
      <c r="F12" s="41" t="s">
        <v>14</v>
      </c>
      <c r="G12" s="53" t="s">
        <v>15</v>
      </c>
      <c r="H12" s="53" t="s">
        <v>59</v>
      </c>
      <c r="I12" s="53" t="s">
        <v>60</v>
      </c>
      <c r="J12" s="55"/>
      <c r="K12" s="53" t="s">
        <v>44</v>
      </c>
      <c r="L12" s="53" t="s">
        <v>45</v>
      </c>
      <c r="M12" s="53" t="s">
        <v>64</v>
      </c>
      <c r="N12" s="55"/>
      <c r="O12" s="55" t="str">
        <f>"140,0"</f>
        <v>140,0</v>
      </c>
      <c r="P12" s="55" t="str">
        <f>"83,7200"</f>
        <v>83,7200</v>
      </c>
      <c r="Q12" s="41"/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EF4BF-C8DD-42FA-94E0-C0778DAE378F}">
  <dimension ref="A1:M58"/>
  <sheetViews>
    <sheetView topLeftCell="A23" workbookViewId="0">
      <selection activeCell="E49" sqref="E49"/>
    </sheetView>
  </sheetViews>
  <sheetFormatPr baseColWidth="10" defaultColWidth="8.83203125" defaultRowHeight="13"/>
  <cols>
    <col min="1" max="1" width="7.5" style="42" bestFit="1" customWidth="1"/>
    <col min="2" max="2" width="20.83203125" style="42" bestFit="1" customWidth="1"/>
    <col min="3" max="3" width="28.5" style="42" bestFit="1" customWidth="1"/>
    <col min="4" max="4" width="21.5" style="42" bestFit="1" customWidth="1"/>
    <col min="5" max="5" width="10.5" style="42" bestFit="1" customWidth="1"/>
    <col min="6" max="6" width="30.6640625" style="42" bestFit="1" customWidth="1"/>
    <col min="7" max="10" width="5.5" style="51" customWidth="1"/>
    <col min="11" max="11" width="10.5" style="51" bestFit="1" customWidth="1"/>
    <col min="12" max="12" width="10.33203125" style="51" customWidth="1"/>
    <col min="13" max="13" width="26.83203125" style="42" bestFit="1" customWidth="1"/>
  </cols>
  <sheetData>
    <row r="1" spans="1:13" s="2" customFormat="1" ht="29" customHeight="1">
      <c r="A1" s="80" t="s">
        <v>557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617</v>
      </c>
      <c r="H3" s="88"/>
      <c r="I3" s="88"/>
      <c r="J3" s="88"/>
      <c r="K3" s="78" t="s">
        <v>283</v>
      </c>
      <c r="L3" s="78" t="s">
        <v>3</v>
      </c>
      <c r="M3" s="93" t="s">
        <v>2</v>
      </c>
    </row>
    <row r="4" spans="1:13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79"/>
      <c r="L4" s="79"/>
      <c r="M4" s="94"/>
    </row>
    <row r="5" spans="1:13" s="3" customFormat="1" ht="16">
      <c r="A5" s="76" t="s">
        <v>10</v>
      </c>
      <c r="B5" s="76"/>
      <c r="C5" s="77"/>
      <c r="D5" s="77"/>
      <c r="E5" s="77"/>
      <c r="F5" s="77"/>
      <c r="G5" s="77"/>
      <c r="H5" s="77"/>
      <c r="I5" s="77"/>
      <c r="J5" s="77"/>
      <c r="K5" s="6"/>
      <c r="L5" s="6"/>
      <c r="M5" s="5"/>
    </row>
    <row r="6" spans="1:13">
      <c r="A6" s="55">
        <v>1</v>
      </c>
      <c r="B6" s="41" t="s">
        <v>11</v>
      </c>
      <c r="C6" s="41" t="s">
        <v>12</v>
      </c>
      <c r="D6" s="41" t="s">
        <v>13</v>
      </c>
      <c r="E6" s="41" t="s">
        <v>620</v>
      </c>
      <c r="F6" s="41" t="s">
        <v>14</v>
      </c>
      <c r="G6" s="54" t="s">
        <v>459</v>
      </c>
      <c r="H6" s="53" t="s">
        <v>459</v>
      </c>
      <c r="I6" s="53" t="s">
        <v>328</v>
      </c>
      <c r="J6" s="55"/>
      <c r="K6" s="55" t="str">
        <f>"27,5"</f>
        <v>27,5</v>
      </c>
      <c r="L6" s="55" t="str">
        <f>"34,6500"</f>
        <v>34,6500</v>
      </c>
      <c r="M6" s="41"/>
    </row>
    <row r="8" spans="1:13" ht="16">
      <c r="A8" s="73" t="s">
        <v>22</v>
      </c>
      <c r="B8" s="73"/>
      <c r="C8" s="73"/>
      <c r="D8" s="73"/>
      <c r="E8" s="73"/>
      <c r="F8" s="73"/>
      <c r="G8" s="73"/>
      <c r="H8" s="73"/>
      <c r="I8" s="73"/>
      <c r="J8" s="73"/>
    </row>
    <row r="9" spans="1:13">
      <c r="A9" s="55">
        <v>1</v>
      </c>
      <c r="B9" s="41" t="s">
        <v>295</v>
      </c>
      <c r="C9" s="41" t="s">
        <v>296</v>
      </c>
      <c r="D9" s="41" t="s">
        <v>297</v>
      </c>
      <c r="E9" s="41" t="s">
        <v>620</v>
      </c>
      <c r="F9" s="41" t="s">
        <v>233</v>
      </c>
      <c r="G9" s="53" t="s">
        <v>459</v>
      </c>
      <c r="H9" s="54" t="s">
        <v>328</v>
      </c>
      <c r="I9" s="53" t="s">
        <v>328</v>
      </c>
      <c r="J9" s="55"/>
      <c r="K9" s="55" t="str">
        <f>"27,5"</f>
        <v>27,5</v>
      </c>
      <c r="L9" s="55" t="str">
        <f>"31,1685"</f>
        <v>31,1685</v>
      </c>
      <c r="M9" s="41" t="s">
        <v>298</v>
      </c>
    </row>
    <row r="11" spans="1:13" ht="16">
      <c r="A11" s="73" t="s">
        <v>49</v>
      </c>
      <c r="B11" s="73"/>
      <c r="C11" s="73"/>
      <c r="D11" s="73"/>
      <c r="E11" s="73"/>
      <c r="F11" s="73"/>
      <c r="G11" s="73"/>
      <c r="H11" s="73"/>
      <c r="I11" s="73"/>
      <c r="J11" s="73"/>
    </row>
    <row r="12" spans="1:13">
      <c r="A12" s="58">
        <v>1</v>
      </c>
      <c r="B12" s="43" t="s">
        <v>460</v>
      </c>
      <c r="C12" s="43" t="s">
        <v>461</v>
      </c>
      <c r="D12" s="43" t="s">
        <v>462</v>
      </c>
      <c r="E12" s="43" t="s">
        <v>620</v>
      </c>
      <c r="F12" s="43" t="s">
        <v>14</v>
      </c>
      <c r="G12" s="57" t="s">
        <v>78</v>
      </c>
      <c r="H12" s="57" t="s">
        <v>436</v>
      </c>
      <c r="I12" s="56" t="s">
        <v>70</v>
      </c>
      <c r="J12" s="58"/>
      <c r="K12" s="58" t="str">
        <f>"35,0"</f>
        <v>35,0</v>
      </c>
      <c r="L12" s="58" t="str">
        <f>"34,6115"</f>
        <v>34,6115</v>
      </c>
      <c r="M12" s="43"/>
    </row>
    <row r="13" spans="1:13">
      <c r="A13" s="61">
        <v>2</v>
      </c>
      <c r="B13" s="44" t="s">
        <v>308</v>
      </c>
      <c r="C13" s="44" t="s">
        <v>463</v>
      </c>
      <c r="D13" s="44" t="s">
        <v>309</v>
      </c>
      <c r="E13" s="44" t="s">
        <v>620</v>
      </c>
      <c r="F13" s="44" t="s">
        <v>233</v>
      </c>
      <c r="G13" s="60" t="s">
        <v>78</v>
      </c>
      <c r="H13" s="59" t="s">
        <v>70</v>
      </c>
      <c r="I13" s="59" t="s">
        <v>70</v>
      </c>
      <c r="J13" s="61"/>
      <c r="K13" s="61" t="str">
        <f>"32,5"</f>
        <v>32,5</v>
      </c>
      <c r="L13" s="61" t="str">
        <f>"33,1207"</f>
        <v>33,1207</v>
      </c>
      <c r="M13" s="44" t="s">
        <v>298</v>
      </c>
    </row>
    <row r="15" spans="1:13" ht="16">
      <c r="A15" s="73" t="s">
        <v>40</v>
      </c>
      <c r="B15" s="73"/>
      <c r="C15" s="73"/>
      <c r="D15" s="73"/>
      <c r="E15" s="73"/>
      <c r="F15" s="73"/>
      <c r="G15" s="73"/>
      <c r="H15" s="73"/>
      <c r="I15" s="73"/>
      <c r="J15" s="73"/>
    </row>
    <row r="16" spans="1:13">
      <c r="A16" s="55">
        <v>1</v>
      </c>
      <c r="B16" s="41" t="s">
        <v>464</v>
      </c>
      <c r="C16" s="41" t="s">
        <v>605</v>
      </c>
      <c r="D16" s="41" t="s">
        <v>160</v>
      </c>
      <c r="E16" s="41" t="s">
        <v>630</v>
      </c>
      <c r="F16" s="41" t="s">
        <v>14</v>
      </c>
      <c r="G16" s="54" t="s">
        <v>436</v>
      </c>
      <c r="H16" s="53" t="s">
        <v>70</v>
      </c>
      <c r="I16" s="53" t="s">
        <v>71</v>
      </c>
      <c r="J16" s="55"/>
      <c r="K16" s="55" t="str">
        <f>"40,0"</f>
        <v>40,0</v>
      </c>
      <c r="L16" s="55" t="str">
        <f>"35,7020"</f>
        <v>35,7020</v>
      </c>
      <c r="M16" s="41"/>
    </row>
    <row r="18" spans="1:13" ht="16">
      <c r="A18" s="73" t="s">
        <v>49</v>
      </c>
      <c r="B18" s="73"/>
      <c r="C18" s="73"/>
      <c r="D18" s="73"/>
      <c r="E18" s="73"/>
      <c r="F18" s="73"/>
      <c r="G18" s="73"/>
      <c r="H18" s="73"/>
      <c r="I18" s="73"/>
      <c r="J18" s="73"/>
    </row>
    <row r="19" spans="1:13">
      <c r="A19" s="58">
        <v>1</v>
      </c>
      <c r="B19" s="43" t="s">
        <v>465</v>
      </c>
      <c r="C19" s="43" t="s">
        <v>599</v>
      </c>
      <c r="D19" s="43" t="s">
        <v>466</v>
      </c>
      <c r="E19" s="43" t="s">
        <v>630</v>
      </c>
      <c r="F19" s="43" t="s">
        <v>224</v>
      </c>
      <c r="G19" s="56" t="s">
        <v>17</v>
      </c>
      <c r="H19" s="56" t="s">
        <v>17</v>
      </c>
      <c r="I19" s="57" t="s">
        <v>17</v>
      </c>
      <c r="J19" s="58"/>
      <c r="K19" s="58" t="str">
        <f>"50,0"</f>
        <v>50,0</v>
      </c>
      <c r="L19" s="58" t="str">
        <f>"42,9100"</f>
        <v>42,9100</v>
      </c>
      <c r="M19" s="43" t="s">
        <v>467</v>
      </c>
    </row>
    <row r="20" spans="1:13">
      <c r="A20" s="61">
        <v>1</v>
      </c>
      <c r="B20" s="44" t="s">
        <v>468</v>
      </c>
      <c r="C20" s="44" t="s">
        <v>600</v>
      </c>
      <c r="D20" s="44" t="s">
        <v>469</v>
      </c>
      <c r="E20" s="44" t="s">
        <v>622</v>
      </c>
      <c r="F20" s="44" t="s">
        <v>14</v>
      </c>
      <c r="G20" s="60" t="s">
        <v>37</v>
      </c>
      <c r="H20" s="60" t="s">
        <v>44</v>
      </c>
      <c r="I20" s="60" t="s">
        <v>454</v>
      </c>
      <c r="J20" s="61"/>
      <c r="K20" s="61" t="str">
        <f>"58,0"</f>
        <v>58,0</v>
      </c>
      <c r="L20" s="61" t="str">
        <f>"48,9491"</f>
        <v>48,9491</v>
      </c>
      <c r="M20" s="44"/>
    </row>
    <row r="22" spans="1:13" ht="16">
      <c r="A22" s="73" t="s">
        <v>66</v>
      </c>
      <c r="B22" s="73"/>
      <c r="C22" s="73"/>
      <c r="D22" s="73"/>
      <c r="E22" s="73"/>
      <c r="F22" s="73"/>
      <c r="G22" s="73"/>
      <c r="H22" s="73"/>
      <c r="I22" s="73"/>
      <c r="J22" s="73"/>
    </row>
    <row r="23" spans="1:13">
      <c r="A23" s="58">
        <v>1</v>
      </c>
      <c r="B23" s="43" t="s">
        <v>470</v>
      </c>
      <c r="C23" s="43" t="s">
        <v>601</v>
      </c>
      <c r="D23" s="43" t="s">
        <v>452</v>
      </c>
      <c r="E23" s="43" t="s">
        <v>630</v>
      </c>
      <c r="F23" s="43" t="s">
        <v>224</v>
      </c>
      <c r="G23" s="57" t="s">
        <v>17</v>
      </c>
      <c r="H23" s="56" t="s">
        <v>37</v>
      </c>
      <c r="I23" s="57" t="s">
        <v>37</v>
      </c>
      <c r="J23" s="58"/>
      <c r="K23" s="58" t="str">
        <f>"55,0"</f>
        <v>55,0</v>
      </c>
      <c r="L23" s="58" t="str">
        <f>"41,8523"</f>
        <v>41,8523</v>
      </c>
      <c r="M23" s="43" t="s">
        <v>467</v>
      </c>
    </row>
    <row r="24" spans="1:13">
      <c r="A24" s="65">
        <v>2</v>
      </c>
      <c r="B24" s="62" t="s">
        <v>471</v>
      </c>
      <c r="C24" s="62" t="s">
        <v>602</v>
      </c>
      <c r="D24" s="62" t="s">
        <v>472</v>
      </c>
      <c r="E24" s="62" t="s">
        <v>630</v>
      </c>
      <c r="F24" s="62" t="s">
        <v>224</v>
      </c>
      <c r="G24" s="63" t="s">
        <v>71</v>
      </c>
      <c r="H24" s="64" t="s">
        <v>79</v>
      </c>
      <c r="I24" s="64" t="s">
        <v>79</v>
      </c>
      <c r="J24" s="65"/>
      <c r="K24" s="65" t="str">
        <f>"40,0"</f>
        <v>40,0</v>
      </c>
      <c r="L24" s="65" t="str">
        <f>"31,1440"</f>
        <v>31,1440</v>
      </c>
      <c r="M24" s="62"/>
    </row>
    <row r="25" spans="1:13">
      <c r="A25" s="61">
        <v>1</v>
      </c>
      <c r="B25" s="44" t="s">
        <v>473</v>
      </c>
      <c r="C25" s="44" t="s">
        <v>474</v>
      </c>
      <c r="D25" s="44" t="s">
        <v>335</v>
      </c>
      <c r="E25" s="44" t="s">
        <v>620</v>
      </c>
      <c r="F25" s="44" t="s">
        <v>14</v>
      </c>
      <c r="G25" s="60" t="s">
        <v>79</v>
      </c>
      <c r="H25" s="60" t="s">
        <v>17</v>
      </c>
      <c r="I25" s="59" t="s">
        <v>18</v>
      </c>
      <c r="J25" s="61"/>
      <c r="K25" s="61" t="str">
        <f>"50,0"</f>
        <v>50,0</v>
      </c>
      <c r="L25" s="61" t="str">
        <f>"38,1500"</f>
        <v>38,1500</v>
      </c>
      <c r="M25" s="44"/>
    </row>
    <row r="27" spans="1:13" ht="16">
      <c r="A27" s="73" t="s">
        <v>178</v>
      </c>
      <c r="B27" s="73"/>
      <c r="C27" s="73"/>
      <c r="D27" s="73"/>
      <c r="E27" s="73"/>
      <c r="F27" s="73"/>
      <c r="G27" s="73"/>
      <c r="H27" s="73"/>
      <c r="I27" s="73"/>
      <c r="J27" s="73"/>
    </row>
    <row r="28" spans="1:13">
      <c r="A28" s="58">
        <v>1</v>
      </c>
      <c r="B28" s="43" t="s">
        <v>475</v>
      </c>
      <c r="C28" s="43" t="s">
        <v>476</v>
      </c>
      <c r="D28" s="43" t="s">
        <v>477</v>
      </c>
      <c r="E28" s="43" t="s">
        <v>620</v>
      </c>
      <c r="F28" s="43" t="s">
        <v>14</v>
      </c>
      <c r="G28" s="57" t="s">
        <v>307</v>
      </c>
      <c r="H28" s="57" t="s">
        <v>18</v>
      </c>
      <c r="I28" s="56" t="s">
        <v>37</v>
      </c>
      <c r="J28" s="58"/>
      <c r="K28" s="58" t="str">
        <f>"52,5"</f>
        <v>52,5</v>
      </c>
      <c r="L28" s="58" t="str">
        <f>"37,4062"</f>
        <v>37,4062</v>
      </c>
      <c r="M28" s="43"/>
    </row>
    <row r="29" spans="1:13">
      <c r="A29" s="61">
        <v>2</v>
      </c>
      <c r="B29" s="44" t="s">
        <v>478</v>
      </c>
      <c r="C29" s="44" t="s">
        <v>479</v>
      </c>
      <c r="D29" s="44" t="s">
        <v>453</v>
      </c>
      <c r="E29" s="44" t="s">
        <v>620</v>
      </c>
      <c r="F29" s="44" t="s">
        <v>14</v>
      </c>
      <c r="G29" s="60" t="s">
        <v>72</v>
      </c>
      <c r="H29" s="60" t="s">
        <v>79</v>
      </c>
      <c r="I29" s="60" t="s">
        <v>307</v>
      </c>
      <c r="J29" s="61"/>
      <c r="K29" s="61" t="str">
        <f>"47,5"</f>
        <v>47,5</v>
      </c>
      <c r="L29" s="61" t="str">
        <f>"33,2025"</f>
        <v>33,2025</v>
      </c>
      <c r="M29" s="44" t="s">
        <v>73</v>
      </c>
    </row>
    <row r="31" spans="1:13" ht="16">
      <c r="A31" s="73" t="s">
        <v>97</v>
      </c>
      <c r="B31" s="73"/>
      <c r="C31" s="73"/>
      <c r="D31" s="73"/>
      <c r="E31" s="73"/>
      <c r="F31" s="73"/>
      <c r="G31" s="73"/>
      <c r="H31" s="73"/>
      <c r="I31" s="73"/>
      <c r="J31" s="73"/>
    </row>
    <row r="32" spans="1:13">
      <c r="A32" s="58">
        <v>1</v>
      </c>
      <c r="B32" s="43" t="s">
        <v>480</v>
      </c>
      <c r="C32" s="43" t="s">
        <v>481</v>
      </c>
      <c r="D32" s="43" t="s">
        <v>482</v>
      </c>
      <c r="E32" s="43" t="s">
        <v>620</v>
      </c>
      <c r="F32" s="43" t="s">
        <v>14</v>
      </c>
      <c r="G32" s="56" t="s">
        <v>59</v>
      </c>
      <c r="H32" s="56" t="s">
        <v>59</v>
      </c>
      <c r="I32" s="57" t="s">
        <v>59</v>
      </c>
      <c r="J32" s="58"/>
      <c r="K32" s="58" t="str">
        <f>"75,0"</f>
        <v>75,0</v>
      </c>
      <c r="L32" s="58" t="str">
        <f>"49,5450"</f>
        <v>49,5450</v>
      </c>
      <c r="M32" s="43"/>
    </row>
    <row r="33" spans="1:13">
      <c r="A33" s="65">
        <v>2</v>
      </c>
      <c r="B33" s="62" t="s">
        <v>483</v>
      </c>
      <c r="C33" s="62" t="s">
        <v>484</v>
      </c>
      <c r="D33" s="62" t="s">
        <v>485</v>
      </c>
      <c r="E33" s="62" t="s">
        <v>620</v>
      </c>
      <c r="F33" s="62" t="s">
        <v>14</v>
      </c>
      <c r="G33" s="63" t="s">
        <v>63</v>
      </c>
      <c r="H33" s="63" t="s">
        <v>15</v>
      </c>
      <c r="I33" s="64" t="s">
        <v>16</v>
      </c>
      <c r="J33" s="65"/>
      <c r="K33" s="65" t="str">
        <f>"70,0"</f>
        <v>70,0</v>
      </c>
      <c r="L33" s="65" t="str">
        <f>"46,3225"</f>
        <v>46,3225</v>
      </c>
      <c r="M33" s="62"/>
    </row>
    <row r="34" spans="1:13">
      <c r="A34" s="65">
        <v>3</v>
      </c>
      <c r="B34" s="62" t="s">
        <v>424</v>
      </c>
      <c r="C34" s="62" t="s">
        <v>425</v>
      </c>
      <c r="D34" s="62" t="s">
        <v>360</v>
      </c>
      <c r="E34" s="62" t="s">
        <v>620</v>
      </c>
      <c r="F34" s="62" t="s">
        <v>14</v>
      </c>
      <c r="G34" s="63" t="s">
        <v>37</v>
      </c>
      <c r="H34" s="63" t="s">
        <v>45</v>
      </c>
      <c r="I34" s="64" t="s">
        <v>77</v>
      </c>
      <c r="J34" s="65"/>
      <c r="K34" s="65" t="str">
        <f>"60,0"</f>
        <v>60,0</v>
      </c>
      <c r="L34" s="65" t="str">
        <f>"39,2070"</f>
        <v>39,2070</v>
      </c>
      <c r="M34" s="62" t="s">
        <v>73</v>
      </c>
    </row>
    <row r="35" spans="1:13">
      <c r="A35" s="65">
        <v>4</v>
      </c>
      <c r="B35" s="62" t="s">
        <v>486</v>
      </c>
      <c r="C35" s="62" t="s">
        <v>487</v>
      </c>
      <c r="D35" s="62" t="s">
        <v>456</v>
      </c>
      <c r="E35" s="62" t="s">
        <v>620</v>
      </c>
      <c r="F35" s="62" t="s">
        <v>14</v>
      </c>
      <c r="G35" s="63" t="s">
        <v>37</v>
      </c>
      <c r="H35" s="64" t="s">
        <v>45</v>
      </c>
      <c r="I35" s="63" t="s">
        <v>45</v>
      </c>
      <c r="J35" s="65"/>
      <c r="K35" s="65" t="str">
        <f>"60,0"</f>
        <v>60,0</v>
      </c>
      <c r="L35" s="65" t="str">
        <f>"38,9220"</f>
        <v>38,9220</v>
      </c>
      <c r="M35" s="62" t="s">
        <v>451</v>
      </c>
    </row>
    <row r="36" spans="1:13">
      <c r="A36" s="61">
        <v>5</v>
      </c>
      <c r="B36" s="44" t="s">
        <v>488</v>
      </c>
      <c r="C36" s="44" t="s">
        <v>489</v>
      </c>
      <c r="D36" s="44" t="s">
        <v>456</v>
      </c>
      <c r="E36" s="44" t="s">
        <v>620</v>
      </c>
      <c r="F36" s="44" t="s">
        <v>14</v>
      </c>
      <c r="G36" s="59" t="s">
        <v>44</v>
      </c>
      <c r="H36" s="60" t="s">
        <v>44</v>
      </c>
      <c r="I36" s="60" t="s">
        <v>45</v>
      </c>
      <c r="J36" s="61"/>
      <c r="K36" s="61" t="str">
        <f>"60,0"</f>
        <v>60,0</v>
      </c>
      <c r="L36" s="61" t="str">
        <f>"38,9220"</f>
        <v>38,9220</v>
      </c>
      <c r="M36" s="44" t="s">
        <v>451</v>
      </c>
    </row>
    <row r="38" spans="1:13" ht="16">
      <c r="A38" s="73" t="s">
        <v>102</v>
      </c>
      <c r="B38" s="73"/>
      <c r="C38" s="73"/>
      <c r="D38" s="73"/>
      <c r="E38" s="73"/>
      <c r="F38" s="73"/>
      <c r="G38" s="73"/>
      <c r="H38" s="73"/>
      <c r="I38" s="73"/>
      <c r="J38" s="73"/>
    </row>
    <row r="39" spans="1:13">
      <c r="A39" s="58">
        <v>1</v>
      </c>
      <c r="B39" s="43" t="s">
        <v>490</v>
      </c>
      <c r="C39" s="43" t="s">
        <v>491</v>
      </c>
      <c r="D39" s="43" t="s">
        <v>492</v>
      </c>
      <c r="E39" s="43" t="s">
        <v>620</v>
      </c>
      <c r="F39" s="43" t="s">
        <v>14</v>
      </c>
      <c r="G39" s="56" t="s">
        <v>59</v>
      </c>
      <c r="H39" s="57" t="s">
        <v>59</v>
      </c>
      <c r="I39" s="56" t="s">
        <v>60</v>
      </c>
      <c r="J39" s="58"/>
      <c r="K39" s="58" t="str">
        <f>"75,0"</f>
        <v>75,0</v>
      </c>
      <c r="L39" s="58" t="str">
        <f>"46,2638"</f>
        <v>46,2638</v>
      </c>
      <c r="M39" s="43"/>
    </row>
    <row r="40" spans="1:13">
      <c r="A40" s="65">
        <v>2</v>
      </c>
      <c r="B40" s="62" t="s">
        <v>493</v>
      </c>
      <c r="C40" s="62" t="s">
        <v>494</v>
      </c>
      <c r="D40" s="62" t="s">
        <v>495</v>
      </c>
      <c r="E40" s="62" t="s">
        <v>620</v>
      </c>
      <c r="F40" s="62" t="s">
        <v>14</v>
      </c>
      <c r="G40" s="63" t="s">
        <v>64</v>
      </c>
      <c r="H40" s="63" t="s">
        <v>77</v>
      </c>
      <c r="I40" s="64" t="s">
        <v>63</v>
      </c>
      <c r="J40" s="65"/>
      <c r="K40" s="65" t="str">
        <f>"65,0"</f>
        <v>65,0</v>
      </c>
      <c r="L40" s="65" t="str">
        <f>"40,4137"</f>
        <v>40,4137</v>
      </c>
      <c r="M40" s="62" t="s">
        <v>451</v>
      </c>
    </row>
    <row r="41" spans="1:13">
      <c r="A41" s="65">
        <v>3</v>
      </c>
      <c r="B41" s="62" t="s">
        <v>496</v>
      </c>
      <c r="C41" s="62" t="s">
        <v>497</v>
      </c>
      <c r="D41" s="62" t="s">
        <v>498</v>
      </c>
      <c r="E41" s="62" t="s">
        <v>620</v>
      </c>
      <c r="F41" s="62" t="s">
        <v>14</v>
      </c>
      <c r="G41" s="63" t="s">
        <v>45</v>
      </c>
      <c r="H41" s="63" t="s">
        <v>77</v>
      </c>
      <c r="I41" s="64" t="s">
        <v>63</v>
      </c>
      <c r="J41" s="65"/>
      <c r="K41" s="65" t="str">
        <f>"65,0"</f>
        <v>65,0</v>
      </c>
      <c r="L41" s="65" t="str">
        <f>"40,0205"</f>
        <v>40,0205</v>
      </c>
      <c r="M41" s="62" t="s">
        <v>148</v>
      </c>
    </row>
    <row r="42" spans="1:13">
      <c r="A42" s="61">
        <v>4</v>
      </c>
      <c r="B42" s="44" t="s">
        <v>377</v>
      </c>
      <c r="C42" s="44" t="s">
        <v>378</v>
      </c>
      <c r="D42" s="44" t="s">
        <v>104</v>
      </c>
      <c r="E42" s="44" t="s">
        <v>620</v>
      </c>
      <c r="F42" s="44" t="s">
        <v>36</v>
      </c>
      <c r="G42" s="60" t="s">
        <v>37</v>
      </c>
      <c r="H42" s="60" t="s">
        <v>45</v>
      </c>
      <c r="I42" s="59" t="s">
        <v>77</v>
      </c>
      <c r="J42" s="61"/>
      <c r="K42" s="61" t="str">
        <f>"60,0"</f>
        <v>60,0</v>
      </c>
      <c r="L42" s="61" t="str">
        <f>"37,1820"</f>
        <v>37,1820</v>
      </c>
      <c r="M42" s="44"/>
    </row>
    <row r="44" spans="1:13" ht="16">
      <c r="A44" s="73" t="s">
        <v>114</v>
      </c>
      <c r="B44" s="73"/>
      <c r="C44" s="73"/>
      <c r="D44" s="73"/>
      <c r="E44" s="73"/>
      <c r="F44" s="73"/>
      <c r="G44" s="73"/>
      <c r="H44" s="73"/>
      <c r="I44" s="73"/>
      <c r="J44" s="73"/>
    </row>
    <row r="45" spans="1:13">
      <c r="A45" s="55">
        <v>1</v>
      </c>
      <c r="B45" s="41" t="s">
        <v>499</v>
      </c>
      <c r="C45" s="41" t="s">
        <v>606</v>
      </c>
      <c r="D45" s="41" t="s">
        <v>500</v>
      </c>
      <c r="E45" s="41" t="s">
        <v>623</v>
      </c>
      <c r="F45" s="41" t="s">
        <v>501</v>
      </c>
      <c r="G45" s="53" t="s">
        <v>16</v>
      </c>
      <c r="H45" s="54" t="s">
        <v>53</v>
      </c>
      <c r="I45" s="54" t="s">
        <v>53</v>
      </c>
      <c r="J45" s="55"/>
      <c r="K45" s="55" t="str">
        <f>"72,5"</f>
        <v>72,5</v>
      </c>
      <c r="L45" s="55" t="str">
        <f>"45,0075"</f>
        <v>45,0075</v>
      </c>
      <c r="M45" s="41" t="s">
        <v>502</v>
      </c>
    </row>
    <row r="47" spans="1:13" ht="16">
      <c r="A47" s="73" t="s">
        <v>141</v>
      </c>
      <c r="B47" s="73"/>
      <c r="C47" s="73"/>
      <c r="D47" s="73"/>
      <c r="E47" s="73"/>
      <c r="F47" s="73"/>
      <c r="G47" s="73"/>
      <c r="H47" s="73"/>
      <c r="I47" s="73"/>
      <c r="J47" s="73"/>
    </row>
    <row r="48" spans="1:13">
      <c r="A48" s="55">
        <v>1</v>
      </c>
      <c r="B48" s="41" t="s">
        <v>503</v>
      </c>
      <c r="C48" s="41" t="s">
        <v>504</v>
      </c>
      <c r="D48" s="41" t="s">
        <v>505</v>
      </c>
      <c r="E48" s="41" t="s">
        <v>620</v>
      </c>
      <c r="F48" s="41" t="s">
        <v>14</v>
      </c>
      <c r="G48" s="53" t="s">
        <v>45</v>
      </c>
      <c r="H48" s="53" t="s">
        <v>63</v>
      </c>
      <c r="I48" s="54" t="s">
        <v>59</v>
      </c>
      <c r="J48" s="55"/>
      <c r="K48" s="55" t="str">
        <f>"67,5"</f>
        <v>67,5</v>
      </c>
      <c r="L48" s="55" t="str">
        <f>"38,3467"</f>
        <v>38,3467</v>
      </c>
      <c r="M48" s="41" t="s">
        <v>534</v>
      </c>
    </row>
    <row r="50" spans="2:7">
      <c r="G50" s="42"/>
    </row>
    <row r="52" spans="2:7" ht="18">
      <c r="B52" s="45" t="s">
        <v>122</v>
      </c>
      <c r="C52" s="45"/>
    </row>
    <row r="53" spans="2:7" ht="16">
      <c r="B53" s="46" t="s">
        <v>131</v>
      </c>
      <c r="C53" s="46"/>
    </row>
    <row r="54" spans="2:7" ht="14">
      <c r="B54" s="47"/>
      <c r="C54" s="48" t="s">
        <v>128</v>
      </c>
    </row>
    <row r="55" spans="2:7" ht="14">
      <c r="B55" s="49" t="s">
        <v>124</v>
      </c>
      <c r="C55" s="49" t="s">
        <v>125</v>
      </c>
      <c r="D55" s="49" t="s">
        <v>609</v>
      </c>
      <c r="E55" s="49" t="s">
        <v>282</v>
      </c>
      <c r="F55" s="49" t="s">
        <v>447</v>
      </c>
    </row>
    <row r="56" spans="2:7">
      <c r="B56" s="42" t="s">
        <v>480</v>
      </c>
      <c r="C56" s="42" t="s">
        <v>128</v>
      </c>
      <c r="D56" s="51">
        <v>82.5</v>
      </c>
      <c r="E56" s="52">
        <v>75</v>
      </c>
      <c r="F56" s="50">
        <v>49.545000493526501</v>
      </c>
    </row>
    <row r="57" spans="2:7">
      <c r="B57" s="42" t="s">
        <v>483</v>
      </c>
      <c r="C57" s="42" t="s">
        <v>128</v>
      </c>
      <c r="D57" s="51">
        <v>82.5</v>
      </c>
      <c r="E57" s="52">
        <v>70</v>
      </c>
      <c r="F57" s="50">
        <v>46.322501301765399</v>
      </c>
    </row>
    <row r="58" spans="2:7">
      <c r="B58" s="42" t="s">
        <v>490</v>
      </c>
      <c r="C58" s="42" t="s">
        <v>128</v>
      </c>
      <c r="D58" s="51">
        <v>90</v>
      </c>
      <c r="E58" s="52">
        <v>75</v>
      </c>
      <c r="F58" s="50">
        <v>46.263751387596102</v>
      </c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1:J31"/>
    <mergeCell ref="A38:J38"/>
    <mergeCell ref="A44:J44"/>
    <mergeCell ref="A47:J47"/>
    <mergeCell ref="B3:B4"/>
    <mergeCell ref="A8:J8"/>
    <mergeCell ref="A11:J11"/>
    <mergeCell ref="A15:J15"/>
    <mergeCell ref="A18:J18"/>
    <mergeCell ref="A22:J22"/>
    <mergeCell ref="A27:J2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C0BA9-8A46-40A3-A138-DCD22DF4B0A0}">
  <dimension ref="A1:M15"/>
  <sheetViews>
    <sheetView tabSelected="1" workbookViewId="0">
      <selection activeCell="E16" sqref="E16"/>
    </sheetView>
  </sheetViews>
  <sheetFormatPr baseColWidth="10" defaultColWidth="8.83203125" defaultRowHeight="13"/>
  <cols>
    <col min="1" max="1" width="7.5" style="42" bestFit="1" customWidth="1"/>
    <col min="2" max="2" width="22.33203125" style="42" customWidth="1"/>
    <col min="3" max="3" width="28.5" style="42" bestFit="1" customWidth="1"/>
    <col min="4" max="4" width="21.5" style="42" bestFit="1" customWidth="1"/>
    <col min="5" max="5" width="10.5" style="42" bestFit="1" customWidth="1"/>
    <col min="6" max="6" width="30.5" style="42" bestFit="1" customWidth="1"/>
    <col min="7" max="10" width="5.5" style="51" customWidth="1"/>
    <col min="11" max="12" width="10.5" style="51" customWidth="1"/>
    <col min="13" max="13" width="18" style="42" customWidth="1"/>
  </cols>
  <sheetData>
    <row r="1" spans="1:13" s="2" customFormat="1" ht="29" customHeight="1">
      <c r="A1" s="80" t="s">
        <v>558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617</v>
      </c>
      <c r="H3" s="88"/>
      <c r="I3" s="88"/>
      <c r="J3" s="88"/>
      <c r="K3" s="78" t="s">
        <v>283</v>
      </c>
      <c r="L3" s="78" t="s">
        <v>3</v>
      </c>
      <c r="M3" s="93" t="s">
        <v>2</v>
      </c>
    </row>
    <row r="4" spans="1:13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79"/>
      <c r="L4" s="79"/>
      <c r="M4" s="94"/>
    </row>
    <row r="5" spans="1:13" s="3" customFormat="1" ht="16">
      <c r="A5" s="76" t="s">
        <v>49</v>
      </c>
      <c r="B5" s="76"/>
      <c r="C5" s="77"/>
      <c r="D5" s="77"/>
      <c r="E5" s="77"/>
      <c r="F5" s="77"/>
      <c r="G5" s="77"/>
      <c r="H5" s="77"/>
      <c r="I5" s="77"/>
      <c r="J5" s="77"/>
      <c r="K5" s="6"/>
      <c r="L5" s="6"/>
      <c r="M5" s="5"/>
    </row>
    <row r="6" spans="1:13">
      <c r="A6" s="55">
        <v>1</v>
      </c>
      <c r="B6" s="41" t="s">
        <v>218</v>
      </c>
      <c r="C6" s="41" t="s">
        <v>219</v>
      </c>
      <c r="D6" s="41" t="s">
        <v>220</v>
      </c>
      <c r="E6" s="41" t="s">
        <v>620</v>
      </c>
      <c r="F6" s="41" t="s">
        <v>14</v>
      </c>
      <c r="G6" s="53" t="s">
        <v>455</v>
      </c>
      <c r="H6" s="54" t="s">
        <v>72</v>
      </c>
      <c r="I6" s="53" t="s">
        <v>72</v>
      </c>
      <c r="J6" s="55"/>
      <c r="K6" s="55" t="str">
        <f>"42,5"</f>
        <v>42,5</v>
      </c>
      <c r="L6" s="55" t="str">
        <f>"42,3704"</f>
        <v>42,3704</v>
      </c>
      <c r="M6" s="41" t="s">
        <v>221</v>
      </c>
    </row>
    <row r="8" spans="1:13" ht="16">
      <c r="A8" s="73" t="s">
        <v>97</v>
      </c>
      <c r="B8" s="73"/>
      <c r="C8" s="73"/>
      <c r="D8" s="73"/>
      <c r="E8" s="73"/>
      <c r="F8" s="73"/>
      <c r="G8" s="73"/>
      <c r="H8" s="73"/>
      <c r="I8" s="73"/>
      <c r="J8" s="73"/>
    </row>
    <row r="9" spans="1:13">
      <c r="A9" s="55">
        <v>1</v>
      </c>
      <c r="B9" s="41" t="s">
        <v>457</v>
      </c>
      <c r="C9" s="41" t="s">
        <v>607</v>
      </c>
      <c r="D9" s="41" t="s">
        <v>227</v>
      </c>
      <c r="E9" s="41" t="s">
        <v>623</v>
      </c>
      <c r="F9" s="41" t="s">
        <v>357</v>
      </c>
      <c r="G9" s="53" t="s">
        <v>45</v>
      </c>
      <c r="H9" s="53" t="s">
        <v>77</v>
      </c>
      <c r="I9" s="53" t="s">
        <v>63</v>
      </c>
      <c r="J9" s="55"/>
      <c r="K9" s="55" t="str">
        <f>"67,5"</f>
        <v>67,5</v>
      </c>
      <c r="L9" s="55" t="str">
        <f>"44,1788"</f>
        <v>44,1788</v>
      </c>
      <c r="M9" s="41"/>
    </row>
    <row r="11" spans="1:13" ht="16">
      <c r="A11" s="73" t="s">
        <v>102</v>
      </c>
      <c r="B11" s="73"/>
      <c r="C11" s="73"/>
      <c r="D11" s="73"/>
      <c r="E11" s="73"/>
      <c r="F11" s="73"/>
      <c r="G11" s="73"/>
      <c r="H11" s="73"/>
      <c r="I11" s="73"/>
      <c r="J11" s="73"/>
    </row>
    <row r="12" spans="1:13">
      <c r="A12" s="55">
        <v>1</v>
      </c>
      <c r="B12" s="41" t="s">
        <v>243</v>
      </c>
      <c r="C12" s="41" t="s">
        <v>608</v>
      </c>
      <c r="D12" s="41" t="s">
        <v>244</v>
      </c>
      <c r="E12" s="41" t="s">
        <v>623</v>
      </c>
      <c r="F12" s="41" t="s">
        <v>14</v>
      </c>
      <c r="G12" s="53" t="s">
        <v>16</v>
      </c>
      <c r="H12" s="53" t="s">
        <v>458</v>
      </c>
      <c r="I12" s="54" t="s">
        <v>54</v>
      </c>
      <c r="J12" s="55"/>
      <c r="K12" s="55" t="str">
        <f>"78,0"</f>
        <v>78,0</v>
      </c>
      <c r="L12" s="55" t="str">
        <f>"48,9533"</f>
        <v>48,9533</v>
      </c>
      <c r="M12" s="41" t="s">
        <v>221</v>
      </c>
    </row>
    <row r="14" spans="1:13" ht="16">
      <c r="A14" s="73" t="s">
        <v>114</v>
      </c>
      <c r="B14" s="73"/>
      <c r="C14" s="73"/>
      <c r="D14" s="73"/>
      <c r="E14" s="73"/>
      <c r="F14" s="73"/>
      <c r="G14" s="73"/>
      <c r="H14" s="73"/>
      <c r="I14" s="73"/>
      <c r="J14" s="73"/>
    </row>
    <row r="15" spans="1:13">
      <c r="A15" s="55">
        <v>1</v>
      </c>
      <c r="B15" s="41" t="s">
        <v>401</v>
      </c>
      <c r="C15" s="41" t="s">
        <v>402</v>
      </c>
      <c r="D15" s="41" t="s">
        <v>403</v>
      </c>
      <c r="E15" s="41" t="s">
        <v>620</v>
      </c>
      <c r="F15" s="41" t="s">
        <v>14</v>
      </c>
      <c r="G15" s="53" t="s">
        <v>44</v>
      </c>
      <c r="H15" s="53" t="s">
        <v>45</v>
      </c>
      <c r="I15" s="53" t="s">
        <v>64</v>
      </c>
      <c r="J15" s="55"/>
      <c r="K15" s="55" t="str">
        <f>"62,5"</f>
        <v>62,5</v>
      </c>
      <c r="L15" s="55" t="str">
        <f>"37,3750"</f>
        <v>37,3750</v>
      </c>
      <c r="M15" s="41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F860-9A1B-4DCD-A80C-46FB5372ADAC}">
  <dimension ref="A1:U9"/>
  <sheetViews>
    <sheetView workbookViewId="0">
      <selection activeCell="E10" sqref="E10"/>
    </sheetView>
  </sheetViews>
  <sheetFormatPr baseColWidth="10" defaultColWidth="8.83203125" defaultRowHeight="13"/>
  <cols>
    <col min="1" max="1" width="7.5" style="42" bestFit="1" customWidth="1"/>
    <col min="2" max="2" width="17" style="42" bestFit="1" customWidth="1"/>
    <col min="3" max="3" width="26" style="42" bestFit="1" customWidth="1"/>
    <col min="4" max="4" width="21.5" style="42" bestFit="1" customWidth="1"/>
    <col min="5" max="5" width="10.5" style="42" bestFit="1" customWidth="1"/>
    <col min="6" max="6" width="28.1640625" style="42" bestFit="1" customWidth="1"/>
    <col min="7" max="9" width="5.5" style="51" customWidth="1"/>
    <col min="10" max="10" width="4.83203125" style="51" customWidth="1"/>
    <col min="11" max="13" width="5.5" style="51" customWidth="1"/>
    <col min="14" max="14" width="4.83203125" style="51" customWidth="1"/>
    <col min="15" max="17" width="5.5" style="51" customWidth="1"/>
    <col min="18" max="18" width="4.83203125" style="51" customWidth="1"/>
    <col min="19" max="19" width="7.83203125" style="51" bestFit="1" customWidth="1"/>
    <col min="20" max="20" width="8.5" style="51" bestFit="1" customWidth="1"/>
    <col min="21" max="21" width="17" style="42" customWidth="1"/>
  </cols>
  <sheetData>
    <row r="1" spans="1:21" s="2" customFormat="1" ht="29" customHeight="1">
      <c r="A1" s="80" t="s">
        <v>541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</row>
    <row r="2" spans="1:21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</row>
    <row r="3" spans="1:21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7</v>
      </c>
      <c r="H3" s="88"/>
      <c r="I3" s="88"/>
      <c r="J3" s="88"/>
      <c r="K3" s="88" t="s">
        <v>8</v>
      </c>
      <c r="L3" s="88"/>
      <c r="M3" s="88"/>
      <c r="N3" s="88"/>
      <c r="O3" s="88" t="s">
        <v>9</v>
      </c>
      <c r="P3" s="88"/>
      <c r="Q3" s="88"/>
      <c r="R3" s="88"/>
      <c r="S3" s="78" t="s">
        <v>1</v>
      </c>
      <c r="T3" s="78" t="s">
        <v>3</v>
      </c>
      <c r="U3" s="93" t="s">
        <v>2</v>
      </c>
    </row>
    <row r="4" spans="1:21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9"/>
      <c r="T4" s="79"/>
      <c r="U4" s="94"/>
    </row>
    <row r="5" spans="1:21" s="3" customFormat="1" ht="16">
      <c r="A5" s="76" t="s">
        <v>66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6"/>
      <c r="T5" s="6"/>
      <c r="U5" s="5"/>
    </row>
    <row r="6" spans="1:21">
      <c r="A6" s="55">
        <v>1</v>
      </c>
      <c r="B6" s="41" t="s">
        <v>210</v>
      </c>
      <c r="C6" s="41" t="s">
        <v>211</v>
      </c>
      <c r="D6" s="41" t="s">
        <v>212</v>
      </c>
      <c r="E6" s="41" t="s">
        <v>620</v>
      </c>
      <c r="F6" s="41" t="s">
        <v>36</v>
      </c>
      <c r="G6" s="53" t="s">
        <v>105</v>
      </c>
      <c r="H6" s="54" t="s">
        <v>95</v>
      </c>
      <c r="I6" s="54" t="s">
        <v>95</v>
      </c>
      <c r="J6" s="55"/>
      <c r="K6" s="53" t="s">
        <v>27</v>
      </c>
      <c r="L6" s="53" t="s">
        <v>28</v>
      </c>
      <c r="M6" s="54" t="s">
        <v>80</v>
      </c>
      <c r="N6" s="55"/>
      <c r="O6" s="53" t="s">
        <v>105</v>
      </c>
      <c r="P6" s="53" t="s">
        <v>95</v>
      </c>
      <c r="Q6" s="53" t="s">
        <v>87</v>
      </c>
      <c r="R6" s="55"/>
      <c r="S6" s="55" t="str">
        <f>"395,0"</f>
        <v>395,0</v>
      </c>
      <c r="T6" s="55" t="str">
        <f>"663,2050"</f>
        <v>663,2050</v>
      </c>
      <c r="U6" s="41" t="s">
        <v>213</v>
      </c>
    </row>
    <row r="8" spans="1:21" ht="16">
      <c r="A8" s="73" t="s">
        <v>102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21">
      <c r="A9" s="55">
        <v>1</v>
      </c>
      <c r="B9" s="41" t="s">
        <v>214</v>
      </c>
      <c r="C9" s="41" t="s">
        <v>215</v>
      </c>
      <c r="D9" s="41" t="s">
        <v>216</v>
      </c>
      <c r="E9" s="41" t="s">
        <v>620</v>
      </c>
      <c r="F9" s="41" t="s">
        <v>36</v>
      </c>
      <c r="G9" s="53" t="s">
        <v>191</v>
      </c>
      <c r="H9" s="53" t="s">
        <v>85</v>
      </c>
      <c r="I9" s="53" t="s">
        <v>217</v>
      </c>
      <c r="J9" s="55"/>
      <c r="K9" s="53" t="s">
        <v>94</v>
      </c>
      <c r="L9" s="53" t="s">
        <v>31</v>
      </c>
      <c r="M9" s="53" t="s">
        <v>100</v>
      </c>
      <c r="N9" s="55"/>
      <c r="O9" s="53" t="s">
        <v>95</v>
      </c>
      <c r="P9" s="53" t="s">
        <v>106</v>
      </c>
      <c r="Q9" s="53" t="s">
        <v>88</v>
      </c>
      <c r="R9" s="55"/>
      <c r="S9" s="55" t="str">
        <f>"462,5"</f>
        <v>462,5</v>
      </c>
      <c r="T9" s="55" t="str">
        <f>"460,8350"</f>
        <v>460,8350</v>
      </c>
      <c r="U9" s="41" t="s">
        <v>65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A9A9A-AC8D-4955-A13A-1B0228887FEC}">
  <dimension ref="A1:U43"/>
  <sheetViews>
    <sheetView workbookViewId="0">
      <selection activeCell="E34" sqref="E34"/>
    </sheetView>
  </sheetViews>
  <sheetFormatPr baseColWidth="10" defaultColWidth="8.83203125" defaultRowHeight="13"/>
  <cols>
    <col min="1" max="1" width="7.5" style="42" bestFit="1" customWidth="1"/>
    <col min="2" max="2" width="20.6640625" style="42" bestFit="1" customWidth="1"/>
    <col min="3" max="3" width="26" style="42" bestFit="1" customWidth="1"/>
    <col min="4" max="4" width="21.5" style="42" bestFit="1" customWidth="1"/>
    <col min="5" max="5" width="10.5" style="42" bestFit="1" customWidth="1"/>
    <col min="6" max="6" width="30.5" style="42" bestFit="1" customWidth="1"/>
    <col min="7" max="9" width="5.5" style="51" customWidth="1"/>
    <col min="10" max="10" width="4.83203125" style="51" customWidth="1"/>
    <col min="11" max="13" width="5.5" style="51" customWidth="1"/>
    <col min="14" max="14" width="4.83203125" style="51" customWidth="1"/>
    <col min="15" max="17" width="5.5" style="51" customWidth="1"/>
    <col min="18" max="18" width="4.83203125" style="51" customWidth="1"/>
    <col min="19" max="19" width="7.83203125" style="51" bestFit="1" customWidth="1"/>
    <col min="20" max="20" width="8.5" style="51" bestFit="1" customWidth="1"/>
    <col min="21" max="21" width="26.83203125" style="42" bestFit="1" customWidth="1"/>
  </cols>
  <sheetData>
    <row r="1" spans="1:21" s="2" customFormat="1" ht="29" customHeight="1">
      <c r="A1" s="80" t="s">
        <v>542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</row>
    <row r="2" spans="1:21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</row>
    <row r="3" spans="1:21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7</v>
      </c>
      <c r="H3" s="88"/>
      <c r="I3" s="88"/>
      <c r="J3" s="88"/>
      <c r="K3" s="88" t="s">
        <v>8</v>
      </c>
      <c r="L3" s="88"/>
      <c r="M3" s="88"/>
      <c r="N3" s="88"/>
      <c r="O3" s="88" t="s">
        <v>9</v>
      </c>
      <c r="P3" s="88"/>
      <c r="Q3" s="88"/>
      <c r="R3" s="88"/>
      <c r="S3" s="78" t="s">
        <v>1</v>
      </c>
      <c r="T3" s="78" t="s">
        <v>3</v>
      </c>
      <c r="U3" s="93" t="s">
        <v>2</v>
      </c>
    </row>
    <row r="4" spans="1:21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9"/>
      <c r="T4" s="79"/>
      <c r="U4" s="94"/>
    </row>
    <row r="5" spans="1:21" s="3" customFormat="1" ht="16">
      <c r="A5" s="76" t="s">
        <v>22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6"/>
      <c r="T5" s="6"/>
      <c r="U5" s="5"/>
    </row>
    <row r="6" spans="1:21">
      <c r="A6" s="55">
        <v>1</v>
      </c>
      <c r="B6" s="41" t="s">
        <v>154</v>
      </c>
      <c r="C6" s="41" t="s">
        <v>155</v>
      </c>
      <c r="D6" s="41" t="s">
        <v>35</v>
      </c>
      <c r="E6" s="41" t="s">
        <v>620</v>
      </c>
      <c r="F6" s="41" t="s">
        <v>156</v>
      </c>
      <c r="G6" s="53" t="s">
        <v>45</v>
      </c>
      <c r="H6" s="53" t="s">
        <v>16</v>
      </c>
      <c r="I6" s="54" t="s">
        <v>59</v>
      </c>
      <c r="J6" s="55"/>
      <c r="K6" s="53" t="s">
        <v>78</v>
      </c>
      <c r="L6" s="54" t="s">
        <v>70</v>
      </c>
      <c r="M6" s="53" t="s">
        <v>70</v>
      </c>
      <c r="N6" s="55"/>
      <c r="O6" s="53" t="s">
        <v>63</v>
      </c>
      <c r="P6" s="53" t="s">
        <v>59</v>
      </c>
      <c r="Q6" s="53" t="s">
        <v>53</v>
      </c>
      <c r="R6" s="55"/>
      <c r="S6" s="55" t="str">
        <f>"190,0"</f>
        <v>190,0</v>
      </c>
      <c r="T6" s="55" t="str">
        <f>"404,0920"</f>
        <v>404,0920</v>
      </c>
      <c r="U6" s="41" t="s">
        <v>157</v>
      </c>
    </row>
    <row r="8" spans="1:21" ht="16">
      <c r="A8" s="73" t="s">
        <v>40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21">
      <c r="A9" s="58">
        <v>1</v>
      </c>
      <c r="B9" s="43" t="s">
        <v>158</v>
      </c>
      <c r="C9" s="43" t="s">
        <v>159</v>
      </c>
      <c r="D9" s="43" t="s">
        <v>160</v>
      </c>
      <c r="E9" s="43" t="s">
        <v>620</v>
      </c>
      <c r="F9" s="43" t="s">
        <v>36</v>
      </c>
      <c r="G9" s="56" t="s">
        <v>46</v>
      </c>
      <c r="H9" s="57" t="s">
        <v>46</v>
      </c>
      <c r="I9" s="56" t="s">
        <v>110</v>
      </c>
      <c r="J9" s="58"/>
      <c r="K9" s="57" t="s">
        <v>45</v>
      </c>
      <c r="L9" s="57" t="s">
        <v>77</v>
      </c>
      <c r="M9" s="56" t="s">
        <v>63</v>
      </c>
      <c r="N9" s="58"/>
      <c r="O9" s="57" t="s">
        <v>93</v>
      </c>
      <c r="P9" s="57" t="s">
        <v>94</v>
      </c>
      <c r="Q9" s="56" t="s">
        <v>30</v>
      </c>
      <c r="R9" s="58"/>
      <c r="S9" s="58" t="str">
        <f>"305,0"</f>
        <v>305,0</v>
      </c>
      <c r="T9" s="58" t="str">
        <f>"581,0250"</f>
        <v>581,0250</v>
      </c>
      <c r="U9" s="43" t="s">
        <v>161</v>
      </c>
    </row>
    <row r="10" spans="1:21">
      <c r="A10" s="65">
        <v>2</v>
      </c>
      <c r="B10" s="62" t="s">
        <v>162</v>
      </c>
      <c r="C10" s="62" t="s">
        <v>163</v>
      </c>
      <c r="D10" s="62" t="s">
        <v>164</v>
      </c>
      <c r="E10" s="62" t="s">
        <v>620</v>
      </c>
      <c r="F10" s="62" t="s">
        <v>165</v>
      </c>
      <c r="G10" s="63" t="s">
        <v>53</v>
      </c>
      <c r="H10" s="64" t="s">
        <v>69</v>
      </c>
      <c r="I10" s="64" t="s">
        <v>69</v>
      </c>
      <c r="J10" s="65"/>
      <c r="K10" s="63" t="s">
        <v>70</v>
      </c>
      <c r="L10" s="63" t="s">
        <v>71</v>
      </c>
      <c r="M10" s="63" t="s">
        <v>72</v>
      </c>
      <c r="N10" s="65"/>
      <c r="O10" s="63" t="s">
        <v>27</v>
      </c>
      <c r="P10" s="63" t="s">
        <v>20</v>
      </c>
      <c r="Q10" s="63" t="s">
        <v>166</v>
      </c>
      <c r="R10" s="65"/>
      <c r="S10" s="65" t="str">
        <f>"227,5"</f>
        <v>227,5</v>
      </c>
      <c r="T10" s="65" t="str">
        <f>"447,5835"</f>
        <v>447,5835</v>
      </c>
      <c r="U10" s="62" t="s">
        <v>157</v>
      </c>
    </row>
    <row r="11" spans="1:21">
      <c r="A11" s="61">
        <v>3</v>
      </c>
      <c r="B11" s="44" t="s">
        <v>167</v>
      </c>
      <c r="C11" s="44" t="s">
        <v>168</v>
      </c>
      <c r="D11" s="44" t="s">
        <v>169</v>
      </c>
      <c r="E11" s="44" t="s">
        <v>620</v>
      </c>
      <c r="F11" s="44" t="s">
        <v>170</v>
      </c>
      <c r="G11" s="59" t="s">
        <v>53</v>
      </c>
      <c r="H11" s="60" t="s">
        <v>53</v>
      </c>
      <c r="I11" s="59" t="s">
        <v>55</v>
      </c>
      <c r="J11" s="61"/>
      <c r="K11" s="60" t="s">
        <v>70</v>
      </c>
      <c r="L11" s="60" t="s">
        <v>71</v>
      </c>
      <c r="M11" s="59" t="s">
        <v>72</v>
      </c>
      <c r="N11" s="61"/>
      <c r="O11" s="60" t="s">
        <v>59</v>
      </c>
      <c r="P11" s="60" t="s">
        <v>53</v>
      </c>
      <c r="Q11" s="60" t="s">
        <v>54</v>
      </c>
      <c r="R11" s="61"/>
      <c r="S11" s="61" t="str">
        <f>"202,5"</f>
        <v>202,5</v>
      </c>
      <c r="T11" s="61" t="str">
        <f>"395,8875"</f>
        <v>395,8875</v>
      </c>
      <c r="U11" s="44" t="s">
        <v>157</v>
      </c>
    </row>
    <row r="13" spans="1:21" ht="16">
      <c r="A13" s="73" t="s">
        <v>66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</row>
    <row r="14" spans="1:21">
      <c r="A14" s="67" t="s">
        <v>610</v>
      </c>
      <c r="B14" s="41" t="s">
        <v>171</v>
      </c>
      <c r="C14" s="41" t="s">
        <v>172</v>
      </c>
      <c r="D14" s="41" t="s">
        <v>173</v>
      </c>
      <c r="E14" s="41" t="s">
        <v>620</v>
      </c>
      <c r="F14" s="41" t="s">
        <v>36</v>
      </c>
      <c r="G14" s="53" t="s">
        <v>100</v>
      </c>
      <c r="H14" s="53" t="s">
        <v>105</v>
      </c>
      <c r="I14" s="54" t="s">
        <v>85</v>
      </c>
      <c r="J14" s="55"/>
      <c r="K14" s="53" t="s">
        <v>53</v>
      </c>
      <c r="L14" s="53" t="s">
        <v>55</v>
      </c>
      <c r="M14" s="54" t="s">
        <v>27</v>
      </c>
      <c r="N14" s="55"/>
      <c r="O14" s="53" t="s">
        <v>105</v>
      </c>
      <c r="P14" s="53" t="s">
        <v>95</v>
      </c>
      <c r="Q14" s="55"/>
      <c r="R14" s="55"/>
      <c r="S14" s="55" t="str">
        <f>"375,0"</f>
        <v>375,0</v>
      </c>
      <c r="T14" s="55" t="str">
        <f>"616,4250"</f>
        <v>616,4250</v>
      </c>
      <c r="U14" s="41" t="s">
        <v>174</v>
      </c>
    </row>
    <row r="16" spans="1:21" ht="16">
      <c r="A16" s="73" t="s">
        <v>66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1:21">
      <c r="A17" s="55">
        <v>1</v>
      </c>
      <c r="B17" s="41" t="s">
        <v>175</v>
      </c>
      <c r="C17" s="41" t="s">
        <v>176</v>
      </c>
      <c r="D17" s="41" t="s">
        <v>177</v>
      </c>
      <c r="E17" s="41" t="s">
        <v>620</v>
      </c>
      <c r="F17" s="41" t="s">
        <v>36</v>
      </c>
      <c r="G17" s="53" t="s">
        <v>106</v>
      </c>
      <c r="H17" s="53" t="s">
        <v>119</v>
      </c>
      <c r="I17" s="55"/>
      <c r="J17" s="55"/>
      <c r="K17" s="53" t="s">
        <v>20</v>
      </c>
      <c r="L17" s="54" t="s">
        <v>80</v>
      </c>
      <c r="M17" s="54" t="s">
        <v>80</v>
      </c>
      <c r="N17" s="55"/>
      <c r="O17" s="54" t="s">
        <v>119</v>
      </c>
      <c r="P17" s="53" t="s">
        <v>151</v>
      </c>
      <c r="Q17" s="54" t="s">
        <v>90</v>
      </c>
      <c r="R17" s="55"/>
      <c r="S17" s="55" t="str">
        <f>"467,5"</f>
        <v>467,5</v>
      </c>
      <c r="T17" s="55" t="str">
        <f>"582,5050"</f>
        <v>582,5050</v>
      </c>
      <c r="U17" s="41" t="s">
        <v>161</v>
      </c>
    </row>
    <row r="19" spans="1:21" ht="16">
      <c r="A19" s="73" t="s">
        <v>178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</row>
    <row r="20" spans="1:21">
      <c r="A20" s="55">
        <v>1</v>
      </c>
      <c r="B20" s="41" t="s">
        <v>179</v>
      </c>
      <c r="C20" s="41" t="s">
        <v>180</v>
      </c>
      <c r="D20" s="41" t="s">
        <v>181</v>
      </c>
      <c r="E20" s="41" t="s">
        <v>620</v>
      </c>
      <c r="F20" s="41" t="s">
        <v>611</v>
      </c>
      <c r="G20" s="53" t="s">
        <v>95</v>
      </c>
      <c r="H20" s="54" t="s">
        <v>182</v>
      </c>
      <c r="I20" s="53" t="s">
        <v>182</v>
      </c>
      <c r="J20" s="55"/>
      <c r="K20" s="53" t="s">
        <v>94</v>
      </c>
      <c r="L20" s="53" t="s">
        <v>31</v>
      </c>
      <c r="M20" s="53" t="s">
        <v>100</v>
      </c>
      <c r="N20" s="55"/>
      <c r="O20" s="53" t="s">
        <v>95</v>
      </c>
      <c r="P20" s="53" t="s">
        <v>183</v>
      </c>
      <c r="Q20" s="53" t="s">
        <v>184</v>
      </c>
      <c r="R20" s="55"/>
      <c r="S20" s="55" t="str">
        <f>"470,0"</f>
        <v>470,0</v>
      </c>
      <c r="T20" s="55" t="str">
        <f>"532,7920"</f>
        <v>532,7920</v>
      </c>
      <c r="U20" s="41" t="s">
        <v>157</v>
      </c>
    </row>
    <row r="22" spans="1:21" ht="16">
      <c r="A22" s="73" t="s">
        <v>97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</row>
    <row r="23" spans="1:21">
      <c r="A23" s="55">
        <v>1</v>
      </c>
      <c r="B23" s="41" t="s">
        <v>185</v>
      </c>
      <c r="C23" s="41" t="s">
        <v>186</v>
      </c>
      <c r="D23" s="41" t="s">
        <v>187</v>
      </c>
      <c r="E23" s="41" t="s">
        <v>620</v>
      </c>
      <c r="F23" s="41" t="s">
        <v>188</v>
      </c>
      <c r="G23" s="53" t="s">
        <v>112</v>
      </c>
      <c r="H23" s="53" t="s">
        <v>189</v>
      </c>
      <c r="I23" s="53" t="s">
        <v>190</v>
      </c>
      <c r="J23" s="55"/>
      <c r="K23" s="53" t="s">
        <v>100</v>
      </c>
      <c r="L23" s="53" t="s">
        <v>191</v>
      </c>
      <c r="M23" s="54" t="s">
        <v>192</v>
      </c>
      <c r="N23" s="55"/>
      <c r="O23" s="53" t="s">
        <v>90</v>
      </c>
      <c r="P23" s="53" t="s">
        <v>193</v>
      </c>
      <c r="Q23" s="54" t="s">
        <v>194</v>
      </c>
      <c r="R23" s="55"/>
      <c r="S23" s="55" t="str">
        <f>"582,5"</f>
        <v>582,5</v>
      </c>
      <c r="T23" s="55" t="str">
        <f>"599,8585"</f>
        <v>599,8585</v>
      </c>
      <c r="U23" s="41" t="s">
        <v>157</v>
      </c>
    </row>
    <row r="25" spans="1:21" ht="16">
      <c r="A25" s="73" t="s">
        <v>102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</row>
    <row r="26" spans="1:21">
      <c r="A26" s="58">
        <v>1</v>
      </c>
      <c r="B26" s="43" t="s">
        <v>195</v>
      </c>
      <c r="C26" s="43" t="s">
        <v>196</v>
      </c>
      <c r="D26" s="43" t="s">
        <v>197</v>
      </c>
      <c r="E26" s="43" t="s">
        <v>620</v>
      </c>
      <c r="F26" s="43" t="s">
        <v>14</v>
      </c>
      <c r="G26" s="56" t="s">
        <v>193</v>
      </c>
      <c r="H26" s="57" t="s">
        <v>193</v>
      </c>
      <c r="I26" s="57" t="s">
        <v>112</v>
      </c>
      <c r="J26" s="58"/>
      <c r="K26" s="57" t="s">
        <v>95</v>
      </c>
      <c r="L26" s="56" t="s">
        <v>86</v>
      </c>
      <c r="M26" s="56" t="s">
        <v>86</v>
      </c>
      <c r="N26" s="58"/>
      <c r="O26" s="57" t="s">
        <v>112</v>
      </c>
      <c r="P26" s="57" t="s">
        <v>189</v>
      </c>
      <c r="Q26" s="56" t="s">
        <v>198</v>
      </c>
      <c r="R26" s="58"/>
      <c r="S26" s="58" t="str">
        <f>"590,0"</f>
        <v>590,0</v>
      </c>
      <c r="T26" s="58" t="str">
        <f>"587,4040"</f>
        <v>587,4040</v>
      </c>
      <c r="U26" s="43"/>
    </row>
    <row r="27" spans="1:21">
      <c r="A27" s="61">
        <v>2</v>
      </c>
      <c r="B27" s="44" t="s">
        <v>199</v>
      </c>
      <c r="C27" s="44" t="s">
        <v>200</v>
      </c>
      <c r="D27" s="44" t="s">
        <v>201</v>
      </c>
      <c r="E27" s="44" t="s">
        <v>620</v>
      </c>
      <c r="F27" s="44" t="s">
        <v>36</v>
      </c>
      <c r="G27" s="60" t="s">
        <v>119</v>
      </c>
      <c r="H27" s="60" t="s">
        <v>151</v>
      </c>
      <c r="I27" s="59" t="s">
        <v>90</v>
      </c>
      <c r="J27" s="61"/>
      <c r="K27" s="60" t="s">
        <v>30</v>
      </c>
      <c r="L27" s="59" t="s">
        <v>46</v>
      </c>
      <c r="M27" s="59" t="s">
        <v>46</v>
      </c>
      <c r="N27" s="61"/>
      <c r="O27" s="60" t="s">
        <v>189</v>
      </c>
      <c r="P27" s="59" t="s">
        <v>121</v>
      </c>
      <c r="Q27" s="60" t="s">
        <v>121</v>
      </c>
      <c r="R27" s="61"/>
      <c r="S27" s="61" t="str">
        <f>"550,0"</f>
        <v>550,0</v>
      </c>
      <c r="T27" s="61" t="str">
        <f>"545,8200"</f>
        <v>545,8200</v>
      </c>
      <c r="U27" s="44"/>
    </row>
    <row r="29" spans="1:21" ht="16">
      <c r="A29" s="73" t="s">
        <v>114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</row>
    <row r="30" spans="1:21">
      <c r="A30" s="55">
        <v>1</v>
      </c>
      <c r="B30" s="41" t="s">
        <v>202</v>
      </c>
      <c r="C30" s="41" t="s">
        <v>203</v>
      </c>
      <c r="D30" s="41" t="s">
        <v>204</v>
      </c>
      <c r="E30" s="41" t="s">
        <v>620</v>
      </c>
      <c r="F30" s="41" t="s">
        <v>36</v>
      </c>
      <c r="G30" s="54" t="s">
        <v>152</v>
      </c>
      <c r="H30" s="53" t="s">
        <v>152</v>
      </c>
      <c r="I30" s="54" t="s">
        <v>120</v>
      </c>
      <c r="J30" s="55"/>
      <c r="K30" s="53" t="s">
        <v>105</v>
      </c>
      <c r="L30" s="53" t="s">
        <v>95</v>
      </c>
      <c r="M30" s="54" t="s">
        <v>96</v>
      </c>
      <c r="N30" s="55"/>
      <c r="O30" s="53" t="s">
        <v>121</v>
      </c>
      <c r="P30" s="54" t="s">
        <v>145</v>
      </c>
      <c r="Q30" s="54" t="s">
        <v>205</v>
      </c>
      <c r="R30" s="55"/>
      <c r="S30" s="55" t="str">
        <f>"610,0"</f>
        <v>610,0</v>
      </c>
      <c r="T30" s="55" t="str">
        <f>"566,4460"</f>
        <v>566,4460</v>
      </c>
      <c r="U30" s="41" t="s">
        <v>161</v>
      </c>
    </row>
    <row r="32" spans="1:21" ht="16">
      <c r="A32" s="73" t="s">
        <v>141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</row>
    <row r="33" spans="1:21">
      <c r="A33" s="55">
        <v>1</v>
      </c>
      <c r="B33" s="41" t="s">
        <v>206</v>
      </c>
      <c r="C33" s="41" t="s">
        <v>207</v>
      </c>
      <c r="D33" s="41" t="s">
        <v>208</v>
      </c>
      <c r="E33" s="41" t="s">
        <v>620</v>
      </c>
      <c r="F33" s="41" t="s">
        <v>14</v>
      </c>
      <c r="G33" s="53" t="s">
        <v>193</v>
      </c>
      <c r="H33" s="54" t="s">
        <v>189</v>
      </c>
      <c r="I33" s="54" t="s">
        <v>189</v>
      </c>
      <c r="J33" s="55"/>
      <c r="K33" s="53" t="s">
        <v>85</v>
      </c>
      <c r="L33" s="54" t="s">
        <v>96</v>
      </c>
      <c r="M33" s="53" t="s">
        <v>87</v>
      </c>
      <c r="N33" s="55"/>
      <c r="O33" s="53" t="s">
        <v>120</v>
      </c>
      <c r="P33" s="54" t="s">
        <v>209</v>
      </c>
      <c r="Q33" s="53" t="s">
        <v>209</v>
      </c>
      <c r="R33" s="55"/>
      <c r="S33" s="55" t="str">
        <f>"615,0"</f>
        <v>615,0</v>
      </c>
      <c r="T33" s="55" t="str">
        <f>"551,9010"</f>
        <v>551,9010</v>
      </c>
      <c r="U33" s="41" t="s">
        <v>534</v>
      </c>
    </row>
    <row r="37" spans="1:21" ht="18">
      <c r="B37" s="45" t="s">
        <v>122</v>
      </c>
      <c r="C37" s="45"/>
    </row>
    <row r="38" spans="1:21" ht="16">
      <c r="B38" s="46" t="s">
        <v>123</v>
      </c>
      <c r="C38" s="46"/>
    </row>
    <row r="39" spans="1:21" ht="14">
      <c r="B39" s="47"/>
      <c r="C39" s="48" t="s">
        <v>128</v>
      </c>
    </row>
    <row r="40" spans="1:21" ht="14">
      <c r="B40" s="49" t="s">
        <v>124</v>
      </c>
      <c r="C40" s="49" t="s">
        <v>125</v>
      </c>
      <c r="D40" s="49" t="s">
        <v>609</v>
      </c>
      <c r="E40" s="49" t="s">
        <v>126</v>
      </c>
      <c r="F40" s="49" t="s">
        <v>127</v>
      </c>
    </row>
    <row r="41" spans="1:21">
      <c r="A41" s="66" t="s">
        <v>610</v>
      </c>
      <c r="B41" s="42" t="s">
        <v>171</v>
      </c>
      <c r="C41" s="42" t="s">
        <v>128</v>
      </c>
      <c r="D41" s="51">
        <v>67.5</v>
      </c>
      <c r="E41" s="52">
        <v>375</v>
      </c>
      <c r="F41" s="50">
        <v>616.42500758171104</v>
      </c>
    </row>
    <row r="42" spans="1:21">
      <c r="B42" s="42" t="s">
        <v>158</v>
      </c>
      <c r="C42" s="42" t="s">
        <v>128</v>
      </c>
      <c r="D42" s="51">
        <v>56</v>
      </c>
      <c r="E42" s="52">
        <v>305</v>
      </c>
      <c r="F42" s="50">
        <v>581.02499127388</v>
      </c>
    </row>
    <row r="43" spans="1:21">
      <c r="B43" s="42" t="s">
        <v>162</v>
      </c>
      <c r="C43" s="42" t="s">
        <v>128</v>
      </c>
      <c r="D43" s="51">
        <v>56</v>
      </c>
      <c r="E43" s="52">
        <v>227.5</v>
      </c>
      <c r="F43" s="50">
        <v>447.58348971605301</v>
      </c>
    </row>
  </sheetData>
  <mergeCells count="22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9:R29"/>
    <mergeCell ref="A32:R32"/>
    <mergeCell ref="B3:B4"/>
    <mergeCell ref="A8:R8"/>
    <mergeCell ref="A13:R13"/>
    <mergeCell ref="A16:R16"/>
    <mergeCell ref="A19:R19"/>
    <mergeCell ref="A22:R22"/>
    <mergeCell ref="A25:R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8ABAA-3D89-439B-A669-D0FE4AD532E5}">
  <dimension ref="A1:U10"/>
  <sheetViews>
    <sheetView workbookViewId="0">
      <selection activeCell="E11" sqref="E11"/>
    </sheetView>
  </sheetViews>
  <sheetFormatPr baseColWidth="10" defaultColWidth="8.83203125" defaultRowHeight="13"/>
  <cols>
    <col min="1" max="1" width="7.5" style="42" bestFit="1" customWidth="1"/>
    <col min="2" max="2" width="20.33203125" style="42" bestFit="1" customWidth="1"/>
    <col min="3" max="3" width="28.5" style="42" bestFit="1" customWidth="1"/>
    <col min="4" max="4" width="21.5" style="42" bestFit="1" customWidth="1"/>
    <col min="5" max="5" width="10.5" style="42" bestFit="1" customWidth="1"/>
    <col min="6" max="6" width="30.5" style="42" bestFit="1" customWidth="1"/>
    <col min="7" max="9" width="5.5" style="51" customWidth="1"/>
    <col min="10" max="10" width="4.83203125" style="51" customWidth="1"/>
    <col min="11" max="13" width="5.5" style="51" customWidth="1"/>
    <col min="14" max="14" width="4.83203125" style="51" customWidth="1"/>
    <col min="15" max="17" width="5.5" style="51" customWidth="1"/>
    <col min="18" max="18" width="4.83203125" style="51" customWidth="1"/>
    <col min="19" max="19" width="7.83203125" style="52" bestFit="1" customWidth="1"/>
    <col min="20" max="20" width="8.5" style="51" bestFit="1" customWidth="1"/>
    <col min="21" max="21" width="20.1640625" style="42" customWidth="1"/>
  </cols>
  <sheetData>
    <row r="1" spans="1:21" s="2" customFormat="1" ht="29" customHeight="1">
      <c r="A1" s="80" t="s">
        <v>543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</row>
    <row r="2" spans="1:21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</row>
    <row r="3" spans="1:21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7</v>
      </c>
      <c r="H3" s="88"/>
      <c r="I3" s="88"/>
      <c r="J3" s="88"/>
      <c r="K3" s="88" t="s">
        <v>8</v>
      </c>
      <c r="L3" s="88"/>
      <c r="M3" s="88"/>
      <c r="N3" s="88"/>
      <c r="O3" s="88" t="s">
        <v>9</v>
      </c>
      <c r="P3" s="88"/>
      <c r="Q3" s="88"/>
      <c r="R3" s="88"/>
      <c r="S3" s="95" t="s">
        <v>1</v>
      </c>
      <c r="T3" s="78" t="s">
        <v>3</v>
      </c>
      <c r="U3" s="93" t="s">
        <v>2</v>
      </c>
    </row>
    <row r="4" spans="1:21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96"/>
      <c r="T4" s="79"/>
      <c r="U4" s="94"/>
    </row>
    <row r="5" spans="1:21" s="3" customFormat="1" ht="16">
      <c r="A5" s="76" t="s">
        <v>114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28"/>
      <c r="T5" s="6"/>
      <c r="U5" s="5"/>
    </row>
    <row r="6" spans="1:21">
      <c r="A6" s="55" t="s">
        <v>153</v>
      </c>
      <c r="B6" s="41" t="s">
        <v>134</v>
      </c>
      <c r="C6" s="41" t="s">
        <v>135</v>
      </c>
      <c r="D6" s="41" t="s">
        <v>136</v>
      </c>
      <c r="E6" s="41" t="s">
        <v>620</v>
      </c>
      <c r="F6" s="41" t="s">
        <v>36</v>
      </c>
      <c r="G6" s="53" t="s">
        <v>137</v>
      </c>
      <c r="H6" s="54" t="s">
        <v>138</v>
      </c>
      <c r="I6" s="55"/>
      <c r="J6" s="55"/>
      <c r="K6" s="53" t="s">
        <v>106</v>
      </c>
      <c r="L6" s="54" t="s">
        <v>119</v>
      </c>
      <c r="M6" s="55"/>
      <c r="N6" s="55"/>
      <c r="O6" s="54" t="s">
        <v>139</v>
      </c>
      <c r="P6" s="55"/>
      <c r="Q6" s="55"/>
      <c r="R6" s="55"/>
      <c r="S6" s="68">
        <v>0</v>
      </c>
      <c r="T6" s="55" t="str">
        <f>"0,0000"</f>
        <v>0,0000</v>
      </c>
      <c r="U6" s="41" t="s">
        <v>140</v>
      </c>
    </row>
    <row r="8" spans="1:21" ht="16">
      <c r="A8" s="73" t="s">
        <v>141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21">
      <c r="A9" s="58">
        <v>1</v>
      </c>
      <c r="B9" s="43" t="s">
        <v>142</v>
      </c>
      <c r="C9" s="43" t="s">
        <v>143</v>
      </c>
      <c r="D9" s="43" t="s">
        <v>144</v>
      </c>
      <c r="E9" s="43" t="s">
        <v>620</v>
      </c>
      <c r="F9" s="43" t="s">
        <v>14</v>
      </c>
      <c r="G9" s="56" t="s">
        <v>145</v>
      </c>
      <c r="H9" s="57" t="s">
        <v>145</v>
      </c>
      <c r="I9" s="56" t="s">
        <v>137</v>
      </c>
      <c r="J9" s="58"/>
      <c r="K9" s="56" t="s">
        <v>96</v>
      </c>
      <c r="L9" s="57" t="s">
        <v>96</v>
      </c>
      <c r="M9" s="57" t="s">
        <v>87</v>
      </c>
      <c r="N9" s="58"/>
      <c r="O9" s="56" t="s">
        <v>146</v>
      </c>
      <c r="P9" s="57" t="s">
        <v>146</v>
      </c>
      <c r="Q9" s="57" t="s">
        <v>147</v>
      </c>
      <c r="R9" s="58"/>
      <c r="S9" s="69" t="str">
        <f>"715,0"</f>
        <v>715,0</v>
      </c>
      <c r="T9" s="58" t="str">
        <f>"640,4970"</f>
        <v>640,4970</v>
      </c>
      <c r="U9" s="43" t="s">
        <v>148</v>
      </c>
    </row>
    <row r="10" spans="1:21">
      <c r="A10" s="61" t="s">
        <v>153</v>
      </c>
      <c r="B10" s="44" t="s">
        <v>149</v>
      </c>
      <c r="C10" s="44" t="s">
        <v>566</v>
      </c>
      <c r="D10" s="44" t="s">
        <v>150</v>
      </c>
      <c r="E10" s="44" t="s">
        <v>623</v>
      </c>
      <c r="F10" s="44" t="s">
        <v>36</v>
      </c>
      <c r="G10" s="59" t="s">
        <v>151</v>
      </c>
      <c r="H10" s="60" t="s">
        <v>151</v>
      </c>
      <c r="I10" s="59" t="s">
        <v>90</v>
      </c>
      <c r="J10" s="61"/>
      <c r="K10" s="59" t="s">
        <v>85</v>
      </c>
      <c r="L10" s="59" t="s">
        <v>96</v>
      </c>
      <c r="M10" s="59" t="s">
        <v>96</v>
      </c>
      <c r="N10" s="61"/>
      <c r="O10" s="61"/>
      <c r="P10" s="61"/>
      <c r="Q10" s="61"/>
      <c r="R10" s="61"/>
      <c r="S10" s="70">
        <v>0</v>
      </c>
      <c r="T10" s="61" t="str">
        <f>"0,0000"</f>
        <v>0,0000</v>
      </c>
      <c r="U10" s="44" t="s">
        <v>65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A5F28-6963-4AEF-BC2F-172F26C60243}">
  <dimension ref="A1:Q23"/>
  <sheetViews>
    <sheetView workbookViewId="0">
      <selection activeCell="E24" sqref="E24"/>
    </sheetView>
  </sheetViews>
  <sheetFormatPr baseColWidth="10" defaultColWidth="8.83203125" defaultRowHeight="13"/>
  <cols>
    <col min="1" max="1" width="7.5" style="42" bestFit="1" customWidth="1"/>
    <col min="2" max="2" width="19.6640625" style="42" bestFit="1" customWidth="1"/>
    <col min="3" max="3" width="29" style="42" bestFit="1" customWidth="1"/>
    <col min="4" max="4" width="21.5" style="42" bestFit="1" customWidth="1"/>
    <col min="5" max="5" width="10.5" style="42" bestFit="1" customWidth="1"/>
    <col min="6" max="6" width="34" style="42" bestFit="1" customWidth="1"/>
    <col min="7" max="9" width="5.5" style="51" customWidth="1"/>
    <col min="10" max="10" width="4.83203125" style="51" customWidth="1"/>
    <col min="11" max="13" width="5.5" style="51" customWidth="1"/>
    <col min="14" max="14" width="4.83203125" style="51" customWidth="1"/>
    <col min="15" max="15" width="7.83203125" style="52" bestFit="1" customWidth="1"/>
    <col min="16" max="16" width="8.5" style="51" bestFit="1" customWidth="1"/>
    <col min="17" max="17" width="21.5" style="42" customWidth="1"/>
  </cols>
  <sheetData>
    <row r="1" spans="1:17" s="2" customFormat="1" ht="29" customHeight="1">
      <c r="A1" s="80" t="s">
        <v>544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</row>
    <row r="2" spans="1:17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</row>
    <row r="3" spans="1:17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8</v>
      </c>
      <c r="H3" s="88"/>
      <c r="I3" s="88"/>
      <c r="J3" s="88"/>
      <c r="K3" s="88" t="s">
        <v>9</v>
      </c>
      <c r="L3" s="88"/>
      <c r="M3" s="88"/>
      <c r="N3" s="88"/>
      <c r="O3" s="95" t="s">
        <v>1</v>
      </c>
      <c r="P3" s="78" t="s">
        <v>3</v>
      </c>
      <c r="Q3" s="93" t="s">
        <v>2</v>
      </c>
    </row>
    <row r="4" spans="1:17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96"/>
      <c r="P4" s="79"/>
      <c r="Q4" s="94"/>
    </row>
    <row r="5" spans="1:17" s="3" customFormat="1" ht="16">
      <c r="A5" s="76" t="s">
        <v>284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28"/>
      <c r="P5" s="6"/>
      <c r="Q5" s="5"/>
    </row>
    <row r="6" spans="1:17">
      <c r="A6" s="55" t="s">
        <v>153</v>
      </c>
      <c r="B6" s="41" t="s">
        <v>285</v>
      </c>
      <c r="C6" s="41" t="s">
        <v>567</v>
      </c>
      <c r="D6" s="41" t="s">
        <v>286</v>
      </c>
      <c r="E6" s="41" t="s">
        <v>622</v>
      </c>
      <c r="F6" s="41" t="s">
        <v>36</v>
      </c>
      <c r="G6" s="54" t="s">
        <v>71</v>
      </c>
      <c r="H6" s="54" t="s">
        <v>71</v>
      </c>
      <c r="I6" s="54" t="s">
        <v>71</v>
      </c>
      <c r="J6" s="55"/>
      <c r="K6" s="54"/>
      <c r="L6" s="55"/>
      <c r="M6" s="55"/>
      <c r="N6" s="55"/>
      <c r="O6" s="68">
        <v>0</v>
      </c>
      <c r="P6" s="55" t="str">
        <f>"0,0000"</f>
        <v>0,0000</v>
      </c>
      <c r="Q6" s="41" t="s">
        <v>287</v>
      </c>
    </row>
    <row r="8" spans="1:17" ht="16">
      <c r="A8" s="73" t="s">
        <v>66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7">
      <c r="A9" s="55">
        <v>1</v>
      </c>
      <c r="B9" s="41" t="s">
        <v>433</v>
      </c>
      <c r="C9" s="41" t="s">
        <v>373</v>
      </c>
      <c r="D9" s="41" t="s">
        <v>434</v>
      </c>
      <c r="E9" s="41" t="s">
        <v>620</v>
      </c>
      <c r="F9" s="41" t="s">
        <v>14</v>
      </c>
      <c r="G9" s="53" t="s">
        <v>435</v>
      </c>
      <c r="H9" s="53" t="s">
        <v>78</v>
      </c>
      <c r="I9" s="54" t="s">
        <v>436</v>
      </c>
      <c r="J9" s="55"/>
      <c r="K9" s="54" t="s">
        <v>17</v>
      </c>
      <c r="L9" s="53" t="s">
        <v>17</v>
      </c>
      <c r="M9" s="53" t="s">
        <v>18</v>
      </c>
      <c r="N9" s="55"/>
      <c r="O9" s="68" t="str">
        <f>"85,0"</f>
        <v>85,0</v>
      </c>
      <c r="P9" s="55" t="str">
        <f>"147,3560"</f>
        <v>147,3560</v>
      </c>
      <c r="Q9" s="41" t="s">
        <v>437</v>
      </c>
    </row>
    <row r="11" spans="1:17" ht="16">
      <c r="A11" s="73" t="s">
        <v>49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7">
      <c r="A12" s="55">
        <v>1</v>
      </c>
      <c r="B12" s="41" t="s">
        <v>91</v>
      </c>
      <c r="C12" s="41" t="s">
        <v>563</v>
      </c>
      <c r="D12" s="41" t="s">
        <v>92</v>
      </c>
      <c r="E12" s="41" t="s">
        <v>625</v>
      </c>
      <c r="F12" s="41" t="s">
        <v>26</v>
      </c>
      <c r="G12" s="53" t="s">
        <v>53</v>
      </c>
      <c r="H12" s="54" t="s">
        <v>55</v>
      </c>
      <c r="I12" s="54" t="s">
        <v>55</v>
      </c>
      <c r="J12" s="55"/>
      <c r="K12" s="53" t="s">
        <v>85</v>
      </c>
      <c r="L12" s="53" t="s">
        <v>95</v>
      </c>
      <c r="M12" s="53" t="s">
        <v>96</v>
      </c>
      <c r="N12" s="55"/>
      <c r="O12" s="68" t="str">
        <f>"235,0"</f>
        <v>235,0</v>
      </c>
      <c r="P12" s="55" t="str">
        <f>"476,4813"</f>
        <v>476,4813</v>
      </c>
      <c r="Q12" s="41"/>
    </row>
    <row r="14" spans="1:17" ht="16">
      <c r="A14" s="73" t="s">
        <v>178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</row>
    <row r="15" spans="1:17">
      <c r="A15" s="58">
        <v>1</v>
      </c>
      <c r="B15" s="43" t="s">
        <v>340</v>
      </c>
      <c r="C15" s="43" t="s">
        <v>341</v>
      </c>
      <c r="D15" s="43" t="s">
        <v>342</v>
      </c>
      <c r="E15" s="43" t="s">
        <v>620</v>
      </c>
      <c r="F15" s="43" t="s">
        <v>36</v>
      </c>
      <c r="G15" s="57" t="s">
        <v>46</v>
      </c>
      <c r="H15" s="57" t="s">
        <v>100</v>
      </c>
      <c r="I15" s="57" t="s">
        <v>110</v>
      </c>
      <c r="J15" s="58"/>
      <c r="K15" s="57" t="s">
        <v>151</v>
      </c>
      <c r="L15" s="57" t="s">
        <v>90</v>
      </c>
      <c r="M15" s="57" t="s">
        <v>111</v>
      </c>
      <c r="N15" s="58"/>
      <c r="O15" s="69" t="str">
        <f>"340,0"</f>
        <v>340,0</v>
      </c>
      <c r="P15" s="58" t="str">
        <f>"394,5360"</f>
        <v>394,5360</v>
      </c>
      <c r="Q15" s="43"/>
    </row>
    <row r="16" spans="1:17">
      <c r="A16" s="65" t="s">
        <v>153</v>
      </c>
      <c r="B16" s="62" t="s">
        <v>421</v>
      </c>
      <c r="C16" s="62" t="s">
        <v>422</v>
      </c>
      <c r="D16" s="62" t="s">
        <v>423</v>
      </c>
      <c r="E16" s="62" t="s">
        <v>620</v>
      </c>
      <c r="F16" s="62" t="s">
        <v>36</v>
      </c>
      <c r="G16" s="63" t="s">
        <v>166</v>
      </c>
      <c r="H16" s="63" t="s">
        <v>93</v>
      </c>
      <c r="I16" s="63" t="s">
        <v>29</v>
      </c>
      <c r="J16" s="65"/>
      <c r="K16" s="64" t="s">
        <v>184</v>
      </c>
      <c r="L16" s="64" t="s">
        <v>237</v>
      </c>
      <c r="M16" s="64" t="s">
        <v>229</v>
      </c>
      <c r="N16" s="65"/>
      <c r="O16" s="71">
        <v>0</v>
      </c>
      <c r="P16" s="65" t="str">
        <f>"0,0000"</f>
        <v>0,0000</v>
      </c>
      <c r="Q16" s="62"/>
    </row>
    <row r="17" spans="1:17">
      <c r="A17" s="61">
        <v>1</v>
      </c>
      <c r="B17" s="44" t="s">
        <v>438</v>
      </c>
      <c r="C17" s="44" t="s">
        <v>568</v>
      </c>
      <c r="D17" s="44" t="s">
        <v>348</v>
      </c>
      <c r="E17" s="44" t="s">
        <v>627</v>
      </c>
      <c r="F17" s="44" t="s">
        <v>387</v>
      </c>
      <c r="G17" s="60" t="s">
        <v>166</v>
      </c>
      <c r="H17" s="59" t="s">
        <v>93</v>
      </c>
      <c r="I17" s="59" t="s">
        <v>93</v>
      </c>
      <c r="J17" s="61"/>
      <c r="K17" s="60" t="s">
        <v>182</v>
      </c>
      <c r="L17" s="60" t="s">
        <v>106</v>
      </c>
      <c r="M17" s="59" t="s">
        <v>88</v>
      </c>
      <c r="N17" s="61"/>
      <c r="O17" s="70" t="str">
        <f>"275,0"</f>
        <v>275,0</v>
      </c>
      <c r="P17" s="61" t="str">
        <f>"381,1958"</f>
        <v>381,1958</v>
      </c>
      <c r="Q17" s="44" t="s">
        <v>439</v>
      </c>
    </row>
    <row r="19" spans="1:17" ht="16">
      <c r="A19" s="73" t="s">
        <v>97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1:17">
      <c r="A20" s="55">
        <v>1</v>
      </c>
      <c r="B20" s="41" t="s">
        <v>440</v>
      </c>
      <c r="C20" s="41" t="s">
        <v>441</v>
      </c>
      <c r="D20" s="41" t="s">
        <v>442</v>
      </c>
      <c r="E20" s="41" t="s">
        <v>620</v>
      </c>
      <c r="F20" s="41" t="s">
        <v>36</v>
      </c>
      <c r="G20" s="53" t="s">
        <v>46</v>
      </c>
      <c r="H20" s="54" t="s">
        <v>47</v>
      </c>
      <c r="I20" s="54" t="s">
        <v>47</v>
      </c>
      <c r="J20" s="55"/>
      <c r="K20" s="54" t="s">
        <v>90</v>
      </c>
      <c r="L20" s="53" t="s">
        <v>111</v>
      </c>
      <c r="M20" s="53" t="s">
        <v>193</v>
      </c>
      <c r="N20" s="55"/>
      <c r="O20" s="68" t="str">
        <f>"335,0"</f>
        <v>335,0</v>
      </c>
      <c r="P20" s="55" t="str">
        <f>"347,4620"</f>
        <v>347,4620</v>
      </c>
      <c r="Q20" s="41"/>
    </row>
    <row r="22" spans="1:17" ht="16">
      <c r="A22" s="73" t="s">
        <v>102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</row>
    <row r="23" spans="1:17">
      <c r="A23" s="55">
        <v>1</v>
      </c>
      <c r="B23" s="41" t="s">
        <v>443</v>
      </c>
      <c r="C23" s="41" t="s">
        <v>569</v>
      </c>
      <c r="D23" s="41" t="s">
        <v>444</v>
      </c>
      <c r="E23" s="41" t="s">
        <v>623</v>
      </c>
      <c r="F23" s="41" t="s">
        <v>445</v>
      </c>
      <c r="G23" s="54" t="s">
        <v>30</v>
      </c>
      <c r="H23" s="53" t="s">
        <v>47</v>
      </c>
      <c r="I23" s="53" t="s">
        <v>249</v>
      </c>
      <c r="J23" s="55"/>
      <c r="K23" s="53" t="s">
        <v>106</v>
      </c>
      <c r="L23" s="53" t="s">
        <v>229</v>
      </c>
      <c r="M23" s="53" t="s">
        <v>281</v>
      </c>
      <c r="N23" s="55"/>
      <c r="O23" s="68" t="str">
        <f>"335,0"</f>
        <v>335,0</v>
      </c>
      <c r="P23" s="55" t="str">
        <f>"330,6822"</f>
        <v>330,6822</v>
      </c>
      <c r="Q23" s="41" t="s">
        <v>157</v>
      </c>
    </row>
  </sheetData>
  <mergeCells count="18">
    <mergeCell ref="A1:Q2"/>
    <mergeCell ref="A3:A4"/>
    <mergeCell ref="C3:C4"/>
    <mergeCell ref="D3:D4"/>
    <mergeCell ref="E3:E4"/>
    <mergeCell ref="F3:F4"/>
    <mergeCell ref="G3:J3"/>
    <mergeCell ref="K3:N3"/>
    <mergeCell ref="B3:B4"/>
    <mergeCell ref="O3:O4"/>
    <mergeCell ref="P3:P4"/>
    <mergeCell ref="Q3:Q4"/>
    <mergeCell ref="A22:N22"/>
    <mergeCell ref="A5:N5"/>
    <mergeCell ref="A8:N8"/>
    <mergeCell ref="A11:N11"/>
    <mergeCell ref="A14:N14"/>
    <mergeCell ref="A19:N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35E44-1BEB-410A-8176-48F1B8FCC1BC}">
  <dimension ref="A1:Q6"/>
  <sheetViews>
    <sheetView workbookViewId="0">
      <selection activeCell="E7" sqref="E7"/>
    </sheetView>
  </sheetViews>
  <sheetFormatPr baseColWidth="10" defaultColWidth="8.83203125" defaultRowHeight="13"/>
  <cols>
    <col min="1" max="1" width="7.5" style="42" bestFit="1" customWidth="1"/>
    <col min="2" max="2" width="20.33203125" style="42" bestFit="1" customWidth="1"/>
    <col min="3" max="3" width="28.5" style="42" bestFit="1" customWidth="1"/>
    <col min="4" max="4" width="16.83203125" style="42" customWidth="1"/>
    <col min="5" max="5" width="11.6640625" style="42" customWidth="1"/>
    <col min="6" max="6" width="28.1640625" style="42" bestFit="1" customWidth="1"/>
    <col min="7" max="9" width="5.5" style="51" customWidth="1"/>
    <col min="10" max="10" width="4.83203125" style="51" customWidth="1"/>
    <col min="11" max="13" width="5.5" style="51" customWidth="1"/>
    <col min="14" max="14" width="4.83203125" style="51" customWidth="1"/>
    <col min="15" max="15" width="10.33203125" style="42" customWidth="1"/>
    <col min="16" max="16" width="12.1640625" style="42" customWidth="1"/>
    <col min="17" max="17" width="20.6640625" style="42" customWidth="1"/>
  </cols>
  <sheetData>
    <row r="1" spans="1:17" s="2" customFormat="1" ht="29" customHeight="1">
      <c r="A1" s="80" t="s">
        <v>545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</row>
    <row r="2" spans="1:17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</row>
    <row r="3" spans="1:17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8</v>
      </c>
      <c r="H3" s="88"/>
      <c r="I3" s="88"/>
      <c r="J3" s="88"/>
      <c r="K3" s="88" t="s">
        <v>9</v>
      </c>
      <c r="L3" s="88"/>
      <c r="M3" s="88"/>
      <c r="N3" s="88"/>
      <c r="O3" s="78" t="s">
        <v>1</v>
      </c>
      <c r="P3" s="78" t="s">
        <v>3</v>
      </c>
      <c r="Q3" s="93" t="s">
        <v>2</v>
      </c>
    </row>
    <row r="4" spans="1:17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9"/>
      <c r="P4" s="79"/>
      <c r="Q4" s="94"/>
    </row>
    <row r="5" spans="1:17" s="3" customFormat="1" ht="16">
      <c r="A5" s="76" t="s">
        <v>141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6"/>
      <c r="P5" s="6"/>
      <c r="Q5" s="5"/>
    </row>
    <row r="6" spans="1:17">
      <c r="A6" s="55" t="s">
        <v>153</v>
      </c>
      <c r="B6" s="41" t="s">
        <v>149</v>
      </c>
      <c r="C6" s="41" t="s">
        <v>566</v>
      </c>
      <c r="D6" s="41" t="s">
        <v>150</v>
      </c>
      <c r="E6" s="41" t="s">
        <v>623</v>
      </c>
      <c r="F6" s="41" t="s">
        <v>36</v>
      </c>
      <c r="G6" s="54" t="s">
        <v>85</v>
      </c>
      <c r="H6" s="54" t="s">
        <v>96</v>
      </c>
      <c r="I6" s="54" t="s">
        <v>96</v>
      </c>
      <c r="J6" s="55"/>
      <c r="K6" s="55"/>
      <c r="L6" s="55"/>
      <c r="M6" s="55"/>
      <c r="N6" s="55"/>
      <c r="O6" s="68">
        <v>0</v>
      </c>
      <c r="P6" s="55" t="str">
        <f>"0,0000"</f>
        <v>0,0000</v>
      </c>
      <c r="Q6" s="41" t="s">
        <v>65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23289-6EC1-44C1-985A-E461B1455302}">
  <dimension ref="A1:M6"/>
  <sheetViews>
    <sheetView workbookViewId="0">
      <selection activeCell="E7" sqref="E7"/>
    </sheetView>
  </sheetViews>
  <sheetFormatPr baseColWidth="10" defaultColWidth="8.83203125" defaultRowHeight="13"/>
  <cols>
    <col min="1" max="1" width="7.5" style="42" bestFit="1" customWidth="1"/>
    <col min="2" max="2" width="19.33203125" style="42" customWidth="1"/>
    <col min="3" max="3" width="26" style="42" bestFit="1" customWidth="1"/>
    <col min="4" max="4" width="21.5" style="42" bestFit="1" customWidth="1"/>
    <col min="5" max="5" width="10.5" style="42" bestFit="1" customWidth="1"/>
    <col min="6" max="6" width="30.5" style="42" bestFit="1" customWidth="1"/>
    <col min="7" max="9" width="5.5" style="51" customWidth="1"/>
    <col min="10" max="10" width="4.83203125" style="51" customWidth="1"/>
    <col min="11" max="11" width="10.5" style="42" bestFit="1" customWidth="1"/>
    <col min="12" max="12" width="8.6640625" style="42" bestFit="1" customWidth="1"/>
    <col min="13" max="13" width="21" style="42" customWidth="1"/>
  </cols>
  <sheetData>
    <row r="1" spans="1:13" s="2" customFormat="1" ht="29" customHeight="1">
      <c r="A1" s="80" t="s">
        <v>546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7</v>
      </c>
      <c r="H3" s="88"/>
      <c r="I3" s="88"/>
      <c r="J3" s="88"/>
      <c r="K3" s="78" t="s">
        <v>283</v>
      </c>
      <c r="L3" s="78" t="s">
        <v>3</v>
      </c>
      <c r="M3" s="93" t="s">
        <v>2</v>
      </c>
    </row>
    <row r="4" spans="1:13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79"/>
      <c r="L4" s="79"/>
      <c r="M4" s="94"/>
    </row>
    <row r="5" spans="1:13" s="3" customFormat="1" ht="16">
      <c r="A5" s="76" t="s">
        <v>97</v>
      </c>
      <c r="B5" s="76"/>
      <c r="C5" s="77"/>
      <c r="D5" s="77"/>
      <c r="E5" s="77"/>
      <c r="F5" s="77"/>
      <c r="G5" s="77"/>
      <c r="H5" s="77"/>
      <c r="I5" s="77"/>
      <c r="J5" s="77"/>
      <c r="K5" s="6"/>
      <c r="L5" s="6"/>
      <c r="M5" s="5"/>
    </row>
    <row r="6" spans="1:13">
      <c r="A6" s="55">
        <v>1</v>
      </c>
      <c r="B6" s="41" t="s">
        <v>430</v>
      </c>
      <c r="C6" s="41" t="s">
        <v>431</v>
      </c>
      <c r="D6" s="41" t="s">
        <v>432</v>
      </c>
      <c r="E6" s="41" t="s">
        <v>620</v>
      </c>
      <c r="F6" s="41" t="s">
        <v>357</v>
      </c>
      <c r="G6" s="53" t="s">
        <v>88</v>
      </c>
      <c r="H6" s="53" t="s">
        <v>119</v>
      </c>
      <c r="I6" s="53" t="s">
        <v>229</v>
      </c>
      <c r="J6" s="55"/>
      <c r="K6" s="55" t="str">
        <f>"185,0"</f>
        <v>185,0</v>
      </c>
      <c r="L6" s="55" t="str">
        <f>"194,1020"</f>
        <v>194,1020</v>
      </c>
      <c r="M6" s="41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6C9E5-1B9C-4C93-A9B3-59DEA0B6DAFD}">
  <dimension ref="A1:M88"/>
  <sheetViews>
    <sheetView topLeftCell="A39" workbookViewId="0">
      <selection activeCell="E72" sqref="E72"/>
    </sheetView>
  </sheetViews>
  <sheetFormatPr baseColWidth="10" defaultColWidth="8.83203125" defaultRowHeight="13"/>
  <cols>
    <col min="1" max="1" width="7.5" style="42" bestFit="1" customWidth="1"/>
    <col min="2" max="2" width="23.83203125" style="42" bestFit="1" customWidth="1"/>
    <col min="3" max="3" width="29" style="42" bestFit="1" customWidth="1"/>
    <col min="4" max="4" width="21.5" style="42" bestFit="1" customWidth="1"/>
    <col min="5" max="5" width="10.5" style="42" bestFit="1" customWidth="1"/>
    <col min="6" max="6" width="34" style="42" bestFit="1" customWidth="1"/>
    <col min="7" max="9" width="5.5" style="51" customWidth="1"/>
    <col min="10" max="10" width="4.83203125" style="51" customWidth="1"/>
    <col min="11" max="11" width="10.5" style="52" bestFit="1" customWidth="1"/>
    <col min="12" max="12" width="8.6640625" style="51" bestFit="1" customWidth="1"/>
    <col min="13" max="13" width="22" style="42" customWidth="1"/>
  </cols>
  <sheetData>
    <row r="1" spans="1:13" s="2" customFormat="1" ht="29" customHeight="1">
      <c r="A1" s="80" t="s">
        <v>547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78" t="s">
        <v>619</v>
      </c>
      <c r="F3" s="88" t="s">
        <v>5</v>
      </c>
      <c r="G3" s="88" t="s">
        <v>8</v>
      </c>
      <c r="H3" s="88"/>
      <c r="I3" s="88"/>
      <c r="J3" s="88"/>
      <c r="K3" s="95" t="s">
        <v>283</v>
      </c>
      <c r="L3" s="78" t="s">
        <v>3</v>
      </c>
      <c r="M3" s="93" t="s">
        <v>2</v>
      </c>
    </row>
    <row r="4" spans="1:13" s="1" customFormat="1" ht="21" customHeight="1" thickBot="1">
      <c r="A4" s="90"/>
      <c r="B4" s="75"/>
      <c r="C4" s="92"/>
      <c r="D4" s="92"/>
      <c r="E4" s="79"/>
      <c r="F4" s="92"/>
      <c r="G4" s="4">
        <v>1</v>
      </c>
      <c r="H4" s="4">
        <v>2</v>
      </c>
      <c r="I4" s="4">
        <v>3</v>
      </c>
      <c r="J4" s="4" t="s">
        <v>4</v>
      </c>
      <c r="K4" s="96"/>
      <c r="L4" s="79"/>
      <c r="M4" s="94"/>
    </row>
    <row r="5" spans="1:13" s="3" customFormat="1" ht="16">
      <c r="A5" s="76" t="s">
        <v>284</v>
      </c>
      <c r="B5" s="76"/>
      <c r="C5" s="77"/>
      <c r="D5" s="77"/>
      <c r="E5" s="77"/>
      <c r="F5" s="77"/>
      <c r="G5" s="77"/>
      <c r="H5" s="77"/>
      <c r="I5" s="77"/>
      <c r="J5" s="77"/>
      <c r="K5" s="28"/>
      <c r="L5" s="6"/>
      <c r="M5" s="5"/>
    </row>
    <row r="6" spans="1:13">
      <c r="A6" s="58" t="s">
        <v>153</v>
      </c>
      <c r="B6" s="43" t="s">
        <v>285</v>
      </c>
      <c r="C6" s="43" t="s">
        <v>567</v>
      </c>
      <c r="D6" s="43" t="s">
        <v>286</v>
      </c>
      <c r="E6" s="43" t="s">
        <v>622</v>
      </c>
      <c r="F6" s="43" t="s">
        <v>36</v>
      </c>
      <c r="G6" s="56" t="s">
        <v>71</v>
      </c>
      <c r="H6" s="56" t="s">
        <v>71</v>
      </c>
      <c r="I6" s="56" t="s">
        <v>71</v>
      </c>
      <c r="J6" s="58"/>
      <c r="K6" s="69">
        <v>0</v>
      </c>
      <c r="L6" s="58" t="str">
        <f>"0,0000"</f>
        <v>0,0000</v>
      </c>
      <c r="M6" s="43" t="s">
        <v>287</v>
      </c>
    </row>
    <row r="7" spans="1:13">
      <c r="A7" s="61">
        <v>1</v>
      </c>
      <c r="B7" s="44" t="s">
        <v>288</v>
      </c>
      <c r="C7" s="44" t="s">
        <v>570</v>
      </c>
      <c r="D7" s="44" t="s">
        <v>289</v>
      </c>
      <c r="E7" s="44" t="s">
        <v>623</v>
      </c>
      <c r="F7" s="44" t="s">
        <v>233</v>
      </c>
      <c r="G7" s="60" t="s">
        <v>37</v>
      </c>
      <c r="H7" s="60" t="s">
        <v>44</v>
      </c>
      <c r="I7" s="59" t="s">
        <v>45</v>
      </c>
      <c r="J7" s="61"/>
      <c r="K7" s="70" t="str">
        <f>"57,5"</f>
        <v>57,5</v>
      </c>
      <c r="L7" s="61" t="str">
        <f>"137,5963"</f>
        <v>137,5963</v>
      </c>
      <c r="M7" s="44" t="s">
        <v>290</v>
      </c>
    </row>
    <row r="9" spans="1:13" ht="16">
      <c r="A9" s="73" t="s">
        <v>22</v>
      </c>
      <c r="B9" s="73"/>
      <c r="C9" s="73"/>
      <c r="D9" s="73"/>
      <c r="E9" s="73"/>
      <c r="F9" s="73"/>
      <c r="G9" s="73"/>
      <c r="H9" s="73"/>
      <c r="I9" s="73"/>
      <c r="J9" s="73"/>
    </row>
    <row r="10" spans="1:13">
      <c r="A10" s="58">
        <v>1</v>
      </c>
      <c r="B10" s="43" t="s">
        <v>291</v>
      </c>
      <c r="C10" s="43" t="s">
        <v>292</v>
      </c>
      <c r="D10" s="43" t="s">
        <v>293</v>
      </c>
      <c r="E10" s="43" t="s">
        <v>620</v>
      </c>
      <c r="F10" s="43" t="s">
        <v>14</v>
      </c>
      <c r="G10" s="57" t="s">
        <v>18</v>
      </c>
      <c r="H10" s="57" t="s">
        <v>44</v>
      </c>
      <c r="I10" s="56" t="s">
        <v>64</v>
      </c>
      <c r="J10" s="58"/>
      <c r="K10" s="69" t="str">
        <f>"57,5"</f>
        <v>57,5</v>
      </c>
      <c r="L10" s="58" t="str">
        <f>"124,5220"</f>
        <v>124,5220</v>
      </c>
      <c r="M10" s="43" t="s">
        <v>294</v>
      </c>
    </row>
    <row r="11" spans="1:13">
      <c r="A11" s="61">
        <v>2</v>
      </c>
      <c r="B11" s="44" t="s">
        <v>295</v>
      </c>
      <c r="C11" s="44" t="s">
        <v>296</v>
      </c>
      <c r="D11" s="44" t="s">
        <v>297</v>
      </c>
      <c r="E11" s="44" t="s">
        <v>620</v>
      </c>
      <c r="F11" s="44" t="s">
        <v>233</v>
      </c>
      <c r="G11" s="60" t="s">
        <v>37</v>
      </c>
      <c r="H11" s="59" t="s">
        <v>44</v>
      </c>
      <c r="I11" s="59" t="s">
        <v>44</v>
      </c>
      <c r="J11" s="61"/>
      <c r="K11" s="70" t="str">
        <f>"55,0"</f>
        <v>55,0</v>
      </c>
      <c r="L11" s="61" t="str">
        <f>"118,8000"</f>
        <v>118,8000</v>
      </c>
      <c r="M11" s="44" t="s">
        <v>298</v>
      </c>
    </row>
    <row r="13" spans="1:13" ht="16">
      <c r="A13" s="73" t="s">
        <v>40</v>
      </c>
      <c r="B13" s="73"/>
      <c r="C13" s="73"/>
      <c r="D13" s="73"/>
      <c r="E13" s="73"/>
      <c r="F13" s="73"/>
      <c r="G13" s="73"/>
      <c r="H13" s="73"/>
      <c r="I13" s="73"/>
      <c r="J13" s="73"/>
    </row>
    <row r="14" spans="1:13">
      <c r="A14" s="58">
        <v>1</v>
      </c>
      <c r="B14" s="43" t="s">
        <v>299</v>
      </c>
      <c r="C14" s="43" t="s">
        <v>571</v>
      </c>
      <c r="D14" s="43" t="s">
        <v>300</v>
      </c>
      <c r="E14" s="43" t="s">
        <v>622</v>
      </c>
      <c r="F14" s="43" t="s">
        <v>36</v>
      </c>
      <c r="G14" s="56" t="s">
        <v>70</v>
      </c>
      <c r="H14" s="57" t="s">
        <v>70</v>
      </c>
      <c r="I14" s="56" t="s">
        <v>72</v>
      </c>
      <c r="J14" s="58"/>
      <c r="K14" s="69" t="str">
        <f>"37,5"</f>
        <v>37,5</v>
      </c>
      <c r="L14" s="58" t="str">
        <f>"71,8425"</f>
        <v>71,8425</v>
      </c>
      <c r="M14" s="43" t="s">
        <v>287</v>
      </c>
    </row>
    <row r="15" spans="1:13">
      <c r="A15" s="65">
        <v>1</v>
      </c>
      <c r="B15" s="62" t="s">
        <v>301</v>
      </c>
      <c r="C15" s="62" t="s">
        <v>302</v>
      </c>
      <c r="D15" s="62" t="s">
        <v>303</v>
      </c>
      <c r="E15" s="62" t="s">
        <v>620</v>
      </c>
      <c r="F15" s="62" t="s">
        <v>233</v>
      </c>
      <c r="G15" s="63" t="s">
        <v>53</v>
      </c>
      <c r="H15" s="63" t="s">
        <v>54</v>
      </c>
      <c r="I15" s="64" t="s">
        <v>55</v>
      </c>
      <c r="J15" s="65"/>
      <c r="K15" s="71" t="str">
        <f>"82,5"</f>
        <v>82,5</v>
      </c>
      <c r="L15" s="65" t="str">
        <f>"157,4595"</f>
        <v>157,4595</v>
      </c>
      <c r="M15" s="62" t="s">
        <v>298</v>
      </c>
    </row>
    <row r="16" spans="1:13">
      <c r="A16" s="61">
        <v>2</v>
      </c>
      <c r="B16" s="44" t="s">
        <v>304</v>
      </c>
      <c r="C16" s="44" t="s">
        <v>305</v>
      </c>
      <c r="D16" s="44" t="s">
        <v>306</v>
      </c>
      <c r="E16" s="44" t="s">
        <v>620</v>
      </c>
      <c r="F16" s="44" t="s">
        <v>233</v>
      </c>
      <c r="G16" s="60" t="s">
        <v>72</v>
      </c>
      <c r="H16" s="60" t="s">
        <v>307</v>
      </c>
      <c r="I16" s="59" t="s">
        <v>18</v>
      </c>
      <c r="J16" s="61"/>
      <c r="K16" s="70" t="str">
        <f>"47,5"</f>
        <v>47,5</v>
      </c>
      <c r="L16" s="61" t="str">
        <f>"93,6605"</f>
        <v>93,6605</v>
      </c>
      <c r="M16" s="44"/>
    </row>
    <row r="18" spans="1:13" ht="16">
      <c r="A18" s="73" t="s">
        <v>49</v>
      </c>
      <c r="B18" s="73"/>
      <c r="C18" s="73"/>
      <c r="D18" s="73"/>
      <c r="E18" s="73"/>
      <c r="F18" s="73"/>
      <c r="G18" s="73"/>
      <c r="H18" s="73"/>
      <c r="I18" s="73"/>
      <c r="J18" s="73"/>
    </row>
    <row r="19" spans="1:13">
      <c r="A19" s="55">
        <v>1</v>
      </c>
      <c r="B19" s="41" t="s">
        <v>308</v>
      </c>
      <c r="C19" s="41" t="s">
        <v>572</v>
      </c>
      <c r="D19" s="41" t="s">
        <v>309</v>
      </c>
      <c r="E19" s="41" t="s">
        <v>623</v>
      </c>
      <c r="F19" s="41" t="s">
        <v>233</v>
      </c>
      <c r="G19" s="53" t="s">
        <v>18</v>
      </c>
      <c r="H19" s="54" t="s">
        <v>37</v>
      </c>
      <c r="I19" s="54" t="s">
        <v>37</v>
      </c>
      <c r="J19" s="55"/>
      <c r="K19" s="68" t="str">
        <f>"52,5"</f>
        <v>52,5</v>
      </c>
      <c r="L19" s="55" t="str">
        <f>"101,2012"</f>
        <v>101,2012</v>
      </c>
      <c r="M19" s="41" t="s">
        <v>298</v>
      </c>
    </row>
    <row r="21" spans="1:13" ht="16">
      <c r="A21" s="73" t="s">
        <v>66</v>
      </c>
      <c r="B21" s="73"/>
      <c r="C21" s="73"/>
      <c r="D21" s="73"/>
      <c r="E21" s="73"/>
      <c r="F21" s="73"/>
      <c r="G21" s="73"/>
      <c r="H21" s="73"/>
      <c r="I21" s="73"/>
      <c r="J21" s="73"/>
    </row>
    <row r="22" spans="1:13">
      <c r="A22" s="58">
        <v>1</v>
      </c>
      <c r="B22" s="43" t="s">
        <v>171</v>
      </c>
      <c r="C22" s="43" t="s">
        <v>172</v>
      </c>
      <c r="D22" s="43" t="s">
        <v>173</v>
      </c>
      <c r="E22" s="43" t="s">
        <v>620</v>
      </c>
      <c r="F22" s="43" t="s">
        <v>36</v>
      </c>
      <c r="G22" s="57" t="s">
        <v>53</v>
      </c>
      <c r="H22" s="57" t="s">
        <v>55</v>
      </c>
      <c r="I22" s="56" t="s">
        <v>27</v>
      </c>
      <c r="J22" s="58"/>
      <c r="K22" s="69" t="str">
        <f>"85,0"</f>
        <v>85,0</v>
      </c>
      <c r="L22" s="58" t="str">
        <f>"139,7230"</f>
        <v>139,7230</v>
      </c>
      <c r="M22" s="43" t="s">
        <v>174</v>
      </c>
    </row>
    <row r="23" spans="1:13">
      <c r="A23" s="65">
        <v>2</v>
      </c>
      <c r="B23" s="62" t="s">
        <v>310</v>
      </c>
      <c r="C23" s="62" t="s">
        <v>311</v>
      </c>
      <c r="D23" s="62" t="s">
        <v>312</v>
      </c>
      <c r="E23" s="62" t="s">
        <v>620</v>
      </c>
      <c r="F23" s="62" t="s">
        <v>52</v>
      </c>
      <c r="G23" s="63" t="s">
        <v>15</v>
      </c>
      <c r="H23" s="63" t="s">
        <v>16</v>
      </c>
      <c r="I23" s="64" t="s">
        <v>59</v>
      </c>
      <c r="J23" s="65"/>
      <c r="K23" s="71" t="str">
        <f>"72,5"</f>
        <v>72,5</v>
      </c>
      <c r="L23" s="65" t="str">
        <f>"127,9770"</f>
        <v>127,9770</v>
      </c>
      <c r="M23" s="62" t="s">
        <v>313</v>
      </c>
    </row>
    <row r="24" spans="1:13">
      <c r="A24" s="65">
        <v>3</v>
      </c>
      <c r="B24" s="62" t="s">
        <v>314</v>
      </c>
      <c r="C24" s="62" t="s">
        <v>315</v>
      </c>
      <c r="D24" s="62" t="s">
        <v>316</v>
      </c>
      <c r="E24" s="62" t="s">
        <v>620</v>
      </c>
      <c r="F24" s="62" t="s">
        <v>233</v>
      </c>
      <c r="G24" s="63" t="s">
        <v>16</v>
      </c>
      <c r="H24" s="64" t="s">
        <v>59</v>
      </c>
      <c r="I24" s="64" t="s">
        <v>59</v>
      </c>
      <c r="J24" s="65"/>
      <c r="K24" s="71" t="str">
        <f>"72,5"</f>
        <v>72,5</v>
      </c>
      <c r="L24" s="65" t="str">
        <f>"125,8600"</f>
        <v>125,8600</v>
      </c>
      <c r="M24" s="62"/>
    </row>
    <row r="25" spans="1:13">
      <c r="A25" s="65">
        <v>4</v>
      </c>
      <c r="B25" s="62" t="s">
        <v>317</v>
      </c>
      <c r="C25" s="62" t="s">
        <v>318</v>
      </c>
      <c r="D25" s="62" t="s">
        <v>319</v>
      </c>
      <c r="E25" s="62" t="s">
        <v>620</v>
      </c>
      <c r="F25" s="62" t="s">
        <v>36</v>
      </c>
      <c r="G25" s="64" t="s">
        <v>307</v>
      </c>
      <c r="H25" s="64" t="s">
        <v>307</v>
      </c>
      <c r="I25" s="63" t="s">
        <v>307</v>
      </c>
      <c r="J25" s="65"/>
      <c r="K25" s="71" t="str">
        <f>"47,5"</f>
        <v>47,5</v>
      </c>
      <c r="L25" s="65" t="str">
        <f>"83,7235"</f>
        <v>83,7235</v>
      </c>
      <c r="M25" s="62"/>
    </row>
    <row r="26" spans="1:13">
      <c r="A26" s="61">
        <v>5</v>
      </c>
      <c r="B26" s="44" t="s">
        <v>320</v>
      </c>
      <c r="C26" s="44" t="s">
        <v>321</v>
      </c>
      <c r="D26" s="44" t="s">
        <v>322</v>
      </c>
      <c r="E26" s="44" t="s">
        <v>620</v>
      </c>
      <c r="F26" s="44" t="s">
        <v>36</v>
      </c>
      <c r="G26" s="59" t="s">
        <v>72</v>
      </c>
      <c r="H26" s="60" t="s">
        <v>72</v>
      </c>
      <c r="I26" s="59" t="s">
        <v>79</v>
      </c>
      <c r="J26" s="61"/>
      <c r="K26" s="70" t="str">
        <f>"42,5"</f>
        <v>42,5</v>
      </c>
      <c r="L26" s="61" t="str">
        <f>"73,5760"</f>
        <v>73,5760</v>
      </c>
      <c r="M26" s="44" t="s">
        <v>323</v>
      </c>
    </row>
    <row r="28" spans="1:13" ht="16">
      <c r="A28" s="73" t="s">
        <v>178</v>
      </c>
      <c r="B28" s="73"/>
      <c r="C28" s="73"/>
      <c r="D28" s="73"/>
      <c r="E28" s="73"/>
      <c r="F28" s="73"/>
      <c r="G28" s="73"/>
      <c r="H28" s="73"/>
      <c r="I28" s="73"/>
      <c r="J28" s="73"/>
    </row>
    <row r="29" spans="1:13">
      <c r="A29" s="55">
        <v>1</v>
      </c>
      <c r="B29" s="41" t="s">
        <v>324</v>
      </c>
      <c r="C29" s="41" t="s">
        <v>573</v>
      </c>
      <c r="D29" s="41" t="s">
        <v>325</v>
      </c>
      <c r="E29" s="41" t="s">
        <v>628</v>
      </c>
      <c r="F29" s="41" t="s">
        <v>233</v>
      </c>
      <c r="G29" s="53" t="s">
        <v>64</v>
      </c>
      <c r="H29" s="54" t="s">
        <v>77</v>
      </c>
      <c r="I29" s="54" t="s">
        <v>77</v>
      </c>
      <c r="J29" s="55"/>
      <c r="K29" s="68" t="str">
        <f>"62,5"</f>
        <v>62,5</v>
      </c>
      <c r="L29" s="55" t="str">
        <f>"130,1906"</f>
        <v>130,1906</v>
      </c>
      <c r="M29" s="41"/>
    </row>
    <row r="31" spans="1:13" ht="16">
      <c r="A31" s="73" t="s">
        <v>22</v>
      </c>
      <c r="B31" s="73"/>
      <c r="C31" s="73"/>
      <c r="D31" s="73"/>
      <c r="E31" s="73"/>
      <c r="F31" s="73"/>
      <c r="G31" s="73"/>
      <c r="H31" s="73"/>
      <c r="I31" s="73"/>
      <c r="J31" s="73"/>
    </row>
    <row r="32" spans="1:13">
      <c r="A32" s="55">
        <v>1</v>
      </c>
      <c r="B32" s="41" t="s">
        <v>326</v>
      </c>
      <c r="C32" s="41" t="s">
        <v>574</v>
      </c>
      <c r="D32" s="41" t="s">
        <v>327</v>
      </c>
      <c r="E32" s="41" t="s">
        <v>624</v>
      </c>
      <c r="F32" s="41" t="s">
        <v>36</v>
      </c>
      <c r="G32" s="53" t="s">
        <v>328</v>
      </c>
      <c r="H32" s="54" t="s">
        <v>78</v>
      </c>
      <c r="I32" s="54" t="s">
        <v>78</v>
      </c>
      <c r="J32" s="55"/>
      <c r="K32" s="68" t="str">
        <f>"27,5"</f>
        <v>27,5</v>
      </c>
      <c r="L32" s="55" t="str">
        <f>"53,7625"</f>
        <v>53,7625</v>
      </c>
      <c r="M32" s="41" t="s">
        <v>65</v>
      </c>
    </row>
    <row r="34" spans="1:13" ht="16">
      <c r="A34" s="73" t="s">
        <v>66</v>
      </c>
      <c r="B34" s="73"/>
      <c r="C34" s="73"/>
      <c r="D34" s="73"/>
      <c r="E34" s="73"/>
      <c r="F34" s="73"/>
      <c r="G34" s="73"/>
      <c r="H34" s="73"/>
      <c r="I34" s="73"/>
      <c r="J34" s="73"/>
    </row>
    <row r="35" spans="1:13">
      <c r="A35" s="58">
        <v>1</v>
      </c>
      <c r="B35" s="43" t="s">
        <v>329</v>
      </c>
      <c r="C35" s="43" t="s">
        <v>575</v>
      </c>
      <c r="D35" s="43" t="s">
        <v>330</v>
      </c>
      <c r="E35" s="43" t="s">
        <v>621</v>
      </c>
      <c r="F35" s="43" t="s">
        <v>52</v>
      </c>
      <c r="G35" s="57" t="s">
        <v>55</v>
      </c>
      <c r="H35" s="56" t="s">
        <v>19</v>
      </c>
      <c r="I35" s="57" t="s">
        <v>19</v>
      </c>
      <c r="J35" s="58"/>
      <c r="K35" s="69" t="str">
        <f>"92,5"</f>
        <v>92,5</v>
      </c>
      <c r="L35" s="58" t="str">
        <f>"122,8030"</f>
        <v>122,8030</v>
      </c>
      <c r="M35" s="43" t="s">
        <v>313</v>
      </c>
    </row>
    <row r="36" spans="1:13">
      <c r="A36" s="65">
        <v>2</v>
      </c>
      <c r="B36" s="62" t="s">
        <v>331</v>
      </c>
      <c r="C36" s="62" t="s">
        <v>576</v>
      </c>
      <c r="D36" s="62" t="s">
        <v>332</v>
      </c>
      <c r="E36" s="62" t="s">
        <v>621</v>
      </c>
      <c r="F36" s="62" t="s">
        <v>36</v>
      </c>
      <c r="G36" s="64" t="s">
        <v>69</v>
      </c>
      <c r="H36" s="64" t="s">
        <v>69</v>
      </c>
      <c r="I36" s="63" t="s">
        <v>69</v>
      </c>
      <c r="J36" s="65"/>
      <c r="K36" s="71" t="str">
        <f>"87,5"</f>
        <v>87,5</v>
      </c>
      <c r="L36" s="65" t="str">
        <f>"121,2225"</f>
        <v>121,2225</v>
      </c>
      <c r="M36" s="62"/>
    </row>
    <row r="37" spans="1:13">
      <c r="A37" s="65">
        <v>1</v>
      </c>
      <c r="B37" s="62" t="s">
        <v>333</v>
      </c>
      <c r="C37" s="62" t="s">
        <v>577</v>
      </c>
      <c r="D37" s="62" t="s">
        <v>177</v>
      </c>
      <c r="E37" s="62" t="s">
        <v>626</v>
      </c>
      <c r="F37" s="62" t="s">
        <v>36</v>
      </c>
      <c r="G37" s="64" t="s">
        <v>20</v>
      </c>
      <c r="H37" s="63" t="s">
        <v>20</v>
      </c>
      <c r="I37" s="64" t="s">
        <v>38</v>
      </c>
      <c r="J37" s="65"/>
      <c r="K37" s="71" t="str">
        <f>"97,5"</f>
        <v>97,5</v>
      </c>
      <c r="L37" s="65" t="str">
        <f>"121,4850"</f>
        <v>121,4850</v>
      </c>
      <c r="M37" s="62" t="s">
        <v>287</v>
      </c>
    </row>
    <row r="38" spans="1:13">
      <c r="A38" s="65" t="s">
        <v>153</v>
      </c>
      <c r="B38" s="62" t="s">
        <v>334</v>
      </c>
      <c r="C38" s="62" t="s">
        <v>578</v>
      </c>
      <c r="D38" s="62" t="s">
        <v>335</v>
      </c>
      <c r="E38" s="62" t="s">
        <v>622</v>
      </c>
      <c r="F38" s="62" t="s">
        <v>36</v>
      </c>
      <c r="G38" s="64" t="s">
        <v>53</v>
      </c>
      <c r="H38" s="64" t="s">
        <v>53</v>
      </c>
      <c r="I38" s="64" t="s">
        <v>53</v>
      </c>
      <c r="J38" s="65"/>
      <c r="K38" s="71">
        <v>0</v>
      </c>
      <c r="L38" s="65" t="str">
        <f>"0,0000"</f>
        <v>0,0000</v>
      </c>
      <c r="M38" s="62" t="s">
        <v>287</v>
      </c>
    </row>
    <row r="39" spans="1:13">
      <c r="A39" s="61">
        <v>1</v>
      </c>
      <c r="B39" s="44" t="s">
        <v>336</v>
      </c>
      <c r="C39" s="44" t="s">
        <v>337</v>
      </c>
      <c r="D39" s="44" t="s">
        <v>338</v>
      </c>
      <c r="E39" s="44" t="s">
        <v>620</v>
      </c>
      <c r="F39" s="44" t="s">
        <v>14</v>
      </c>
      <c r="G39" s="60" t="s">
        <v>21</v>
      </c>
      <c r="H39" s="60" t="s">
        <v>38</v>
      </c>
      <c r="I39" s="59" t="s">
        <v>93</v>
      </c>
      <c r="J39" s="61"/>
      <c r="K39" s="70" t="str">
        <f>"107,5"</f>
        <v>107,5</v>
      </c>
      <c r="L39" s="61" t="str">
        <f>"147,6405"</f>
        <v>147,6405</v>
      </c>
      <c r="M39" s="44"/>
    </row>
    <row r="41" spans="1:13" ht="16">
      <c r="A41" s="73" t="s">
        <v>178</v>
      </c>
      <c r="B41" s="73"/>
      <c r="C41" s="73"/>
      <c r="D41" s="73"/>
      <c r="E41" s="73"/>
      <c r="F41" s="73"/>
      <c r="G41" s="73"/>
      <c r="H41" s="73"/>
      <c r="I41" s="73"/>
      <c r="J41" s="73"/>
    </row>
    <row r="42" spans="1:13">
      <c r="A42" s="58">
        <v>1</v>
      </c>
      <c r="B42" s="43" t="s">
        <v>339</v>
      </c>
      <c r="C42" s="43" t="s">
        <v>579</v>
      </c>
      <c r="D42" s="43" t="s">
        <v>325</v>
      </c>
      <c r="E42" s="43" t="s">
        <v>622</v>
      </c>
      <c r="F42" s="43" t="s">
        <v>36</v>
      </c>
      <c r="G42" s="57" t="s">
        <v>100</v>
      </c>
      <c r="H42" s="57" t="s">
        <v>110</v>
      </c>
      <c r="I42" s="57" t="s">
        <v>105</v>
      </c>
      <c r="J42" s="58"/>
      <c r="K42" s="69" t="str">
        <f>"140,0"</f>
        <v>140,0</v>
      </c>
      <c r="L42" s="58" t="str">
        <f>"156,3800"</f>
        <v>156,3800</v>
      </c>
      <c r="M42" s="43"/>
    </row>
    <row r="43" spans="1:13">
      <c r="A43" s="65">
        <v>1</v>
      </c>
      <c r="B43" s="62" t="s">
        <v>340</v>
      </c>
      <c r="C43" s="62" t="s">
        <v>341</v>
      </c>
      <c r="D43" s="62" t="s">
        <v>342</v>
      </c>
      <c r="E43" s="62" t="s">
        <v>620</v>
      </c>
      <c r="F43" s="62" t="s">
        <v>36</v>
      </c>
      <c r="G43" s="63" t="s">
        <v>46</v>
      </c>
      <c r="H43" s="63" t="s">
        <v>100</v>
      </c>
      <c r="I43" s="63" t="s">
        <v>110</v>
      </c>
      <c r="J43" s="65"/>
      <c r="K43" s="71" t="str">
        <f>"135,0"</f>
        <v>135,0</v>
      </c>
      <c r="L43" s="65" t="str">
        <f>"156,6540"</f>
        <v>156,6540</v>
      </c>
      <c r="M43" s="62"/>
    </row>
    <row r="44" spans="1:13">
      <c r="A44" s="65">
        <v>2</v>
      </c>
      <c r="B44" s="62" t="s">
        <v>343</v>
      </c>
      <c r="C44" s="62" t="s">
        <v>344</v>
      </c>
      <c r="D44" s="62" t="s">
        <v>345</v>
      </c>
      <c r="E44" s="62" t="s">
        <v>620</v>
      </c>
      <c r="F44" s="62" t="s">
        <v>233</v>
      </c>
      <c r="G44" s="63" t="s">
        <v>30</v>
      </c>
      <c r="H44" s="64" t="s">
        <v>110</v>
      </c>
      <c r="I44" s="64" t="s">
        <v>110</v>
      </c>
      <c r="J44" s="65"/>
      <c r="K44" s="71" t="str">
        <f>"120,0"</f>
        <v>120,0</v>
      </c>
      <c r="L44" s="65" t="str">
        <f>"135,0720"</f>
        <v>135,0720</v>
      </c>
      <c r="M44" s="62" t="s">
        <v>298</v>
      </c>
    </row>
    <row r="45" spans="1:13">
      <c r="A45" s="65">
        <v>3</v>
      </c>
      <c r="B45" s="62" t="s">
        <v>346</v>
      </c>
      <c r="C45" s="62" t="s">
        <v>347</v>
      </c>
      <c r="D45" s="62" t="s">
        <v>348</v>
      </c>
      <c r="E45" s="62" t="s">
        <v>620</v>
      </c>
      <c r="F45" s="62" t="s">
        <v>14</v>
      </c>
      <c r="G45" s="63" t="s">
        <v>29</v>
      </c>
      <c r="H45" s="63" t="s">
        <v>349</v>
      </c>
      <c r="I45" s="64" t="s">
        <v>30</v>
      </c>
      <c r="J45" s="65"/>
      <c r="K45" s="71" t="str">
        <f>"117,5"</f>
        <v>117,5</v>
      </c>
      <c r="L45" s="65" t="str">
        <f>"132,6340"</f>
        <v>132,6340</v>
      </c>
      <c r="M45" s="62"/>
    </row>
    <row r="46" spans="1:13">
      <c r="A46" s="65">
        <v>4</v>
      </c>
      <c r="B46" s="62" t="s">
        <v>350</v>
      </c>
      <c r="C46" s="62" t="s">
        <v>351</v>
      </c>
      <c r="D46" s="62" t="s">
        <v>352</v>
      </c>
      <c r="E46" s="62" t="s">
        <v>620</v>
      </c>
      <c r="F46" s="62" t="s">
        <v>612</v>
      </c>
      <c r="G46" s="64" t="s">
        <v>166</v>
      </c>
      <c r="H46" s="63" t="s">
        <v>93</v>
      </c>
      <c r="I46" s="64" t="s">
        <v>349</v>
      </c>
      <c r="J46" s="65"/>
      <c r="K46" s="71" t="str">
        <f>"110,0"</f>
        <v>110,0</v>
      </c>
      <c r="L46" s="65" t="str">
        <f>"127,3140"</f>
        <v>127,3140</v>
      </c>
      <c r="M46" s="62" t="s">
        <v>323</v>
      </c>
    </row>
    <row r="47" spans="1:13">
      <c r="A47" s="61">
        <v>1</v>
      </c>
      <c r="B47" s="44" t="s">
        <v>353</v>
      </c>
      <c r="C47" s="44" t="s">
        <v>580</v>
      </c>
      <c r="D47" s="44" t="s">
        <v>354</v>
      </c>
      <c r="E47" s="44" t="s">
        <v>628</v>
      </c>
      <c r="F47" s="44" t="s">
        <v>233</v>
      </c>
      <c r="G47" s="60" t="s">
        <v>94</v>
      </c>
      <c r="H47" s="60" t="s">
        <v>30</v>
      </c>
      <c r="I47" s="60" t="s">
        <v>46</v>
      </c>
      <c r="J47" s="61"/>
      <c r="K47" s="70" t="str">
        <f>"125,0"</f>
        <v>125,0</v>
      </c>
      <c r="L47" s="61" t="str">
        <f>"190,3350"</f>
        <v>190,3350</v>
      </c>
      <c r="M47" s="44"/>
    </row>
    <row r="49" spans="1:13" ht="16">
      <c r="A49" s="73" t="s">
        <v>97</v>
      </c>
      <c r="B49" s="73"/>
      <c r="C49" s="73"/>
      <c r="D49" s="73"/>
      <c r="E49" s="73"/>
      <c r="F49" s="73"/>
      <c r="G49" s="73"/>
      <c r="H49" s="73"/>
      <c r="I49" s="73"/>
      <c r="J49" s="73"/>
    </row>
    <row r="50" spans="1:13">
      <c r="A50" s="58">
        <v>1</v>
      </c>
      <c r="B50" s="43" t="s">
        <v>98</v>
      </c>
      <c r="C50" s="43" t="s">
        <v>564</v>
      </c>
      <c r="D50" s="43" t="s">
        <v>99</v>
      </c>
      <c r="E50" s="43" t="s">
        <v>622</v>
      </c>
      <c r="F50" s="43" t="s">
        <v>26</v>
      </c>
      <c r="G50" s="56" t="s">
        <v>94</v>
      </c>
      <c r="H50" s="57" t="s">
        <v>30</v>
      </c>
      <c r="I50" s="57" t="s">
        <v>100</v>
      </c>
      <c r="J50" s="58"/>
      <c r="K50" s="69" t="str">
        <f>"130,0"</f>
        <v>130,0</v>
      </c>
      <c r="L50" s="58" t="str">
        <f>"136,0320"</f>
        <v>136,0320</v>
      </c>
      <c r="M50" s="43"/>
    </row>
    <row r="51" spans="1:13">
      <c r="A51" s="65">
        <v>1</v>
      </c>
      <c r="B51" s="62" t="s">
        <v>355</v>
      </c>
      <c r="C51" s="62" t="s">
        <v>356</v>
      </c>
      <c r="D51" s="62" t="s">
        <v>187</v>
      </c>
      <c r="E51" s="62" t="s">
        <v>620</v>
      </c>
      <c r="F51" s="62" t="s">
        <v>357</v>
      </c>
      <c r="G51" s="63" t="s">
        <v>85</v>
      </c>
      <c r="H51" s="63" t="s">
        <v>86</v>
      </c>
      <c r="I51" s="63" t="s">
        <v>87</v>
      </c>
      <c r="J51" s="65"/>
      <c r="K51" s="71" t="str">
        <f>"160,0"</f>
        <v>160,0</v>
      </c>
      <c r="L51" s="65" t="str">
        <f>"164,7680"</f>
        <v>164,7680</v>
      </c>
      <c r="M51" s="62"/>
    </row>
    <row r="52" spans="1:13">
      <c r="A52" s="65">
        <v>2</v>
      </c>
      <c r="B52" s="62" t="s">
        <v>98</v>
      </c>
      <c r="C52" s="62" t="s">
        <v>101</v>
      </c>
      <c r="D52" s="62" t="s">
        <v>99</v>
      </c>
      <c r="E52" s="62" t="s">
        <v>620</v>
      </c>
      <c r="F52" s="62" t="s">
        <v>26</v>
      </c>
      <c r="G52" s="64" t="s">
        <v>94</v>
      </c>
      <c r="H52" s="63" t="s">
        <v>30</v>
      </c>
      <c r="I52" s="63" t="s">
        <v>100</v>
      </c>
      <c r="J52" s="65"/>
      <c r="K52" s="71" t="str">
        <f>"130,0"</f>
        <v>130,0</v>
      </c>
      <c r="L52" s="65" t="str">
        <f>"136,0320"</f>
        <v>136,0320</v>
      </c>
      <c r="M52" s="62"/>
    </row>
    <row r="53" spans="1:13">
      <c r="A53" s="65">
        <v>3</v>
      </c>
      <c r="B53" s="62" t="s">
        <v>358</v>
      </c>
      <c r="C53" s="62" t="s">
        <v>359</v>
      </c>
      <c r="D53" s="62" t="s">
        <v>360</v>
      </c>
      <c r="E53" s="62" t="s">
        <v>620</v>
      </c>
      <c r="F53" s="62" t="s">
        <v>36</v>
      </c>
      <c r="G53" s="63" t="s">
        <v>21</v>
      </c>
      <c r="H53" s="64" t="s">
        <v>38</v>
      </c>
      <c r="I53" s="63" t="s">
        <v>38</v>
      </c>
      <c r="J53" s="65"/>
      <c r="K53" s="71" t="str">
        <f>"107,5"</f>
        <v>107,5</v>
      </c>
      <c r="L53" s="65" t="str">
        <f>"112,4020"</f>
        <v>112,4020</v>
      </c>
      <c r="M53" s="62" t="s">
        <v>65</v>
      </c>
    </row>
    <row r="54" spans="1:13">
      <c r="A54" s="65">
        <v>4</v>
      </c>
      <c r="B54" s="62" t="s">
        <v>361</v>
      </c>
      <c r="C54" s="62" t="s">
        <v>362</v>
      </c>
      <c r="D54" s="62" t="s">
        <v>363</v>
      </c>
      <c r="E54" s="62" t="s">
        <v>620</v>
      </c>
      <c r="F54" s="62" t="s">
        <v>36</v>
      </c>
      <c r="G54" s="63" t="s">
        <v>55</v>
      </c>
      <c r="H54" s="63" t="s">
        <v>28</v>
      </c>
      <c r="I54" s="63" t="s">
        <v>21</v>
      </c>
      <c r="J54" s="65"/>
      <c r="K54" s="71" t="str">
        <f>"100,0"</f>
        <v>100,0</v>
      </c>
      <c r="L54" s="65" t="str">
        <f>"108,5200"</f>
        <v>108,5200</v>
      </c>
      <c r="M54" s="62" t="s">
        <v>65</v>
      </c>
    </row>
    <row r="55" spans="1:13">
      <c r="A55" s="65">
        <v>1</v>
      </c>
      <c r="B55" s="62" t="s">
        <v>364</v>
      </c>
      <c r="C55" s="62" t="s">
        <v>581</v>
      </c>
      <c r="D55" s="62" t="s">
        <v>365</v>
      </c>
      <c r="E55" s="62" t="s">
        <v>623</v>
      </c>
      <c r="F55" s="62" t="s">
        <v>14</v>
      </c>
      <c r="G55" s="63" t="s">
        <v>94</v>
      </c>
      <c r="H55" s="64" t="s">
        <v>47</v>
      </c>
      <c r="I55" s="63" t="s">
        <v>47</v>
      </c>
      <c r="J55" s="65"/>
      <c r="K55" s="71" t="str">
        <f>"127,5"</f>
        <v>127,5</v>
      </c>
      <c r="L55" s="65" t="str">
        <f>"134,5956"</f>
        <v>134,5956</v>
      </c>
      <c r="M55" s="62"/>
    </row>
    <row r="56" spans="1:13">
      <c r="A56" s="65">
        <v>1</v>
      </c>
      <c r="B56" s="62" t="s">
        <v>355</v>
      </c>
      <c r="C56" s="62" t="s">
        <v>582</v>
      </c>
      <c r="D56" s="62" t="s">
        <v>187</v>
      </c>
      <c r="E56" s="62" t="s">
        <v>629</v>
      </c>
      <c r="F56" s="62" t="s">
        <v>357</v>
      </c>
      <c r="G56" s="63" t="s">
        <v>85</v>
      </c>
      <c r="H56" s="63" t="s">
        <v>86</v>
      </c>
      <c r="I56" s="63" t="s">
        <v>87</v>
      </c>
      <c r="J56" s="65"/>
      <c r="K56" s="71" t="str">
        <f>"160,0"</f>
        <v>160,0</v>
      </c>
      <c r="L56" s="65" t="str">
        <f>"186,5174"</f>
        <v>186,5174</v>
      </c>
      <c r="M56" s="62"/>
    </row>
    <row r="57" spans="1:13">
      <c r="A57" s="61">
        <v>1</v>
      </c>
      <c r="B57" s="44" t="s">
        <v>366</v>
      </c>
      <c r="C57" s="44" t="s">
        <v>583</v>
      </c>
      <c r="D57" s="44" t="s">
        <v>367</v>
      </c>
      <c r="E57" s="44" t="s">
        <v>625</v>
      </c>
      <c r="F57" s="44" t="s">
        <v>233</v>
      </c>
      <c r="G57" s="60" t="s">
        <v>94</v>
      </c>
      <c r="H57" s="60" t="s">
        <v>30</v>
      </c>
      <c r="I57" s="60" t="s">
        <v>46</v>
      </c>
      <c r="J57" s="61"/>
      <c r="K57" s="70" t="str">
        <f>"125,0"</f>
        <v>125,0</v>
      </c>
      <c r="L57" s="61" t="str">
        <f>"187,4880"</f>
        <v>187,4880</v>
      </c>
      <c r="M57" s="44" t="s">
        <v>298</v>
      </c>
    </row>
    <row r="59" spans="1:13" ht="16">
      <c r="A59" s="73" t="s">
        <v>102</v>
      </c>
      <c r="B59" s="73"/>
      <c r="C59" s="73"/>
      <c r="D59" s="73"/>
      <c r="E59" s="73"/>
      <c r="F59" s="73"/>
      <c r="G59" s="73"/>
      <c r="H59" s="73"/>
      <c r="I59" s="73"/>
      <c r="J59" s="73"/>
    </row>
    <row r="60" spans="1:13">
      <c r="A60" s="58">
        <v>1</v>
      </c>
      <c r="B60" s="43" t="s">
        <v>368</v>
      </c>
      <c r="C60" s="43" t="s">
        <v>369</v>
      </c>
      <c r="D60" s="43" t="s">
        <v>197</v>
      </c>
      <c r="E60" s="43" t="s">
        <v>620</v>
      </c>
      <c r="F60" s="43" t="s">
        <v>84</v>
      </c>
      <c r="G60" s="57" t="s">
        <v>85</v>
      </c>
      <c r="H60" s="57" t="s">
        <v>86</v>
      </c>
      <c r="I60" s="57" t="s">
        <v>96</v>
      </c>
      <c r="J60" s="58"/>
      <c r="K60" s="69" t="str">
        <f>"155,0"</f>
        <v>155,0</v>
      </c>
      <c r="L60" s="58" t="str">
        <f>"154,3180"</f>
        <v>154,3180</v>
      </c>
      <c r="M60" s="43"/>
    </row>
    <row r="61" spans="1:13">
      <c r="A61" s="65">
        <v>2</v>
      </c>
      <c r="B61" s="62" t="s">
        <v>370</v>
      </c>
      <c r="C61" s="62" t="s">
        <v>371</v>
      </c>
      <c r="D61" s="62" t="s">
        <v>232</v>
      </c>
      <c r="E61" s="62" t="s">
        <v>620</v>
      </c>
      <c r="F61" s="62" t="s">
        <v>14</v>
      </c>
      <c r="G61" s="63" t="s">
        <v>249</v>
      </c>
      <c r="H61" s="64" t="s">
        <v>110</v>
      </c>
      <c r="I61" s="64" t="s">
        <v>110</v>
      </c>
      <c r="J61" s="65"/>
      <c r="K61" s="71" t="str">
        <f>"132,5"</f>
        <v>132,5</v>
      </c>
      <c r="L61" s="65" t="str">
        <f>"129,8235"</f>
        <v>129,8235</v>
      </c>
      <c r="M61" s="62"/>
    </row>
    <row r="62" spans="1:13">
      <c r="A62" s="65">
        <v>3</v>
      </c>
      <c r="B62" s="62" t="s">
        <v>372</v>
      </c>
      <c r="C62" s="62" t="s">
        <v>373</v>
      </c>
      <c r="D62" s="62" t="s">
        <v>374</v>
      </c>
      <c r="E62" s="62" t="s">
        <v>620</v>
      </c>
      <c r="F62" s="62" t="s">
        <v>375</v>
      </c>
      <c r="G62" s="63" t="s">
        <v>46</v>
      </c>
      <c r="H62" s="64" t="s">
        <v>249</v>
      </c>
      <c r="I62" s="64" t="s">
        <v>249</v>
      </c>
      <c r="J62" s="65"/>
      <c r="K62" s="71" t="str">
        <f>"125,0"</f>
        <v>125,0</v>
      </c>
      <c r="L62" s="65" t="str">
        <f>"122,6750"</f>
        <v>122,6750</v>
      </c>
      <c r="M62" s="62" t="s">
        <v>376</v>
      </c>
    </row>
    <row r="63" spans="1:13">
      <c r="A63" s="61" t="s">
        <v>153</v>
      </c>
      <c r="B63" s="44" t="s">
        <v>377</v>
      </c>
      <c r="C63" s="44" t="s">
        <v>378</v>
      </c>
      <c r="D63" s="44" t="s">
        <v>104</v>
      </c>
      <c r="E63" s="44" t="s">
        <v>620</v>
      </c>
      <c r="F63" s="44" t="s">
        <v>36</v>
      </c>
      <c r="G63" s="59" t="s">
        <v>110</v>
      </c>
      <c r="H63" s="59" t="s">
        <v>110</v>
      </c>
      <c r="I63" s="59" t="s">
        <v>110</v>
      </c>
      <c r="J63" s="61"/>
      <c r="K63" s="70">
        <v>0</v>
      </c>
      <c r="L63" s="61" t="str">
        <f>"0,0000"</f>
        <v>0,0000</v>
      </c>
      <c r="M63" s="44"/>
    </row>
    <row r="65" spans="1:13" ht="16">
      <c r="A65" s="73" t="s">
        <v>114</v>
      </c>
      <c r="B65" s="73"/>
      <c r="C65" s="73"/>
      <c r="D65" s="73"/>
      <c r="E65" s="73"/>
      <c r="F65" s="73"/>
      <c r="G65" s="73"/>
      <c r="H65" s="73"/>
      <c r="I65" s="73"/>
      <c r="J65" s="73"/>
    </row>
    <row r="66" spans="1:13">
      <c r="A66" s="58">
        <v>1</v>
      </c>
      <c r="B66" s="43" t="s">
        <v>379</v>
      </c>
      <c r="C66" s="43" t="s">
        <v>380</v>
      </c>
      <c r="D66" s="43" t="s">
        <v>381</v>
      </c>
      <c r="E66" s="43" t="s">
        <v>620</v>
      </c>
      <c r="F66" s="43" t="s">
        <v>52</v>
      </c>
      <c r="G66" s="56" t="s">
        <v>182</v>
      </c>
      <c r="H66" s="57" t="s">
        <v>182</v>
      </c>
      <c r="I66" s="57" t="s">
        <v>260</v>
      </c>
      <c r="J66" s="58"/>
      <c r="K66" s="69" t="str">
        <f>"167,5"</f>
        <v>167,5</v>
      </c>
      <c r="L66" s="58" t="str">
        <f>"153,6645"</f>
        <v>153,6645</v>
      </c>
      <c r="M66" s="43"/>
    </row>
    <row r="67" spans="1:13">
      <c r="A67" s="65">
        <v>1</v>
      </c>
      <c r="B67" s="62" t="s">
        <v>382</v>
      </c>
      <c r="C67" s="62" t="s">
        <v>584</v>
      </c>
      <c r="D67" s="62" t="s">
        <v>383</v>
      </c>
      <c r="E67" s="62" t="s">
        <v>623</v>
      </c>
      <c r="F67" s="62" t="s">
        <v>224</v>
      </c>
      <c r="G67" s="63" t="s">
        <v>192</v>
      </c>
      <c r="H67" s="63" t="s">
        <v>384</v>
      </c>
      <c r="I67" s="63" t="s">
        <v>95</v>
      </c>
      <c r="J67" s="65"/>
      <c r="K67" s="71" t="str">
        <f>"150,0"</f>
        <v>150,0</v>
      </c>
      <c r="L67" s="65" t="str">
        <f>"142,9434"</f>
        <v>142,9434</v>
      </c>
      <c r="M67" s="62"/>
    </row>
    <row r="68" spans="1:13">
      <c r="A68" s="61">
        <v>1</v>
      </c>
      <c r="B68" s="44" t="s">
        <v>385</v>
      </c>
      <c r="C68" s="44" t="s">
        <v>585</v>
      </c>
      <c r="D68" s="44" t="s">
        <v>386</v>
      </c>
      <c r="E68" s="44" t="s">
        <v>627</v>
      </c>
      <c r="F68" s="44" t="s">
        <v>387</v>
      </c>
      <c r="G68" s="60" t="s">
        <v>87</v>
      </c>
      <c r="H68" s="59" t="s">
        <v>183</v>
      </c>
      <c r="I68" s="59" t="s">
        <v>183</v>
      </c>
      <c r="J68" s="61"/>
      <c r="K68" s="70" t="str">
        <f>"160,0"</f>
        <v>160,0</v>
      </c>
      <c r="L68" s="61" t="str">
        <f>"181,3510"</f>
        <v>181,3510</v>
      </c>
      <c r="M68" s="44" t="s">
        <v>388</v>
      </c>
    </row>
    <row r="70" spans="1:13" ht="16">
      <c r="A70" s="73" t="s">
        <v>141</v>
      </c>
      <c r="B70" s="73"/>
      <c r="C70" s="73"/>
      <c r="D70" s="73"/>
      <c r="E70" s="73"/>
      <c r="F70" s="73"/>
      <c r="G70" s="73"/>
      <c r="H70" s="73"/>
      <c r="I70" s="73"/>
      <c r="J70" s="73"/>
    </row>
    <row r="71" spans="1:13">
      <c r="A71" s="55">
        <v>1</v>
      </c>
      <c r="B71" s="41" t="s">
        <v>389</v>
      </c>
      <c r="C71" s="41" t="s">
        <v>390</v>
      </c>
      <c r="D71" s="41" t="s">
        <v>391</v>
      </c>
      <c r="E71" s="41" t="s">
        <v>620</v>
      </c>
      <c r="F71" s="41" t="s">
        <v>36</v>
      </c>
      <c r="G71" s="53" t="s">
        <v>93</v>
      </c>
      <c r="H71" s="54" t="s">
        <v>30</v>
      </c>
      <c r="I71" s="53" t="s">
        <v>30</v>
      </c>
      <c r="J71" s="55"/>
      <c r="K71" s="68" t="str">
        <f>"120,0"</f>
        <v>120,0</v>
      </c>
      <c r="L71" s="55" t="str">
        <f>"107,2320"</f>
        <v>107,2320</v>
      </c>
      <c r="M71" s="41" t="s">
        <v>65</v>
      </c>
    </row>
    <row r="73" spans="1:13">
      <c r="G73" s="42"/>
    </row>
    <row r="75" spans="1:13" ht="18">
      <c r="B75" s="45" t="s">
        <v>122</v>
      </c>
      <c r="C75" s="45"/>
    </row>
    <row r="76" spans="1:13" ht="16">
      <c r="B76" s="46" t="s">
        <v>123</v>
      </c>
      <c r="C76" s="46"/>
    </row>
    <row r="77" spans="1:13" ht="14">
      <c r="B77" s="47"/>
      <c r="C77" s="48" t="s">
        <v>128</v>
      </c>
    </row>
    <row r="78" spans="1:13" ht="14">
      <c r="B78" s="49" t="s">
        <v>124</v>
      </c>
      <c r="C78" s="49" t="s">
        <v>125</v>
      </c>
      <c r="D78" s="49" t="s">
        <v>609</v>
      </c>
      <c r="E78" s="49" t="s">
        <v>282</v>
      </c>
      <c r="F78" s="49" t="s">
        <v>127</v>
      </c>
    </row>
    <row r="79" spans="1:13">
      <c r="B79" s="42" t="s">
        <v>301</v>
      </c>
      <c r="C79" s="42" t="s">
        <v>128</v>
      </c>
      <c r="D79" s="51">
        <v>56</v>
      </c>
      <c r="E79" s="52">
        <v>82.5</v>
      </c>
      <c r="F79" s="50">
        <v>157.459497749805</v>
      </c>
    </row>
    <row r="80" spans="1:13">
      <c r="B80" s="42" t="s">
        <v>171</v>
      </c>
      <c r="C80" s="42" t="s">
        <v>128</v>
      </c>
      <c r="D80" s="51">
        <v>67.5</v>
      </c>
      <c r="E80" s="52">
        <v>85</v>
      </c>
      <c r="F80" s="50">
        <v>139.723001718521</v>
      </c>
    </row>
    <row r="81" spans="2:6">
      <c r="B81" s="42" t="s">
        <v>310</v>
      </c>
      <c r="C81" s="42" t="s">
        <v>128</v>
      </c>
      <c r="D81" s="51">
        <v>67.5</v>
      </c>
      <c r="E81" s="52">
        <v>72.5</v>
      </c>
      <c r="F81" s="50">
        <v>127.977001368999</v>
      </c>
    </row>
    <row r="82" spans="2:6" ht="16">
      <c r="B82" s="46" t="s">
        <v>131</v>
      </c>
      <c r="C82" s="46"/>
    </row>
    <row r="83" spans="2:6" ht="16">
      <c r="B83" s="46"/>
      <c r="C83" s="46"/>
    </row>
    <row r="84" spans="2:6" ht="14">
      <c r="B84" s="47"/>
      <c r="C84" s="48" t="s">
        <v>128</v>
      </c>
    </row>
    <row r="85" spans="2:6" ht="14">
      <c r="B85" s="49" t="s">
        <v>124</v>
      </c>
      <c r="C85" s="49" t="s">
        <v>125</v>
      </c>
      <c r="D85" s="49" t="s">
        <v>609</v>
      </c>
      <c r="E85" s="49" t="s">
        <v>282</v>
      </c>
      <c r="F85" s="49" t="s">
        <v>127</v>
      </c>
    </row>
    <row r="86" spans="2:6">
      <c r="B86" s="42" t="s">
        <v>355</v>
      </c>
      <c r="C86" s="42" t="s">
        <v>128</v>
      </c>
      <c r="D86" s="51">
        <v>82.5</v>
      </c>
      <c r="E86" s="52">
        <v>160</v>
      </c>
      <c r="F86" s="50">
        <v>164.76800918579099</v>
      </c>
    </row>
    <row r="87" spans="2:6">
      <c r="B87" s="42" t="s">
        <v>340</v>
      </c>
      <c r="C87" s="42" t="s">
        <v>128</v>
      </c>
      <c r="D87" s="51">
        <v>75</v>
      </c>
      <c r="E87" s="52">
        <v>135</v>
      </c>
      <c r="F87" s="50">
        <v>156.65400445461299</v>
      </c>
    </row>
    <row r="88" spans="2:6">
      <c r="B88" s="42" t="s">
        <v>368</v>
      </c>
      <c r="C88" s="42" t="s">
        <v>128</v>
      </c>
      <c r="D88" s="51">
        <v>90</v>
      </c>
      <c r="E88" s="52">
        <v>155</v>
      </c>
      <c r="F88" s="50">
        <v>154.31799769401599</v>
      </c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70:J70"/>
    <mergeCell ref="A9:J9"/>
    <mergeCell ref="A13:J13"/>
    <mergeCell ref="A18:J18"/>
    <mergeCell ref="A21:J21"/>
    <mergeCell ref="A28:J28"/>
    <mergeCell ref="A31:J31"/>
    <mergeCell ref="A34:J34"/>
    <mergeCell ref="A41:J41"/>
    <mergeCell ref="A49:J49"/>
    <mergeCell ref="A59:J59"/>
    <mergeCell ref="A65:J6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1E64C-AB27-4B60-896F-DD3FCAC35B9E}">
  <dimension ref="A1:M49"/>
  <sheetViews>
    <sheetView topLeftCell="A11" workbookViewId="0">
      <selection activeCell="E40" sqref="E40"/>
    </sheetView>
  </sheetViews>
  <sheetFormatPr baseColWidth="10" defaultColWidth="8.83203125" defaultRowHeight="13"/>
  <cols>
    <col min="1" max="1" width="7.5" style="42" bestFit="1" customWidth="1"/>
    <col min="2" max="2" width="20.33203125" style="42" bestFit="1" customWidth="1"/>
    <col min="3" max="3" width="28.5" style="42" bestFit="1" customWidth="1"/>
    <col min="4" max="4" width="21.5" style="42" bestFit="1" customWidth="1"/>
    <col min="5" max="5" width="10.5" style="42" bestFit="1" customWidth="1"/>
    <col min="6" max="6" width="30.6640625" style="42" bestFit="1" customWidth="1"/>
    <col min="7" max="9" width="5.5" style="51" customWidth="1"/>
    <col min="10" max="10" width="4.83203125" style="51" customWidth="1"/>
    <col min="11" max="11" width="10.5" style="52" bestFit="1" customWidth="1"/>
    <col min="12" max="12" width="8.6640625" style="51" bestFit="1" customWidth="1"/>
    <col min="13" max="13" width="25.83203125" style="42" bestFit="1" customWidth="1"/>
  </cols>
  <sheetData>
    <row r="1" spans="1:13" s="2" customFormat="1" ht="29" customHeight="1">
      <c r="A1" s="80" t="s">
        <v>548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9" t="s">
        <v>616</v>
      </c>
      <c r="B3" s="74" t="s">
        <v>0</v>
      </c>
      <c r="C3" s="91" t="s">
        <v>618</v>
      </c>
      <c r="D3" s="91" t="s">
        <v>6</v>
      </c>
      <c r="E3" s="97" t="s">
        <v>619</v>
      </c>
      <c r="F3" s="74" t="s">
        <v>5</v>
      </c>
      <c r="G3" s="88" t="s">
        <v>8</v>
      </c>
      <c r="H3" s="88"/>
      <c r="I3" s="88"/>
      <c r="J3" s="88"/>
      <c r="K3" s="95" t="s">
        <v>283</v>
      </c>
      <c r="L3" s="78" t="s">
        <v>3</v>
      </c>
      <c r="M3" s="93" t="s">
        <v>2</v>
      </c>
    </row>
    <row r="4" spans="1:13" s="1" customFormat="1" ht="21" customHeight="1" thickBot="1">
      <c r="A4" s="90"/>
      <c r="B4" s="75"/>
      <c r="C4" s="92"/>
      <c r="D4" s="92"/>
      <c r="E4" s="98"/>
      <c r="F4" s="99"/>
      <c r="G4" s="4">
        <v>1</v>
      </c>
      <c r="H4" s="4">
        <v>2</v>
      </c>
      <c r="I4" s="4">
        <v>3</v>
      </c>
      <c r="J4" s="4" t="s">
        <v>4</v>
      </c>
      <c r="K4" s="96"/>
      <c r="L4" s="79"/>
      <c r="M4" s="94"/>
    </row>
    <row r="5" spans="1:13" s="3" customFormat="1" ht="16">
      <c r="A5" s="76" t="s">
        <v>49</v>
      </c>
      <c r="B5" s="76"/>
      <c r="C5" s="77"/>
      <c r="D5" s="77"/>
      <c r="E5" s="77"/>
      <c r="F5" s="77"/>
      <c r="G5" s="77"/>
      <c r="H5" s="77"/>
      <c r="I5" s="77"/>
      <c r="J5" s="77"/>
      <c r="K5" s="28"/>
      <c r="L5" s="6"/>
      <c r="M5" s="5"/>
    </row>
    <row r="6" spans="1:13">
      <c r="A6" s="55">
        <v>1</v>
      </c>
      <c r="B6" s="41" t="s">
        <v>218</v>
      </c>
      <c r="C6" s="41" t="s">
        <v>219</v>
      </c>
      <c r="D6" s="41" t="s">
        <v>220</v>
      </c>
      <c r="E6" s="41" t="s">
        <v>620</v>
      </c>
      <c r="F6" s="41" t="s">
        <v>14</v>
      </c>
      <c r="G6" s="53" t="s">
        <v>15</v>
      </c>
      <c r="H6" s="53" t="s">
        <v>60</v>
      </c>
      <c r="I6" s="55"/>
      <c r="J6" s="55"/>
      <c r="K6" s="68" t="str">
        <f>"77,5"</f>
        <v>77,5</v>
      </c>
      <c r="L6" s="55" t="str">
        <f>"139,5465"</f>
        <v>139,5465</v>
      </c>
      <c r="M6" s="41" t="s">
        <v>221</v>
      </c>
    </row>
    <row r="8" spans="1:13" ht="16">
      <c r="A8" s="73" t="s">
        <v>66</v>
      </c>
      <c r="B8" s="73"/>
      <c r="C8" s="73"/>
      <c r="D8" s="73"/>
      <c r="E8" s="73"/>
      <c r="F8" s="73"/>
      <c r="G8" s="73"/>
      <c r="H8" s="73"/>
      <c r="I8" s="73"/>
      <c r="J8" s="73"/>
    </row>
    <row r="9" spans="1:13">
      <c r="A9" s="55">
        <v>1</v>
      </c>
      <c r="B9" s="41" t="s">
        <v>222</v>
      </c>
      <c r="C9" s="41" t="s">
        <v>223</v>
      </c>
      <c r="D9" s="41" t="s">
        <v>173</v>
      </c>
      <c r="E9" s="41" t="s">
        <v>620</v>
      </c>
      <c r="F9" s="41" t="s">
        <v>224</v>
      </c>
      <c r="G9" s="53" t="s">
        <v>86</v>
      </c>
      <c r="H9" s="54" t="s">
        <v>96</v>
      </c>
      <c r="I9" s="53" t="s">
        <v>96</v>
      </c>
      <c r="J9" s="55"/>
      <c r="K9" s="68" t="str">
        <f>"155,0"</f>
        <v>155,0</v>
      </c>
      <c r="L9" s="55" t="str">
        <f>"192,6340"</f>
        <v>192,6340</v>
      </c>
      <c r="M9" s="41"/>
    </row>
    <row r="11" spans="1:13" ht="16">
      <c r="A11" s="73" t="s">
        <v>97</v>
      </c>
      <c r="B11" s="73"/>
      <c r="C11" s="73"/>
      <c r="D11" s="73"/>
      <c r="E11" s="73"/>
      <c r="F11" s="73"/>
      <c r="G11" s="73"/>
      <c r="H11" s="73"/>
      <c r="I11" s="73"/>
      <c r="J11" s="73"/>
    </row>
    <row r="12" spans="1:13">
      <c r="A12" s="55">
        <v>1</v>
      </c>
      <c r="B12" s="41" t="s">
        <v>225</v>
      </c>
      <c r="C12" s="41" t="s">
        <v>226</v>
      </c>
      <c r="D12" s="41" t="s">
        <v>227</v>
      </c>
      <c r="E12" s="41" t="s">
        <v>620</v>
      </c>
      <c r="F12" s="41" t="s">
        <v>228</v>
      </c>
      <c r="G12" s="53" t="s">
        <v>119</v>
      </c>
      <c r="H12" s="53" t="s">
        <v>229</v>
      </c>
      <c r="I12" s="54" t="s">
        <v>151</v>
      </c>
      <c r="J12" s="55"/>
      <c r="K12" s="68" t="str">
        <f>"185,0"</f>
        <v>185,0</v>
      </c>
      <c r="L12" s="55" t="str">
        <f>"193,7320"</f>
        <v>193,7320</v>
      </c>
      <c r="M12" s="41"/>
    </row>
    <row r="14" spans="1:13" ht="16">
      <c r="A14" s="73" t="s">
        <v>102</v>
      </c>
      <c r="B14" s="73"/>
      <c r="C14" s="73"/>
      <c r="D14" s="73"/>
      <c r="E14" s="73"/>
      <c r="F14" s="73"/>
      <c r="G14" s="73"/>
      <c r="H14" s="73"/>
      <c r="I14" s="73"/>
      <c r="J14" s="73"/>
    </row>
    <row r="15" spans="1:13">
      <c r="A15" s="58">
        <v>1</v>
      </c>
      <c r="B15" s="43" t="s">
        <v>230</v>
      </c>
      <c r="C15" s="43" t="s">
        <v>231</v>
      </c>
      <c r="D15" s="43" t="s">
        <v>232</v>
      </c>
      <c r="E15" s="43" t="s">
        <v>620</v>
      </c>
      <c r="F15" s="43" t="s">
        <v>233</v>
      </c>
      <c r="G15" s="57" t="s">
        <v>106</v>
      </c>
      <c r="H15" s="57" t="s">
        <v>184</v>
      </c>
      <c r="I15" s="58"/>
      <c r="J15" s="58"/>
      <c r="K15" s="69" t="str">
        <f>"177,5"</f>
        <v>177,5</v>
      </c>
      <c r="L15" s="58" t="str">
        <f>"173,9145"</f>
        <v>173,9145</v>
      </c>
      <c r="M15" s="43"/>
    </row>
    <row r="16" spans="1:13">
      <c r="A16" s="65">
        <v>2</v>
      </c>
      <c r="B16" s="62" t="s">
        <v>234</v>
      </c>
      <c r="C16" s="62" t="s">
        <v>235</v>
      </c>
      <c r="D16" s="62" t="s">
        <v>236</v>
      </c>
      <c r="E16" s="62" t="s">
        <v>620</v>
      </c>
      <c r="F16" s="62" t="s">
        <v>14</v>
      </c>
      <c r="G16" s="63" t="s">
        <v>88</v>
      </c>
      <c r="H16" s="64" t="s">
        <v>237</v>
      </c>
      <c r="I16" s="65"/>
      <c r="J16" s="65"/>
      <c r="K16" s="71" t="str">
        <f>"175,0"</f>
        <v>175,0</v>
      </c>
      <c r="L16" s="65" t="str">
        <f>"172,4450"</f>
        <v>172,4450</v>
      </c>
      <c r="M16" s="62" t="s">
        <v>534</v>
      </c>
    </row>
    <row r="17" spans="1:13">
      <c r="A17" s="65">
        <v>3</v>
      </c>
      <c r="B17" s="62" t="s">
        <v>238</v>
      </c>
      <c r="C17" s="62" t="s">
        <v>239</v>
      </c>
      <c r="D17" s="62" t="s">
        <v>240</v>
      </c>
      <c r="E17" s="62" t="s">
        <v>620</v>
      </c>
      <c r="F17" s="62" t="s">
        <v>241</v>
      </c>
      <c r="G17" s="63" t="s">
        <v>87</v>
      </c>
      <c r="H17" s="64" t="s">
        <v>106</v>
      </c>
      <c r="I17" s="63" t="s">
        <v>106</v>
      </c>
      <c r="J17" s="65"/>
      <c r="K17" s="71" t="str">
        <f>"170,0"</f>
        <v>170,0</v>
      </c>
      <c r="L17" s="65" t="str">
        <f>"164,7300"</f>
        <v>164,7300</v>
      </c>
      <c r="M17" s="62" t="s">
        <v>242</v>
      </c>
    </row>
    <row r="18" spans="1:13">
      <c r="A18" s="65">
        <v>1</v>
      </c>
      <c r="B18" s="62" t="s">
        <v>243</v>
      </c>
      <c r="C18" s="62" t="s">
        <v>586</v>
      </c>
      <c r="D18" s="62" t="s">
        <v>244</v>
      </c>
      <c r="E18" s="62" t="s">
        <v>623</v>
      </c>
      <c r="F18" s="62" t="s">
        <v>14</v>
      </c>
      <c r="G18" s="63" t="s">
        <v>96</v>
      </c>
      <c r="H18" s="64" t="s">
        <v>88</v>
      </c>
      <c r="I18" s="65"/>
      <c r="J18" s="65"/>
      <c r="K18" s="71" t="str">
        <f>"155,0"</f>
        <v>155,0</v>
      </c>
      <c r="L18" s="65" t="str">
        <f>"153,2722"</f>
        <v>153,2722</v>
      </c>
      <c r="M18" s="62" t="s">
        <v>221</v>
      </c>
    </row>
    <row r="19" spans="1:13">
      <c r="A19" s="65">
        <v>1</v>
      </c>
      <c r="B19" s="62" t="s">
        <v>245</v>
      </c>
      <c r="C19" s="62" t="s">
        <v>587</v>
      </c>
      <c r="D19" s="62" t="s">
        <v>104</v>
      </c>
      <c r="E19" s="62" t="s">
        <v>627</v>
      </c>
      <c r="F19" s="62" t="s">
        <v>246</v>
      </c>
      <c r="G19" s="63" t="s">
        <v>94</v>
      </c>
      <c r="H19" s="64" t="s">
        <v>30</v>
      </c>
      <c r="I19" s="64" t="s">
        <v>30</v>
      </c>
      <c r="J19" s="65"/>
      <c r="K19" s="71" t="str">
        <f>"115,0"</f>
        <v>115,0</v>
      </c>
      <c r="L19" s="65" t="str">
        <f>"132,0366"</f>
        <v>132,0366</v>
      </c>
      <c r="M19" s="62"/>
    </row>
    <row r="20" spans="1:13">
      <c r="A20" s="61">
        <v>1</v>
      </c>
      <c r="B20" s="44" t="s">
        <v>247</v>
      </c>
      <c r="C20" s="44" t="s">
        <v>588</v>
      </c>
      <c r="D20" s="44" t="s">
        <v>248</v>
      </c>
      <c r="E20" s="44" t="s">
        <v>625</v>
      </c>
      <c r="F20" s="44" t="s">
        <v>118</v>
      </c>
      <c r="G20" s="60" t="s">
        <v>46</v>
      </c>
      <c r="H20" s="60" t="s">
        <v>249</v>
      </c>
      <c r="I20" s="60" t="s">
        <v>110</v>
      </c>
      <c r="J20" s="61"/>
      <c r="K20" s="70" t="str">
        <f>"135,0"</f>
        <v>135,0</v>
      </c>
      <c r="L20" s="61" t="str">
        <f>"191,9506"</f>
        <v>191,9506</v>
      </c>
      <c r="M20" s="44"/>
    </row>
    <row r="22" spans="1:13" ht="16">
      <c r="A22" s="73" t="s">
        <v>114</v>
      </c>
      <c r="B22" s="73"/>
      <c r="C22" s="73"/>
      <c r="D22" s="73"/>
      <c r="E22" s="73"/>
      <c r="F22" s="73"/>
      <c r="G22" s="73"/>
      <c r="H22" s="73"/>
      <c r="I22" s="73"/>
      <c r="J22" s="73"/>
    </row>
    <row r="23" spans="1:13">
      <c r="A23" s="58">
        <v>1</v>
      </c>
      <c r="B23" s="43" t="s">
        <v>250</v>
      </c>
      <c r="C23" s="43" t="s">
        <v>589</v>
      </c>
      <c r="D23" s="43" t="s">
        <v>251</v>
      </c>
      <c r="E23" s="43" t="s">
        <v>622</v>
      </c>
      <c r="F23" s="43" t="s">
        <v>613</v>
      </c>
      <c r="G23" s="57" t="s">
        <v>192</v>
      </c>
      <c r="H23" s="57" t="s">
        <v>95</v>
      </c>
      <c r="I23" s="57" t="s">
        <v>87</v>
      </c>
      <c r="J23" s="58"/>
      <c r="K23" s="69" t="str">
        <f>"160,0"</f>
        <v>160,0</v>
      </c>
      <c r="L23" s="58" t="str">
        <f>"150,3680"</f>
        <v>150,3680</v>
      </c>
      <c r="M23" s="43" t="s">
        <v>252</v>
      </c>
    </row>
    <row r="24" spans="1:13">
      <c r="A24" s="65">
        <v>1</v>
      </c>
      <c r="B24" s="62" t="s">
        <v>253</v>
      </c>
      <c r="C24" s="62" t="s">
        <v>254</v>
      </c>
      <c r="D24" s="62" t="s">
        <v>204</v>
      </c>
      <c r="E24" s="62" t="s">
        <v>620</v>
      </c>
      <c r="F24" s="62" t="s">
        <v>233</v>
      </c>
      <c r="G24" s="63" t="s">
        <v>229</v>
      </c>
      <c r="H24" s="63" t="s">
        <v>255</v>
      </c>
      <c r="I24" s="64" t="s">
        <v>90</v>
      </c>
      <c r="J24" s="65"/>
      <c r="K24" s="71" t="str">
        <f>"195,0"</f>
        <v>195,0</v>
      </c>
      <c r="L24" s="65" t="str">
        <f>"181,0770"</f>
        <v>181,0770</v>
      </c>
      <c r="M24" s="62" t="s">
        <v>256</v>
      </c>
    </row>
    <row r="25" spans="1:13">
      <c r="A25" s="65">
        <v>2</v>
      </c>
      <c r="B25" s="62" t="s">
        <v>257</v>
      </c>
      <c r="C25" s="62" t="s">
        <v>258</v>
      </c>
      <c r="D25" s="62" t="s">
        <v>259</v>
      </c>
      <c r="E25" s="62" t="s">
        <v>620</v>
      </c>
      <c r="F25" s="62" t="s">
        <v>14</v>
      </c>
      <c r="G25" s="64" t="s">
        <v>183</v>
      </c>
      <c r="H25" s="63" t="s">
        <v>183</v>
      </c>
      <c r="I25" s="63" t="s">
        <v>260</v>
      </c>
      <c r="J25" s="65"/>
      <c r="K25" s="71" t="str">
        <f>"167,5"</f>
        <v>167,5</v>
      </c>
      <c r="L25" s="65" t="str">
        <f>"154,8705"</f>
        <v>154,8705</v>
      </c>
      <c r="M25" s="62" t="s">
        <v>451</v>
      </c>
    </row>
    <row r="26" spans="1:13">
      <c r="A26" s="65" t="s">
        <v>153</v>
      </c>
      <c r="B26" s="62" t="s">
        <v>261</v>
      </c>
      <c r="C26" s="62" t="s">
        <v>262</v>
      </c>
      <c r="D26" s="62" t="s">
        <v>263</v>
      </c>
      <c r="E26" s="62" t="s">
        <v>620</v>
      </c>
      <c r="F26" s="62" t="s">
        <v>36</v>
      </c>
      <c r="G26" s="64" t="s">
        <v>88</v>
      </c>
      <c r="H26" s="64" t="s">
        <v>88</v>
      </c>
      <c r="I26" s="64" t="s">
        <v>229</v>
      </c>
      <c r="J26" s="65"/>
      <c r="K26" s="71">
        <v>0</v>
      </c>
      <c r="L26" s="65" t="str">
        <f>"0,0000"</f>
        <v>0,0000</v>
      </c>
      <c r="M26" s="62"/>
    </row>
    <row r="27" spans="1:13">
      <c r="A27" s="65">
        <v>1</v>
      </c>
      <c r="B27" s="62" t="s">
        <v>253</v>
      </c>
      <c r="C27" s="62" t="s">
        <v>590</v>
      </c>
      <c r="D27" s="62" t="s">
        <v>204</v>
      </c>
      <c r="E27" s="62" t="s">
        <v>623</v>
      </c>
      <c r="F27" s="62" t="s">
        <v>233</v>
      </c>
      <c r="G27" s="63" t="s">
        <v>229</v>
      </c>
      <c r="H27" s="63" t="s">
        <v>255</v>
      </c>
      <c r="I27" s="64" t="s">
        <v>90</v>
      </c>
      <c r="J27" s="65"/>
      <c r="K27" s="71" t="str">
        <f>"195,0"</f>
        <v>195,0</v>
      </c>
      <c r="L27" s="65" t="str">
        <f>"181,0770"</f>
        <v>181,0770</v>
      </c>
      <c r="M27" s="62" t="s">
        <v>256</v>
      </c>
    </row>
    <row r="28" spans="1:13">
      <c r="A28" s="61">
        <v>1</v>
      </c>
      <c r="B28" s="44" t="s">
        <v>264</v>
      </c>
      <c r="C28" s="44" t="s">
        <v>591</v>
      </c>
      <c r="D28" s="44" t="s">
        <v>251</v>
      </c>
      <c r="E28" s="44" t="s">
        <v>629</v>
      </c>
      <c r="F28" s="44" t="s">
        <v>36</v>
      </c>
      <c r="G28" s="60" t="s">
        <v>100</v>
      </c>
      <c r="H28" s="60" t="s">
        <v>110</v>
      </c>
      <c r="I28" s="60" t="s">
        <v>192</v>
      </c>
      <c r="J28" s="61"/>
      <c r="K28" s="70" t="str">
        <f>"142,5"</f>
        <v>142,5</v>
      </c>
      <c r="L28" s="61" t="str">
        <f>"144,3674"</f>
        <v>144,3674</v>
      </c>
      <c r="M28" s="44"/>
    </row>
    <row r="30" spans="1:13" ht="16">
      <c r="A30" s="73" t="s">
        <v>141</v>
      </c>
      <c r="B30" s="73"/>
      <c r="C30" s="73"/>
      <c r="D30" s="73"/>
      <c r="E30" s="73"/>
      <c r="F30" s="73"/>
      <c r="G30" s="73"/>
      <c r="H30" s="73"/>
      <c r="I30" s="73"/>
      <c r="J30" s="73"/>
    </row>
    <row r="31" spans="1:13">
      <c r="A31" s="58">
        <v>1</v>
      </c>
      <c r="B31" s="43" t="s">
        <v>265</v>
      </c>
      <c r="C31" s="43" t="s">
        <v>266</v>
      </c>
      <c r="D31" s="43" t="s">
        <v>267</v>
      </c>
      <c r="E31" s="43" t="s">
        <v>620</v>
      </c>
      <c r="F31" s="43" t="s">
        <v>36</v>
      </c>
      <c r="G31" s="57" t="s">
        <v>88</v>
      </c>
      <c r="H31" s="56" t="s">
        <v>268</v>
      </c>
      <c r="I31" s="56" t="s">
        <v>268</v>
      </c>
      <c r="J31" s="58"/>
      <c r="K31" s="69" t="str">
        <f>"175,0"</f>
        <v>175,0</v>
      </c>
      <c r="L31" s="58" t="str">
        <f>"155,3650"</f>
        <v>155,3650</v>
      </c>
      <c r="M31" s="43"/>
    </row>
    <row r="32" spans="1:13">
      <c r="A32" s="65" t="s">
        <v>153</v>
      </c>
      <c r="B32" s="62" t="s">
        <v>149</v>
      </c>
      <c r="C32" s="62" t="s">
        <v>269</v>
      </c>
      <c r="D32" s="62" t="s">
        <v>150</v>
      </c>
      <c r="E32" s="62" t="s">
        <v>620</v>
      </c>
      <c r="F32" s="62" t="s">
        <v>36</v>
      </c>
      <c r="G32" s="64" t="s">
        <v>85</v>
      </c>
      <c r="H32" s="64" t="s">
        <v>96</v>
      </c>
      <c r="I32" s="64" t="s">
        <v>96</v>
      </c>
      <c r="J32" s="65"/>
      <c r="K32" s="71">
        <v>0</v>
      </c>
      <c r="L32" s="65" t="str">
        <f>"0,0000"</f>
        <v>0,0000</v>
      </c>
      <c r="M32" s="62" t="s">
        <v>65</v>
      </c>
    </row>
    <row r="33" spans="1:13">
      <c r="A33" s="61">
        <v>1</v>
      </c>
      <c r="B33" s="44" t="s">
        <v>270</v>
      </c>
      <c r="C33" s="44" t="s">
        <v>592</v>
      </c>
      <c r="D33" s="44" t="s">
        <v>271</v>
      </c>
      <c r="E33" s="44" t="s">
        <v>628</v>
      </c>
      <c r="F33" s="44" t="s">
        <v>246</v>
      </c>
      <c r="G33" s="60" t="s">
        <v>21</v>
      </c>
      <c r="H33" s="60" t="s">
        <v>93</v>
      </c>
      <c r="I33" s="60" t="s">
        <v>94</v>
      </c>
      <c r="J33" s="61"/>
      <c r="K33" s="70" t="str">
        <f>"115,0"</f>
        <v>115,0</v>
      </c>
      <c r="L33" s="61" t="str">
        <f>"127,8225"</f>
        <v>127,8225</v>
      </c>
      <c r="M33" s="44"/>
    </row>
    <row r="35" spans="1:13" ht="16">
      <c r="A35" s="73" t="s">
        <v>272</v>
      </c>
      <c r="B35" s="73"/>
      <c r="C35" s="73"/>
      <c r="D35" s="73"/>
      <c r="E35" s="73"/>
      <c r="F35" s="73"/>
      <c r="G35" s="73"/>
      <c r="H35" s="73"/>
      <c r="I35" s="73"/>
      <c r="J35" s="73"/>
    </row>
    <row r="36" spans="1:13">
      <c r="A36" s="55">
        <v>1</v>
      </c>
      <c r="B36" s="41" t="s">
        <v>273</v>
      </c>
      <c r="C36" s="41" t="s">
        <v>274</v>
      </c>
      <c r="D36" s="41" t="s">
        <v>275</v>
      </c>
      <c r="E36" s="41" t="s">
        <v>620</v>
      </c>
      <c r="F36" s="41" t="s">
        <v>36</v>
      </c>
      <c r="G36" s="53" t="s">
        <v>119</v>
      </c>
      <c r="H36" s="53" t="s">
        <v>151</v>
      </c>
      <c r="I36" s="54" t="s">
        <v>255</v>
      </c>
      <c r="J36" s="55"/>
      <c r="K36" s="68" t="str">
        <f>"190,0"</f>
        <v>190,0</v>
      </c>
      <c r="L36" s="55" t="str">
        <f>"163,2100"</f>
        <v>163,2100</v>
      </c>
      <c r="M36" s="41" t="s">
        <v>276</v>
      </c>
    </row>
    <row r="38" spans="1:13" ht="16">
      <c r="A38" s="73" t="s">
        <v>277</v>
      </c>
      <c r="B38" s="73"/>
      <c r="C38" s="73"/>
      <c r="D38" s="73"/>
      <c r="E38" s="73"/>
      <c r="F38" s="73"/>
      <c r="G38" s="73"/>
      <c r="H38" s="73"/>
      <c r="I38" s="73"/>
      <c r="J38" s="73"/>
    </row>
    <row r="39" spans="1:13">
      <c r="A39" s="55">
        <v>1</v>
      </c>
      <c r="B39" s="41" t="s">
        <v>278</v>
      </c>
      <c r="C39" s="41" t="s">
        <v>279</v>
      </c>
      <c r="D39" s="41" t="s">
        <v>280</v>
      </c>
      <c r="E39" s="41" t="s">
        <v>620</v>
      </c>
      <c r="F39" s="41" t="s">
        <v>36</v>
      </c>
      <c r="G39" s="53" t="s">
        <v>119</v>
      </c>
      <c r="H39" s="53" t="s">
        <v>255</v>
      </c>
      <c r="I39" s="54" t="s">
        <v>281</v>
      </c>
      <c r="J39" s="55"/>
      <c r="K39" s="68" t="str">
        <f>"195,0"</f>
        <v>195,0</v>
      </c>
      <c r="L39" s="55" t="str">
        <f>"165,1650"</f>
        <v>165,1650</v>
      </c>
      <c r="M39" s="41" t="s">
        <v>161</v>
      </c>
    </row>
    <row r="43" spans="1:13" ht="18">
      <c r="B43" s="45" t="s">
        <v>122</v>
      </c>
      <c r="C43" s="45"/>
    </row>
    <row r="44" spans="1:13" ht="16">
      <c r="B44" s="46" t="s">
        <v>131</v>
      </c>
      <c r="C44" s="46"/>
    </row>
    <row r="45" spans="1:13" ht="14">
      <c r="B45" s="47"/>
      <c r="C45" s="48" t="s">
        <v>128</v>
      </c>
    </row>
    <row r="46" spans="1:13" ht="14">
      <c r="B46" s="49" t="s">
        <v>124</v>
      </c>
      <c r="C46" s="49" t="s">
        <v>125</v>
      </c>
      <c r="D46" s="49" t="s">
        <v>609</v>
      </c>
      <c r="E46" s="49" t="s">
        <v>282</v>
      </c>
      <c r="F46" s="49" t="s">
        <v>127</v>
      </c>
    </row>
    <row r="47" spans="1:13">
      <c r="B47" s="42" t="s">
        <v>225</v>
      </c>
      <c r="C47" s="42" t="s">
        <v>128</v>
      </c>
      <c r="D47" s="51">
        <v>82.5</v>
      </c>
      <c r="E47" s="52">
        <v>185</v>
      </c>
      <c r="F47" s="50">
        <v>193.73199343681301</v>
      </c>
    </row>
    <row r="48" spans="1:13">
      <c r="B48" s="42" t="s">
        <v>222</v>
      </c>
      <c r="C48" s="42" t="s">
        <v>128</v>
      </c>
      <c r="D48" s="51">
        <v>67.5</v>
      </c>
      <c r="E48" s="52">
        <v>155</v>
      </c>
      <c r="F48" s="50">
        <v>192.63399958610501</v>
      </c>
      <c r="G48" s="42"/>
    </row>
    <row r="49" spans="2:6">
      <c r="B49" s="42" t="s">
        <v>253</v>
      </c>
      <c r="C49" s="42" t="s">
        <v>128</v>
      </c>
      <c r="D49" s="51">
        <v>100</v>
      </c>
      <c r="E49" s="52">
        <v>195</v>
      </c>
      <c r="F49" s="50">
        <v>181.07700258493401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8:J38"/>
    <mergeCell ref="B3:B4"/>
    <mergeCell ref="A8:J8"/>
    <mergeCell ref="A11:J11"/>
    <mergeCell ref="A14:J14"/>
    <mergeCell ref="A22:J22"/>
    <mergeCell ref="A30:J30"/>
    <mergeCell ref="A35:J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GPA ПЛ без экипировки ДК</vt:lpstr>
      <vt:lpstr>GPA ПЛ без экипировки</vt:lpstr>
      <vt:lpstr>GPA ПЛ в бинтах ДК</vt:lpstr>
      <vt:lpstr>GPA ПЛ в бинтах</vt:lpstr>
      <vt:lpstr>GPA Двоеборье без экип ДК</vt:lpstr>
      <vt:lpstr>GPA Двоеборье без экип</vt:lpstr>
      <vt:lpstr>GPA Присед без экипировки ДК</vt:lpstr>
      <vt:lpstr>GPA Жим без экипировки ДК</vt:lpstr>
      <vt:lpstr>GPA Жим без экипировки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GPA Тяга без экипировки ДК</vt:lpstr>
      <vt:lpstr>GPA Тяга без экипировки</vt:lpstr>
      <vt:lpstr>СПР Пауэрспорт ДК</vt:lpstr>
      <vt:lpstr>СПР Пауэрспорт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2022-06-06T15:56:16Z</dcterms:modified>
</cp:coreProperties>
</file>