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E9DDAA1E-6462-194C-9D16-51AAAAC4B78E}" xr6:coauthVersionLast="45" xr6:coauthVersionMax="47" xr10:uidLastSave="{00000000-0000-0000-0000-000000000000}"/>
  <bookViews>
    <workbookView xWindow="0" yWindow="460" windowWidth="28620" windowHeight="15900" tabRatio="937" firstSheet="10" activeTab="15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8" r:id="rId5"/>
    <sheet name="WRPF Двоеборье без экип" sheetId="17" r:id="rId6"/>
    <sheet name="WRPF Жим лежа без экип ДК" sheetId="11" r:id="rId7"/>
    <sheet name="WRPF Жим лежа без экип" sheetId="10" r:id="rId8"/>
    <sheet name="WEPF Жим софт однопетельная ДК" sheetId="12" r:id="rId9"/>
    <sheet name="WRPF Военный жим ДК" sheetId="13" r:id="rId10"/>
    <sheet name="WRPF Военный жим" sheetId="9" r:id="rId11"/>
    <sheet name="WRPF Жим СФО" sheetId="37" r:id="rId12"/>
    <sheet name="WRPF Тяга без экипировки ДК" sheetId="15" r:id="rId13"/>
    <sheet name="WRPF Тяга без экипировки" sheetId="14" r:id="rId14"/>
    <sheet name="WRPF Подъем на бицепс ДК" sheetId="36" r:id="rId15"/>
    <sheet name="WRPF Подъем на бицепс" sheetId="35" r:id="rId16"/>
  </sheets>
  <definedNames>
    <definedName name="_FilterDatabase" localSheetId="3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37" l="1"/>
  <c r="K28" i="37"/>
  <c r="L25" i="37"/>
  <c r="K25" i="37"/>
  <c r="L24" i="37"/>
  <c r="K24" i="37"/>
  <c r="L23" i="37"/>
  <c r="K23" i="37"/>
  <c r="L22" i="37"/>
  <c r="K22" i="37"/>
  <c r="L19" i="37"/>
  <c r="K19" i="37"/>
  <c r="L16" i="37"/>
  <c r="K16" i="37"/>
  <c r="L13" i="37"/>
  <c r="K13" i="37"/>
  <c r="L10" i="37"/>
  <c r="K10" i="37"/>
  <c r="L7" i="37"/>
  <c r="K7" i="37"/>
  <c r="L6" i="37"/>
  <c r="K6" i="37"/>
  <c r="L22" i="36"/>
  <c r="K22" i="36"/>
  <c r="L21" i="36"/>
  <c r="K21" i="36"/>
  <c r="L20" i="36"/>
  <c r="K20" i="36"/>
  <c r="L19" i="36"/>
  <c r="K19" i="36"/>
  <c r="L16" i="36"/>
  <c r="K16" i="36"/>
  <c r="L13" i="36"/>
  <c r="K13" i="36"/>
  <c r="L12" i="36"/>
  <c r="K12" i="36"/>
  <c r="L11" i="36"/>
  <c r="K11" i="36"/>
  <c r="L10" i="36"/>
  <c r="K10" i="36"/>
  <c r="L7" i="36"/>
  <c r="K7" i="36"/>
  <c r="L6" i="36"/>
  <c r="K6" i="36"/>
  <c r="L7" i="35"/>
  <c r="K7" i="35"/>
  <c r="L6" i="35"/>
  <c r="K6" i="35"/>
  <c r="P29" i="18"/>
  <c r="O29" i="18"/>
  <c r="P28" i="18"/>
  <c r="O28" i="18"/>
  <c r="P27" i="18"/>
  <c r="O27" i="18"/>
  <c r="P26" i="18"/>
  <c r="O26" i="18"/>
  <c r="P23" i="18"/>
  <c r="O23" i="18"/>
  <c r="P22" i="18"/>
  <c r="O22" i="18"/>
  <c r="P19" i="18"/>
  <c r="O19" i="18"/>
  <c r="P18" i="18"/>
  <c r="O18" i="18"/>
  <c r="P17" i="18"/>
  <c r="O17" i="18"/>
  <c r="P14" i="18"/>
  <c r="O14" i="18"/>
  <c r="P11" i="18"/>
  <c r="O11" i="18"/>
  <c r="P10" i="18"/>
  <c r="O10" i="18"/>
  <c r="P7" i="18"/>
  <c r="O7" i="18"/>
  <c r="P6" i="18"/>
  <c r="O6" i="18"/>
  <c r="P11" i="17"/>
  <c r="O11" i="17"/>
  <c r="P8" i="17"/>
  <c r="O8" i="17"/>
  <c r="P7" i="17"/>
  <c r="O7" i="17"/>
  <c r="P6" i="17"/>
  <c r="O6" i="17"/>
  <c r="L49" i="15"/>
  <c r="K49" i="15"/>
  <c r="L46" i="15"/>
  <c r="K46" i="15"/>
  <c r="L45" i="15"/>
  <c r="K45" i="15"/>
  <c r="L42" i="15"/>
  <c r="K42" i="15"/>
  <c r="L41" i="15"/>
  <c r="K41" i="15"/>
  <c r="L40" i="15"/>
  <c r="K40" i="15"/>
  <c r="L39" i="15"/>
  <c r="K39" i="15"/>
  <c r="L38" i="15"/>
  <c r="K38" i="15"/>
  <c r="L35" i="15"/>
  <c r="K35" i="15"/>
  <c r="L34" i="15"/>
  <c r="K34" i="15"/>
  <c r="L31" i="15"/>
  <c r="K31" i="15"/>
  <c r="L30" i="15"/>
  <c r="K30" i="15"/>
  <c r="L29" i="15"/>
  <c r="K29" i="15"/>
  <c r="L26" i="15"/>
  <c r="K26" i="15"/>
  <c r="L25" i="15"/>
  <c r="K25" i="15"/>
  <c r="L24" i="15"/>
  <c r="K24" i="15"/>
  <c r="L21" i="15"/>
  <c r="K21" i="15"/>
  <c r="L18" i="15"/>
  <c r="K18" i="15"/>
  <c r="L15" i="15"/>
  <c r="K15" i="15"/>
  <c r="L12" i="15"/>
  <c r="K12" i="15"/>
  <c r="L11" i="15"/>
  <c r="K11" i="15"/>
  <c r="L10" i="15"/>
  <c r="K10" i="15"/>
  <c r="L7" i="15"/>
  <c r="K7" i="15"/>
  <c r="L6" i="15"/>
  <c r="K6" i="15"/>
  <c r="L28" i="14"/>
  <c r="K28" i="14"/>
  <c r="L27" i="14"/>
  <c r="K27" i="14"/>
  <c r="L26" i="14"/>
  <c r="K26" i="14"/>
  <c r="L23" i="14"/>
  <c r="K23" i="14"/>
  <c r="L22" i="14"/>
  <c r="K22" i="14"/>
  <c r="L18" i="14"/>
  <c r="L17" i="14"/>
  <c r="K17" i="14"/>
  <c r="L16" i="14"/>
  <c r="K16" i="14"/>
  <c r="L15" i="14"/>
  <c r="K15" i="14"/>
  <c r="L12" i="14"/>
  <c r="K12" i="14"/>
  <c r="L9" i="14"/>
  <c r="K9" i="14"/>
  <c r="L6" i="14"/>
  <c r="K6" i="14"/>
  <c r="L12" i="13"/>
  <c r="K12" i="13"/>
  <c r="L9" i="13"/>
  <c r="K9" i="13"/>
  <c r="L6" i="13"/>
  <c r="K6" i="13"/>
  <c r="L10" i="12"/>
  <c r="K10" i="12"/>
  <c r="L7" i="12"/>
  <c r="K7" i="12"/>
  <c r="L6" i="12"/>
  <c r="K6" i="12"/>
  <c r="L64" i="11"/>
  <c r="K64" i="11"/>
  <c r="L63" i="11"/>
  <c r="K63" i="11"/>
  <c r="L62" i="11"/>
  <c r="K62" i="11"/>
  <c r="L59" i="11"/>
  <c r="K59" i="11"/>
  <c r="L58" i="11"/>
  <c r="K58" i="11"/>
  <c r="L57" i="11"/>
  <c r="K57" i="11"/>
  <c r="L56" i="11"/>
  <c r="K56" i="11"/>
  <c r="L53" i="11"/>
  <c r="K53" i="11"/>
  <c r="L52" i="11"/>
  <c r="K52" i="11"/>
  <c r="L49" i="11"/>
  <c r="K49" i="11"/>
  <c r="L48" i="11"/>
  <c r="K48" i="11"/>
  <c r="L47" i="11"/>
  <c r="K47" i="11"/>
  <c r="L46" i="11"/>
  <c r="K46" i="11"/>
  <c r="L45" i="11"/>
  <c r="K45" i="11"/>
  <c r="L44" i="11"/>
  <c r="K44" i="11"/>
  <c r="L43" i="11"/>
  <c r="K43" i="11"/>
  <c r="L40" i="11"/>
  <c r="K40" i="11"/>
  <c r="L39" i="11"/>
  <c r="K39" i="11"/>
  <c r="L38" i="11"/>
  <c r="K38" i="11"/>
  <c r="L37" i="11"/>
  <c r="K37" i="11"/>
  <c r="L36" i="11"/>
  <c r="K36" i="11"/>
  <c r="L33" i="11"/>
  <c r="K33" i="11"/>
  <c r="L32" i="11"/>
  <c r="K32" i="11"/>
  <c r="L31" i="11"/>
  <c r="K31" i="11"/>
  <c r="L30" i="11"/>
  <c r="K30" i="11"/>
  <c r="L27" i="11"/>
  <c r="K27" i="11"/>
  <c r="L26" i="11"/>
  <c r="K26" i="11"/>
  <c r="L23" i="11"/>
  <c r="K23" i="11"/>
  <c r="L20" i="11"/>
  <c r="K20" i="11"/>
  <c r="L17" i="11"/>
  <c r="K17" i="11"/>
  <c r="L16" i="11"/>
  <c r="K16" i="11"/>
  <c r="L13" i="11"/>
  <c r="K13" i="11"/>
  <c r="L10" i="11"/>
  <c r="K10" i="11"/>
  <c r="L9" i="11"/>
  <c r="K9" i="11"/>
  <c r="L6" i="11"/>
  <c r="K6" i="11"/>
  <c r="L20" i="10"/>
  <c r="K20" i="10"/>
  <c r="L19" i="10"/>
  <c r="K19" i="10"/>
  <c r="L16" i="10"/>
  <c r="K16" i="10"/>
  <c r="L13" i="10"/>
  <c r="L12" i="10"/>
  <c r="K12" i="10"/>
  <c r="L11" i="10"/>
  <c r="K11" i="10"/>
  <c r="L10" i="10"/>
  <c r="K10" i="10"/>
  <c r="L7" i="10"/>
  <c r="K7" i="10"/>
  <c r="L6" i="10"/>
  <c r="K6" i="10"/>
  <c r="L6" i="9"/>
  <c r="K6" i="9"/>
  <c r="T51" i="8"/>
  <c r="S51" i="8"/>
  <c r="T48" i="8"/>
  <c r="S48" i="8"/>
  <c r="T47" i="8"/>
  <c r="S47" i="8"/>
  <c r="T44" i="8"/>
  <c r="S44" i="8"/>
  <c r="T43" i="8"/>
  <c r="S43" i="8"/>
  <c r="T42" i="8"/>
  <c r="S42" i="8"/>
  <c r="T41" i="8"/>
  <c r="S41" i="8"/>
  <c r="T37" i="8"/>
  <c r="S37" i="8"/>
  <c r="T34" i="8"/>
  <c r="S34" i="8"/>
  <c r="T33" i="8"/>
  <c r="S33" i="8"/>
  <c r="T30" i="8"/>
  <c r="S30" i="8"/>
  <c r="T27" i="8"/>
  <c r="T26" i="8"/>
  <c r="S26" i="8"/>
  <c r="T23" i="8"/>
  <c r="S23" i="8"/>
  <c r="T20" i="8"/>
  <c r="T17" i="8"/>
  <c r="S17" i="8"/>
  <c r="T13" i="8"/>
  <c r="S13" i="8"/>
  <c r="T10" i="8"/>
  <c r="S10" i="8"/>
  <c r="T6" i="8"/>
  <c r="S6" i="8"/>
  <c r="T23" i="7"/>
  <c r="S23" i="7"/>
  <c r="T20" i="7"/>
  <c r="S20" i="7"/>
  <c r="T19" i="7"/>
  <c r="S19" i="7"/>
  <c r="T18" i="7"/>
  <c r="S18" i="7"/>
  <c r="T15" i="7"/>
  <c r="S15" i="7"/>
  <c r="T12" i="7"/>
  <c r="S12" i="7"/>
  <c r="T9" i="7"/>
  <c r="S9" i="7"/>
  <c r="T6" i="7"/>
  <c r="S6" i="7"/>
  <c r="T15" i="6"/>
  <c r="S15" i="6"/>
  <c r="T12" i="6"/>
  <c r="S12" i="6"/>
  <c r="T9" i="6"/>
  <c r="S9" i="6"/>
  <c r="T6" i="6"/>
  <c r="S6" i="6"/>
  <c r="T6" i="5"/>
  <c r="S6" i="5"/>
  <c r="S9" i="8" l="1"/>
  <c r="T9" i="8"/>
  <c r="S16" i="8"/>
  <c r="T16" i="8"/>
  <c r="S40" i="8"/>
  <c r="T40" i="8"/>
  <c r="L21" i="14"/>
</calcChain>
</file>

<file path=xl/sharedStrings.xml><?xml version="1.0" encoding="utf-8"?>
<sst xmlns="http://schemas.openxmlformats.org/spreadsheetml/2006/main" count="2417" uniqueCount="568">
  <si>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</si>
  <si>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</si>
  <si>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</si>
  <si>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</si>
  <si>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</si>
  <si>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</si>
  <si>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</si>
  <si>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</si>
  <si>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</si>
  <si>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</si>
  <si>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110</t>
  </si>
  <si>
    <t>Гусев Роман</t>
  </si>
  <si>
    <t>Открытая (30.01.1988)/34</t>
  </si>
  <si>
    <t>103,50</t>
  </si>
  <si>
    <t xml:space="preserve">Ярославль/Ярославская область </t>
  </si>
  <si>
    <t>290,0</t>
  </si>
  <si>
    <t>200,0</t>
  </si>
  <si>
    <t>205,0</t>
  </si>
  <si>
    <t>210,0</t>
  </si>
  <si>
    <t>300,0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</si>
  <si>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</si>
  <si>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</si>
  <si>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</si>
  <si>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</si>
  <si>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</si>
  <si>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</si>
  <si>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</si>
  <si>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110</t>
  </si>
  <si>
    <t>1</t>
  </si>
  <si>
    <t/>
  </si>
  <si>
    <t>ВЕСОВАЯ КАТЕГОРИЯ   60</t>
  </si>
  <si>
    <t>Уткина Ольга</t>
  </si>
  <si>
    <t>Мастера 40-49 (21.03.1979)/43</t>
  </si>
  <si>
    <t>58,80</t>
  </si>
  <si>
    <t xml:space="preserve">Архангельск/Архангельская область </t>
  </si>
  <si>
    <t>125,0</t>
  </si>
  <si>
    <t>132,5</t>
  </si>
  <si>
    <t>55,0</t>
  </si>
  <si>
    <t>60,0</t>
  </si>
  <si>
    <t>62,5</t>
  </si>
  <si>
    <t>120,0</t>
  </si>
  <si>
    <t>127,5</t>
  </si>
  <si>
    <t xml:space="preserve">Тишук В. </t>
  </si>
  <si>
    <t>ВЕСОВАЯ КАТЕГОРИЯ   67.5</t>
  </si>
  <si>
    <t>Чупов Александр</t>
  </si>
  <si>
    <t>Открытая (01.09.1994)/27</t>
  </si>
  <si>
    <t>62,40</t>
  </si>
  <si>
    <t>150,0</t>
  </si>
  <si>
    <t>160,0</t>
  </si>
  <si>
    <t>90,0</t>
  </si>
  <si>
    <t>95,0</t>
  </si>
  <si>
    <t>170,0</t>
  </si>
  <si>
    <t>ВЕСОВАЯ КАТЕГОРИЯ   75</t>
  </si>
  <si>
    <t>Засядкин Алексей</t>
  </si>
  <si>
    <t>Открытая (09.04.1998)/24</t>
  </si>
  <si>
    <t>74,70</t>
  </si>
  <si>
    <t xml:space="preserve">Иваново/Ивановская область </t>
  </si>
  <si>
    <t>220,0</t>
  </si>
  <si>
    <t>235,0</t>
  </si>
  <si>
    <t>245,0</t>
  </si>
  <si>
    <t>130,0</t>
  </si>
  <si>
    <t>140,0</t>
  </si>
  <si>
    <t>145,0</t>
  </si>
  <si>
    <t>247,5</t>
  </si>
  <si>
    <t>ВЕСОВАЯ КАТЕГОРИЯ   90</t>
  </si>
  <si>
    <t>Кеслер Антон</t>
  </si>
  <si>
    <t>Открытая (21.07.1992)/29</t>
  </si>
  <si>
    <t>85,50</t>
  </si>
  <si>
    <t xml:space="preserve">Череповец/Вологодская область </t>
  </si>
  <si>
    <t>215,0</t>
  </si>
  <si>
    <t>222,5</t>
  </si>
  <si>
    <t>152,5</t>
  </si>
  <si>
    <t>155,0</t>
  </si>
  <si>
    <t xml:space="preserve">Женщины </t>
  </si>
  <si>
    <t xml:space="preserve">Мастера </t>
  </si>
  <si>
    <t>312,5</t>
  </si>
  <si>
    <t>75</t>
  </si>
  <si>
    <t>90</t>
  </si>
  <si>
    <t>Аграшина Стефания</t>
  </si>
  <si>
    <t>Открытая (13.12.1991)/30</t>
  </si>
  <si>
    <t>67,10</t>
  </si>
  <si>
    <t>80,0</t>
  </si>
  <si>
    <t>82,5</t>
  </si>
  <si>
    <t>85,0</t>
  </si>
  <si>
    <t>175,0</t>
  </si>
  <si>
    <t xml:space="preserve">Бобарев М. </t>
  </si>
  <si>
    <t>Александрова Ксения</t>
  </si>
  <si>
    <t>Открытая (10.01.1993)/29</t>
  </si>
  <si>
    <t>73,80</t>
  </si>
  <si>
    <t>75,0</t>
  </si>
  <si>
    <t>77,5</t>
  </si>
  <si>
    <t>165,0</t>
  </si>
  <si>
    <t>ВЕСОВАЯ КАТЕГОРИЯ   82.5</t>
  </si>
  <si>
    <t>Ульянов Владимир</t>
  </si>
  <si>
    <t>Юниоры (22.12.1998)/23</t>
  </si>
  <si>
    <t>80,60</t>
  </si>
  <si>
    <t xml:space="preserve">Ковров/Владимирская область </t>
  </si>
  <si>
    <t>195,0</t>
  </si>
  <si>
    <t>147,5</t>
  </si>
  <si>
    <t>190,0</t>
  </si>
  <si>
    <t>197,5</t>
  </si>
  <si>
    <t>Секельчук Роман</t>
  </si>
  <si>
    <t>Открытая (08.06.1988)/33</t>
  </si>
  <si>
    <t>88,50</t>
  </si>
  <si>
    <t xml:space="preserve">Рыбинск/Ярославская область </t>
  </si>
  <si>
    <t>250,0</t>
  </si>
  <si>
    <t>270,0</t>
  </si>
  <si>
    <t>167,5</t>
  </si>
  <si>
    <t>260,0</t>
  </si>
  <si>
    <t>ВЕСОВАЯ КАТЕГОРИЯ   100</t>
  </si>
  <si>
    <t>Полянский Артем</t>
  </si>
  <si>
    <t>Открытая (08.07.1992)/29</t>
  </si>
  <si>
    <t>96,20</t>
  </si>
  <si>
    <t>280,0</t>
  </si>
  <si>
    <t>180,0</t>
  </si>
  <si>
    <t>315,0</t>
  </si>
  <si>
    <t>330,0</t>
  </si>
  <si>
    <t>Сурков Сергей</t>
  </si>
  <si>
    <t>Открытая (14.10.1985)/36</t>
  </si>
  <si>
    <t>99,40</t>
  </si>
  <si>
    <t xml:space="preserve">Родники/Ивановская область </t>
  </si>
  <si>
    <t>225,0</t>
  </si>
  <si>
    <t>192,5</t>
  </si>
  <si>
    <t>202,5</t>
  </si>
  <si>
    <t>285,0</t>
  </si>
  <si>
    <t>Иванов Дмитрий</t>
  </si>
  <si>
    <t>Открытая (01.03.1985)/37</t>
  </si>
  <si>
    <t>96,50</t>
  </si>
  <si>
    <t>135,0</t>
  </si>
  <si>
    <t>Зеленков Илья</t>
  </si>
  <si>
    <t>Открытая (24.12.1988)/33</t>
  </si>
  <si>
    <t>108,60</t>
  </si>
  <si>
    <t>230,0</t>
  </si>
  <si>
    <t>240,0</t>
  </si>
  <si>
    <t>142,5</t>
  </si>
  <si>
    <t xml:space="preserve">Тимофеев С. </t>
  </si>
  <si>
    <t>82.5</t>
  </si>
  <si>
    <t>100</t>
  </si>
  <si>
    <t>2</t>
  </si>
  <si>
    <t>3</t>
  </si>
  <si>
    <t>ВЕСОВАЯ КАТЕГОРИЯ   44</t>
  </si>
  <si>
    <t>Жунина Екатерина</t>
  </si>
  <si>
    <t>Открытая (17.12.1989)/32</t>
  </si>
  <si>
    <t>43,80</t>
  </si>
  <si>
    <t>70,0</t>
  </si>
  <si>
    <t>72,5</t>
  </si>
  <si>
    <t>50,0</t>
  </si>
  <si>
    <t>52,5</t>
  </si>
  <si>
    <t>97,5</t>
  </si>
  <si>
    <t>ВЕСОВАЯ КАТЕГОРИЯ   48</t>
  </si>
  <si>
    <t>Гусева Ксения</t>
  </si>
  <si>
    <t>Юниорки (14.07.2000)/21</t>
  </si>
  <si>
    <t>46,80</t>
  </si>
  <si>
    <t>42,5</t>
  </si>
  <si>
    <t xml:space="preserve">Румянцев С. </t>
  </si>
  <si>
    <t>Открытая (14.07.2000)/21</t>
  </si>
  <si>
    <t>47,5</t>
  </si>
  <si>
    <t>100,0</t>
  </si>
  <si>
    <t>107,5</t>
  </si>
  <si>
    <t>ВЕСОВАЯ КАТЕГОРИЯ   52</t>
  </si>
  <si>
    <t>Бакина Анна</t>
  </si>
  <si>
    <t>Открытая (16.05.1991)/30</t>
  </si>
  <si>
    <t>51,40</t>
  </si>
  <si>
    <t>87,5</t>
  </si>
  <si>
    <t>92,5</t>
  </si>
  <si>
    <t xml:space="preserve">Стасюк И. </t>
  </si>
  <si>
    <t>ВЕСОВАЯ КАТЕГОРИЯ   56</t>
  </si>
  <si>
    <t>Булдакова Софья</t>
  </si>
  <si>
    <t>Девушки 17-19 (12.03.2003)/19</t>
  </si>
  <si>
    <t>54,00</t>
  </si>
  <si>
    <t>35,0</t>
  </si>
  <si>
    <t>Открытая (12.03.2003)/19</t>
  </si>
  <si>
    <t>37,5</t>
  </si>
  <si>
    <t>40,0</t>
  </si>
  <si>
    <t>Галкина Нина</t>
  </si>
  <si>
    <t>Открытая (02.04.1988)/34</t>
  </si>
  <si>
    <t>59,70</t>
  </si>
  <si>
    <t>105,0</t>
  </si>
  <si>
    <t>Кутепова Марина</t>
  </si>
  <si>
    <t>Мастера 40-49 (12.01.1979)/43</t>
  </si>
  <si>
    <t>67,50</t>
  </si>
  <si>
    <t>115,0</t>
  </si>
  <si>
    <t>Леонтьева Дарья</t>
  </si>
  <si>
    <t>Открытая (26.01.1995)/27</t>
  </si>
  <si>
    <t>73,10</t>
  </si>
  <si>
    <t>45,0</t>
  </si>
  <si>
    <t>110,0</t>
  </si>
  <si>
    <t>117,5</t>
  </si>
  <si>
    <t>122,5</t>
  </si>
  <si>
    <t xml:space="preserve">Ермолаев В. </t>
  </si>
  <si>
    <t>Цветкова Татьяна</t>
  </si>
  <si>
    <t>Открытая (18.03.1995)/27</t>
  </si>
  <si>
    <t>74,10</t>
  </si>
  <si>
    <t xml:space="preserve">Соловьев А. </t>
  </si>
  <si>
    <t>Качко Виктория</t>
  </si>
  <si>
    <t>Открытая (03.09.1997)/24</t>
  </si>
  <si>
    <t>86,00</t>
  </si>
  <si>
    <t xml:space="preserve">Люберцы/Московская область </t>
  </si>
  <si>
    <t>Балабан Никита</t>
  </si>
  <si>
    <t>Юноши 17-19 (03.11.2004)/17</t>
  </si>
  <si>
    <t>73,20</t>
  </si>
  <si>
    <t xml:space="preserve">Кострома/Костромская область </t>
  </si>
  <si>
    <t>Бордов Роман</t>
  </si>
  <si>
    <t>Открытая (28.11.2002)/19</t>
  </si>
  <si>
    <t>177,5</t>
  </si>
  <si>
    <t>185,0</t>
  </si>
  <si>
    <t>Лисичкин Матвей</t>
  </si>
  <si>
    <t>Юноши 14-16 (16.10.2005)/16</t>
  </si>
  <si>
    <t>82,00</t>
  </si>
  <si>
    <t xml:space="preserve">Лисичкин Д. </t>
  </si>
  <si>
    <t>Петров Владислав</t>
  </si>
  <si>
    <t>Юниоры (12.05.2000)/21</t>
  </si>
  <si>
    <t>88,70</t>
  </si>
  <si>
    <t xml:space="preserve">Ступино/Московская область </t>
  </si>
  <si>
    <t>Пашков Игорь</t>
  </si>
  <si>
    <t>Открытая (10.06.1986)/35</t>
  </si>
  <si>
    <t>85,10</t>
  </si>
  <si>
    <t>265,0</t>
  </si>
  <si>
    <t>275,0</t>
  </si>
  <si>
    <t>Кнещук Константин</t>
  </si>
  <si>
    <t>Открытая (07.02.1993)/29</t>
  </si>
  <si>
    <t>89,90</t>
  </si>
  <si>
    <t>Открытая (12.05.2000)/21</t>
  </si>
  <si>
    <t>Галкин Петр</t>
  </si>
  <si>
    <t>Открытая (19.03.1986)/36</t>
  </si>
  <si>
    <t>90,00</t>
  </si>
  <si>
    <t>112,5</t>
  </si>
  <si>
    <t xml:space="preserve">Полянский А. </t>
  </si>
  <si>
    <t>Кудряшов Александр</t>
  </si>
  <si>
    <t>Открытая (22.08.1990)/31</t>
  </si>
  <si>
    <t>97,30</t>
  </si>
  <si>
    <t>Черноситов Юлий</t>
  </si>
  <si>
    <t>Мастера 40-49 (30.11.1979)/42</t>
  </si>
  <si>
    <t>93,70</t>
  </si>
  <si>
    <t xml:space="preserve">Тутаев/Ярославская область </t>
  </si>
  <si>
    <t>217,5</t>
  </si>
  <si>
    <t>162,5</t>
  </si>
  <si>
    <t>242,5</t>
  </si>
  <si>
    <t>Малышев Петр</t>
  </si>
  <si>
    <t>Открытая (10.06.1989)/32</t>
  </si>
  <si>
    <t>106,40</t>
  </si>
  <si>
    <t>48</t>
  </si>
  <si>
    <t>317,0150</t>
  </si>
  <si>
    <t>52</t>
  </si>
  <si>
    <t>237,5</t>
  </si>
  <si>
    <t>298,7275</t>
  </si>
  <si>
    <t>44</t>
  </si>
  <si>
    <t>296,5830</t>
  </si>
  <si>
    <t>635,0</t>
  </si>
  <si>
    <t>417,7665</t>
  </si>
  <si>
    <t>595,0</t>
  </si>
  <si>
    <t>353,9060</t>
  </si>
  <si>
    <t>470,0</t>
  </si>
  <si>
    <t>340,7030</t>
  </si>
  <si>
    <t>-</t>
  </si>
  <si>
    <t>4</t>
  </si>
  <si>
    <t>Лисицын Сергей</t>
  </si>
  <si>
    <t>Открытая (26.10.1970)/51</t>
  </si>
  <si>
    <t>109,80</t>
  </si>
  <si>
    <t xml:space="preserve">Нахабино/Московская область </t>
  </si>
  <si>
    <t xml:space="preserve">Результат </t>
  </si>
  <si>
    <t>Результат</t>
  </si>
  <si>
    <t>Рахимов Махмадулло</t>
  </si>
  <si>
    <t>Открытая (07.09.1997)/24</t>
  </si>
  <si>
    <t>89,20</t>
  </si>
  <si>
    <t>Кузнецов Руслан</t>
  </si>
  <si>
    <t>97,80</t>
  </si>
  <si>
    <t xml:space="preserve">Вологда/Вологодская область </t>
  </si>
  <si>
    <t>187,5</t>
  </si>
  <si>
    <t xml:space="preserve">Ступников Р. </t>
  </si>
  <si>
    <t>Козлов Илья</t>
  </si>
  <si>
    <t>Открытая (19.05.1992)/29</t>
  </si>
  <si>
    <t>92,70</t>
  </si>
  <si>
    <t>ВЕСОВАЯ КАТЕГОРИЯ   125</t>
  </si>
  <si>
    <t>Чулин Сергей</t>
  </si>
  <si>
    <t>Открытая (18.04.1987)/35</t>
  </si>
  <si>
    <t>121,90</t>
  </si>
  <si>
    <t xml:space="preserve">Тула/Тульская область </t>
  </si>
  <si>
    <t xml:space="preserve">Перепечёнов О. </t>
  </si>
  <si>
    <t>Карпов Илья</t>
  </si>
  <si>
    <t>Открытая (29.06.1993)/28</t>
  </si>
  <si>
    <t>113,70</t>
  </si>
  <si>
    <t>125</t>
  </si>
  <si>
    <t>125,3020</t>
  </si>
  <si>
    <t>Тишук Ольга</t>
  </si>
  <si>
    <t>Открытая (09.07.1992)/29</t>
  </si>
  <si>
    <t>51,60</t>
  </si>
  <si>
    <t>Осипова Евгения</t>
  </si>
  <si>
    <t>Открытая (05.12.1983)/38</t>
  </si>
  <si>
    <t>64,70</t>
  </si>
  <si>
    <t>67,5</t>
  </si>
  <si>
    <t>Хапинин Артем</t>
  </si>
  <si>
    <t>Открытая (04.05.1992)/29</t>
  </si>
  <si>
    <t>66,20</t>
  </si>
  <si>
    <t>Шемякин Виталий</t>
  </si>
  <si>
    <t>Юноши 14-16 (24.07.2005)/16</t>
  </si>
  <si>
    <t>71,80</t>
  </si>
  <si>
    <t xml:space="preserve">Карпов И. </t>
  </si>
  <si>
    <t>Савкин Андрей</t>
  </si>
  <si>
    <t>Юноши 14-16 (10.03.2006)/16</t>
  </si>
  <si>
    <t>73,50</t>
  </si>
  <si>
    <t>Юноши 17-19 (28.11.2002)/19</t>
  </si>
  <si>
    <t>Бондарев Александр</t>
  </si>
  <si>
    <t>Юниоры (21.07.1998)/23</t>
  </si>
  <si>
    <t>80,30</t>
  </si>
  <si>
    <t>Марченко Михаил</t>
  </si>
  <si>
    <t>Открытая (27.05.1991)/30</t>
  </si>
  <si>
    <t>82,30</t>
  </si>
  <si>
    <t>Равинский Аркадий</t>
  </si>
  <si>
    <t>Открытая (24.05.1994)/27</t>
  </si>
  <si>
    <t>81,10</t>
  </si>
  <si>
    <t xml:space="preserve">Волгоград/Волгоградская область </t>
  </si>
  <si>
    <t>255,0</t>
  </si>
  <si>
    <t>Открытая (21.07.1998)/23</t>
  </si>
  <si>
    <t>Блинов Дмитрий</t>
  </si>
  <si>
    <t>Мастера 40-49 (11.04.1982)/40</t>
  </si>
  <si>
    <t>80,90</t>
  </si>
  <si>
    <t>Смекалов Валерий</t>
  </si>
  <si>
    <t>Открытая (15.04.1984)/38</t>
  </si>
  <si>
    <t>89,40</t>
  </si>
  <si>
    <t>182,5</t>
  </si>
  <si>
    <t xml:space="preserve">Соловьев </t>
  </si>
  <si>
    <t>Кувшинов Дмитрий</t>
  </si>
  <si>
    <t>Открытая (04.04.1986)/36</t>
  </si>
  <si>
    <t>Варварин Дмитрий</t>
  </si>
  <si>
    <t>Открытая (02.11.1988)/33</t>
  </si>
  <si>
    <t xml:space="preserve">Владимир/Владимирская область </t>
  </si>
  <si>
    <t>157,5</t>
  </si>
  <si>
    <t>Костаница Алексей</t>
  </si>
  <si>
    <t>Открытая (26.01.1987)/35</t>
  </si>
  <si>
    <t xml:space="preserve">Сургут/Ханты-Мансийский автономный округ </t>
  </si>
  <si>
    <t>Базанов Сергей</t>
  </si>
  <si>
    <t>Мастера 50-59 (22.06.1962)/59</t>
  </si>
  <si>
    <t>88,20</t>
  </si>
  <si>
    <t xml:space="preserve">Ржев/Тверская область </t>
  </si>
  <si>
    <t>172,5</t>
  </si>
  <si>
    <t>Пластиков Артём</t>
  </si>
  <si>
    <t>Открытая (24.09.1987)/34</t>
  </si>
  <si>
    <t>97,50</t>
  </si>
  <si>
    <t>Паршин Владимир</t>
  </si>
  <si>
    <t>Мастера 40-49 (27.03.1979)/43</t>
  </si>
  <si>
    <t>92,60</t>
  </si>
  <si>
    <t xml:space="preserve">Астрахань/Астраханская область </t>
  </si>
  <si>
    <t>Мельников Максим</t>
  </si>
  <si>
    <t>Юниоры (17.03.2001)/21</t>
  </si>
  <si>
    <t>105,80</t>
  </si>
  <si>
    <t>Осинкин Павел</t>
  </si>
  <si>
    <t>Открытая (10.01.1983)/39</t>
  </si>
  <si>
    <t>Бровков Александр</t>
  </si>
  <si>
    <t>Открытая (18.02.1984)/38</t>
  </si>
  <si>
    <t xml:space="preserve">Няндома/Архангельская область </t>
  </si>
  <si>
    <t>Галкин Сергей</t>
  </si>
  <si>
    <t>Мастера 40-49 (24.12.1974)/47</t>
  </si>
  <si>
    <t xml:space="preserve">Ростов/Ярославская область </t>
  </si>
  <si>
    <t xml:space="preserve">Емелин А. </t>
  </si>
  <si>
    <t>Зайцев Василий</t>
  </si>
  <si>
    <t>Открытая (29.08.1985)/36</t>
  </si>
  <si>
    <t>123,50</t>
  </si>
  <si>
    <t>Астафуров Иван</t>
  </si>
  <si>
    <t>Открытая (08.03.1991)/31</t>
  </si>
  <si>
    <t>121,80</t>
  </si>
  <si>
    <t>115,3080</t>
  </si>
  <si>
    <t>109,9753</t>
  </si>
  <si>
    <t xml:space="preserve">Мастера 50-59 </t>
  </si>
  <si>
    <t>5</t>
  </si>
  <si>
    <t>Березин Лев</t>
  </si>
  <si>
    <t>Открытая (12.11.1975)/46</t>
  </si>
  <si>
    <t>74,90</t>
  </si>
  <si>
    <t>Мастера 40-49 (12.11.1975)/46</t>
  </si>
  <si>
    <t>Орлов Максим</t>
  </si>
  <si>
    <t>Открытая (18.01.1986)/36</t>
  </si>
  <si>
    <t>89,30</t>
  </si>
  <si>
    <t xml:space="preserve">Gloss </t>
  </si>
  <si>
    <t>Николаев Евгений</t>
  </si>
  <si>
    <t>Открытая (19.01.1987)/35</t>
  </si>
  <si>
    <t>Калачев Александр</t>
  </si>
  <si>
    <t>Открытая (07.05.1993)/28</t>
  </si>
  <si>
    <t>80,00</t>
  </si>
  <si>
    <t>Прохоров Александр</t>
  </si>
  <si>
    <t>Открытая (07.05.1986)/35</t>
  </si>
  <si>
    <t>Шаталов Григорий</t>
  </si>
  <si>
    <t>Юноши 14-16 (18.06.2008)/13</t>
  </si>
  <si>
    <t>57,70</t>
  </si>
  <si>
    <t>Чеканов Роман</t>
  </si>
  <si>
    <t>Юноши 14-16 (18.09.2008)/13</t>
  </si>
  <si>
    <t>61,20</t>
  </si>
  <si>
    <t>Загораев Дмитрий</t>
  </si>
  <si>
    <t>Юноши 14-16 (25.10.2006)/15</t>
  </si>
  <si>
    <t>74,80</t>
  </si>
  <si>
    <t>Коробов Олег</t>
  </si>
  <si>
    <t>Открытая (08.01.1994)/28</t>
  </si>
  <si>
    <t>85,90</t>
  </si>
  <si>
    <t>Голубков Алексей</t>
  </si>
  <si>
    <t>Открытая (19.01.1988)/34</t>
  </si>
  <si>
    <t>87,40</t>
  </si>
  <si>
    <t>Корчагин Алексей</t>
  </si>
  <si>
    <t>Открытая (10.09.1978)/43</t>
  </si>
  <si>
    <t>89,80</t>
  </si>
  <si>
    <t>Сазонов Павел</t>
  </si>
  <si>
    <t>Открытая (08.06.1986)/35</t>
  </si>
  <si>
    <t>106,70</t>
  </si>
  <si>
    <t xml:space="preserve">Москва </t>
  </si>
  <si>
    <t>305,0</t>
  </si>
  <si>
    <t>Манышкин Арсений</t>
  </si>
  <si>
    <t>Открытая (15.10.1987)/34</t>
  </si>
  <si>
    <t>108,50</t>
  </si>
  <si>
    <t>307,5</t>
  </si>
  <si>
    <t>Моргунова Ольга</t>
  </si>
  <si>
    <t>Открытая (08.03.1983)/39</t>
  </si>
  <si>
    <t>55,30</t>
  </si>
  <si>
    <t xml:space="preserve">Маслов А. </t>
  </si>
  <si>
    <t>Поленова Наталья</t>
  </si>
  <si>
    <t>Открытая (27.05.1984)/37</t>
  </si>
  <si>
    <t>58,40</t>
  </si>
  <si>
    <t xml:space="preserve">Саночкин М. </t>
  </si>
  <si>
    <t>Осипов Алексей</t>
  </si>
  <si>
    <t>Юноши 14-16 (06.11.2007)/14</t>
  </si>
  <si>
    <t>51,30</t>
  </si>
  <si>
    <t>Минкин Александр</t>
  </si>
  <si>
    <t>Открытая (15.07.1995)/26</t>
  </si>
  <si>
    <t>66,70</t>
  </si>
  <si>
    <t>Боровков Владимир</t>
  </si>
  <si>
    <t>Открытая (13.11.1992)/29</t>
  </si>
  <si>
    <t>70,20</t>
  </si>
  <si>
    <t xml:space="preserve">Кстово/Нижегородская область </t>
  </si>
  <si>
    <t xml:space="preserve">Козырев Олег </t>
  </si>
  <si>
    <t>Кузнецов Егор</t>
  </si>
  <si>
    <t>Открытая (17.11.2003)/18</t>
  </si>
  <si>
    <t>79,90</t>
  </si>
  <si>
    <t>262,5</t>
  </si>
  <si>
    <t>Богачёв Андрей</t>
  </si>
  <si>
    <t>Юниоры (27.12.2001)/20</t>
  </si>
  <si>
    <t>88,30</t>
  </si>
  <si>
    <t>Никанов Алексей</t>
  </si>
  <si>
    <t>Открытая (09.05.1990)/31</t>
  </si>
  <si>
    <t>Шеломанов Максим</t>
  </si>
  <si>
    <t>Юноши 17-19 (13.11.2004)/17</t>
  </si>
  <si>
    <t>92,90</t>
  </si>
  <si>
    <t>Мезенцев Андрей</t>
  </si>
  <si>
    <t>Открытая (14.09.1988)/33</t>
  </si>
  <si>
    <t>95,20</t>
  </si>
  <si>
    <t>Свидерских Андрей</t>
  </si>
  <si>
    <t>Открытая (12.02.1994)/28</t>
  </si>
  <si>
    <t>112,80</t>
  </si>
  <si>
    <t>184,4640</t>
  </si>
  <si>
    <t>172,6095</t>
  </si>
  <si>
    <t>151,8660</t>
  </si>
  <si>
    <t>Жуков Андрей</t>
  </si>
  <si>
    <t>Открытая (25.05.1988)/33</t>
  </si>
  <si>
    <t>81,90</t>
  </si>
  <si>
    <t>65,30</t>
  </si>
  <si>
    <t>65,0</t>
  </si>
  <si>
    <t xml:space="preserve">Ковалев С. </t>
  </si>
  <si>
    <t xml:space="preserve">Мастера 60-69 </t>
  </si>
  <si>
    <t>27,5</t>
  </si>
  <si>
    <t xml:space="preserve">Фурманов/Ивановская область </t>
  </si>
  <si>
    <t>Ветошкин Лука</t>
  </si>
  <si>
    <t>88,00</t>
  </si>
  <si>
    <t xml:space="preserve">Красногорск/Московская область </t>
  </si>
  <si>
    <t xml:space="preserve">Белый М. </t>
  </si>
  <si>
    <t>Белый Макар</t>
  </si>
  <si>
    <t>88,80</t>
  </si>
  <si>
    <t xml:space="preserve">Ветошкин Л. </t>
  </si>
  <si>
    <t>Игнатьева Татьяна</t>
  </si>
  <si>
    <t>Открытая (04.03.1983)/39</t>
  </si>
  <si>
    <t>66,40</t>
  </si>
  <si>
    <t>32,5</t>
  </si>
  <si>
    <t>67,20</t>
  </si>
  <si>
    <t>62,90</t>
  </si>
  <si>
    <t>Волков Александр</t>
  </si>
  <si>
    <t>Открытая (19.03.1993)/29</t>
  </si>
  <si>
    <t>Волков Алексей</t>
  </si>
  <si>
    <t>Открытая (08.06.1983)/38</t>
  </si>
  <si>
    <t>66,30</t>
  </si>
  <si>
    <t>57,5</t>
  </si>
  <si>
    <t>Шадричев Сергей</t>
  </si>
  <si>
    <t>Открытая (02.07.1986)/35</t>
  </si>
  <si>
    <t>81,60</t>
  </si>
  <si>
    <t xml:space="preserve">Волгореченск/Костромская область </t>
  </si>
  <si>
    <t>Курашин Евгений</t>
  </si>
  <si>
    <t>Открытая (31.01.1988)/34</t>
  </si>
  <si>
    <t>79,50</t>
  </si>
  <si>
    <t xml:space="preserve">Домодедово/Московская область </t>
  </si>
  <si>
    <t>Попов Михаил</t>
  </si>
  <si>
    <t>Открытая (23.03.1991)/31</t>
  </si>
  <si>
    <t>79,70</t>
  </si>
  <si>
    <t>47,0706</t>
  </si>
  <si>
    <t>46,0460</t>
  </si>
  <si>
    <t>41,2875</t>
  </si>
  <si>
    <t>Новикова Лилия</t>
  </si>
  <si>
    <t>Мастера 50-59 (20.08.1964)/57</t>
  </si>
  <si>
    <t>69,00</t>
  </si>
  <si>
    <t xml:space="preserve">Ковалёв С. </t>
  </si>
  <si>
    <t>Зайцева Таисья</t>
  </si>
  <si>
    <t>Мастера 70-79 (30.08.1947)/74</t>
  </si>
  <si>
    <t xml:space="preserve">Вичуга/Ивановская область </t>
  </si>
  <si>
    <t>ВЕСОВАЯ КАТЕГОРИЯ   90+</t>
  </si>
  <si>
    <t>Маева Татьяна</t>
  </si>
  <si>
    <t>Мастера 60-69 (05.07.1958)/63</t>
  </si>
  <si>
    <t>92,20</t>
  </si>
  <si>
    <t>Горев Николай</t>
  </si>
  <si>
    <t>Мастера 70-79 (15.03.1950)/72</t>
  </si>
  <si>
    <t>Безбородов Василий</t>
  </si>
  <si>
    <t>Открытая (04.09.1993)/28</t>
  </si>
  <si>
    <t>74,20</t>
  </si>
  <si>
    <t>Аркадьев Анатолий</t>
  </si>
  <si>
    <t>Мастера 60-69 (17.08.1954)/67</t>
  </si>
  <si>
    <t>81,70</t>
  </si>
  <si>
    <t>Пурышев Иван</t>
  </si>
  <si>
    <t>Мастера 40-49 (03.05.1980)/41</t>
  </si>
  <si>
    <t>99,30</t>
  </si>
  <si>
    <t>102,5</t>
  </si>
  <si>
    <t>Ковалев Сергей</t>
  </si>
  <si>
    <t>Мастера 50-59 (22.05.1969)/52</t>
  </si>
  <si>
    <t>98,60</t>
  </si>
  <si>
    <t>Аристов Олег</t>
  </si>
  <si>
    <t>Мастера 60-69 (08.03.1954)/68</t>
  </si>
  <si>
    <t>96,60</t>
  </si>
  <si>
    <t xml:space="preserve">Кохма/Ивановская область </t>
  </si>
  <si>
    <t>Кузнецов Владимир</t>
  </si>
  <si>
    <t>Мастера 70-79 (04.03.1945)/77</t>
  </si>
  <si>
    <t>94,90</t>
  </si>
  <si>
    <t>Дмитричев Евгений</t>
  </si>
  <si>
    <t>Мастера 50-59 (18.12.1969)/52</t>
  </si>
  <si>
    <t>104,50</t>
  </si>
  <si>
    <t>106,9678</t>
  </si>
  <si>
    <t>105,0991</t>
  </si>
  <si>
    <t>103,8970</t>
  </si>
  <si>
    <t>Национальный Чемпионат
WRPF Пауэрлифтинг без экипировки ДК
Ярославль/Ярославская область, 30 апреля 2022 года</t>
  </si>
  <si>
    <t>Национальный Чемпионат
WRPF Пауэрлифтинг без экипировки
Ярославль/Ярославская область, 30 апреля 2022 года</t>
  </si>
  <si>
    <t>Национальный Чемпионат
WRPF Пауэрлифтинг классический в бинтах ДК
Ярославль/Ярославская область, 30 апреля 2022 года</t>
  </si>
  <si>
    <t>Национальный Чемпионат
WRPF Пауэрлифтинг классический в бинтах
Ярославль/Ярославская область, 30 апреля 2022 года</t>
  </si>
  <si>
    <t>Национальный Чемпионат
WRPF Силовое двоеборье без экипировки ДК
Ярославль/Ярославская область, 30 апреля 2022 года</t>
  </si>
  <si>
    <t>Национальный Чемпионат
WRPF Силовое двоеборье без экипировки
Ярославль/Ярославская область, 30 апреля 2022 года</t>
  </si>
  <si>
    <t>Национальный Чемпионат
WRPF Жим лежа без экипировки ДК
Ярославль/Ярославская область, 30 апреля 2022 года</t>
  </si>
  <si>
    <t>Национальный Чемпионат
WRPF Жим лежа без экипировки
Ярославль/Ярославская область, 30 апреля 2022 года</t>
  </si>
  <si>
    <t>Национальный Чемпионат
WEPF Жим лежа в однопетельной софт экипировке ДК
Ярославль/Ярославская область, 30 апреля 2022 года</t>
  </si>
  <si>
    <t>Национальный Чемпионат
WRPF Военный жим лежа с ДК
Ярославль/Ярославская область, 30 апреля 2022 года</t>
  </si>
  <si>
    <t>Национальный Чемпионат
WRPF Военный жим лежа
Ярославль/Ярославская область, 30 апреля 2022 года</t>
  </si>
  <si>
    <t>Национальный Чемпионат
WRPF Жим лежа среди спортсменов с физическими особенностями
Ярославль/Ярославская область, 30 апреля 2022 года</t>
  </si>
  <si>
    <t>Национальный Чемпионат
WRPF Становая тяга без экипировки ДК
Ярославль/Ярославская область, 30 апреля 2022 года</t>
  </si>
  <si>
    <t>Национальный Чемпионат
WRPF Становая тяга без экипировки
Ярославль/Ярославская область, 30 апреля 2022 года</t>
  </si>
  <si>
    <t>Национальный Чемпионат
WRPF Строгий подъем штанги на бицепс ДК
Ярославль/Ярославская область, 30 апреля 2022 года</t>
  </si>
  <si>
    <t>Национальный Чемпионат
WRPF Строгий подъем штанги на бицепс
Ярославль/Ярославская область, 30 апреля 2022 года</t>
  </si>
  <si>
    <t xml:space="preserve">Чебоксары/Республика Чувашия </t>
  </si>
  <si>
    <t>Весовая категория</t>
  </si>
  <si>
    <t xml:space="preserve">Кудря Д. </t>
  </si>
  <si>
    <t>Юниоры 20-23 (31.10.2000)/21</t>
  </si>
  <si>
    <t>Юниоры 20-23 (15.11.2001)/20</t>
  </si>
  <si>
    <t>Юниоры 20-23 (15.01.2002)/20</t>
  </si>
  <si>
    <t xml:space="preserve">Горев Н. </t>
  </si>
  <si>
    <t xml:space="preserve">Козырев О. </t>
  </si>
  <si>
    <t xml:space="preserve">Коновалов А. </t>
  </si>
  <si>
    <t xml:space="preserve">Коробов О. </t>
  </si>
  <si>
    <t xml:space="preserve">Ухта/Республика Коми </t>
  </si>
  <si>
    <t>Жим</t>
  </si>
  <si>
    <t>№</t>
  </si>
  <si>
    <t xml:space="preserve"> </t>
  </si>
  <si>
    <t xml:space="preserve">
Дата рождения/Возраст</t>
  </si>
  <si>
    <t>Возрастная группа</t>
  </si>
  <si>
    <t>O</t>
  </si>
  <si>
    <t>J</t>
  </si>
  <si>
    <t>T2</t>
  </si>
  <si>
    <t>M1</t>
  </si>
  <si>
    <t>T1</t>
  </si>
  <si>
    <t>M2</t>
  </si>
  <si>
    <t>M4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</si>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</sst>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69"/>
  <sheetViews>
    <sheetView topLeftCell="A21" workbookViewId="0">
      <selection activeCell="E52" sqref="E5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48" bestFit="1" customWidth="1"/>
    <col min="20" max="20" width="8.5" style="6" bestFit="1" customWidth="1"/>
    <col min="21" max="21" width="22.33203125" style="5" customWidth="1"/>
    <col min="22" max="16384" width="9.1640625" style="3"/>
  </cols>
  <sheetData>
    <row r="1" spans="1:21" s="2" customFormat="1" ht="29" customHeight="1">
      <c r="A1" s="64" t="s">
        <v>528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7</v>
      </c>
      <c r="H3" s="76"/>
      <c r="I3" s="76"/>
      <c r="J3" s="76"/>
      <c r="K3" s="76" t="s">
        <v>8</v>
      </c>
      <c r="L3" s="76"/>
      <c r="M3" s="76"/>
      <c r="N3" s="76"/>
      <c r="O3" s="76" t="s">
        <v>9</v>
      </c>
      <c r="P3" s="76"/>
      <c r="Q3" s="76"/>
      <c r="R3" s="76"/>
      <c r="S3" s="77" t="s">
        <v>1</v>
      </c>
      <c r="T3" s="76" t="s">
        <v>3</v>
      </c>
      <c r="U3" s="79" t="s">
        <v>2</v>
      </c>
    </row>
    <row r="4" spans="1:21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8"/>
      <c r="T4" s="75"/>
      <c r="U4" s="80"/>
    </row>
    <row r="5" spans="1:21" ht="16">
      <c r="A5" s="81" t="s">
        <v>140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28</v>
      </c>
      <c r="B6" s="7" t="s">
        <v>141</v>
      </c>
      <c r="C6" s="7" t="s">
        <v>142</v>
      </c>
      <c r="D6" s="7" t="s">
        <v>143</v>
      </c>
      <c r="E6" s="7" t="s">
        <v>560</v>
      </c>
      <c r="F6" s="7" t="s">
        <v>68</v>
      </c>
      <c r="G6" s="15" t="s">
        <v>144</v>
      </c>
      <c r="H6" s="14" t="s">
        <v>145</v>
      </c>
      <c r="I6" s="14" t="s">
        <v>145</v>
      </c>
      <c r="J6" s="8"/>
      <c r="K6" s="14" t="s">
        <v>146</v>
      </c>
      <c r="L6" s="15" t="s">
        <v>146</v>
      </c>
      <c r="M6" s="14" t="s">
        <v>147</v>
      </c>
      <c r="N6" s="8"/>
      <c r="O6" s="15" t="s">
        <v>49</v>
      </c>
      <c r="P6" s="14" t="s">
        <v>148</v>
      </c>
      <c r="Q6" s="14" t="s">
        <v>148</v>
      </c>
      <c r="R6" s="8"/>
      <c r="S6" s="49" t="str">
        <f>"210,0"</f>
        <v>210,0</v>
      </c>
      <c r="T6" s="8" t="str">
        <f>"296,5830"</f>
        <v>296,5830</v>
      </c>
      <c r="U6" s="7" t="s">
        <v>557</v>
      </c>
    </row>
    <row r="7" spans="1:21">
      <c r="B7" s="5" t="s">
        <v>29</v>
      </c>
    </row>
    <row r="8" spans="1:21" ht="16">
      <c r="A8" s="85" t="s">
        <v>149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spans="1:21">
      <c r="A9" s="17" t="s">
        <v>28</v>
      </c>
      <c r="B9" s="16" t="s">
        <v>150</v>
      </c>
      <c r="C9" s="16" t="s">
        <v>151</v>
      </c>
      <c r="D9" s="16" t="s">
        <v>152</v>
      </c>
      <c r="E9" s="16" t="s">
        <v>561</v>
      </c>
      <c r="F9" s="28" t="s">
        <v>401</v>
      </c>
      <c r="G9" s="32" t="s">
        <v>89</v>
      </c>
      <c r="H9" s="32" t="s">
        <v>81</v>
      </c>
      <c r="I9" s="32" t="s">
        <v>83</v>
      </c>
      <c r="J9" s="42"/>
      <c r="K9" s="32" t="s">
        <v>153</v>
      </c>
      <c r="L9" s="32" t="s">
        <v>156</v>
      </c>
      <c r="M9" s="22" t="s">
        <v>146</v>
      </c>
      <c r="N9" s="35"/>
      <c r="O9" s="43" t="s">
        <v>49</v>
      </c>
      <c r="P9" s="43" t="s">
        <v>157</v>
      </c>
      <c r="Q9" s="40" t="s">
        <v>158</v>
      </c>
      <c r="R9" s="34"/>
      <c r="S9" s="50" t="str">
        <f>"235,0"</f>
        <v>235,0</v>
      </c>
      <c r="T9" s="35" t="str">
        <f>"317,0150"</f>
        <v>317,0150</v>
      </c>
      <c r="U9" s="30" t="s">
        <v>154</v>
      </c>
    </row>
    <row r="10" spans="1:21">
      <c r="A10" s="21" t="s">
        <v>28</v>
      </c>
      <c r="B10" s="20" t="s">
        <v>150</v>
      </c>
      <c r="C10" s="20" t="s">
        <v>155</v>
      </c>
      <c r="D10" s="20" t="s">
        <v>152</v>
      </c>
      <c r="E10" s="20" t="s">
        <v>560</v>
      </c>
      <c r="F10" s="29" t="s">
        <v>401</v>
      </c>
      <c r="G10" s="36" t="s">
        <v>89</v>
      </c>
      <c r="H10" s="36" t="s">
        <v>81</v>
      </c>
      <c r="I10" s="36" t="s">
        <v>83</v>
      </c>
      <c r="J10" s="44"/>
      <c r="K10" s="36" t="s">
        <v>153</v>
      </c>
      <c r="L10" s="36" t="s">
        <v>156</v>
      </c>
      <c r="M10" s="25" t="s">
        <v>146</v>
      </c>
      <c r="N10" s="39"/>
      <c r="O10" s="45" t="s">
        <v>49</v>
      </c>
      <c r="P10" s="45" t="s">
        <v>157</v>
      </c>
      <c r="Q10" s="41" t="s">
        <v>158</v>
      </c>
      <c r="R10" s="38"/>
      <c r="S10" s="51" t="str">
        <f>"235,0"</f>
        <v>235,0</v>
      </c>
      <c r="T10" s="39" t="str">
        <f>"317,0150"</f>
        <v>317,0150</v>
      </c>
      <c r="U10" s="31" t="s">
        <v>154</v>
      </c>
    </row>
    <row r="11" spans="1:21">
      <c r="B11" s="5" t="s">
        <v>29</v>
      </c>
    </row>
    <row r="12" spans="1:21" ht="16">
      <c r="A12" s="85" t="s">
        <v>159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21">
      <c r="A13" s="8" t="s">
        <v>28</v>
      </c>
      <c r="B13" s="7" t="s">
        <v>160</v>
      </c>
      <c r="C13" s="7" t="s">
        <v>161</v>
      </c>
      <c r="D13" s="7" t="s">
        <v>162</v>
      </c>
      <c r="E13" s="7" t="s">
        <v>560</v>
      </c>
      <c r="F13" s="7" t="s">
        <v>56</v>
      </c>
      <c r="G13" s="14" t="s">
        <v>81</v>
      </c>
      <c r="H13" s="15" t="s">
        <v>81</v>
      </c>
      <c r="I13" s="15" t="s">
        <v>83</v>
      </c>
      <c r="J13" s="8"/>
      <c r="K13" s="15" t="s">
        <v>156</v>
      </c>
      <c r="L13" s="15" t="s">
        <v>146</v>
      </c>
      <c r="M13" s="15" t="s">
        <v>147</v>
      </c>
      <c r="N13" s="8"/>
      <c r="O13" s="15" t="s">
        <v>163</v>
      </c>
      <c r="P13" s="15" t="s">
        <v>164</v>
      </c>
      <c r="Q13" s="15" t="s">
        <v>157</v>
      </c>
      <c r="R13" s="8"/>
      <c r="S13" s="49" t="str">
        <f>"237,5"</f>
        <v>237,5</v>
      </c>
      <c r="T13" s="8" t="str">
        <f>"298,7275"</f>
        <v>298,7275</v>
      </c>
      <c r="U13" s="7" t="s">
        <v>165</v>
      </c>
    </row>
    <row r="14" spans="1:21">
      <c r="B14" s="5" t="s">
        <v>29</v>
      </c>
    </row>
    <row r="15" spans="1:21" ht="16">
      <c r="A15" s="85" t="s">
        <v>166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21">
      <c r="A16" s="17" t="s">
        <v>28</v>
      </c>
      <c r="B16" s="16" t="s">
        <v>167</v>
      </c>
      <c r="C16" s="16" t="s">
        <v>168</v>
      </c>
      <c r="D16" s="16" t="s">
        <v>169</v>
      </c>
      <c r="E16" s="16" t="s">
        <v>562</v>
      </c>
      <c r="F16" s="28" t="s">
        <v>401</v>
      </c>
      <c r="G16" s="32" t="s">
        <v>89</v>
      </c>
      <c r="H16" s="32" t="s">
        <v>81</v>
      </c>
      <c r="I16" s="46" t="s">
        <v>83</v>
      </c>
      <c r="J16" s="42"/>
      <c r="K16" s="32" t="s">
        <v>170</v>
      </c>
      <c r="L16" s="22" t="s">
        <v>172</v>
      </c>
      <c r="M16" s="33" t="s">
        <v>173</v>
      </c>
      <c r="N16" s="17"/>
      <c r="O16" s="43" t="s">
        <v>83</v>
      </c>
      <c r="P16" s="43" t="s">
        <v>164</v>
      </c>
      <c r="Q16" s="43" t="s">
        <v>148</v>
      </c>
      <c r="R16" s="35"/>
      <c r="S16" s="52" t="str">
        <f>"217,5"</f>
        <v>217,5</v>
      </c>
      <c r="T16" s="35" t="str">
        <f>"263,3055"</f>
        <v>263,3055</v>
      </c>
      <c r="U16" s="30" t="s">
        <v>154</v>
      </c>
    </row>
    <row r="17" spans="1:21">
      <c r="A17" s="21" t="s">
        <v>28</v>
      </c>
      <c r="B17" s="20" t="s">
        <v>167</v>
      </c>
      <c r="C17" s="20" t="s">
        <v>171</v>
      </c>
      <c r="D17" s="20" t="s">
        <v>169</v>
      </c>
      <c r="E17" s="20" t="s">
        <v>560</v>
      </c>
      <c r="F17" s="29" t="s">
        <v>401</v>
      </c>
      <c r="G17" s="36" t="s">
        <v>89</v>
      </c>
      <c r="H17" s="36" t="s">
        <v>81</v>
      </c>
      <c r="I17" s="47" t="s">
        <v>83</v>
      </c>
      <c r="J17" s="44"/>
      <c r="K17" s="36" t="s">
        <v>170</v>
      </c>
      <c r="L17" s="25" t="s">
        <v>172</v>
      </c>
      <c r="M17" s="37" t="s">
        <v>173</v>
      </c>
      <c r="N17" s="21"/>
      <c r="O17" s="45" t="s">
        <v>83</v>
      </c>
      <c r="P17" s="45" t="s">
        <v>164</v>
      </c>
      <c r="Q17" s="45" t="s">
        <v>148</v>
      </c>
      <c r="R17" s="39"/>
      <c r="S17" s="53" t="str">
        <f>"217,5"</f>
        <v>217,5</v>
      </c>
      <c r="T17" s="39" t="str">
        <f>"263,3055"</f>
        <v>263,3055</v>
      </c>
      <c r="U17" s="31" t="s">
        <v>154</v>
      </c>
    </row>
    <row r="18" spans="1:21">
      <c r="B18" s="5" t="s">
        <v>29</v>
      </c>
    </row>
    <row r="19" spans="1:21" ht="16">
      <c r="A19" s="85" t="s">
        <v>30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21">
      <c r="A20" s="8" t="s">
        <v>254</v>
      </c>
      <c r="B20" s="7" t="s">
        <v>174</v>
      </c>
      <c r="C20" s="7" t="s">
        <v>175</v>
      </c>
      <c r="D20" s="7" t="s">
        <v>176</v>
      </c>
      <c r="E20" s="7" t="s">
        <v>560</v>
      </c>
      <c r="F20" s="7" t="s">
        <v>68</v>
      </c>
      <c r="G20" s="14" t="s">
        <v>49</v>
      </c>
      <c r="H20" s="14" t="s">
        <v>49</v>
      </c>
      <c r="I20" s="14" t="s">
        <v>49</v>
      </c>
      <c r="J20" s="8"/>
      <c r="K20" s="14"/>
      <c r="L20" s="8"/>
      <c r="M20" s="8"/>
      <c r="N20" s="8"/>
      <c r="O20" s="14"/>
      <c r="P20" s="8"/>
      <c r="Q20" s="8"/>
      <c r="R20" s="8"/>
      <c r="S20" s="49">
        <v>0</v>
      </c>
      <c r="T20" s="8" t="str">
        <f>"0,0000"</f>
        <v>0,0000</v>
      </c>
      <c r="U20" s="7" t="s">
        <v>557</v>
      </c>
    </row>
    <row r="21" spans="1:21">
      <c r="B21" s="5" t="s">
        <v>29</v>
      </c>
    </row>
    <row r="22" spans="1:21" ht="16">
      <c r="A22" s="85" t="s">
        <v>43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21">
      <c r="A23" s="8" t="s">
        <v>28</v>
      </c>
      <c r="B23" s="7" t="s">
        <v>178</v>
      </c>
      <c r="C23" s="7" t="s">
        <v>179</v>
      </c>
      <c r="D23" s="7" t="s">
        <v>180</v>
      </c>
      <c r="E23" s="7" t="s">
        <v>563</v>
      </c>
      <c r="F23" s="7" t="s">
        <v>56</v>
      </c>
      <c r="G23" s="15" t="s">
        <v>177</v>
      </c>
      <c r="H23" s="15" t="s">
        <v>181</v>
      </c>
      <c r="I23" s="15" t="s">
        <v>40</v>
      </c>
      <c r="J23" s="8"/>
      <c r="K23" s="15" t="s">
        <v>89</v>
      </c>
      <c r="L23" s="15" t="s">
        <v>81</v>
      </c>
      <c r="M23" s="14" t="s">
        <v>82</v>
      </c>
      <c r="N23" s="8"/>
      <c r="O23" s="15" t="s">
        <v>60</v>
      </c>
      <c r="P23" s="14" t="s">
        <v>47</v>
      </c>
      <c r="Q23" s="8"/>
      <c r="R23" s="8"/>
      <c r="S23" s="49" t="str">
        <f>"330,0"</f>
        <v>330,0</v>
      </c>
      <c r="T23" s="8" t="str">
        <f>"346,2283"</f>
        <v>346,2283</v>
      </c>
      <c r="U23" s="7" t="s">
        <v>165</v>
      </c>
    </row>
    <row r="24" spans="1:21">
      <c r="B24" s="5" t="s">
        <v>29</v>
      </c>
    </row>
    <row r="25" spans="1:21" ht="16">
      <c r="A25" s="85" t="s">
        <v>52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1:21">
      <c r="A26" s="17" t="s">
        <v>28</v>
      </c>
      <c r="B26" s="16" t="s">
        <v>182</v>
      </c>
      <c r="C26" s="16" t="s">
        <v>183</v>
      </c>
      <c r="D26" s="16" t="s">
        <v>184</v>
      </c>
      <c r="E26" s="16" t="s">
        <v>560</v>
      </c>
      <c r="F26" s="16" t="s">
        <v>544</v>
      </c>
      <c r="G26" s="23" t="s">
        <v>81</v>
      </c>
      <c r="H26" s="23" t="s">
        <v>83</v>
      </c>
      <c r="I26" s="22" t="s">
        <v>83</v>
      </c>
      <c r="J26" s="17"/>
      <c r="K26" s="22" t="s">
        <v>185</v>
      </c>
      <c r="L26" s="22" t="s">
        <v>146</v>
      </c>
      <c r="M26" s="22" t="s">
        <v>147</v>
      </c>
      <c r="N26" s="17"/>
      <c r="O26" s="22" t="s">
        <v>186</v>
      </c>
      <c r="P26" s="22" t="s">
        <v>187</v>
      </c>
      <c r="Q26" s="23" t="s">
        <v>188</v>
      </c>
      <c r="R26" s="17"/>
      <c r="S26" s="54" t="str">
        <f>"255,0"</f>
        <v>255,0</v>
      </c>
      <c r="T26" s="17" t="str">
        <f>"246,4065"</f>
        <v>246,4065</v>
      </c>
      <c r="U26" s="16" t="s">
        <v>189</v>
      </c>
    </row>
    <row r="27" spans="1:21">
      <c r="A27" s="21" t="s">
        <v>254</v>
      </c>
      <c r="B27" s="20" t="s">
        <v>190</v>
      </c>
      <c r="C27" s="20" t="s">
        <v>191</v>
      </c>
      <c r="D27" s="20" t="s">
        <v>192</v>
      </c>
      <c r="E27" s="20" t="s">
        <v>560</v>
      </c>
      <c r="F27" s="20" t="s">
        <v>14</v>
      </c>
      <c r="G27" s="26" t="s">
        <v>186</v>
      </c>
      <c r="H27" s="26" t="s">
        <v>186</v>
      </c>
      <c r="I27" s="26" t="s">
        <v>186</v>
      </c>
      <c r="J27" s="21"/>
      <c r="K27" s="26"/>
      <c r="L27" s="21"/>
      <c r="M27" s="21"/>
      <c r="N27" s="21"/>
      <c r="O27" s="26"/>
      <c r="P27" s="21"/>
      <c r="Q27" s="21"/>
      <c r="R27" s="21"/>
      <c r="S27" s="55">
        <v>0</v>
      </c>
      <c r="T27" s="21" t="str">
        <f>"0,0000"</f>
        <v>0,0000</v>
      </c>
      <c r="U27" s="20" t="s">
        <v>193</v>
      </c>
    </row>
    <row r="28" spans="1:21">
      <c r="B28" s="5" t="s">
        <v>29</v>
      </c>
    </row>
    <row r="29" spans="1:21" ht="16">
      <c r="A29" s="85" t="s">
        <v>64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21">
      <c r="A30" s="8" t="s">
        <v>28</v>
      </c>
      <c r="B30" s="7" t="s">
        <v>194</v>
      </c>
      <c r="C30" s="7" t="s">
        <v>195</v>
      </c>
      <c r="D30" s="7" t="s">
        <v>196</v>
      </c>
      <c r="E30" s="7" t="s">
        <v>560</v>
      </c>
      <c r="F30" s="7" t="s">
        <v>197</v>
      </c>
      <c r="G30" s="15" t="s">
        <v>49</v>
      </c>
      <c r="H30" s="14" t="s">
        <v>157</v>
      </c>
      <c r="I30" s="15" t="s">
        <v>157</v>
      </c>
      <c r="J30" s="8"/>
      <c r="K30" s="15" t="s">
        <v>146</v>
      </c>
      <c r="L30" s="15" t="s">
        <v>37</v>
      </c>
      <c r="M30" s="15" t="s">
        <v>38</v>
      </c>
      <c r="N30" s="8"/>
      <c r="O30" s="15" t="s">
        <v>157</v>
      </c>
      <c r="P30" s="15" t="s">
        <v>158</v>
      </c>
      <c r="Q30" s="15" t="s">
        <v>40</v>
      </c>
      <c r="R30" s="8"/>
      <c r="S30" s="49" t="str">
        <f>"280,0"</f>
        <v>280,0</v>
      </c>
      <c r="T30" s="8" t="str">
        <f>"246,8480"</f>
        <v>246,8480</v>
      </c>
      <c r="U30" s="7" t="s">
        <v>189</v>
      </c>
    </row>
    <row r="31" spans="1:21">
      <c r="B31" s="5" t="s">
        <v>29</v>
      </c>
    </row>
    <row r="32" spans="1:21" ht="16">
      <c r="A32" s="85" t="s">
        <v>52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21">
      <c r="A33" s="17" t="s">
        <v>28</v>
      </c>
      <c r="B33" s="16" t="s">
        <v>198</v>
      </c>
      <c r="C33" s="16" t="s">
        <v>199</v>
      </c>
      <c r="D33" s="16" t="s">
        <v>200</v>
      </c>
      <c r="E33" s="16" t="s">
        <v>562</v>
      </c>
      <c r="F33" s="16" t="s">
        <v>201</v>
      </c>
      <c r="G33" s="22" t="s">
        <v>40</v>
      </c>
      <c r="H33" s="22" t="s">
        <v>35</v>
      </c>
      <c r="I33" s="22" t="s">
        <v>128</v>
      </c>
      <c r="J33" s="17"/>
      <c r="K33" s="22" t="s">
        <v>50</v>
      </c>
      <c r="L33" s="22" t="s">
        <v>157</v>
      </c>
      <c r="M33" s="22" t="s">
        <v>177</v>
      </c>
      <c r="N33" s="17"/>
      <c r="O33" s="22" t="s">
        <v>35</v>
      </c>
      <c r="P33" s="22" t="s">
        <v>128</v>
      </c>
      <c r="Q33" s="22" t="s">
        <v>62</v>
      </c>
      <c r="R33" s="17"/>
      <c r="S33" s="54" t="str">
        <f>"385,0"</f>
        <v>385,0</v>
      </c>
      <c r="T33" s="17" t="str">
        <f>"279,0865"</f>
        <v>279,0865</v>
      </c>
      <c r="U33" s="16" t="s">
        <v>557</v>
      </c>
    </row>
    <row r="34" spans="1:21">
      <c r="A34" s="21" t="s">
        <v>28</v>
      </c>
      <c r="B34" s="20" t="s">
        <v>202</v>
      </c>
      <c r="C34" s="20" t="s">
        <v>203</v>
      </c>
      <c r="D34" s="20" t="s">
        <v>200</v>
      </c>
      <c r="E34" s="20" t="s">
        <v>560</v>
      </c>
      <c r="F34" s="20" t="s">
        <v>401</v>
      </c>
      <c r="G34" s="25" t="s">
        <v>47</v>
      </c>
      <c r="H34" s="25" t="s">
        <v>48</v>
      </c>
      <c r="I34" s="25" t="s">
        <v>51</v>
      </c>
      <c r="J34" s="21"/>
      <c r="K34" s="25" t="s">
        <v>186</v>
      </c>
      <c r="L34" s="25" t="s">
        <v>181</v>
      </c>
      <c r="M34" s="26" t="s">
        <v>40</v>
      </c>
      <c r="N34" s="21"/>
      <c r="O34" s="25" t="s">
        <v>91</v>
      </c>
      <c r="P34" s="25" t="s">
        <v>204</v>
      </c>
      <c r="Q34" s="25" t="s">
        <v>205</v>
      </c>
      <c r="R34" s="21"/>
      <c r="S34" s="55" t="str">
        <f>"470,0"</f>
        <v>470,0</v>
      </c>
      <c r="T34" s="21" t="str">
        <f>"340,7030"</f>
        <v>340,7030</v>
      </c>
      <c r="U34" s="20" t="s">
        <v>154</v>
      </c>
    </row>
    <row r="35" spans="1:21">
      <c r="B35" s="5" t="s">
        <v>29</v>
      </c>
    </row>
    <row r="36" spans="1:21" ht="16">
      <c r="A36" s="85" t="s">
        <v>92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21">
      <c r="A37" s="8" t="s">
        <v>28</v>
      </c>
      <c r="B37" s="7" t="s">
        <v>206</v>
      </c>
      <c r="C37" s="7" t="s">
        <v>207</v>
      </c>
      <c r="D37" s="7" t="s">
        <v>208</v>
      </c>
      <c r="E37" s="7" t="s">
        <v>564</v>
      </c>
      <c r="F37" s="7" t="s">
        <v>14</v>
      </c>
      <c r="G37" s="14" t="s">
        <v>62</v>
      </c>
      <c r="H37" s="14" t="s">
        <v>98</v>
      </c>
      <c r="I37" s="15" t="s">
        <v>98</v>
      </c>
      <c r="J37" s="8"/>
      <c r="K37" s="15" t="s">
        <v>49</v>
      </c>
      <c r="L37" s="14" t="s">
        <v>164</v>
      </c>
      <c r="M37" s="14" t="s">
        <v>164</v>
      </c>
      <c r="N37" s="8"/>
      <c r="O37" s="14" t="s">
        <v>114</v>
      </c>
      <c r="P37" s="15" t="s">
        <v>114</v>
      </c>
      <c r="Q37" s="15" t="s">
        <v>205</v>
      </c>
      <c r="R37" s="8"/>
      <c r="S37" s="49" t="str">
        <f>"422,5"</f>
        <v>422,5</v>
      </c>
      <c r="T37" s="8" t="str">
        <f>"284,0890"</f>
        <v>284,0890</v>
      </c>
      <c r="U37" s="7" t="s">
        <v>209</v>
      </c>
    </row>
    <row r="38" spans="1:21">
      <c r="B38" s="5" t="s">
        <v>29</v>
      </c>
    </row>
    <row r="39" spans="1:21" ht="16">
      <c r="A39" s="85" t="s">
        <v>64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1:21">
      <c r="A40" s="17" t="s">
        <v>28</v>
      </c>
      <c r="B40" s="16" t="s">
        <v>210</v>
      </c>
      <c r="C40" s="16" t="s">
        <v>211</v>
      </c>
      <c r="D40" s="16" t="s">
        <v>212</v>
      </c>
      <c r="E40" s="16" t="s">
        <v>561</v>
      </c>
      <c r="F40" s="16" t="s">
        <v>213</v>
      </c>
      <c r="G40" s="22" t="s">
        <v>72</v>
      </c>
      <c r="H40" s="22" t="s">
        <v>91</v>
      </c>
      <c r="I40" s="22" t="s">
        <v>51</v>
      </c>
      <c r="J40" s="17"/>
      <c r="K40" s="22" t="s">
        <v>186</v>
      </c>
      <c r="L40" s="22" t="s">
        <v>187</v>
      </c>
      <c r="M40" s="23" t="s">
        <v>188</v>
      </c>
      <c r="N40" s="17"/>
      <c r="O40" s="22" t="s">
        <v>51</v>
      </c>
      <c r="P40" s="22" t="s">
        <v>205</v>
      </c>
      <c r="Q40" s="22" t="s">
        <v>16</v>
      </c>
      <c r="R40" s="17"/>
      <c r="S40" s="54" t="str">
        <f>"487,5"</f>
        <v>487,5</v>
      </c>
      <c r="T40" s="17" t="str">
        <f>"313,5600"</f>
        <v>313,5600</v>
      </c>
      <c r="U40" s="16" t="s">
        <v>154</v>
      </c>
    </row>
    <row r="41" spans="1:21">
      <c r="A41" s="19" t="s">
        <v>28</v>
      </c>
      <c r="B41" s="18" t="s">
        <v>214</v>
      </c>
      <c r="C41" s="18" t="s">
        <v>215</v>
      </c>
      <c r="D41" s="18" t="s">
        <v>216</v>
      </c>
      <c r="E41" s="18" t="s">
        <v>560</v>
      </c>
      <c r="F41" s="18" t="s">
        <v>56</v>
      </c>
      <c r="G41" s="27" t="s">
        <v>18</v>
      </c>
      <c r="H41" s="24" t="s">
        <v>18</v>
      </c>
      <c r="I41" s="24" t="s">
        <v>69</v>
      </c>
      <c r="J41" s="19"/>
      <c r="K41" s="24" t="s">
        <v>61</v>
      </c>
      <c r="L41" s="24" t="s">
        <v>62</v>
      </c>
      <c r="M41" s="24" t="s">
        <v>47</v>
      </c>
      <c r="N41" s="19"/>
      <c r="O41" s="24" t="s">
        <v>217</v>
      </c>
      <c r="P41" s="24" t="s">
        <v>106</v>
      </c>
      <c r="Q41" s="27" t="s">
        <v>218</v>
      </c>
      <c r="R41" s="19"/>
      <c r="S41" s="56" t="str">
        <f>"635,0"</f>
        <v>635,0</v>
      </c>
      <c r="T41" s="19" t="str">
        <f>"417,7665"</f>
        <v>417,7665</v>
      </c>
      <c r="U41" s="18" t="s">
        <v>557</v>
      </c>
    </row>
    <row r="42" spans="1:21">
      <c r="A42" s="19" t="s">
        <v>138</v>
      </c>
      <c r="B42" s="18" t="s">
        <v>219</v>
      </c>
      <c r="C42" s="18" t="s">
        <v>220</v>
      </c>
      <c r="D42" s="18" t="s">
        <v>221</v>
      </c>
      <c r="E42" s="18" t="s">
        <v>560</v>
      </c>
      <c r="F42" s="18" t="s">
        <v>34</v>
      </c>
      <c r="G42" s="24" t="s">
        <v>205</v>
      </c>
      <c r="H42" s="27" t="s">
        <v>97</v>
      </c>
      <c r="I42" s="27" t="s">
        <v>17</v>
      </c>
      <c r="J42" s="19"/>
      <c r="K42" s="24" t="s">
        <v>41</v>
      </c>
      <c r="L42" s="24" t="s">
        <v>60</v>
      </c>
      <c r="M42" s="24" t="s">
        <v>36</v>
      </c>
      <c r="N42" s="19"/>
      <c r="O42" s="24" t="s">
        <v>114</v>
      </c>
      <c r="P42" s="24" t="s">
        <v>97</v>
      </c>
      <c r="Q42" s="24" t="s">
        <v>17</v>
      </c>
      <c r="R42" s="19"/>
      <c r="S42" s="56" t="str">
        <f>"522,5"</f>
        <v>522,5</v>
      </c>
      <c r="T42" s="19" t="str">
        <f>"333,7730"</f>
        <v>333,7730</v>
      </c>
      <c r="U42" s="18" t="s">
        <v>42</v>
      </c>
    </row>
    <row r="43" spans="1:21">
      <c r="A43" s="19" t="s">
        <v>139</v>
      </c>
      <c r="B43" s="18" t="s">
        <v>210</v>
      </c>
      <c r="C43" s="18" t="s">
        <v>222</v>
      </c>
      <c r="D43" s="18" t="s">
        <v>212</v>
      </c>
      <c r="E43" s="18" t="s">
        <v>560</v>
      </c>
      <c r="F43" s="18" t="s">
        <v>213</v>
      </c>
      <c r="G43" s="24" t="s">
        <v>72</v>
      </c>
      <c r="H43" s="24" t="s">
        <v>91</v>
      </c>
      <c r="I43" s="24" t="s">
        <v>51</v>
      </c>
      <c r="J43" s="19"/>
      <c r="K43" s="24" t="s">
        <v>186</v>
      </c>
      <c r="L43" s="24" t="s">
        <v>187</v>
      </c>
      <c r="M43" s="27" t="s">
        <v>188</v>
      </c>
      <c r="N43" s="19"/>
      <c r="O43" s="24" t="s">
        <v>51</v>
      </c>
      <c r="P43" s="24" t="s">
        <v>205</v>
      </c>
      <c r="Q43" s="24" t="s">
        <v>16</v>
      </c>
      <c r="R43" s="19"/>
      <c r="S43" s="56" t="str">
        <f>"487,5"</f>
        <v>487,5</v>
      </c>
      <c r="T43" s="19" t="str">
        <f>"313,5600"</f>
        <v>313,5600</v>
      </c>
      <c r="U43" s="18" t="s">
        <v>154</v>
      </c>
    </row>
    <row r="44" spans="1:21">
      <c r="A44" s="21" t="s">
        <v>255</v>
      </c>
      <c r="B44" s="20" t="s">
        <v>223</v>
      </c>
      <c r="C44" s="20" t="s">
        <v>224</v>
      </c>
      <c r="D44" s="20" t="s">
        <v>225</v>
      </c>
      <c r="E44" s="20" t="s">
        <v>560</v>
      </c>
      <c r="F44" s="20" t="s">
        <v>104</v>
      </c>
      <c r="G44" s="25" t="s">
        <v>48</v>
      </c>
      <c r="H44" s="25" t="s">
        <v>51</v>
      </c>
      <c r="I44" s="26" t="s">
        <v>84</v>
      </c>
      <c r="J44" s="21"/>
      <c r="K44" s="25" t="s">
        <v>157</v>
      </c>
      <c r="L44" s="25" t="s">
        <v>158</v>
      </c>
      <c r="M44" s="25" t="s">
        <v>226</v>
      </c>
      <c r="N44" s="21"/>
      <c r="O44" s="26" t="s">
        <v>51</v>
      </c>
      <c r="P44" s="25" t="s">
        <v>51</v>
      </c>
      <c r="Q44" s="25" t="s">
        <v>114</v>
      </c>
      <c r="R44" s="21"/>
      <c r="S44" s="55" t="str">
        <f>"462,5"</f>
        <v>462,5</v>
      </c>
      <c r="T44" s="21" t="str">
        <f>"295,2600"</f>
        <v>295,2600</v>
      </c>
      <c r="U44" s="20" t="s">
        <v>227</v>
      </c>
    </row>
    <row r="45" spans="1:21">
      <c r="B45" s="5" t="s">
        <v>29</v>
      </c>
    </row>
    <row r="46" spans="1:21" ht="16">
      <c r="A46" s="85" t="s">
        <v>109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1:21">
      <c r="A47" s="17" t="s">
        <v>28</v>
      </c>
      <c r="B47" s="16" t="s">
        <v>228</v>
      </c>
      <c r="C47" s="16" t="s">
        <v>229</v>
      </c>
      <c r="D47" s="16" t="s">
        <v>230</v>
      </c>
      <c r="E47" s="16" t="s">
        <v>560</v>
      </c>
      <c r="F47" s="16" t="s">
        <v>104</v>
      </c>
      <c r="G47" s="23" t="s">
        <v>48</v>
      </c>
      <c r="H47" s="22" t="s">
        <v>51</v>
      </c>
      <c r="I47" s="23" t="s">
        <v>114</v>
      </c>
      <c r="J47" s="17"/>
      <c r="K47" s="22" t="s">
        <v>157</v>
      </c>
      <c r="L47" s="22" t="s">
        <v>186</v>
      </c>
      <c r="M47" s="23" t="s">
        <v>181</v>
      </c>
      <c r="N47" s="17"/>
      <c r="O47" s="22" t="s">
        <v>51</v>
      </c>
      <c r="P47" s="22" t="s">
        <v>205</v>
      </c>
      <c r="Q47" s="22" t="s">
        <v>122</v>
      </c>
      <c r="R47" s="17"/>
      <c r="S47" s="54" t="str">
        <f>"472,5"</f>
        <v>472,5</v>
      </c>
      <c r="T47" s="17" t="str">
        <f>"290,8237"</f>
        <v>290,8237</v>
      </c>
      <c r="U47" s="16" t="s">
        <v>227</v>
      </c>
    </row>
    <row r="48" spans="1:21">
      <c r="A48" s="21" t="s">
        <v>28</v>
      </c>
      <c r="B48" s="20" t="s">
        <v>231</v>
      </c>
      <c r="C48" s="20" t="s">
        <v>232</v>
      </c>
      <c r="D48" s="20" t="s">
        <v>233</v>
      </c>
      <c r="E48" s="20" t="s">
        <v>563</v>
      </c>
      <c r="F48" s="20" t="s">
        <v>234</v>
      </c>
      <c r="G48" s="25" t="s">
        <v>18</v>
      </c>
      <c r="H48" s="25" t="s">
        <v>235</v>
      </c>
      <c r="I48" s="25" t="s">
        <v>57</v>
      </c>
      <c r="J48" s="21"/>
      <c r="K48" s="25" t="s">
        <v>48</v>
      </c>
      <c r="L48" s="25" t="s">
        <v>236</v>
      </c>
      <c r="M48" s="26" t="s">
        <v>91</v>
      </c>
      <c r="N48" s="21"/>
      <c r="O48" s="25" t="s">
        <v>58</v>
      </c>
      <c r="P48" s="25" t="s">
        <v>237</v>
      </c>
      <c r="Q48" s="25" t="s">
        <v>105</v>
      </c>
      <c r="R48" s="21"/>
      <c r="S48" s="55" t="str">
        <f>"632,5"</f>
        <v>632,5</v>
      </c>
      <c r="T48" s="21" t="str">
        <f>"401,4882"</f>
        <v>401,4882</v>
      </c>
      <c r="U48" s="20" t="s">
        <v>557</v>
      </c>
    </row>
    <row r="49" spans="1:21">
      <c r="B49" s="5" t="s">
        <v>29</v>
      </c>
    </row>
    <row r="50" spans="1:21" ht="16">
      <c r="A50" s="85" t="s">
        <v>10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1:21">
      <c r="A51" s="8" t="s">
        <v>28</v>
      </c>
      <c r="B51" s="7" t="s">
        <v>238</v>
      </c>
      <c r="C51" s="7" t="s">
        <v>239</v>
      </c>
      <c r="D51" s="7" t="s">
        <v>240</v>
      </c>
      <c r="E51" s="7" t="s">
        <v>560</v>
      </c>
      <c r="F51" s="7" t="s">
        <v>68</v>
      </c>
      <c r="G51" s="15" t="s">
        <v>97</v>
      </c>
      <c r="H51" s="15" t="s">
        <v>17</v>
      </c>
      <c r="I51" s="15" t="s">
        <v>69</v>
      </c>
      <c r="J51" s="8"/>
      <c r="K51" s="15" t="s">
        <v>35</v>
      </c>
      <c r="L51" s="15" t="s">
        <v>36</v>
      </c>
      <c r="M51" s="14" t="s">
        <v>61</v>
      </c>
      <c r="N51" s="8"/>
      <c r="O51" s="15" t="s">
        <v>58</v>
      </c>
      <c r="P51" s="15" t="s">
        <v>63</v>
      </c>
      <c r="Q51" s="14" t="s">
        <v>108</v>
      </c>
      <c r="R51" s="8"/>
      <c r="S51" s="49" t="str">
        <f>"595,0"</f>
        <v>595,0</v>
      </c>
      <c r="T51" s="8" t="str">
        <f>"353,9060"</f>
        <v>353,9060</v>
      </c>
      <c r="U51" s="7" t="s">
        <v>557</v>
      </c>
    </row>
    <row r="52" spans="1:21">
      <c r="B52" s="5" t="s">
        <v>29</v>
      </c>
    </row>
    <row r="54" spans="1:21">
      <c r="B54" s="5" t="s">
        <v>29</v>
      </c>
    </row>
    <row r="55" spans="1:21" ht="18">
      <c r="B55" s="9" t="s">
        <v>20</v>
      </c>
      <c r="C55" s="9"/>
    </row>
    <row r="56" spans="1:21" ht="16">
      <c r="B56" s="10" t="s">
        <v>73</v>
      </c>
      <c r="C56" s="10"/>
    </row>
    <row r="57" spans="1:21" ht="14">
      <c r="B57" s="11"/>
      <c r="C57" s="12" t="s">
        <v>22</v>
      </c>
    </row>
    <row r="58" spans="1:21" ht="14">
      <c r="B58" s="13" t="s">
        <v>23</v>
      </c>
      <c r="C58" s="13" t="s">
        <v>24</v>
      </c>
      <c r="D58" s="13" t="s">
        <v>545</v>
      </c>
      <c r="E58" s="13" t="s">
        <v>25</v>
      </c>
      <c r="F58" s="13" t="s">
        <v>26</v>
      </c>
    </row>
    <row r="59" spans="1:21">
      <c r="B59" s="5" t="s">
        <v>150</v>
      </c>
      <c r="C59" s="5" t="s">
        <v>22</v>
      </c>
      <c r="D59" s="6" t="s">
        <v>241</v>
      </c>
      <c r="E59" s="6" t="s">
        <v>58</v>
      </c>
      <c r="F59" s="6" t="s">
        <v>242</v>
      </c>
    </row>
    <row r="60" spans="1:21">
      <c r="B60" s="5" t="s">
        <v>160</v>
      </c>
      <c r="C60" s="5" t="s">
        <v>22</v>
      </c>
      <c r="D60" s="6" t="s">
        <v>243</v>
      </c>
      <c r="E60" s="6" t="s">
        <v>244</v>
      </c>
      <c r="F60" s="6" t="s">
        <v>245</v>
      </c>
    </row>
    <row r="61" spans="1:21">
      <c r="B61" s="5" t="s">
        <v>141</v>
      </c>
      <c r="C61" s="5" t="s">
        <v>22</v>
      </c>
      <c r="D61" s="6" t="s">
        <v>246</v>
      </c>
      <c r="E61" s="6" t="s">
        <v>18</v>
      </c>
      <c r="F61" s="6" t="s">
        <v>247</v>
      </c>
    </row>
    <row r="63" spans="1:21" ht="16">
      <c r="B63" s="10" t="s">
        <v>21</v>
      </c>
      <c r="C63" s="10"/>
    </row>
    <row r="64" spans="1:21" ht="14">
      <c r="B64" s="11"/>
      <c r="C64" s="12" t="s">
        <v>22</v>
      </c>
    </row>
    <row r="65" spans="2:6" ht="14">
      <c r="B65" s="13" t="s">
        <v>23</v>
      </c>
      <c r="C65" s="13" t="s">
        <v>24</v>
      </c>
      <c r="D65" s="13" t="s">
        <v>545</v>
      </c>
      <c r="E65" s="13" t="s">
        <v>25</v>
      </c>
      <c r="F65" s="13" t="s">
        <v>26</v>
      </c>
    </row>
    <row r="66" spans="2:6">
      <c r="B66" s="5" t="s">
        <v>214</v>
      </c>
      <c r="C66" s="5" t="s">
        <v>22</v>
      </c>
      <c r="D66" s="6" t="s">
        <v>77</v>
      </c>
      <c r="E66" s="6" t="s">
        <v>248</v>
      </c>
      <c r="F66" s="6" t="s">
        <v>249</v>
      </c>
    </row>
    <row r="67" spans="2:6">
      <c r="B67" s="5" t="s">
        <v>238</v>
      </c>
      <c r="C67" s="5" t="s">
        <v>22</v>
      </c>
      <c r="D67" s="6" t="s">
        <v>27</v>
      </c>
      <c r="E67" s="6" t="s">
        <v>250</v>
      </c>
      <c r="F67" s="6" t="s">
        <v>251</v>
      </c>
    </row>
    <row r="68" spans="2:6">
      <c r="B68" s="5" t="s">
        <v>202</v>
      </c>
      <c r="C68" s="5" t="s">
        <v>22</v>
      </c>
      <c r="D68" s="6" t="s">
        <v>76</v>
      </c>
      <c r="E68" s="6" t="s">
        <v>252</v>
      </c>
      <c r="F68" s="6" t="s">
        <v>253</v>
      </c>
    </row>
    <row r="69" spans="2:6">
      <c r="B69" s="5" t="s">
        <v>29</v>
      </c>
    </row>
  </sheetData>
  <mergeCells count="26">
    <mergeCell ref="A5:R5"/>
    <mergeCell ref="B3:B4"/>
    <mergeCell ref="A50:R50"/>
    <mergeCell ref="A8:R8"/>
    <mergeCell ref="A12:R12"/>
    <mergeCell ref="A15:R15"/>
    <mergeCell ref="A19:R19"/>
    <mergeCell ref="A22:R22"/>
    <mergeCell ref="A25:R25"/>
    <mergeCell ref="A29:R29"/>
    <mergeCell ref="A32:R32"/>
    <mergeCell ref="A36:R36"/>
    <mergeCell ref="A39:R39"/>
    <mergeCell ref="A46:R46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64" t="s">
        <v>537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43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28</v>
      </c>
      <c r="B6" s="7" t="s">
        <v>373</v>
      </c>
      <c r="C6" s="7" t="s">
        <v>374</v>
      </c>
      <c r="D6" s="7" t="s">
        <v>293</v>
      </c>
      <c r="E6" s="7" t="s">
        <v>560</v>
      </c>
      <c r="F6" s="7" t="s">
        <v>68</v>
      </c>
      <c r="G6" s="15" t="s">
        <v>50</v>
      </c>
      <c r="H6" s="15" t="s">
        <v>157</v>
      </c>
      <c r="I6" s="14" t="s">
        <v>177</v>
      </c>
      <c r="J6" s="8"/>
      <c r="K6" s="8" t="str">
        <f>"100,0"</f>
        <v>100,0</v>
      </c>
      <c r="L6" s="8" t="str">
        <f>"78,3200"</f>
        <v>78,3200</v>
      </c>
      <c r="M6" s="7" t="s">
        <v>557</v>
      </c>
    </row>
    <row r="7" spans="1:13">
      <c r="B7" s="5" t="s">
        <v>29</v>
      </c>
    </row>
    <row r="8" spans="1:13" ht="16">
      <c r="A8" s="85" t="s">
        <v>92</v>
      </c>
      <c r="B8" s="85"/>
      <c r="C8" s="85"/>
      <c r="D8" s="85"/>
      <c r="E8" s="85"/>
      <c r="F8" s="85"/>
      <c r="G8" s="85"/>
      <c r="H8" s="85"/>
      <c r="I8" s="85"/>
      <c r="J8" s="85"/>
    </row>
    <row r="9" spans="1:13">
      <c r="A9" s="8" t="s">
        <v>28</v>
      </c>
      <c r="B9" s="7" t="s">
        <v>375</v>
      </c>
      <c r="C9" s="7" t="s">
        <v>376</v>
      </c>
      <c r="D9" s="7" t="s">
        <v>377</v>
      </c>
      <c r="E9" s="7" t="s">
        <v>560</v>
      </c>
      <c r="F9" s="7" t="s">
        <v>68</v>
      </c>
      <c r="G9" s="15" t="s">
        <v>60</v>
      </c>
      <c r="H9" s="14" t="s">
        <v>128</v>
      </c>
      <c r="I9" s="14" t="s">
        <v>128</v>
      </c>
      <c r="J9" s="8"/>
      <c r="K9" s="8" t="str">
        <f>"130,0"</f>
        <v>130,0</v>
      </c>
      <c r="L9" s="8" t="str">
        <f>"88,7510"</f>
        <v>88,7510</v>
      </c>
      <c r="M9" s="7" t="s">
        <v>557</v>
      </c>
    </row>
    <row r="10" spans="1:13">
      <c r="B10" s="5" t="s">
        <v>29</v>
      </c>
    </row>
    <row r="11" spans="1:13" ht="16">
      <c r="A11" s="85" t="s">
        <v>64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3">
      <c r="A12" s="8" t="s">
        <v>28</v>
      </c>
      <c r="B12" s="7" t="s">
        <v>378</v>
      </c>
      <c r="C12" s="7" t="s">
        <v>379</v>
      </c>
      <c r="D12" s="7" t="s">
        <v>371</v>
      </c>
      <c r="E12" s="7" t="s">
        <v>560</v>
      </c>
      <c r="F12" s="7" t="s">
        <v>68</v>
      </c>
      <c r="G12" s="15" t="s">
        <v>40</v>
      </c>
      <c r="H12" s="14" t="s">
        <v>60</v>
      </c>
      <c r="I12" s="14" t="s">
        <v>60</v>
      </c>
      <c r="J12" s="8"/>
      <c r="K12" s="8" t="str">
        <f>"120,0"</f>
        <v>120,0</v>
      </c>
      <c r="L12" s="8" t="str">
        <f>"76,9200"</f>
        <v>76,9200</v>
      </c>
      <c r="M12" s="7" t="s">
        <v>557</v>
      </c>
    </row>
    <row r="13" spans="1:13">
      <c r="B13" s="5" t="s">
        <v>29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64" t="s">
        <v>538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10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28</v>
      </c>
      <c r="B6" s="7" t="s">
        <v>256</v>
      </c>
      <c r="C6" s="7" t="s">
        <v>257</v>
      </c>
      <c r="D6" s="7" t="s">
        <v>258</v>
      </c>
      <c r="E6" s="7" t="s">
        <v>560</v>
      </c>
      <c r="F6" s="7" t="s">
        <v>259</v>
      </c>
      <c r="G6" s="15" t="s">
        <v>51</v>
      </c>
      <c r="H6" s="15" t="s">
        <v>114</v>
      </c>
      <c r="I6" s="15" t="s">
        <v>99</v>
      </c>
      <c r="J6" s="8"/>
      <c r="K6" s="8" t="str">
        <f>"190,0"</f>
        <v>190,0</v>
      </c>
      <c r="L6" s="8" t="str">
        <f>"111,8720"</f>
        <v>111,8720</v>
      </c>
      <c r="M6" s="7" t="s">
        <v>546</v>
      </c>
    </row>
    <row r="7" spans="1:13">
      <c r="B7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9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64" t="s">
        <v>539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52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7" t="s">
        <v>28</v>
      </c>
      <c r="B6" s="16" t="s">
        <v>489</v>
      </c>
      <c r="C6" s="16" t="s">
        <v>490</v>
      </c>
      <c r="D6" s="16" t="s">
        <v>491</v>
      </c>
      <c r="E6" s="16" t="s">
        <v>565</v>
      </c>
      <c r="F6" s="16" t="s">
        <v>120</v>
      </c>
      <c r="G6" s="22" t="s">
        <v>38</v>
      </c>
      <c r="H6" s="22" t="s">
        <v>451</v>
      </c>
      <c r="I6" s="23" t="s">
        <v>290</v>
      </c>
      <c r="J6" s="17"/>
      <c r="K6" s="17" t="str">
        <f>"65,0"</f>
        <v>65,0</v>
      </c>
      <c r="L6" s="17" t="str">
        <f>"72,9664"</f>
        <v>72,9664</v>
      </c>
      <c r="M6" s="16" t="s">
        <v>492</v>
      </c>
    </row>
    <row r="7" spans="1:13">
      <c r="A7" s="21" t="s">
        <v>28</v>
      </c>
      <c r="B7" s="20" t="s">
        <v>493</v>
      </c>
      <c r="C7" s="20" t="s">
        <v>494</v>
      </c>
      <c r="D7" s="20" t="s">
        <v>367</v>
      </c>
      <c r="E7" s="20" t="s">
        <v>566</v>
      </c>
      <c r="F7" s="20" t="s">
        <v>495</v>
      </c>
      <c r="G7" s="25" t="s">
        <v>146</v>
      </c>
      <c r="H7" s="25" t="s">
        <v>37</v>
      </c>
      <c r="I7" s="26" t="s">
        <v>38</v>
      </c>
      <c r="J7" s="21"/>
      <c r="K7" s="21" t="str">
        <f>"55,0"</f>
        <v>55,0</v>
      </c>
      <c r="L7" s="21" t="str">
        <f>"82,6180"</f>
        <v>82,6180</v>
      </c>
      <c r="M7" s="20" t="s">
        <v>492</v>
      </c>
    </row>
    <row r="8" spans="1:13">
      <c r="B8" s="5" t="s">
        <v>29</v>
      </c>
    </row>
    <row r="9" spans="1:13" ht="16">
      <c r="A9" s="85" t="s">
        <v>496</v>
      </c>
      <c r="B9" s="85"/>
      <c r="C9" s="85"/>
      <c r="D9" s="85"/>
      <c r="E9" s="85"/>
      <c r="F9" s="85"/>
      <c r="G9" s="85"/>
      <c r="H9" s="85"/>
      <c r="I9" s="85"/>
      <c r="J9" s="85"/>
    </row>
    <row r="10" spans="1:13">
      <c r="A10" s="8" t="s">
        <v>28</v>
      </c>
      <c r="B10" s="7" t="s">
        <v>497</v>
      </c>
      <c r="C10" s="7" t="s">
        <v>498</v>
      </c>
      <c r="D10" s="7" t="s">
        <v>499</v>
      </c>
      <c r="E10" s="7" t="s">
        <v>567</v>
      </c>
      <c r="F10" s="7" t="s">
        <v>120</v>
      </c>
      <c r="G10" s="15" t="s">
        <v>81</v>
      </c>
      <c r="H10" s="15" t="s">
        <v>83</v>
      </c>
      <c r="I10" s="15" t="s">
        <v>163</v>
      </c>
      <c r="J10" s="8"/>
      <c r="K10" s="8" t="str">
        <f>"87,5"</f>
        <v>87,5</v>
      </c>
      <c r="L10" s="8" t="str">
        <f>"91,9725"</f>
        <v>91,9725</v>
      </c>
      <c r="M10" s="7" t="s">
        <v>452</v>
      </c>
    </row>
    <row r="11" spans="1:13">
      <c r="B11" s="5" t="s">
        <v>29</v>
      </c>
    </row>
    <row r="12" spans="1:13" ht="16">
      <c r="A12" s="85" t="s">
        <v>43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3">
      <c r="A13" s="8" t="s">
        <v>28</v>
      </c>
      <c r="B13" s="7" t="s">
        <v>500</v>
      </c>
      <c r="C13" s="7" t="s">
        <v>501</v>
      </c>
      <c r="D13" s="7" t="s">
        <v>450</v>
      </c>
      <c r="E13" s="7" t="s">
        <v>566</v>
      </c>
      <c r="F13" s="7" t="s">
        <v>455</v>
      </c>
      <c r="G13" s="15" t="s">
        <v>145</v>
      </c>
      <c r="H13" s="15" t="s">
        <v>90</v>
      </c>
      <c r="I13" s="14" t="s">
        <v>81</v>
      </c>
      <c r="J13" s="8"/>
      <c r="K13" s="8" t="str">
        <f>"77,5"</f>
        <v>77,5</v>
      </c>
      <c r="L13" s="8" t="str">
        <f>"102,5416"</f>
        <v>102,5416</v>
      </c>
      <c r="M13" s="7" t="s">
        <v>557</v>
      </c>
    </row>
    <row r="14" spans="1:13">
      <c r="B14" s="5" t="s">
        <v>29</v>
      </c>
    </row>
    <row r="15" spans="1:13" ht="16">
      <c r="A15" s="85" t="s">
        <v>52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3">
      <c r="A16" s="8" t="s">
        <v>28</v>
      </c>
      <c r="B16" s="7" t="s">
        <v>502</v>
      </c>
      <c r="C16" s="7" t="s">
        <v>503</v>
      </c>
      <c r="D16" s="7" t="s">
        <v>504</v>
      </c>
      <c r="E16" s="7" t="s">
        <v>560</v>
      </c>
      <c r="F16" s="7" t="s">
        <v>495</v>
      </c>
      <c r="G16" s="15" t="s">
        <v>89</v>
      </c>
      <c r="H16" s="15" t="s">
        <v>81</v>
      </c>
      <c r="I16" s="15" t="s">
        <v>83</v>
      </c>
      <c r="J16" s="8"/>
      <c r="K16" s="8" t="str">
        <f>"85,0"</f>
        <v>85,0</v>
      </c>
      <c r="L16" s="8" t="str">
        <f>"58,9900"</f>
        <v>58,9900</v>
      </c>
      <c r="M16" s="7" t="s">
        <v>492</v>
      </c>
    </row>
    <row r="17" spans="1:13">
      <c r="B17" s="5" t="s">
        <v>29</v>
      </c>
    </row>
    <row r="18" spans="1:13" ht="16">
      <c r="A18" s="85" t="s">
        <v>92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3">
      <c r="A19" s="8" t="s">
        <v>28</v>
      </c>
      <c r="B19" s="7" t="s">
        <v>505</v>
      </c>
      <c r="C19" s="7" t="s">
        <v>506</v>
      </c>
      <c r="D19" s="7" t="s">
        <v>507</v>
      </c>
      <c r="E19" s="7" t="s">
        <v>567</v>
      </c>
      <c r="F19" s="7" t="s">
        <v>495</v>
      </c>
      <c r="G19" s="15" t="s">
        <v>157</v>
      </c>
      <c r="H19" s="15" t="s">
        <v>177</v>
      </c>
      <c r="I19" s="14" t="s">
        <v>158</v>
      </c>
      <c r="J19" s="8"/>
      <c r="K19" s="8" t="str">
        <f>"105,0"</f>
        <v>105,0</v>
      </c>
      <c r="L19" s="8" t="str">
        <f>"105,0991"</f>
        <v>105,0991</v>
      </c>
      <c r="M19" s="7" t="s">
        <v>452</v>
      </c>
    </row>
    <row r="20" spans="1:13">
      <c r="B20" s="5" t="s">
        <v>29</v>
      </c>
    </row>
    <row r="21" spans="1:13" ht="16">
      <c r="A21" s="85" t="s">
        <v>109</v>
      </c>
      <c r="B21" s="85"/>
      <c r="C21" s="85"/>
      <c r="D21" s="85"/>
      <c r="E21" s="85"/>
      <c r="F21" s="85"/>
      <c r="G21" s="85"/>
      <c r="H21" s="85"/>
      <c r="I21" s="85"/>
      <c r="J21" s="85"/>
    </row>
    <row r="22" spans="1:13">
      <c r="A22" s="17" t="s">
        <v>28</v>
      </c>
      <c r="B22" s="16" t="s">
        <v>508</v>
      </c>
      <c r="C22" s="16" t="s">
        <v>509</v>
      </c>
      <c r="D22" s="16" t="s">
        <v>510</v>
      </c>
      <c r="E22" s="16" t="s">
        <v>563</v>
      </c>
      <c r="F22" s="16" t="s">
        <v>495</v>
      </c>
      <c r="G22" s="23" t="s">
        <v>148</v>
      </c>
      <c r="H22" s="22" t="s">
        <v>148</v>
      </c>
      <c r="I22" s="22" t="s">
        <v>511</v>
      </c>
      <c r="J22" s="17"/>
      <c r="K22" s="17" t="str">
        <f>"102,5"</f>
        <v>102,5</v>
      </c>
      <c r="L22" s="17" t="str">
        <f>"60,3603"</f>
        <v>60,3603</v>
      </c>
      <c r="M22" s="16" t="s">
        <v>492</v>
      </c>
    </row>
    <row r="23" spans="1:13">
      <c r="A23" s="19" t="s">
        <v>28</v>
      </c>
      <c r="B23" s="18" t="s">
        <v>512</v>
      </c>
      <c r="C23" s="18" t="s">
        <v>513</v>
      </c>
      <c r="D23" s="18" t="s">
        <v>514</v>
      </c>
      <c r="E23" s="18" t="s">
        <v>565</v>
      </c>
      <c r="F23" s="18" t="s">
        <v>495</v>
      </c>
      <c r="G23" s="24" t="s">
        <v>71</v>
      </c>
      <c r="H23" s="27" t="s">
        <v>327</v>
      </c>
      <c r="I23" s="27" t="s">
        <v>327</v>
      </c>
      <c r="J23" s="19"/>
      <c r="K23" s="19" t="str">
        <f>"152,5"</f>
        <v>152,5</v>
      </c>
      <c r="L23" s="19" t="str">
        <f>"103,8970"</f>
        <v>103,8970</v>
      </c>
      <c r="M23" s="18" t="s">
        <v>557</v>
      </c>
    </row>
    <row r="24" spans="1:13">
      <c r="A24" s="19" t="s">
        <v>28</v>
      </c>
      <c r="B24" s="18" t="s">
        <v>515</v>
      </c>
      <c r="C24" s="18" t="s">
        <v>516</v>
      </c>
      <c r="D24" s="18" t="s">
        <v>517</v>
      </c>
      <c r="E24" s="18" t="s">
        <v>567</v>
      </c>
      <c r="F24" s="18" t="s">
        <v>518</v>
      </c>
      <c r="G24" s="24" t="s">
        <v>177</v>
      </c>
      <c r="H24" s="24" t="s">
        <v>186</v>
      </c>
      <c r="I24" s="24" t="s">
        <v>181</v>
      </c>
      <c r="J24" s="19"/>
      <c r="K24" s="19" t="str">
        <f>"115,0"</f>
        <v>115,0</v>
      </c>
      <c r="L24" s="19" t="str">
        <f>"106,9678"</f>
        <v>106,9678</v>
      </c>
      <c r="M24" s="18" t="s">
        <v>452</v>
      </c>
    </row>
    <row r="25" spans="1:13">
      <c r="A25" s="21" t="s">
        <v>28</v>
      </c>
      <c r="B25" s="20" t="s">
        <v>519</v>
      </c>
      <c r="C25" s="20" t="s">
        <v>520</v>
      </c>
      <c r="D25" s="20" t="s">
        <v>521</v>
      </c>
      <c r="E25" s="20" t="s">
        <v>566</v>
      </c>
      <c r="F25" s="20" t="s">
        <v>495</v>
      </c>
      <c r="G25" s="25" t="s">
        <v>144</v>
      </c>
      <c r="H25" s="25" t="s">
        <v>89</v>
      </c>
      <c r="I25" s="26" t="s">
        <v>81</v>
      </c>
      <c r="J25" s="21"/>
      <c r="K25" s="21" t="str">
        <f>"75,0"</f>
        <v>75,0</v>
      </c>
      <c r="L25" s="21" t="str">
        <f>"85,6195"</f>
        <v>85,6195</v>
      </c>
      <c r="M25" s="20" t="s">
        <v>452</v>
      </c>
    </row>
    <row r="26" spans="1:13">
      <c r="B26" s="5" t="s">
        <v>29</v>
      </c>
    </row>
    <row r="27" spans="1:13" ht="16">
      <c r="A27" s="85" t="s">
        <v>10</v>
      </c>
      <c r="B27" s="85"/>
      <c r="C27" s="85"/>
      <c r="D27" s="85"/>
      <c r="E27" s="85"/>
      <c r="F27" s="85"/>
      <c r="G27" s="85"/>
      <c r="H27" s="85"/>
      <c r="I27" s="85"/>
      <c r="J27" s="85"/>
    </row>
    <row r="28" spans="1:13">
      <c r="A28" s="8" t="s">
        <v>28</v>
      </c>
      <c r="B28" s="7" t="s">
        <v>522</v>
      </c>
      <c r="C28" s="7" t="s">
        <v>523</v>
      </c>
      <c r="D28" s="7" t="s">
        <v>524</v>
      </c>
      <c r="E28" s="7" t="s">
        <v>565</v>
      </c>
      <c r="F28" s="7" t="s">
        <v>455</v>
      </c>
      <c r="G28" s="15" t="s">
        <v>186</v>
      </c>
      <c r="H28" s="14" t="s">
        <v>226</v>
      </c>
      <c r="I28" s="14" t="s">
        <v>226</v>
      </c>
      <c r="J28" s="8"/>
      <c r="K28" s="8" t="str">
        <f>"110,0"</f>
        <v>110,0</v>
      </c>
      <c r="L28" s="8" t="str">
        <f>"73,2505"</f>
        <v>73,2505</v>
      </c>
      <c r="M28" s="7" t="s">
        <v>550</v>
      </c>
    </row>
    <row r="29" spans="1:13">
      <c r="B29" s="5" t="s">
        <v>29</v>
      </c>
    </row>
    <row r="31" spans="1:13">
      <c r="B31" s="5" t="s">
        <v>29</v>
      </c>
    </row>
    <row r="32" spans="1:13" ht="18">
      <c r="B32" s="9" t="s">
        <v>20</v>
      </c>
      <c r="C32" s="9"/>
    </row>
    <row r="33" spans="2:6" ht="16">
      <c r="B33" s="10" t="s">
        <v>21</v>
      </c>
      <c r="C33" s="10"/>
    </row>
    <row r="34" spans="2:6" ht="14">
      <c r="B34" s="11"/>
      <c r="C34" s="12" t="s">
        <v>74</v>
      </c>
    </row>
    <row r="35" spans="2:6" ht="14">
      <c r="B35" s="13" t="s">
        <v>23</v>
      </c>
      <c r="C35" s="13" t="s">
        <v>24</v>
      </c>
      <c r="D35" s="13" t="s">
        <v>545</v>
      </c>
      <c r="E35" s="13" t="s">
        <v>260</v>
      </c>
      <c r="F35" s="13" t="s">
        <v>372</v>
      </c>
    </row>
    <row r="36" spans="2:6">
      <c r="B36" s="5" t="s">
        <v>515</v>
      </c>
      <c r="C36" s="5" t="s">
        <v>453</v>
      </c>
      <c r="D36" s="6" t="s">
        <v>137</v>
      </c>
      <c r="E36" s="6" t="s">
        <v>181</v>
      </c>
      <c r="F36" s="6" t="s">
        <v>525</v>
      </c>
    </row>
    <row r="37" spans="2:6">
      <c r="B37" s="5" t="s">
        <v>505</v>
      </c>
      <c r="C37" s="5" t="s">
        <v>453</v>
      </c>
      <c r="D37" s="6" t="s">
        <v>136</v>
      </c>
      <c r="E37" s="6" t="s">
        <v>177</v>
      </c>
      <c r="F37" s="6" t="s">
        <v>526</v>
      </c>
    </row>
    <row r="38" spans="2:6">
      <c r="B38" s="5" t="s">
        <v>512</v>
      </c>
      <c r="C38" s="5" t="s">
        <v>363</v>
      </c>
      <c r="D38" s="6" t="s">
        <v>137</v>
      </c>
      <c r="E38" s="6" t="s">
        <v>71</v>
      </c>
      <c r="F38" s="6" t="s">
        <v>527</v>
      </c>
    </row>
  </sheetData>
  <mergeCells count="18">
    <mergeCell ref="A27:J27"/>
    <mergeCell ref="K3:K4"/>
    <mergeCell ref="L3:L4"/>
    <mergeCell ref="M3:M4"/>
    <mergeCell ref="A5:J5"/>
    <mergeCell ref="B3:B4"/>
    <mergeCell ref="A9:J9"/>
    <mergeCell ref="A12:J12"/>
    <mergeCell ref="A15:J15"/>
    <mergeCell ref="A18:J18"/>
    <mergeCell ref="A21:J2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60"/>
  <sheetViews>
    <sheetView topLeftCell="A11" workbookViewId="0">
      <selection activeCell="E50" sqref="E50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40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" style="5" customWidth="1"/>
    <col min="14" max="16384" width="9.1640625" style="3"/>
  </cols>
  <sheetData>
    <row r="1" spans="1:13" s="2" customFormat="1" ht="29" customHeight="1">
      <c r="A1" s="64" t="s">
        <v>540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9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149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7" t="s">
        <v>28</v>
      </c>
      <c r="B6" s="16" t="s">
        <v>150</v>
      </c>
      <c r="C6" s="16" t="s">
        <v>151</v>
      </c>
      <c r="D6" s="16" t="s">
        <v>152</v>
      </c>
      <c r="E6" s="16" t="s">
        <v>561</v>
      </c>
      <c r="F6" s="16" t="s">
        <v>401</v>
      </c>
      <c r="G6" s="43" t="s">
        <v>49</v>
      </c>
      <c r="H6" s="43" t="s">
        <v>157</v>
      </c>
      <c r="I6" s="40" t="s">
        <v>158</v>
      </c>
      <c r="J6" s="17"/>
      <c r="K6" s="17" t="str">
        <f>"100,0"</f>
        <v>100,0</v>
      </c>
      <c r="L6" s="17" t="str">
        <f>"134,9000"</f>
        <v>134,9000</v>
      </c>
      <c r="M6" s="16" t="s">
        <v>154</v>
      </c>
    </row>
    <row r="7" spans="1:13">
      <c r="A7" s="21" t="s">
        <v>28</v>
      </c>
      <c r="B7" s="20" t="s">
        <v>150</v>
      </c>
      <c r="C7" s="20" t="s">
        <v>155</v>
      </c>
      <c r="D7" s="20" t="s">
        <v>152</v>
      </c>
      <c r="E7" s="20" t="s">
        <v>560</v>
      </c>
      <c r="F7" s="20" t="s">
        <v>401</v>
      </c>
      <c r="G7" s="45" t="s">
        <v>49</v>
      </c>
      <c r="H7" s="45" t="s">
        <v>157</v>
      </c>
      <c r="I7" s="41" t="s">
        <v>158</v>
      </c>
      <c r="J7" s="21"/>
      <c r="K7" s="21" t="str">
        <f>"100,0"</f>
        <v>100,0</v>
      </c>
      <c r="L7" s="21" t="str">
        <f>"134,9000"</f>
        <v>134,9000</v>
      </c>
      <c r="M7" s="20" t="s">
        <v>154</v>
      </c>
    </row>
    <row r="8" spans="1:13">
      <c r="B8" s="5" t="s">
        <v>29</v>
      </c>
    </row>
    <row r="9" spans="1:13" ht="16">
      <c r="A9" s="85" t="s">
        <v>166</v>
      </c>
      <c r="B9" s="85"/>
      <c r="C9" s="85"/>
      <c r="D9" s="85"/>
      <c r="E9" s="85"/>
      <c r="F9" s="85"/>
      <c r="G9" s="85"/>
      <c r="H9" s="85"/>
      <c r="I9" s="85"/>
      <c r="J9" s="85"/>
    </row>
    <row r="10" spans="1:13">
      <c r="A10" s="17" t="s">
        <v>28</v>
      </c>
      <c r="B10" s="16" t="s">
        <v>167</v>
      </c>
      <c r="C10" s="16" t="s">
        <v>168</v>
      </c>
      <c r="D10" s="16" t="s">
        <v>169</v>
      </c>
      <c r="E10" s="16" t="s">
        <v>562</v>
      </c>
      <c r="F10" s="28" t="s">
        <v>401</v>
      </c>
      <c r="G10" s="32" t="s">
        <v>83</v>
      </c>
      <c r="H10" s="22" t="s">
        <v>164</v>
      </c>
      <c r="I10" s="43" t="s">
        <v>148</v>
      </c>
      <c r="J10" s="35"/>
      <c r="K10" s="17" t="str">
        <f>"97,5"</f>
        <v>97,5</v>
      </c>
      <c r="L10" s="17" t="str">
        <f>"118,0335"</f>
        <v>118,0335</v>
      </c>
      <c r="M10" s="16" t="s">
        <v>154</v>
      </c>
    </row>
    <row r="11" spans="1:13">
      <c r="A11" s="19" t="s">
        <v>28</v>
      </c>
      <c r="B11" s="18" t="s">
        <v>407</v>
      </c>
      <c r="C11" s="18" t="s">
        <v>408</v>
      </c>
      <c r="D11" s="18" t="s">
        <v>409</v>
      </c>
      <c r="E11" s="18" t="s">
        <v>560</v>
      </c>
      <c r="F11" s="57" t="s">
        <v>401</v>
      </c>
      <c r="G11" s="59" t="s">
        <v>157</v>
      </c>
      <c r="H11" s="24" t="s">
        <v>177</v>
      </c>
      <c r="I11" s="61" t="s">
        <v>186</v>
      </c>
      <c r="J11" s="58"/>
      <c r="K11" s="19" t="str">
        <f>"105,0"</f>
        <v>105,0</v>
      </c>
      <c r="L11" s="19" t="str">
        <f>"124,7715"</f>
        <v>124,7715</v>
      </c>
      <c r="M11" s="18" t="s">
        <v>410</v>
      </c>
    </row>
    <row r="12" spans="1:13">
      <c r="A12" s="21" t="s">
        <v>138</v>
      </c>
      <c r="B12" s="20" t="s">
        <v>167</v>
      </c>
      <c r="C12" s="20" t="s">
        <v>171</v>
      </c>
      <c r="D12" s="20" t="s">
        <v>169</v>
      </c>
      <c r="E12" s="20" t="s">
        <v>560</v>
      </c>
      <c r="F12" s="29" t="s">
        <v>401</v>
      </c>
      <c r="G12" s="36" t="s">
        <v>83</v>
      </c>
      <c r="H12" s="25" t="s">
        <v>164</v>
      </c>
      <c r="I12" s="45" t="s">
        <v>148</v>
      </c>
      <c r="J12" s="39"/>
      <c r="K12" s="21" t="str">
        <f>"97,5"</f>
        <v>97,5</v>
      </c>
      <c r="L12" s="21" t="str">
        <f>"118,0335"</f>
        <v>118,0335</v>
      </c>
      <c r="M12" s="20" t="s">
        <v>154</v>
      </c>
    </row>
    <row r="13" spans="1:13">
      <c r="B13" s="5" t="s">
        <v>29</v>
      </c>
    </row>
    <row r="14" spans="1:13" ht="16">
      <c r="A14" s="85" t="s">
        <v>30</v>
      </c>
      <c r="B14" s="85"/>
      <c r="C14" s="85"/>
      <c r="D14" s="85"/>
      <c r="E14" s="85"/>
      <c r="F14" s="85"/>
      <c r="G14" s="85"/>
      <c r="H14" s="85"/>
      <c r="I14" s="85"/>
      <c r="J14" s="85"/>
    </row>
    <row r="15" spans="1:13">
      <c r="A15" s="8" t="s">
        <v>28</v>
      </c>
      <c r="B15" s="7" t="s">
        <v>411</v>
      </c>
      <c r="C15" s="7" t="s">
        <v>412</v>
      </c>
      <c r="D15" s="7" t="s">
        <v>413</v>
      </c>
      <c r="E15" s="7" t="s">
        <v>560</v>
      </c>
      <c r="F15" s="7" t="s">
        <v>56</v>
      </c>
      <c r="G15" s="15" t="s">
        <v>81</v>
      </c>
      <c r="H15" s="15" t="s">
        <v>49</v>
      </c>
      <c r="I15" s="15" t="s">
        <v>164</v>
      </c>
      <c r="J15" s="8"/>
      <c r="K15" s="8" t="str">
        <f>"92,5"</f>
        <v>92,5</v>
      </c>
      <c r="L15" s="8" t="str">
        <f>"105,3205"</f>
        <v>105,3205</v>
      </c>
      <c r="M15" s="7" t="s">
        <v>414</v>
      </c>
    </row>
    <row r="16" spans="1:13">
      <c r="B16" s="5" t="s">
        <v>29</v>
      </c>
    </row>
    <row r="17" spans="1:13" ht="16">
      <c r="A17" s="85" t="s">
        <v>52</v>
      </c>
      <c r="B17" s="85"/>
      <c r="C17" s="85"/>
      <c r="D17" s="85"/>
      <c r="E17" s="85"/>
      <c r="F17" s="85"/>
      <c r="G17" s="85"/>
      <c r="H17" s="85"/>
      <c r="I17" s="85"/>
      <c r="J17" s="85"/>
    </row>
    <row r="18" spans="1:13">
      <c r="A18" s="8" t="s">
        <v>28</v>
      </c>
      <c r="B18" s="7" t="s">
        <v>190</v>
      </c>
      <c r="C18" s="7" t="s">
        <v>191</v>
      </c>
      <c r="D18" s="7" t="s">
        <v>192</v>
      </c>
      <c r="E18" s="7" t="s">
        <v>560</v>
      </c>
      <c r="F18" s="7" t="s">
        <v>14</v>
      </c>
      <c r="G18" s="15" t="s">
        <v>35</v>
      </c>
      <c r="H18" s="15" t="s">
        <v>41</v>
      </c>
      <c r="I18" s="15" t="s">
        <v>60</v>
      </c>
      <c r="J18" s="8"/>
      <c r="K18" s="8" t="str">
        <f>"130,0"</f>
        <v>130,0</v>
      </c>
      <c r="L18" s="8" t="str">
        <f>"124,5270"</f>
        <v>124,5270</v>
      </c>
      <c r="M18" s="7" t="s">
        <v>193</v>
      </c>
    </row>
    <row r="19" spans="1:13">
      <c r="B19" s="5" t="s">
        <v>29</v>
      </c>
    </row>
    <row r="20" spans="1:13" ht="16">
      <c r="A20" s="85" t="s">
        <v>159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3">
      <c r="A21" s="8" t="s">
        <v>28</v>
      </c>
      <c r="B21" s="7" t="s">
        <v>415</v>
      </c>
      <c r="C21" s="7" t="s">
        <v>416</v>
      </c>
      <c r="D21" s="7" t="s">
        <v>417</v>
      </c>
      <c r="E21" s="7" t="s">
        <v>564</v>
      </c>
      <c r="F21" s="7" t="s">
        <v>14</v>
      </c>
      <c r="G21" s="15" t="s">
        <v>83</v>
      </c>
      <c r="H21" s="15" t="s">
        <v>50</v>
      </c>
      <c r="I21" s="14" t="s">
        <v>181</v>
      </c>
      <c r="J21" s="8"/>
      <c r="K21" s="8" t="str">
        <f>"95,0"</f>
        <v>95,0</v>
      </c>
      <c r="L21" s="8" t="str">
        <f>"94,5630"</f>
        <v>94,5630</v>
      </c>
      <c r="M21" s="7" t="s">
        <v>557</v>
      </c>
    </row>
    <row r="22" spans="1:13">
      <c r="B22" s="5" t="s">
        <v>29</v>
      </c>
    </row>
    <row r="23" spans="1:13" ht="16">
      <c r="A23" s="85" t="s">
        <v>43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13">
      <c r="A24" s="17" t="s">
        <v>28</v>
      </c>
      <c r="B24" s="16" t="s">
        <v>418</v>
      </c>
      <c r="C24" s="16" t="s">
        <v>419</v>
      </c>
      <c r="D24" s="16" t="s">
        <v>420</v>
      </c>
      <c r="E24" s="16" t="s">
        <v>560</v>
      </c>
      <c r="F24" s="16" t="s">
        <v>267</v>
      </c>
      <c r="G24" s="22" t="s">
        <v>84</v>
      </c>
      <c r="H24" s="22" t="s">
        <v>204</v>
      </c>
      <c r="I24" s="23" t="s">
        <v>114</v>
      </c>
      <c r="J24" s="17"/>
      <c r="K24" s="17" t="str">
        <f>"177,5"</f>
        <v>177,5</v>
      </c>
      <c r="L24" s="17" t="str">
        <f>"138,1838"</f>
        <v>138,1838</v>
      </c>
      <c r="M24" s="16" t="s">
        <v>557</v>
      </c>
    </row>
    <row r="25" spans="1:13">
      <c r="A25" s="19" t="s">
        <v>138</v>
      </c>
      <c r="B25" s="18" t="s">
        <v>373</v>
      </c>
      <c r="C25" s="18" t="s">
        <v>374</v>
      </c>
      <c r="D25" s="18" t="s">
        <v>293</v>
      </c>
      <c r="E25" s="18" t="s">
        <v>560</v>
      </c>
      <c r="F25" s="18" t="s">
        <v>68</v>
      </c>
      <c r="G25" s="27" t="s">
        <v>48</v>
      </c>
      <c r="H25" s="24" t="s">
        <v>48</v>
      </c>
      <c r="I25" s="24" t="s">
        <v>51</v>
      </c>
      <c r="J25" s="19"/>
      <c r="K25" s="19" t="str">
        <f>"170,0"</f>
        <v>170,0</v>
      </c>
      <c r="L25" s="19" t="str">
        <f>"133,1440"</f>
        <v>133,1440</v>
      </c>
      <c r="M25" s="18" t="s">
        <v>557</v>
      </c>
    </row>
    <row r="26" spans="1:13">
      <c r="A26" s="21" t="s">
        <v>139</v>
      </c>
      <c r="B26" s="20" t="s">
        <v>44</v>
      </c>
      <c r="C26" s="20" t="s">
        <v>45</v>
      </c>
      <c r="D26" s="20" t="s">
        <v>46</v>
      </c>
      <c r="E26" s="20" t="s">
        <v>560</v>
      </c>
      <c r="F26" s="20" t="s">
        <v>34</v>
      </c>
      <c r="G26" s="25" t="s">
        <v>48</v>
      </c>
      <c r="H26" s="26" t="s">
        <v>51</v>
      </c>
      <c r="I26" s="26" t="s">
        <v>51</v>
      </c>
      <c r="J26" s="21"/>
      <c r="K26" s="21" t="str">
        <f>"160,0"</f>
        <v>160,0</v>
      </c>
      <c r="L26" s="21" t="str">
        <f>"131,7600"</f>
        <v>131,7600</v>
      </c>
      <c r="M26" s="20" t="s">
        <v>557</v>
      </c>
    </row>
    <row r="27" spans="1:13">
      <c r="B27" s="5" t="s">
        <v>29</v>
      </c>
    </row>
    <row r="28" spans="1:13" ht="16">
      <c r="A28" s="85" t="s">
        <v>52</v>
      </c>
      <c r="B28" s="85"/>
      <c r="C28" s="85"/>
      <c r="D28" s="85"/>
      <c r="E28" s="85"/>
      <c r="F28" s="85"/>
      <c r="G28" s="85"/>
      <c r="H28" s="85"/>
      <c r="I28" s="85"/>
      <c r="J28" s="85"/>
    </row>
    <row r="29" spans="1:13">
      <c r="A29" s="17" t="s">
        <v>28</v>
      </c>
      <c r="B29" s="16" t="s">
        <v>202</v>
      </c>
      <c r="C29" s="16" t="s">
        <v>301</v>
      </c>
      <c r="D29" s="16" t="s">
        <v>200</v>
      </c>
      <c r="E29" s="16" t="s">
        <v>562</v>
      </c>
      <c r="F29" s="28" t="s">
        <v>401</v>
      </c>
      <c r="G29" s="32" t="s">
        <v>91</v>
      </c>
      <c r="H29" s="22" t="s">
        <v>204</v>
      </c>
      <c r="I29" s="43" t="s">
        <v>205</v>
      </c>
      <c r="J29" s="35"/>
      <c r="K29" s="17" t="str">
        <f>"177,5"</f>
        <v>177,5</v>
      </c>
      <c r="L29" s="17" t="str">
        <f>"128,6698"</f>
        <v>128,6698</v>
      </c>
      <c r="M29" s="16" t="s">
        <v>154</v>
      </c>
    </row>
    <row r="30" spans="1:13">
      <c r="A30" s="19" t="s">
        <v>28</v>
      </c>
      <c r="B30" s="18" t="s">
        <v>421</v>
      </c>
      <c r="C30" s="18" t="s">
        <v>422</v>
      </c>
      <c r="D30" s="18" t="s">
        <v>423</v>
      </c>
      <c r="E30" s="18" t="s">
        <v>560</v>
      </c>
      <c r="F30" s="57" t="s">
        <v>424</v>
      </c>
      <c r="G30" s="59" t="s">
        <v>48</v>
      </c>
      <c r="H30" s="24" t="s">
        <v>114</v>
      </c>
      <c r="I30" s="61" t="s">
        <v>205</v>
      </c>
      <c r="J30" s="58"/>
      <c r="K30" s="19" t="str">
        <f>"180,0"</f>
        <v>180,0</v>
      </c>
      <c r="L30" s="19" t="str">
        <f>"134,6040"</f>
        <v>134,6040</v>
      </c>
      <c r="M30" s="18" t="s">
        <v>551</v>
      </c>
    </row>
    <row r="31" spans="1:13">
      <c r="A31" s="21" t="s">
        <v>138</v>
      </c>
      <c r="B31" s="20" t="s">
        <v>202</v>
      </c>
      <c r="C31" s="20" t="s">
        <v>203</v>
      </c>
      <c r="D31" s="20" t="s">
        <v>200</v>
      </c>
      <c r="E31" s="20" t="s">
        <v>560</v>
      </c>
      <c r="F31" s="29" t="s">
        <v>401</v>
      </c>
      <c r="G31" s="36" t="s">
        <v>91</v>
      </c>
      <c r="H31" s="25" t="s">
        <v>204</v>
      </c>
      <c r="I31" s="45" t="s">
        <v>205</v>
      </c>
      <c r="J31" s="39"/>
      <c r="K31" s="21" t="str">
        <f>"177,5"</f>
        <v>177,5</v>
      </c>
      <c r="L31" s="21" t="str">
        <f>"128,6698"</f>
        <v>128,6698</v>
      </c>
      <c r="M31" s="20" t="s">
        <v>154</v>
      </c>
    </row>
    <row r="32" spans="1:13">
      <c r="B32" s="5" t="s">
        <v>29</v>
      </c>
    </row>
    <row r="33" spans="1:13" ht="16">
      <c r="A33" s="85" t="s">
        <v>92</v>
      </c>
      <c r="B33" s="85"/>
      <c r="C33" s="85"/>
      <c r="D33" s="85"/>
      <c r="E33" s="85"/>
      <c r="F33" s="85"/>
      <c r="G33" s="85"/>
      <c r="H33" s="85"/>
      <c r="I33" s="85"/>
      <c r="J33" s="85"/>
    </row>
    <row r="34" spans="1:13">
      <c r="A34" s="17" t="s">
        <v>28</v>
      </c>
      <c r="B34" s="16" t="s">
        <v>426</v>
      </c>
      <c r="C34" s="16" t="s">
        <v>427</v>
      </c>
      <c r="D34" s="16" t="s">
        <v>428</v>
      </c>
      <c r="E34" s="16" t="s">
        <v>560</v>
      </c>
      <c r="F34" s="16" t="s">
        <v>56</v>
      </c>
      <c r="G34" s="22" t="s">
        <v>312</v>
      </c>
      <c r="H34" s="22" t="s">
        <v>429</v>
      </c>
      <c r="I34" s="22" t="s">
        <v>106</v>
      </c>
      <c r="J34" s="17"/>
      <c r="K34" s="17" t="str">
        <f>"270,0"</f>
        <v>270,0</v>
      </c>
      <c r="L34" s="17" t="str">
        <f>"184,4640"</f>
        <v>184,4640</v>
      </c>
      <c r="M34" s="16" t="s">
        <v>165</v>
      </c>
    </row>
    <row r="35" spans="1:13">
      <c r="A35" s="21" t="s">
        <v>138</v>
      </c>
      <c r="B35" s="20" t="s">
        <v>308</v>
      </c>
      <c r="C35" s="20" t="s">
        <v>309</v>
      </c>
      <c r="D35" s="20" t="s">
        <v>310</v>
      </c>
      <c r="E35" s="20" t="s">
        <v>560</v>
      </c>
      <c r="F35" s="20" t="s">
        <v>311</v>
      </c>
      <c r="G35" s="25" t="s">
        <v>58</v>
      </c>
      <c r="H35" s="25" t="s">
        <v>63</v>
      </c>
      <c r="I35" s="25" t="s">
        <v>312</v>
      </c>
      <c r="J35" s="21"/>
      <c r="K35" s="21" t="str">
        <f>"255,0"</f>
        <v>255,0</v>
      </c>
      <c r="L35" s="21" t="str">
        <f>"172,6095"</f>
        <v>172,6095</v>
      </c>
      <c r="M35" s="20" t="s">
        <v>557</v>
      </c>
    </row>
    <row r="36" spans="1:13">
      <c r="B36" s="5" t="s">
        <v>29</v>
      </c>
    </row>
    <row r="37" spans="1:13" ht="16">
      <c r="A37" s="85" t="s">
        <v>64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3">
      <c r="A38" s="17" t="s">
        <v>28</v>
      </c>
      <c r="B38" s="16" t="s">
        <v>210</v>
      </c>
      <c r="C38" s="16" t="s">
        <v>211</v>
      </c>
      <c r="D38" s="16" t="s">
        <v>212</v>
      </c>
      <c r="E38" s="16" t="s">
        <v>561</v>
      </c>
      <c r="F38" s="28" t="s">
        <v>213</v>
      </c>
      <c r="G38" s="32" t="s">
        <v>51</v>
      </c>
      <c r="H38" s="22" t="s">
        <v>205</v>
      </c>
      <c r="I38" s="43" t="s">
        <v>16</v>
      </c>
      <c r="J38" s="35"/>
      <c r="K38" s="17" t="str">
        <f>"200,0"</f>
        <v>200,0</v>
      </c>
      <c r="L38" s="17" t="str">
        <f>"128,6400"</f>
        <v>128,6400</v>
      </c>
      <c r="M38" s="16" t="s">
        <v>154</v>
      </c>
    </row>
    <row r="39" spans="1:13">
      <c r="A39" s="19" t="s">
        <v>138</v>
      </c>
      <c r="B39" s="18" t="s">
        <v>430</v>
      </c>
      <c r="C39" s="18" t="s">
        <v>431</v>
      </c>
      <c r="D39" s="18" t="s">
        <v>432</v>
      </c>
      <c r="E39" s="18" t="s">
        <v>561</v>
      </c>
      <c r="F39" s="57" t="s">
        <v>14</v>
      </c>
      <c r="G39" s="59" t="s">
        <v>114</v>
      </c>
      <c r="H39" s="27" t="s">
        <v>122</v>
      </c>
      <c r="I39" s="61" t="s">
        <v>122</v>
      </c>
      <c r="J39" s="58"/>
      <c r="K39" s="19" t="str">
        <f>"180,0"</f>
        <v>180,0</v>
      </c>
      <c r="L39" s="19" t="str">
        <f>"116,0460"</f>
        <v>116,0460</v>
      </c>
      <c r="M39" s="18" t="s">
        <v>85</v>
      </c>
    </row>
    <row r="40" spans="1:13">
      <c r="A40" s="19" t="s">
        <v>28</v>
      </c>
      <c r="B40" s="18" t="s">
        <v>328</v>
      </c>
      <c r="C40" s="18" t="s">
        <v>329</v>
      </c>
      <c r="D40" s="18" t="s">
        <v>225</v>
      </c>
      <c r="E40" s="18" t="s">
        <v>560</v>
      </c>
      <c r="F40" s="57" t="s">
        <v>330</v>
      </c>
      <c r="G40" s="59" t="s">
        <v>69</v>
      </c>
      <c r="H40" s="27" t="s">
        <v>132</v>
      </c>
      <c r="I40" s="60" t="s">
        <v>132</v>
      </c>
      <c r="J40" s="58"/>
      <c r="K40" s="19" t="str">
        <f>"230,0"</f>
        <v>230,0</v>
      </c>
      <c r="L40" s="19" t="str">
        <f>"146,8320"</f>
        <v>146,8320</v>
      </c>
      <c r="M40" s="18" t="s">
        <v>557</v>
      </c>
    </row>
    <row r="41" spans="1:13">
      <c r="A41" s="19" t="s">
        <v>138</v>
      </c>
      <c r="B41" s="18" t="s">
        <v>210</v>
      </c>
      <c r="C41" s="18" t="s">
        <v>222</v>
      </c>
      <c r="D41" s="18" t="s">
        <v>212</v>
      </c>
      <c r="E41" s="18" t="s">
        <v>560</v>
      </c>
      <c r="F41" s="57" t="s">
        <v>213</v>
      </c>
      <c r="G41" s="59" t="s">
        <v>51</v>
      </c>
      <c r="H41" s="24" t="s">
        <v>205</v>
      </c>
      <c r="I41" s="60" t="s">
        <v>16</v>
      </c>
      <c r="J41" s="58"/>
      <c r="K41" s="19" t="str">
        <f>"200,0"</f>
        <v>200,0</v>
      </c>
      <c r="L41" s="19" t="str">
        <f>"128,6400"</f>
        <v>128,6400</v>
      </c>
      <c r="M41" s="18" t="s">
        <v>154</v>
      </c>
    </row>
    <row r="42" spans="1:13">
      <c r="A42" s="21" t="s">
        <v>139</v>
      </c>
      <c r="B42" s="20" t="s">
        <v>433</v>
      </c>
      <c r="C42" s="20" t="s">
        <v>434</v>
      </c>
      <c r="D42" s="20" t="s">
        <v>371</v>
      </c>
      <c r="E42" s="20" t="s">
        <v>560</v>
      </c>
      <c r="F42" s="29" t="s">
        <v>68</v>
      </c>
      <c r="G42" s="36" t="s">
        <v>51</v>
      </c>
      <c r="H42" s="25" t="s">
        <v>204</v>
      </c>
      <c r="I42" s="41" t="s">
        <v>320</v>
      </c>
      <c r="J42" s="39"/>
      <c r="K42" s="21" t="str">
        <f>"177,5"</f>
        <v>177,5</v>
      </c>
      <c r="L42" s="21" t="str">
        <f>"113,7775"</f>
        <v>113,7775</v>
      </c>
      <c r="M42" s="20" t="s">
        <v>557</v>
      </c>
    </row>
    <row r="43" spans="1:13">
      <c r="B43" s="5" t="s">
        <v>29</v>
      </c>
    </row>
    <row r="44" spans="1:13" ht="16">
      <c r="A44" s="85" t="s">
        <v>109</v>
      </c>
      <c r="B44" s="85"/>
      <c r="C44" s="85"/>
      <c r="D44" s="85"/>
      <c r="E44" s="85"/>
      <c r="F44" s="85"/>
      <c r="G44" s="85"/>
      <c r="H44" s="85"/>
      <c r="I44" s="85"/>
      <c r="J44" s="85"/>
    </row>
    <row r="45" spans="1:13">
      <c r="A45" s="17" t="s">
        <v>28</v>
      </c>
      <c r="B45" s="16" t="s">
        <v>435</v>
      </c>
      <c r="C45" s="16" t="s">
        <v>436</v>
      </c>
      <c r="D45" s="16" t="s">
        <v>437</v>
      </c>
      <c r="E45" s="16" t="s">
        <v>562</v>
      </c>
      <c r="F45" s="16" t="s">
        <v>120</v>
      </c>
      <c r="G45" s="22" t="s">
        <v>48</v>
      </c>
      <c r="H45" s="23" t="s">
        <v>84</v>
      </c>
      <c r="I45" s="23" t="s">
        <v>84</v>
      </c>
      <c r="J45" s="17"/>
      <c r="K45" s="17" t="str">
        <f>"160,0"</f>
        <v>160,0</v>
      </c>
      <c r="L45" s="17" t="str">
        <f>"100,5600"</f>
        <v>100,5600</v>
      </c>
      <c r="M45" s="16" t="s">
        <v>552</v>
      </c>
    </row>
    <row r="46" spans="1:13">
      <c r="A46" s="21" t="s">
        <v>28</v>
      </c>
      <c r="B46" s="20" t="s">
        <v>438</v>
      </c>
      <c r="C46" s="20" t="s">
        <v>439</v>
      </c>
      <c r="D46" s="20" t="s">
        <v>440</v>
      </c>
      <c r="E46" s="20" t="s">
        <v>560</v>
      </c>
      <c r="F46" s="20" t="s">
        <v>14</v>
      </c>
      <c r="G46" s="25" t="s">
        <v>51</v>
      </c>
      <c r="H46" s="25" t="s">
        <v>99</v>
      </c>
      <c r="I46" s="25" t="s">
        <v>18</v>
      </c>
      <c r="J46" s="21"/>
      <c r="K46" s="21" t="str">
        <f>"210,0"</f>
        <v>210,0</v>
      </c>
      <c r="L46" s="21" t="str">
        <f>"130,4940"</f>
        <v>130,4940</v>
      </c>
      <c r="M46" s="20" t="s">
        <v>557</v>
      </c>
    </row>
    <row r="47" spans="1:13">
      <c r="B47" s="5" t="s">
        <v>29</v>
      </c>
    </row>
    <row r="48" spans="1:13" ht="16">
      <c r="A48" s="85" t="s">
        <v>273</v>
      </c>
      <c r="B48" s="85"/>
      <c r="C48" s="85"/>
      <c r="D48" s="85"/>
      <c r="E48" s="85"/>
      <c r="F48" s="85"/>
      <c r="G48" s="85"/>
      <c r="H48" s="85"/>
      <c r="I48" s="85"/>
      <c r="J48" s="85"/>
    </row>
    <row r="49" spans="1:13">
      <c r="A49" s="8" t="s">
        <v>28</v>
      </c>
      <c r="B49" s="7" t="s">
        <v>441</v>
      </c>
      <c r="C49" s="7" t="s">
        <v>442</v>
      </c>
      <c r="D49" s="7" t="s">
        <v>443</v>
      </c>
      <c r="E49" s="7" t="s">
        <v>560</v>
      </c>
      <c r="F49" s="7" t="s">
        <v>401</v>
      </c>
      <c r="G49" s="15" t="s">
        <v>108</v>
      </c>
      <c r="H49" s="14" t="s">
        <v>124</v>
      </c>
      <c r="I49" s="14" t="s">
        <v>124</v>
      </c>
      <c r="J49" s="8"/>
      <c r="K49" s="8" t="str">
        <f>"260,0"</f>
        <v>260,0</v>
      </c>
      <c r="L49" s="8" t="str">
        <f>"151,8660"</f>
        <v>151,8660</v>
      </c>
      <c r="M49" s="7" t="s">
        <v>557</v>
      </c>
    </row>
    <row r="50" spans="1:13">
      <c r="B50" s="5" t="s">
        <v>29</v>
      </c>
    </row>
    <row r="52" spans="1:13">
      <c r="B52" s="5" t="s">
        <v>29</v>
      </c>
    </row>
    <row r="53" spans="1:13" ht="18">
      <c r="B53" s="9" t="s">
        <v>20</v>
      </c>
      <c r="C53" s="9"/>
    </row>
    <row r="54" spans="1:13" ht="16">
      <c r="B54" s="10" t="s">
        <v>21</v>
      </c>
      <c r="C54" s="10"/>
    </row>
    <row r="55" spans="1:13" ht="14">
      <c r="B55" s="11"/>
      <c r="C55" s="12" t="s">
        <v>22</v>
      </c>
    </row>
    <row r="56" spans="1:13" ht="14">
      <c r="B56" s="13" t="s">
        <v>23</v>
      </c>
      <c r="C56" s="13" t="s">
        <v>24</v>
      </c>
      <c r="D56" s="13" t="s">
        <v>545</v>
      </c>
      <c r="E56" s="13" t="s">
        <v>260</v>
      </c>
      <c r="F56" s="13" t="s">
        <v>26</v>
      </c>
    </row>
    <row r="57" spans="1:13">
      <c r="B57" s="5" t="s">
        <v>426</v>
      </c>
      <c r="C57" s="5" t="s">
        <v>22</v>
      </c>
      <c r="D57" s="6" t="s">
        <v>136</v>
      </c>
      <c r="E57" s="6" t="s">
        <v>106</v>
      </c>
      <c r="F57" s="6" t="s">
        <v>444</v>
      </c>
    </row>
    <row r="58" spans="1:13">
      <c r="B58" s="5" t="s">
        <v>308</v>
      </c>
      <c r="C58" s="5" t="s">
        <v>22</v>
      </c>
      <c r="D58" s="6" t="s">
        <v>136</v>
      </c>
      <c r="E58" s="6" t="s">
        <v>312</v>
      </c>
      <c r="F58" s="6" t="s">
        <v>445</v>
      </c>
    </row>
    <row r="59" spans="1:13">
      <c r="B59" s="5" t="s">
        <v>441</v>
      </c>
      <c r="C59" s="5" t="s">
        <v>22</v>
      </c>
      <c r="D59" s="6" t="s">
        <v>282</v>
      </c>
      <c r="E59" s="6" t="s">
        <v>108</v>
      </c>
      <c r="F59" s="6" t="s">
        <v>446</v>
      </c>
    </row>
    <row r="60" spans="1:13">
      <c r="B60" s="5" t="s">
        <v>29</v>
      </c>
    </row>
  </sheetData>
  <mergeCells count="22">
    <mergeCell ref="A33:J33"/>
    <mergeCell ref="A37:J37"/>
    <mergeCell ref="A44:J44"/>
    <mergeCell ref="A48:J48"/>
    <mergeCell ref="B3:B4"/>
    <mergeCell ref="A9:J9"/>
    <mergeCell ref="A14:J14"/>
    <mergeCell ref="A17:J17"/>
    <mergeCell ref="A20:J20"/>
    <mergeCell ref="A23:J23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0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48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64" t="s">
        <v>541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9</v>
      </c>
      <c r="H3" s="76"/>
      <c r="I3" s="76"/>
      <c r="J3" s="76"/>
      <c r="K3" s="77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8"/>
      <c r="L4" s="75"/>
      <c r="M4" s="80"/>
    </row>
    <row r="5" spans="1:13" ht="16">
      <c r="A5" s="81" t="s">
        <v>30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28</v>
      </c>
      <c r="B6" s="7" t="s">
        <v>380</v>
      </c>
      <c r="C6" s="7" t="s">
        <v>381</v>
      </c>
      <c r="D6" s="7" t="s">
        <v>382</v>
      </c>
      <c r="E6" s="7" t="s">
        <v>564</v>
      </c>
      <c r="F6" s="7" t="s">
        <v>14</v>
      </c>
      <c r="G6" s="15" t="s">
        <v>50</v>
      </c>
      <c r="H6" s="15" t="s">
        <v>157</v>
      </c>
      <c r="I6" s="15" t="s">
        <v>177</v>
      </c>
      <c r="J6" s="8"/>
      <c r="K6" s="49" t="str">
        <f>"105,0"</f>
        <v>105,0</v>
      </c>
      <c r="L6" s="8" t="str">
        <f>"92,8725"</f>
        <v>92,8725</v>
      </c>
      <c r="M6" s="7" t="s">
        <v>297</v>
      </c>
    </row>
    <row r="7" spans="1:13">
      <c r="B7" s="5" t="s">
        <v>29</v>
      </c>
    </row>
    <row r="8" spans="1:13" ht="16">
      <c r="A8" s="85" t="s">
        <v>43</v>
      </c>
      <c r="B8" s="85"/>
      <c r="C8" s="85"/>
      <c r="D8" s="85"/>
      <c r="E8" s="85"/>
      <c r="F8" s="85"/>
      <c r="G8" s="85"/>
      <c r="H8" s="85"/>
      <c r="I8" s="85"/>
      <c r="J8" s="85"/>
    </row>
    <row r="9" spans="1:13">
      <c r="A9" s="8" t="s">
        <v>28</v>
      </c>
      <c r="B9" s="7" t="s">
        <v>383</v>
      </c>
      <c r="C9" s="7" t="s">
        <v>384</v>
      </c>
      <c r="D9" s="7" t="s">
        <v>385</v>
      </c>
      <c r="E9" s="7" t="s">
        <v>564</v>
      </c>
      <c r="F9" s="7" t="s">
        <v>14</v>
      </c>
      <c r="G9" s="15" t="s">
        <v>40</v>
      </c>
      <c r="H9" s="15" t="s">
        <v>41</v>
      </c>
      <c r="I9" s="15" t="s">
        <v>36</v>
      </c>
      <c r="J9" s="8"/>
      <c r="K9" s="49" t="str">
        <f>"132,5"</f>
        <v>132,5</v>
      </c>
      <c r="L9" s="8" t="str">
        <f>"111,0085"</f>
        <v>111,0085</v>
      </c>
      <c r="M9" s="7" t="s">
        <v>297</v>
      </c>
    </row>
    <row r="10" spans="1:13">
      <c r="B10" s="5" t="s">
        <v>29</v>
      </c>
    </row>
    <row r="11" spans="1:13" ht="16">
      <c r="A11" s="85" t="s">
        <v>52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3">
      <c r="A12" s="8" t="s">
        <v>28</v>
      </c>
      <c r="B12" s="7" t="s">
        <v>386</v>
      </c>
      <c r="C12" s="7" t="s">
        <v>387</v>
      </c>
      <c r="D12" s="7" t="s">
        <v>388</v>
      </c>
      <c r="E12" s="7" t="s">
        <v>564</v>
      </c>
      <c r="F12" s="7" t="s">
        <v>14</v>
      </c>
      <c r="G12" s="15" t="s">
        <v>186</v>
      </c>
      <c r="H12" s="15" t="s">
        <v>40</v>
      </c>
      <c r="I12" s="14" t="s">
        <v>35</v>
      </c>
      <c r="J12" s="8"/>
      <c r="K12" s="49" t="str">
        <f>"120,0"</f>
        <v>120,0</v>
      </c>
      <c r="L12" s="8" t="str">
        <f>"85,6680"</f>
        <v>85,6680</v>
      </c>
      <c r="M12" s="7" t="s">
        <v>297</v>
      </c>
    </row>
    <row r="13" spans="1:13">
      <c r="B13" s="5" t="s">
        <v>29</v>
      </c>
    </row>
    <row r="14" spans="1:13" ht="16">
      <c r="A14" s="85" t="s">
        <v>64</v>
      </c>
      <c r="B14" s="85"/>
      <c r="C14" s="85"/>
      <c r="D14" s="85"/>
      <c r="E14" s="85"/>
      <c r="F14" s="85"/>
      <c r="G14" s="85"/>
      <c r="H14" s="85"/>
      <c r="I14" s="85"/>
      <c r="J14" s="85"/>
    </row>
    <row r="15" spans="1:13">
      <c r="A15" s="17" t="s">
        <v>28</v>
      </c>
      <c r="B15" s="16" t="s">
        <v>214</v>
      </c>
      <c r="C15" s="16" t="s">
        <v>215</v>
      </c>
      <c r="D15" s="16" t="s">
        <v>216</v>
      </c>
      <c r="E15" s="16" t="s">
        <v>560</v>
      </c>
      <c r="F15" s="16" t="s">
        <v>56</v>
      </c>
      <c r="G15" s="22" t="s">
        <v>217</v>
      </c>
      <c r="H15" s="43" t="s">
        <v>106</v>
      </c>
      <c r="I15" s="40" t="s">
        <v>218</v>
      </c>
      <c r="J15" s="17"/>
      <c r="K15" s="54" t="str">
        <f>"270,0"</f>
        <v>270,0</v>
      </c>
      <c r="L15" s="17" t="str">
        <f>"177,6330"</f>
        <v>177,6330</v>
      </c>
      <c r="M15" s="16" t="s">
        <v>557</v>
      </c>
    </row>
    <row r="16" spans="1:13">
      <c r="A16" s="19" t="s">
        <v>138</v>
      </c>
      <c r="B16" s="18" t="s">
        <v>389</v>
      </c>
      <c r="C16" s="18" t="s">
        <v>390</v>
      </c>
      <c r="D16" s="18" t="s">
        <v>391</v>
      </c>
      <c r="E16" s="18" t="s">
        <v>560</v>
      </c>
      <c r="F16" s="18" t="s">
        <v>104</v>
      </c>
      <c r="G16" s="24" t="s">
        <v>17</v>
      </c>
      <c r="H16" s="24" t="s">
        <v>57</v>
      </c>
      <c r="I16" s="27" t="s">
        <v>58</v>
      </c>
      <c r="J16" s="19"/>
      <c r="K16" s="56" t="str">
        <f>"220,0"</f>
        <v>220,0</v>
      </c>
      <c r="L16" s="19" t="str">
        <f>"143,9900"</f>
        <v>143,9900</v>
      </c>
      <c r="M16" s="18" t="s">
        <v>557</v>
      </c>
    </row>
    <row r="17" spans="1:13">
      <c r="A17" s="19" t="s">
        <v>139</v>
      </c>
      <c r="B17" s="18" t="s">
        <v>392</v>
      </c>
      <c r="C17" s="18" t="s">
        <v>393</v>
      </c>
      <c r="D17" s="18" t="s">
        <v>394</v>
      </c>
      <c r="E17" s="18" t="s">
        <v>560</v>
      </c>
      <c r="F17" s="18" t="s">
        <v>104</v>
      </c>
      <c r="G17" s="24" t="s">
        <v>91</v>
      </c>
      <c r="H17" s="24" t="s">
        <v>84</v>
      </c>
      <c r="I17" s="24" t="s">
        <v>99</v>
      </c>
      <c r="J17" s="19"/>
      <c r="K17" s="56" t="str">
        <f>"190,0"</f>
        <v>190,0</v>
      </c>
      <c r="L17" s="19" t="str">
        <f>"123,1770"</f>
        <v>123,1770</v>
      </c>
      <c r="M17" s="18" t="s">
        <v>553</v>
      </c>
    </row>
    <row r="18" spans="1:13">
      <c r="A18" s="21" t="s">
        <v>254</v>
      </c>
      <c r="B18" s="20" t="s">
        <v>395</v>
      </c>
      <c r="C18" s="20" t="s">
        <v>396</v>
      </c>
      <c r="D18" s="20" t="s">
        <v>397</v>
      </c>
      <c r="E18" s="20" t="s">
        <v>560</v>
      </c>
      <c r="F18" s="20" t="s">
        <v>201</v>
      </c>
      <c r="G18" s="26" t="s">
        <v>113</v>
      </c>
      <c r="H18" s="26" t="s">
        <v>19</v>
      </c>
      <c r="I18" s="26" t="s">
        <v>19</v>
      </c>
      <c r="J18" s="21"/>
      <c r="K18" s="55">
        <v>0</v>
      </c>
      <c r="L18" s="21" t="str">
        <f>"0,0000"</f>
        <v>0,0000</v>
      </c>
      <c r="M18" s="20" t="s">
        <v>557</v>
      </c>
    </row>
    <row r="19" spans="1:13">
      <c r="B19" s="5" t="s">
        <v>29</v>
      </c>
    </row>
    <row r="20" spans="1:13" ht="16">
      <c r="A20" s="85" t="s">
        <v>109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3">
      <c r="A21" s="17" t="s">
        <v>28</v>
      </c>
      <c r="B21" s="16" t="s">
        <v>110</v>
      </c>
      <c r="C21" s="16" t="s">
        <v>111</v>
      </c>
      <c r="D21" s="16" t="s">
        <v>112</v>
      </c>
      <c r="E21" s="16" t="s">
        <v>560</v>
      </c>
      <c r="F21" s="16" t="s">
        <v>104</v>
      </c>
      <c r="G21" s="22" t="s">
        <v>19</v>
      </c>
      <c r="H21" s="22" t="s">
        <v>115</v>
      </c>
      <c r="I21" s="23" t="s">
        <v>116</v>
      </c>
      <c r="J21" s="17"/>
      <c r="K21" s="54">
        <v>315</v>
      </c>
      <c r="L21" s="63" t="e">
        <f>K21*E21</f>
        <v>#VALUE!</v>
      </c>
      <c r="M21" s="16" t="s">
        <v>557</v>
      </c>
    </row>
    <row r="22" spans="1:13">
      <c r="A22" s="19" t="s">
        <v>138</v>
      </c>
      <c r="B22" s="18" t="s">
        <v>265</v>
      </c>
      <c r="C22" s="18" t="s">
        <v>183</v>
      </c>
      <c r="D22" s="18" t="s">
        <v>266</v>
      </c>
      <c r="E22" s="18" t="s">
        <v>560</v>
      </c>
      <c r="F22" s="18" t="s">
        <v>267</v>
      </c>
      <c r="G22" s="24" t="s">
        <v>19</v>
      </c>
      <c r="H22" s="27" t="s">
        <v>75</v>
      </c>
      <c r="I22" s="27" t="s">
        <v>75</v>
      </c>
      <c r="J22" s="19"/>
      <c r="K22" s="56" t="str">
        <f>"300,0"</f>
        <v>300,0</v>
      </c>
      <c r="L22" s="19" t="str">
        <f>"184,2600"</f>
        <v>184,2600</v>
      </c>
      <c r="M22" s="18" t="s">
        <v>269</v>
      </c>
    </row>
    <row r="23" spans="1:13">
      <c r="A23" s="21" t="s">
        <v>139</v>
      </c>
      <c r="B23" s="20" t="s">
        <v>117</v>
      </c>
      <c r="C23" s="20" t="s">
        <v>118</v>
      </c>
      <c r="D23" s="20" t="s">
        <v>119</v>
      </c>
      <c r="E23" s="20" t="s">
        <v>560</v>
      </c>
      <c r="F23" s="20" t="s">
        <v>120</v>
      </c>
      <c r="G23" s="25" t="s">
        <v>106</v>
      </c>
      <c r="H23" s="25" t="s">
        <v>124</v>
      </c>
      <c r="I23" s="25" t="s">
        <v>19</v>
      </c>
      <c r="J23" s="21"/>
      <c r="K23" s="55" t="str">
        <f>"300,0"</f>
        <v>300,0</v>
      </c>
      <c r="L23" s="21" t="str">
        <f>"183,0300"</f>
        <v>183,0300</v>
      </c>
      <c r="M23" s="20" t="s">
        <v>557</v>
      </c>
    </row>
    <row r="24" spans="1:13">
      <c r="B24" s="5" t="s">
        <v>29</v>
      </c>
    </row>
    <row r="25" spans="1:13" ht="16">
      <c r="A25" s="85" t="s">
        <v>10</v>
      </c>
      <c r="B25" s="85"/>
      <c r="C25" s="85"/>
      <c r="D25" s="85"/>
      <c r="E25" s="85"/>
      <c r="F25" s="85"/>
      <c r="G25" s="85"/>
      <c r="H25" s="85"/>
      <c r="I25" s="85"/>
      <c r="J25" s="85"/>
    </row>
    <row r="26" spans="1:13">
      <c r="A26" s="17" t="s">
        <v>28</v>
      </c>
      <c r="B26" s="16" t="s">
        <v>398</v>
      </c>
      <c r="C26" s="16" t="s">
        <v>399</v>
      </c>
      <c r="D26" s="16" t="s">
        <v>400</v>
      </c>
      <c r="E26" s="16" t="s">
        <v>560</v>
      </c>
      <c r="F26" s="28" t="s">
        <v>401</v>
      </c>
      <c r="G26" s="32" t="s">
        <v>15</v>
      </c>
      <c r="H26" s="22" t="s">
        <v>402</v>
      </c>
      <c r="I26" s="43" t="s">
        <v>115</v>
      </c>
      <c r="J26" s="35"/>
      <c r="K26" s="54" t="str">
        <f>"315,0"</f>
        <v>315,0</v>
      </c>
      <c r="L26" s="17" t="str">
        <f>"187,2045"</f>
        <v>187,2045</v>
      </c>
      <c r="M26" s="16" t="s">
        <v>557</v>
      </c>
    </row>
    <row r="27" spans="1:13">
      <c r="A27" s="19" t="s">
        <v>138</v>
      </c>
      <c r="B27" s="18" t="s">
        <v>403</v>
      </c>
      <c r="C27" s="18" t="s">
        <v>404</v>
      </c>
      <c r="D27" s="18" t="s">
        <v>405</v>
      </c>
      <c r="E27" s="18" t="s">
        <v>560</v>
      </c>
      <c r="F27" s="57" t="s">
        <v>554</v>
      </c>
      <c r="G27" s="59" t="s">
        <v>113</v>
      </c>
      <c r="H27" s="24" t="s">
        <v>19</v>
      </c>
      <c r="I27" s="60" t="s">
        <v>406</v>
      </c>
      <c r="J27" s="58"/>
      <c r="K27" s="56" t="str">
        <f>"307,5"</f>
        <v>307,5</v>
      </c>
      <c r="L27" s="19" t="str">
        <f>"181,7325"</f>
        <v>181,7325</v>
      </c>
      <c r="M27" s="18" t="s">
        <v>557</v>
      </c>
    </row>
    <row r="28" spans="1:13">
      <c r="A28" s="21" t="s">
        <v>139</v>
      </c>
      <c r="B28" s="20" t="s">
        <v>11</v>
      </c>
      <c r="C28" s="20" t="s">
        <v>12</v>
      </c>
      <c r="D28" s="20" t="s">
        <v>13</v>
      </c>
      <c r="E28" s="20" t="s">
        <v>560</v>
      </c>
      <c r="F28" s="29" t="s">
        <v>14</v>
      </c>
      <c r="G28" s="36" t="s">
        <v>15</v>
      </c>
      <c r="H28" s="26" t="s">
        <v>19</v>
      </c>
      <c r="I28" s="41" t="s">
        <v>19</v>
      </c>
      <c r="J28" s="39"/>
      <c r="K28" s="55" t="str">
        <f>"290,0"</f>
        <v>290,0</v>
      </c>
      <c r="L28" s="21" t="str">
        <f>"174,1740"</f>
        <v>174,1740</v>
      </c>
      <c r="M28" s="20" t="s">
        <v>557</v>
      </c>
    </row>
    <row r="29" spans="1:13">
      <c r="B29" s="5" t="s">
        <v>29</v>
      </c>
    </row>
    <row r="30" spans="1:13">
      <c r="B30" s="5" t="s">
        <v>29</v>
      </c>
    </row>
  </sheetData>
  <mergeCells count="17">
    <mergeCell ref="A25:J25"/>
    <mergeCell ref="A5:J5"/>
    <mergeCell ref="A8:J8"/>
    <mergeCell ref="A11:J11"/>
    <mergeCell ref="A14:J14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64" t="s">
        <v>542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555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43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7" t="s">
        <v>28</v>
      </c>
      <c r="B6" s="16" t="s">
        <v>287</v>
      </c>
      <c r="C6" s="16" t="s">
        <v>288</v>
      </c>
      <c r="D6" s="16" t="s">
        <v>289</v>
      </c>
      <c r="E6" s="16" t="s">
        <v>560</v>
      </c>
      <c r="F6" s="16" t="s">
        <v>14</v>
      </c>
      <c r="G6" s="22" t="s">
        <v>170</v>
      </c>
      <c r="H6" s="23" t="s">
        <v>173</v>
      </c>
      <c r="I6" s="23" t="s">
        <v>173</v>
      </c>
      <c r="J6" s="17"/>
      <c r="K6" s="17" t="str">
        <f>"35,0"</f>
        <v>35,0</v>
      </c>
      <c r="L6" s="17" t="str">
        <f>"32,5500"</f>
        <v>32,5500</v>
      </c>
      <c r="M6" s="16"/>
    </row>
    <row r="7" spans="1:13">
      <c r="A7" s="21" t="s">
        <v>138</v>
      </c>
      <c r="B7" s="20" t="s">
        <v>463</v>
      </c>
      <c r="C7" s="20" t="s">
        <v>464</v>
      </c>
      <c r="D7" s="20" t="s">
        <v>465</v>
      </c>
      <c r="E7" s="20" t="s">
        <v>560</v>
      </c>
      <c r="F7" s="20" t="s">
        <v>14</v>
      </c>
      <c r="G7" s="26" t="s">
        <v>454</v>
      </c>
      <c r="H7" s="25" t="s">
        <v>454</v>
      </c>
      <c r="I7" s="26" t="s">
        <v>466</v>
      </c>
      <c r="J7" s="21"/>
      <c r="K7" s="21" t="str">
        <f>"27,5"</f>
        <v>27,5</v>
      </c>
      <c r="L7" s="21" t="str">
        <f>"25,0608"</f>
        <v>25,0608</v>
      </c>
      <c r="M7" s="20" t="s">
        <v>85</v>
      </c>
    </row>
    <row r="8" spans="1:13">
      <c r="B8" s="5" t="s">
        <v>29</v>
      </c>
    </row>
    <row r="9" spans="1:13" ht="16">
      <c r="A9" s="85" t="s">
        <v>43</v>
      </c>
      <c r="B9" s="85"/>
      <c r="C9" s="85"/>
      <c r="D9" s="85"/>
      <c r="E9" s="85"/>
      <c r="F9" s="85"/>
      <c r="G9" s="85"/>
      <c r="H9" s="85"/>
      <c r="I9" s="85"/>
      <c r="J9" s="85"/>
    </row>
    <row r="10" spans="1:13">
      <c r="A10" s="17" t="s">
        <v>28</v>
      </c>
      <c r="B10" s="16" t="s">
        <v>228</v>
      </c>
      <c r="C10" s="16" t="s">
        <v>547</v>
      </c>
      <c r="D10" s="16" t="s">
        <v>467</v>
      </c>
      <c r="E10" s="16" t="s">
        <v>561</v>
      </c>
      <c r="F10" s="16" t="s">
        <v>401</v>
      </c>
      <c r="G10" s="22" t="s">
        <v>185</v>
      </c>
      <c r="H10" s="22" t="s">
        <v>146</v>
      </c>
      <c r="I10" s="23" t="s">
        <v>37</v>
      </c>
      <c r="J10" s="17"/>
      <c r="K10" s="17" t="str">
        <f>"50,0"</f>
        <v>50,0</v>
      </c>
      <c r="L10" s="17" t="str">
        <f>"37,5625"</f>
        <v>37,5625</v>
      </c>
      <c r="M10" s="16"/>
    </row>
    <row r="11" spans="1:13">
      <c r="A11" s="19" t="s">
        <v>28</v>
      </c>
      <c r="B11" s="18" t="s">
        <v>44</v>
      </c>
      <c r="C11" s="18" t="s">
        <v>45</v>
      </c>
      <c r="D11" s="18" t="s">
        <v>468</v>
      </c>
      <c r="E11" s="18" t="s">
        <v>560</v>
      </c>
      <c r="F11" s="18" t="s">
        <v>34</v>
      </c>
      <c r="G11" s="24" t="s">
        <v>173</v>
      </c>
      <c r="H11" s="24" t="s">
        <v>146</v>
      </c>
      <c r="I11" s="27" t="s">
        <v>147</v>
      </c>
      <c r="J11" s="19"/>
      <c r="K11" s="19" t="str">
        <f>"50,0"</f>
        <v>50,0</v>
      </c>
      <c r="L11" s="19" t="str">
        <f>"39,8275"</f>
        <v>39,8275</v>
      </c>
      <c r="M11" s="18"/>
    </row>
    <row r="12" spans="1:13">
      <c r="A12" s="19" t="s">
        <v>138</v>
      </c>
      <c r="B12" s="18" t="s">
        <v>469</v>
      </c>
      <c r="C12" s="18" t="s">
        <v>470</v>
      </c>
      <c r="D12" s="18" t="s">
        <v>450</v>
      </c>
      <c r="E12" s="18" t="s">
        <v>560</v>
      </c>
      <c r="F12" s="18" t="s">
        <v>14</v>
      </c>
      <c r="G12" s="24" t="s">
        <v>173</v>
      </c>
      <c r="H12" s="24" t="s">
        <v>185</v>
      </c>
      <c r="I12" s="24" t="s">
        <v>146</v>
      </c>
      <c r="J12" s="19"/>
      <c r="K12" s="19" t="str">
        <f>"50,0"</f>
        <v>50,0</v>
      </c>
      <c r="L12" s="19" t="str">
        <f>"38,5075"</f>
        <v>38,5075</v>
      </c>
      <c r="M12" s="18"/>
    </row>
    <row r="13" spans="1:13">
      <c r="A13" s="21" t="s">
        <v>139</v>
      </c>
      <c r="B13" s="20" t="s">
        <v>471</v>
      </c>
      <c r="C13" s="20" t="s">
        <v>472</v>
      </c>
      <c r="D13" s="20" t="s">
        <v>473</v>
      </c>
      <c r="E13" s="20" t="s">
        <v>560</v>
      </c>
      <c r="F13" s="20" t="s">
        <v>14</v>
      </c>
      <c r="G13" s="25" t="s">
        <v>173</v>
      </c>
      <c r="H13" s="25" t="s">
        <v>185</v>
      </c>
      <c r="I13" s="26" t="s">
        <v>146</v>
      </c>
      <c r="J13" s="21"/>
      <c r="K13" s="21" t="str">
        <f>"45,0"</f>
        <v>45,0</v>
      </c>
      <c r="L13" s="21" t="str">
        <f>"34,2000"</f>
        <v>34,2000</v>
      </c>
      <c r="M13" s="20"/>
    </row>
    <row r="14" spans="1:13">
      <c r="B14" s="5" t="s">
        <v>29</v>
      </c>
    </row>
    <row r="15" spans="1:13" ht="16">
      <c r="A15" s="85" t="s">
        <v>52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3">
      <c r="A16" s="8" t="s">
        <v>28</v>
      </c>
      <c r="B16" s="7" t="s">
        <v>421</v>
      </c>
      <c r="C16" s="7" t="s">
        <v>422</v>
      </c>
      <c r="D16" s="7" t="s">
        <v>423</v>
      </c>
      <c r="E16" s="7" t="s">
        <v>560</v>
      </c>
      <c r="F16" s="7" t="s">
        <v>424</v>
      </c>
      <c r="G16" s="15" t="s">
        <v>147</v>
      </c>
      <c r="H16" s="15" t="s">
        <v>37</v>
      </c>
      <c r="I16" s="14" t="s">
        <v>474</v>
      </c>
      <c r="J16" s="8"/>
      <c r="K16" s="8" t="str">
        <f>"55,0"</f>
        <v>55,0</v>
      </c>
      <c r="L16" s="8" t="str">
        <f>"39,8530"</f>
        <v>39,8530</v>
      </c>
      <c r="M16" s="7" t="s">
        <v>551</v>
      </c>
    </row>
    <row r="17" spans="1:13">
      <c r="B17" s="5" t="s">
        <v>29</v>
      </c>
    </row>
    <row r="18" spans="1:13" ht="16">
      <c r="A18" s="85" t="s">
        <v>92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3">
      <c r="A19" s="17" t="s">
        <v>28</v>
      </c>
      <c r="B19" s="16" t="s">
        <v>475</v>
      </c>
      <c r="C19" s="16" t="s">
        <v>476</v>
      </c>
      <c r="D19" s="16" t="s">
        <v>477</v>
      </c>
      <c r="E19" s="16" t="s">
        <v>560</v>
      </c>
      <c r="F19" s="16" t="s">
        <v>478</v>
      </c>
      <c r="G19" s="22" t="s">
        <v>145</v>
      </c>
      <c r="H19" s="23" t="s">
        <v>89</v>
      </c>
      <c r="I19" s="23" t="s">
        <v>89</v>
      </c>
      <c r="J19" s="17"/>
      <c r="K19" s="17" t="str">
        <f>"72,5"</f>
        <v>72,5</v>
      </c>
      <c r="L19" s="17" t="str">
        <f>"47,0706"</f>
        <v>47,0706</v>
      </c>
      <c r="M19" s="16"/>
    </row>
    <row r="20" spans="1:13">
      <c r="A20" s="19" t="s">
        <v>138</v>
      </c>
      <c r="B20" s="18" t="s">
        <v>375</v>
      </c>
      <c r="C20" s="18" t="s">
        <v>376</v>
      </c>
      <c r="D20" s="18" t="s">
        <v>377</v>
      </c>
      <c r="E20" s="18" t="s">
        <v>560</v>
      </c>
      <c r="F20" s="18" t="s">
        <v>68</v>
      </c>
      <c r="G20" s="24" t="s">
        <v>290</v>
      </c>
      <c r="H20" s="24" t="s">
        <v>144</v>
      </c>
      <c r="I20" s="19"/>
      <c r="J20" s="19"/>
      <c r="K20" s="19" t="str">
        <f>"70,0"</f>
        <v>70,0</v>
      </c>
      <c r="L20" s="19" t="str">
        <f>"46,0460"</f>
        <v>46,0460</v>
      </c>
      <c r="M20" s="18"/>
    </row>
    <row r="21" spans="1:13">
      <c r="A21" s="19" t="s">
        <v>139</v>
      </c>
      <c r="B21" s="18" t="s">
        <v>479</v>
      </c>
      <c r="C21" s="18" t="s">
        <v>480</v>
      </c>
      <c r="D21" s="18" t="s">
        <v>481</v>
      </c>
      <c r="E21" s="18" t="s">
        <v>560</v>
      </c>
      <c r="F21" s="18" t="s">
        <v>482</v>
      </c>
      <c r="G21" s="24" t="s">
        <v>37</v>
      </c>
      <c r="H21" s="24" t="s">
        <v>38</v>
      </c>
      <c r="I21" s="24" t="s">
        <v>39</v>
      </c>
      <c r="J21" s="19"/>
      <c r="K21" s="19" t="str">
        <f>"62,5"</f>
        <v>62,5</v>
      </c>
      <c r="L21" s="19" t="str">
        <f>"41,2875"</f>
        <v>41,2875</v>
      </c>
      <c r="M21" s="18"/>
    </row>
    <row r="22" spans="1:13">
      <c r="A22" s="21" t="s">
        <v>255</v>
      </c>
      <c r="B22" s="20" t="s">
        <v>483</v>
      </c>
      <c r="C22" s="20" t="s">
        <v>484</v>
      </c>
      <c r="D22" s="20" t="s">
        <v>485</v>
      </c>
      <c r="E22" s="20" t="s">
        <v>560</v>
      </c>
      <c r="F22" s="20" t="s">
        <v>14</v>
      </c>
      <c r="G22" s="25" t="s">
        <v>38</v>
      </c>
      <c r="H22" s="25" t="s">
        <v>39</v>
      </c>
      <c r="I22" s="26" t="s">
        <v>451</v>
      </c>
      <c r="J22" s="21"/>
      <c r="K22" s="21" t="str">
        <f>"62,5"</f>
        <v>62,5</v>
      </c>
      <c r="L22" s="21" t="str">
        <f>"41,2188"</f>
        <v>41,2188</v>
      </c>
      <c r="M22" s="20"/>
    </row>
    <row r="23" spans="1:13">
      <c r="B23" s="5" t="s">
        <v>29</v>
      </c>
    </row>
    <row r="26" spans="1:13" ht="18">
      <c r="B26" s="9" t="s">
        <v>20</v>
      </c>
      <c r="C26" s="9"/>
    </row>
    <row r="27" spans="1:13" ht="16">
      <c r="B27" s="10" t="s">
        <v>21</v>
      </c>
      <c r="C27" s="10"/>
    </row>
    <row r="28" spans="1:13" ht="14">
      <c r="B28" s="11"/>
      <c r="C28" s="12" t="s">
        <v>22</v>
      </c>
    </row>
    <row r="29" spans="1:13" ht="14">
      <c r="B29" s="13" t="s">
        <v>23</v>
      </c>
      <c r="C29" s="13" t="s">
        <v>24</v>
      </c>
      <c r="D29" s="13" t="s">
        <v>545</v>
      </c>
      <c r="E29" s="13" t="s">
        <v>260</v>
      </c>
      <c r="F29" s="13" t="s">
        <v>372</v>
      </c>
    </row>
    <row r="30" spans="1:13">
      <c r="B30" s="5" t="s">
        <v>475</v>
      </c>
      <c r="C30" s="5" t="s">
        <v>22</v>
      </c>
      <c r="D30" s="6" t="s">
        <v>136</v>
      </c>
      <c r="E30" s="6" t="s">
        <v>145</v>
      </c>
      <c r="F30" s="6" t="s">
        <v>486</v>
      </c>
    </row>
    <row r="31" spans="1:13">
      <c r="B31" s="5" t="s">
        <v>375</v>
      </c>
      <c r="C31" s="5" t="s">
        <v>22</v>
      </c>
      <c r="D31" s="6" t="s">
        <v>136</v>
      </c>
      <c r="E31" s="6" t="s">
        <v>144</v>
      </c>
      <c r="F31" s="6" t="s">
        <v>487</v>
      </c>
    </row>
    <row r="32" spans="1:13">
      <c r="B32" s="5" t="s">
        <v>479</v>
      </c>
      <c r="C32" s="5" t="s">
        <v>22</v>
      </c>
      <c r="D32" s="6" t="s">
        <v>136</v>
      </c>
      <c r="E32" s="6" t="s">
        <v>39</v>
      </c>
      <c r="F32" s="6" t="s">
        <v>488</v>
      </c>
    </row>
    <row r="33" spans="2:2">
      <c r="B33" s="5" t="s">
        <v>29</v>
      </c>
    </row>
  </sheetData>
  <mergeCells count="15">
    <mergeCell ref="A9:J9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83203125" style="6" customWidth="1"/>
    <col min="13" max="13" width="18.33203125" style="5" customWidth="1"/>
    <col min="14" max="16384" width="9.1640625" style="3"/>
  </cols>
  <sheetData>
    <row r="1" spans="1:13" s="2" customFormat="1" ht="29" customHeight="1">
      <c r="A1" s="64" t="s">
        <v>543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555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64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7" t="s">
        <v>28</v>
      </c>
      <c r="B6" s="16" t="s">
        <v>456</v>
      </c>
      <c r="C6" s="16" t="s">
        <v>548</v>
      </c>
      <c r="D6" s="16" t="s">
        <v>457</v>
      </c>
      <c r="E6" s="16" t="s">
        <v>561</v>
      </c>
      <c r="F6" s="16" t="s">
        <v>458</v>
      </c>
      <c r="G6" s="22" t="s">
        <v>290</v>
      </c>
      <c r="H6" s="22" t="s">
        <v>145</v>
      </c>
      <c r="I6" s="23" t="s">
        <v>89</v>
      </c>
      <c r="J6" s="17"/>
      <c r="K6" s="17" t="str">
        <f>"72,5"</f>
        <v>72,5</v>
      </c>
      <c r="L6" s="17" t="str">
        <f>"44,9283"</f>
        <v>44,9283</v>
      </c>
      <c r="M6" s="16" t="s">
        <v>459</v>
      </c>
    </row>
    <row r="7" spans="1:13">
      <c r="A7" s="21" t="s">
        <v>138</v>
      </c>
      <c r="B7" s="20" t="s">
        <v>460</v>
      </c>
      <c r="C7" s="20" t="s">
        <v>549</v>
      </c>
      <c r="D7" s="20" t="s">
        <v>461</v>
      </c>
      <c r="E7" s="20" t="s">
        <v>561</v>
      </c>
      <c r="F7" s="20" t="s">
        <v>458</v>
      </c>
      <c r="G7" s="26" t="s">
        <v>290</v>
      </c>
      <c r="H7" s="25" t="s">
        <v>145</v>
      </c>
      <c r="I7" s="26" t="s">
        <v>89</v>
      </c>
      <c r="J7" s="21"/>
      <c r="K7" s="21" t="str">
        <f>"72,5"</f>
        <v>72,5</v>
      </c>
      <c r="L7" s="21" t="str">
        <f>"44,6926"</f>
        <v>44,6926</v>
      </c>
      <c r="M7" s="20" t="s">
        <v>462</v>
      </c>
    </row>
    <row r="8" spans="1:13">
      <c r="B8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2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83203125" style="5" customWidth="1"/>
    <col min="22" max="16384" width="9.1640625" style="3"/>
  </cols>
  <sheetData>
    <row r="1" spans="1:21" s="2" customFormat="1" ht="29" customHeight="1">
      <c r="A1" s="64" t="s">
        <v>529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7</v>
      </c>
      <c r="H3" s="76"/>
      <c r="I3" s="76"/>
      <c r="J3" s="76"/>
      <c r="K3" s="76" t="s">
        <v>8</v>
      </c>
      <c r="L3" s="76"/>
      <c r="M3" s="76"/>
      <c r="N3" s="76"/>
      <c r="O3" s="76" t="s">
        <v>9</v>
      </c>
      <c r="P3" s="76"/>
      <c r="Q3" s="76"/>
      <c r="R3" s="76"/>
      <c r="S3" s="76" t="s">
        <v>1</v>
      </c>
      <c r="T3" s="76" t="s">
        <v>3</v>
      </c>
      <c r="U3" s="79" t="s">
        <v>2</v>
      </c>
    </row>
    <row r="4" spans="1:21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5"/>
      <c r="T4" s="75"/>
      <c r="U4" s="80"/>
    </row>
    <row r="5" spans="1:21" ht="16">
      <c r="A5" s="81" t="s">
        <v>43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28</v>
      </c>
      <c r="B6" s="7" t="s">
        <v>78</v>
      </c>
      <c r="C6" s="7" t="s">
        <v>79</v>
      </c>
      <c r="D6" s="7" t="s">
        <v>80</v>
      </c>
      <c r="E6" s="7" t="s">
        <v>560</v>
      </c>
      <c r="F6" s="7" t="s">
        <v>14</v>
      </c>
      <c r="G6" s="15" t="s">
        <v>60</v>
      </c>
      <c r="H6" s="15" t="s">
        <v>61</v>
      </c>
      <c r="I6" s="8"/>
      <c r="J6" s="8"/>
      <c r="K6" s="15" t="s">
        <v>81</v>
      </c>
      <c r="L6" s="15" t="s">
        <v>82</v>
      </c>
      <c r="M6" s="14" t="s">
        <v>83</v>
      </c>
      <c r="N6" s="8"/>
      <c r="O6" s="15" t="s">
        <v>48</v>
      </c>
      <c r="P6" s="15" t="s">
        <v>51</v>
      </c>
      <c r="Q6" s="15" t="s">
        <v>84</v>
      </c>
      <c r="R6" s="8"/>
      <c r="S6" s="8" t="str">
        <f>"397,5"</f>
        <v>397,5</v>
      </c>
      <c r="T6" s="8" t="str">
        <f>"407,4375"</f>
        <v>407,4375</v>
      </c>
      <c r="U6" s="7" t="s">
        <v>85</v>
      </c>
    </row>
    <row r="7" spans="1:21">
      <c r="B7" s="5" t="s">
        <v>29</v>
      </c>
    </row>
    <row r="8" spans="1:21" ht="16">
      <c r="A8" s="85" t="s">
        <v>52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spans="1:21">
      <c r="A9" s="8" t="s">
        <v>28</v>
      </c>
      <c r="B9" s="7" t="s">
        <v>86</v>
      </c>
      <c r="C9" s="7" t="s">
        <v>87</v>
      </c>
      <c r="D9" s="7" t="s">
        <v>88</v>
      </c>
      <c r="E9" s="7" t="s">
        <v>560</v>
      </c>
      <c r="F9" s="7" t="s">
        <v>14</v>
      </c>
      <c r="G9" s="15" t="s">
        <v>61</v>
      </c>
      <c r="H9" s="14" t="s">
        <v>47</v>
      </c>
      <c r="I9" s="14" t="s">
        <v>47</v>
      </c>
      <c r="J9" s="8"/>
      <c r="K9" s="15" t="s">
        <v>89</v>
      </c>
      <c r="L9" s="15" t="s">
        <v>90</v>
      </c>
      <c r="M9" s="15" t="s">
        <v>81</v>
      </c>
      <c r="N9" s="8"/>
      <c r="O9" s="15" t="s">
        <v>47</v>
      </c>
      <c r="P9" s="14" t="s">
        <v>91</v>
      </c>
      <c r="Q9" s="15" t="s">
        <v>91</v>
      </c>
      <c r="R9" s="8"/>
      <c r="S9" s="8" t="str">
        <f>"385,0"</f>
        <v>385,0</v>
      </c>
      <c r="T9" s="8" t="str">
        <f>"369,7540"</f>
        <v>369,7540</v>
      </c>
      <c r="U9" s="7" t="s">
        <v>85</v>
      </c>
    </row>
    <row r="10" spans="1:21">
      <c r="B10" s="5" t="s">
        <v>29</v>
      </c>
    </row>
    <row r="11" spans="1:21" ht="16">
      <c r="A11" s="85" t="s">
        <v>92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21">
      <c r="A12" s="8" t="s">
        <v>28</v>
      </c>
      <c r="B12" s="7" t="s">
        <v>93</v>
      </c>
      <c r="C12" s="7" t="s">
        <v>94</v>
      </c>
      <c r="D12" s="7" t="s">
        <v>95</v>
      </c>
      <c r="E12" s="7" t="s">
        <v>561</v>
      </c>
      <c r="F12" s="7" t="s">
        <v>96</v>
      </c>
      <c r="G12" s="15" t="s">
        <v>97</v>
      </c>
      <c r="H12" s="14" t="s">
        <v>16</v>
      </c>
      <c r="I12" s="14" t="s">
        <v>16</v>
      </c>
      <c r="J12" s="8"/>
      <c r="K12" s="15" t="s">
        <v>61</v>
      </c>
      <c r="L12" s="15" t="s">
        <v>62</v>
      </c>
      <c r="M12" s="14" t="s">
        <v>98</v>
      </c>
      <c r="N12" s="8"/>
      <c r="O12" s="15" t="s">
        <v>99</v>
      </c>
      <c r="P12" s="14" t="s">
        <v>100</v>
      </c>
      <c r="Q12" s="15" t="s">
        <v>16</v>
      </c>
      <c r="R12" s="8"/>
      <c r="S12" s="8" t="str">
        <f>"540,0"</f>
        <v>540,0</v>
      </c>
      <c r="T12" s="8" t="str">
        <f>"366,9300"</f>
        <v>366,9300</v>
      </c>
      <c r="U12" s="7" t="s">
        <v>557</v>
      </c>
    </row>
    <row r="13" spans="1:21">
      <c r="B13" s="5" t="s">
        <v>29</v>
      </c>
    </row>
    <row r="14" spans="1:21" ht="16">
      <c r="A14" s="85" t="s">
        <v>64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21">
      <c r="A15" s="8" t="s">
        <v>28</v>
      </c>
      <c r="B15" s="7" t="s">
        <v>101</v>
      </c>
      <c r="C15" s="7" t="s">
        <v>102</v>
      </c>
      <c r="D15" s="7" t="s">
        <v>103</v>
      </c>
      <c r="E15" s="7" t="s">
        <v>560</v>
      </c>
      <c r="F15" s="7" t="s">
        <v>104</v>
      </c>
      <c r="G15" s="15" t="s">
        <v>105</v>
      </c>
      <c r="H15" s="14" t="s">
        <v>106</v>
      </c>
      <c r="I15" s="14" t="s">
        <v>106</v>
      </c>
      <c r="J15" s="8"/>
      <c r="K15" s="15" t="s">
        <v>107</v>
      </c>
      <c r="L15" s="14" t="s">
        <v>84</v>
      </c>
      <c r="M15" s="15" t="s">
        <v>84</v>
      </c>
      <c r="N15" s="8"/>
      <c r="O15" s="15" t="s">
        <v>105</v>
      </c>
      <c r="P15" s="14" t="s">
        <v>108</v>
      </c>
      <c r="Q15" s="15" t="s">
        <v>108</v>
      </c>
      <c r="R15" s="8"/>
      <c r="S15" s="8" t="str">
        <f>"685,0"</f>
        <v>685,0</v>
      </c>
      <c r="T15" s="8" t="str">
        <f>"441,1400"</f>
        <v>441,1400</v>
      </c>
      <c r="U15" s="7" t="s">
        <v>557</v>
      </c>
    </row>
    <row r="16" spans="1:21">
      <c r="B16" s="5" t="s">
        <v>29</v>
      </c>
    </row>
    <row r="17" spans="1:21" ht="16">
      <c r="A17" s="85" t="s">
        <v>109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21">
      <c r="A18" s="17" t="s">
        <v>28</v>
      </c>
      <c r="B18" s="16" t="s">
        <v>110</v>
      </c>
      <c r="C18" s="16" t="s">
        <v>111</v>
      </c>
      <c r="D18" s="16" t="s">
        <v>112</v>
      </c>
      <c r="E18" s="16" t="s">
        <v>560</v>
      </c>
      <c r="F18" s="16" t="s">
        <v>104</v>
      </c>
      <c r="G18" s="22" t="s">
        <v>105</v>
      </c>
      <c r="H18" s="22" t="s">
        <v>106</v>
      </c>
      <c r="I18" s="22" t="s">
        <v>113</v>
      </c>
      <c r="J18" s="17"/>
      <c r="K18" s="22" t="s">
        <v>51</v>
      </c>
      <c r="L18" s="22" t="s">
        <v>114</v>
      </c>
      <c r="M18" s="22" t="s">
        <v>99</v>
      </c>
      <c r="N18" s="17"/>
      <c r="O18" s="22" t="s">
        <v>19</v>
      </c>
      <c r="P18" s="22" t="s">
        <v>115</v>
      </c>
      <c r="Q18" s="23" t="s">
        <v>116</v>
      </c>
      <c r="R18" s="17"/>
      <c r="S18" s="17" t="str">
        <f>"785,0"</f>
        <v>785,0</v>
      </c>
      <c r="T18" s="17" t="str">
        <f>"485,6010"</f>
        <v>485,6010</v>
      </c>
      <c r="U18" s="16" t="s">
        <v>557</v>
      </c>
    </row>
    <row r="19" spans="1:21">
      <c r="A19" s="19" t="s">
        <v>138</v>
      </c>
      <c r="B19" s="18" t="s">
        <v>117</v>
      </c>
      <c r="C19" s="18" t="s">
        <v>118</v>
      </c>
      <c r="D19" s="18" t="s">
        <v>119</v>
      </c>
      <c r="E19" s="18" t="s">
        <v>560</v>
      </c>
      <c r="F19" s="18" t="s">
        <v>120</v>
      </c>
      <c r="G19" s="24" t="s">
        <v>121</v>
      </c>
      <c r="H19" s="24" t="s">
        <v>58</v>
      </c>
      <c r="I19" s="24" t="s">
        <v>59</v>
      </c>
      <c r="J19" s="19"/>
      <c r="K19" s="24" t="s">
        <v>114</v>
      </c>
      <c r="L19" s="24" t="s">
        <v>122</v>
      </c>
      <c r="M19" s="24" t="s">
        <v>123</v>
      </c>
      <c r="N19" s="19"/>
      <c r="O19" s="24" t="s">
        <v>106</v>
      </c>
      <c r="P19" s="24" t="s">
        <v>124</v>
      </c>
      <c r="Q19" s="24" t="s">
        <v>19</v>
      </c>
      <c r="R19" s="19"/>
      <c r="S19" s="19" t="str">
        <f>"747,5"</f>
        <v>747,5</v>
      </c>
      <c r="T19" s="19" t="str">
        <f>"456,0497"</f>
        <v>456,0497</v>
      </c>
      <c r="U19" s="18" t="s">
        <v>557</v>
      </c>
    </row>
    <row r="20" spans="1:21">
      <c r="A20" s="21" t="s">
        <v>139</v>
      </c>
      <c r="B20" s="20" t="s">
        <v>125</v>
      </c>
      <c r="C20" s="20" t="s">
        <v>126</v>
      </c>
      <c r="D20" s="20" t="s">
        <v>127</v>
      </c>
      <c r="E20" s="20" t="s">
        <v>560</v>
      </c>
      <c r="F20" s="20" t="s">
        <v>14</v>
      </c>
      <c r="G20" s="25" t="s">
        <v>121</v>
      </c>
      <c r="H20" s="26" t="s">
        <v>58</v>
      </c>
      <c r="I20" s="26" t="s">
        <v>58</v>
      </c>
      <c r="J20" s="21"/>
      <c r="K20" s="25" t="s">
        <v>35</v>
      </c>
      <c r="L20" s="25" t="s">
        <v>60</v>
      </c>
      <c r="M20" s="25" t="s">
        <v>128</v>
      </c>
      <c r="N20" s="21"/>
      <c r="O20" s="26" t="s">
        <v>121</v>
      </c>
      <c r="P20" s="26" t="s">
        <v>121</v>
      </c>
      <c r="Q20" s="25" t="s">
        <v>121</v>
      </c>
      <c r="R20" s="21"/>
      <c r="S20" s="21" t="str">
        <f>"585,0"</f>
        <v>585,0</v>
      </c>
      <c r="T20" s="21" t="str">
        <f>"361,3545"</f>
        <v>361,3545</v>
      </c>
      <c r="U20" s="20" t="s">
        <v>557</v>
      </c>
    </row>
    <row r="21" spans="1:21">
      <c r="B21" s="5" t="s">
        <v>29</v>
      </c>
    </row>
    <row r="22" spans="1:21" ht="16">
      <c r="A22" s="85" t="s">
        <v>10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21">
      <c r="A23" s="8" t="s">
        <v>28</v>
      </c>
      <c r="B23" s="7" t="s">
        <v>129</v>
      </c>
      <c r="C23" s="7" t="s">
        <v>130</v>
      </c>
      <c r="D23" s="7" t="s">
        <v>131</v>
      </c>
      <c r="E23" s="7" t="s">
        <v>560</v>
      </c>
      <c r="F23" s="7" t="s">
        <v>14</v>
      </c>
      <c r="G23" s="15" t="s">
        <v>57</v>
      </c>
      <c r="H23" s="15" t="s">
        <v>132</v>
      </c>
      <c r="I23" s="14" t="s">
        <v>133</v>
      </c>
      <c r="J23" s="8"/>
      <c r="K23" s="15" t="s">
        <v>128</v>
      </c>
      <c r="L23" s="15" t="s">
        <v>134</v>
      </c>
      <c r="M23" s="14" t="s">
        <v>47</v>
      </c>
      <c r="N23" s="8"/>
      <c r="O23" s="15" t="s">
        <v>133</v>
      </c>
      <c r="P23" s="15" t="s">
        <v>105</v>
      </c>
      <c r="Q23" s="15" t="s">
        <v>108</v>
      </c>
      <c r="R23" s="8"/>
      <c r="S23" s="8" t="str">
        <f>"632,5"</f>
        <v>632,5</v>
      </c>
      <c r="T23" s="8" t="str">
        <f>"373,7443"</f>
        <v>373,7443</v>
      </c>
      <c r="U23" s="7" t="s">
        <v>135</v>
      </c>
    </row>
    <row r="24" spans="1:21">
      <c r="B24" s="5" t="s">
        <v>29</v>
      </c>
    </row>
  </sheetData>
  <mergeCells count="19">
    <mergeCell ref="A22:R22"/>
    <mergeCell ref="A5:R5"/>
    <mergeCell ref="A8:R8"/>
    <mergeCell ref="A11:R11"/>
    <mergeCell ref="A14:R14"/>
    <mergeCell ref="A17:R17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1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83203125" style="5" customWidth="1"/>
    <col min="22" max="16384" width="9.1640625" style="3"/>
  </cols>
  <sheetData>
    <row r="1" spans="1:21" s="2" customFormat="1" ht="29" customHeight="1">
      <c r="A1" s="64" t="s">
        <v>530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7</v>
      </c>
      <c r="H3" s="76"/>
      <c r="I3" s="76"/>
      <c r="J3" s="76"/>
      <c r="K3" s="76" t="s">
        <v>8</v>
      </c>
      <c r="L3" s="76"/>
      <c r="M3" s="76"/>
      <c r="N3" s="76"/>
      <c r="O3" s="76" t="s">
        <v>9</v>
      </c>
      <c r="P3" s="76"/>
      <c r="Q3" s="76"/>
      <c r="R3" s="76"/>
      <c r="S3" s="76" t="s">
        <v>1</v>
      </c>
      <c r="T3" s="76" t="s">
        <v>3</v>
      </c>
      <c r="U3" s="79" t="s">
        <v>2</v>
      </c>
    </row>
    <row r="4" spans="1:21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5"/>
      <c r="T4" s="75"/>
      <c r="U4" s="80"/>
    </row>
    <row r="5" spans="1:21" ht="16">
      <c r="A5" s="81" t="s">
        <v>30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28</v>
      </c>
      <c r="B6" s="7" t="s">
        <v>31</v>
      </c>
      <c r="C6" s="7" t="s">
        <v>32</v>
      </c>
      <c r="D6" s="7" t="s">
        <v>33</v>
      </c>
      <c r="E6" s="7" t="s">
        <v>563</v>
      </c>
      <c r="F6" s="7" t="s">
        <v>34</v>
      </c>
      <c r="G6" s="14" t="s">
        <v>35</v>
      </c>
      <c r="H6" s="15" t="s">
        <v>35</v>
      </c>
      <c r="I6" s="14" t="s">
        <v>36</v>
      </c>
      <c r="J6" s="8"/>
      <c r="K6" s="15" t="s">
        <v>37</v>
      </c>
      <c r="L6" s="15" t="s">
        <v>38</v>
      </c>
      <c r="M6" s="14" t="s">
        <v>39</v>
      </c>
      <c r="N6" s="8"/>
      <c r="O6" s="15" t="s">
        <v>40</v>
      </c>
      <c r="P6" s="15" t="s">
        <v>41</v>
      </c>
      <c r="Q6" s="14" t="s">
        <v>36</v>
      </c>
      <c r="R6" s="8"/>
      <c r="S6" s="8" t="str">
        <f>"312,5"</f>
        <v>312,5</v>
      </c>
      <c r="T6" s="8" t="str">
        <f>"363,8156"</f>
        <v>363,8156</v>
      </c>
      <c r="U6" s="7" t="s">
        <v>42</v>
      </c>
    </row>
    <row r="7" spans="1:21">
      <c r="B7" s="5" t="s">
        <v>29</v>
      </c>
    </row>
    <row r="8" spans="1:21" ht="16">
      <c r="A8" s="85" t="s">
        <v>43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spans="1:21">
      <c r="A9" s="8" t="s">
        <v>28</v>
      </c>
      <c r="B9" s="7" t="s">
        <v>44</v>
      </c>
      <c r="C9" s="7" t="s">
        <v>45</v>
      </c>
      <c r="D9" s="7" t="s">
        <v>46</v>
      </c>
      <c r="E9" s="7" t="s">
        <v>560</v>
      </c>
      <c r="F9" s="7" t="s">
        <v>34</v>
      </c>
      <c r="G9" s="15" t="s">
        <v>47</v>
      </c>
      <c r="H9" s="14" t="s">
        <v>48</v>
      </c>
      <c r="I9" s="14" t="s">
        <v>48</v>
      </c>
      <c r="J9" s="8"/>
      <c r="K9" s="14" t="s">
        <v>49</v>
      </c>
      <c r="L9" s="15" t="s">
        <v>49</v>
      </c>
      <c r="M9" s="15" t="s">
        <v>50</v>
      </c>
      <c r="N9" s="8"/>
      <c r="O9" s="15" t="s">
        <v>48</v>
      </c>
      <c r="P9" s="14" t="s">
        <v>51</v>
      </c>
      <c r="Q9" s="14" t="s">
        <v>51</v>
      </c>
      <c r="R9" s="8"/>
      <c r="S9" s="8" t="str">
        <f>"405,0"</f>
        <v>405,0</v>
      </c>
      <c r="T9" s="8" t="str">
        <f>"333,5175"</f>
        <v>333,5175</v>
      </c>
      <c r="U9" s="7" t="s">
        <v>557</v>
      </c>
    </row>
    <row r="10" spans="1:21">
      <c r="B10" s="5" t="s">
        <v>29</v>
      </c>
    </row>
    <row r="11" spans="1:21" ht="16">
      <c r="A11" s="85" t="s">
        <v>52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21">
      <c r="A12" s="8" t="s">
        <v>28</v>
      </c>
      <c r="B12" s="7" t="s">
        <v>53</v>
      </c>
      <c r="C12" s="7" t="s">
        <v>54</v>
      </c>
      <c r="D12" s="7" t="s">
        <v>55</v>
      </c>
      <c r="E12" s="7" t="s">
        <v>560</v>
      </c>
      <c r="F12" s="7" t="s">
        <v>56</v>
      </c>
      <c r="G12" s="15" t="s">
        <v>57</v>
      </c>
      <c r="H12" s="15" t="s">
        <v>58</v>
      </c>
      <c r="I12" s="14" t="s">
        <v>59</v>
      </c>
      <c r="J12" s="8"/>
      <c r="K12" s="15" t="s">
        <v>60</v>
      </c>
      <c r="L12" s="15" t="s">
        <v>61</v>
      </c>
      <c r="M12" s="15" t="s">
        <v>62</v>
      </c>
      <c r="N12" s="8"/>
      <c r="O12" s="15" t="s">
        <v>57</v>
      </c>
      <c r="P12" s="14" t="s">
        <v>63</v>
      </c>
      <c r="Q12" s="14" t="s">
        <v>63</v>
      </c>
      <c r="R12" s="8"/>
      <c r="S12" s="8" t="str">
        <f>"600,0"</f>
        <v>600,0</v>
      </c>
      <c r="T12" s="8" t="str">
        <f>"428,7600"</f>
        <v>428,7600</v>
      </c>
      <c r="U12" s="7" t="s">
        <v>165</v>
      </c>
    </row>
    <row r="13" spans="1:21">
      <c r="B13" s="5" t="s">
        <v>29</v>
      </c>
    </row>
    <row r="14" spans="1:21" ht="16">
      <c r="A14" s="85" t="s">
        <v>64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21">
      <c r="A15" s="8" t="s">
        <v>28</v>
      </c>
      <c r="B15" s="7" t="s">
        <v>65</v>
      </c>
      <c r="C15" s="7" t="s">
        <v>66</v>
      </c>
      <c r="D15" s="7" t="s">
        <v>67</v>
      </c>
      <c r="E15" s="7" t="s">
        <v>560</v>
      </c>
      <c r="F15" s="7" t="s">
        <v>68</v>
      </c>
      <c r="G15" s="15" t="s">
        <v>17</v>
      </c>
      <c r="H15" s="15" t="s">
        <v>69</v>
      </c>
      <c r="I15" s="15" t="s">
        <v>70</v>
      </c>
      <c r="J15" s="8"/>
      <c r="K15" s="15" t="s">
        <v>62</v>
      </c>
      <c r="L15" s="15" t="s">
        <v>71</v>
      </c>
      <c r="M15" s="15" t="s">
        <v>72</v>
      </c>
      <c r="N15" s="8"/>
      <c r="O15" s="14" t="s">
        <v>18</v>
      </c>
      <c r="P15" s="14" t="s">
        <v>18</v>
      </c>
      <c r="Q15" s="15" t="s">
        <v>18</v>
      </c>
      <c r="R15" s="8"/>
      <c r="S15" s="8" t="str">
        <f>"587,5"</f>
        <v>587,5</v>
      </c>
      <c r="T15" s="8" t="str">
        <f>"385,5175"</f>
        <v>385,5175</v>
      </c>
      <c r="U15" s="7" t="s">
        <v>557</v>
      </c>
    </row>
    <row r="16" spans="1:21">
      <c r="B16" s="5" t="s">
        <v>29</v>
      </c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83203125" style="5" customWidth="1"/>
    <col min="22" max="16384" width="9.1640625" style="3"/>
  </cols>
  <sheetData>
    <row r="1" spans="1:21" s="2" customFormat="1" ht="29" customHeight="1">
      <c r="A1" s="64" t="s">
        <v>531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7</v>
      </c>
      <c r="H3" s="76"/>
      <c r="I3" s="76"/>
      <c r="J3" s="76"/>
      <c r="K3" s="76" t="s">
        <v>8</v>
      </c>
      <c r="L3" s="76"/>
      <c r="M3" s="76"/>
      <c r="N3" s="76"/>
      <c r="O3" s="76" t="s">
        <v>9</v>
      </c>
      <c r="P3" s="76"/>
      <c r="Q3" s="76"/>
      <c r="R3" s="76"/>
      <c r="S3" s="76" t="s">
        <v>1</v>
      </c>
      <c r="T3" s="76" t="s">
        <v>3</v>
      </c>
      <c r="U3" s="79" t="s">
        <v>2</v>
      </c>
    </row>
    <row r="4" spans="1:21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5"/>
      <c r="T4" s="75"/>
      <c r="U4" s="80"/>
    </row>
    <row r="5" spans="1:21" ht="16">
      <c r="A5" s="81" t="s">
        <v>10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21">
      <c r="A6" s="8" t="s">
        <v>28</v>
      </c>
      <c r="B6" s="7" t="s">
        <v>11</v>
      </c>
      <c r="C6" s="7" t="s">
        <v>12</v>
      </c>
      <c r="D6" s="7" t="s">
        <v>13</v>
      </c>
      <c r="E6" s="7" t="s">
        <v>560</v>
      </c>
      <c r="F6" s="7" t="s">
        <v>14</v>
      </c>
      <c r="G6" s="14" t="s">
        <v>15</v>
      </c>
      <c r="H6" s="14" t="s">
        <v>15</v>
      </c>
      <c r="I6" s="15" t="s">
        <v>15</v>
      </c>
      <c r="J6" s="8"/>
      <c r="K6" s="15" t="s">
        <v>16</v>
      </c>
      <c r="L6" s="15" t="s">
        <v>17</v>
      </c>
      <c r="M6" s="14" t="s">
        <v>18</v>
      </c>
      <c r="N6" s="8"/>
      <c r="O6" s="15" t="s">
        <v>15</v>
      </c>
      <c r="P6" s="14" t="s">
        <v>19</v>
      </c>
      <c r="Q6" s="14" t="s">
        <v>19</v>
      </c>
      <c r="R6" s="8"/>
      <c r="S6" s="8" t="str">
        <f>"785,0"</f>
        <v>785,0</v>
      </c>
      <c r="T6" s="8" t="str">
        <f>"471,4710"</f>
        <v>471,4710</v>
      </c>
      <c r="U6" s="7" t="s">
        <v>557</v>
      </c>
    </row>
    <row r="7" spans="1:21">
      <c r="B7" s="5" t="s">
        <v>29</v>
      </c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0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.5" style="5" customWidth="1"/>
    <col min="18" max="16384" width="9.1640625" style="3"/>
  </cols>
  <sheetData>
    <row r="1" spans="1:17" s="2" customFormat="1" ht="29" customHeight="1">
      <c r="A1" s="64" t="s">
        <v>532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9</v>
      </c>
      <c r="L3" s="76"/>
      <c r="M3" s="76"/>
      <c r="N3" s="76"/>
      <c r="O3" s="76" t="s">
        <v>1</v>
      </c>
      <c r="P3" s="76" t="s">
        <v>3</v>
      </c>
      <c r="Q3" s="79" t="s">
        <v>2</v>
      </c>
    </row>
    <row r="4" spans="1:17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5"/>
      <c r="P4" s="75"/>
      <c r="Q4" s="80"/>
    </row>
    <row r="5" spans="1:17" ht="16">
      <c r="A5" s="81" t="s">
        <v>149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7">
      <c r="A6" s="17" t="s">
        <v>28</v>
      </c>
      <c r="B6" s="16" t="s">
        <v>150</v>
      </c>
      <c r="C6" s="16" t="s">
        <v>151</v>
      </c>
      <c r="D6" s="16" t="s">
        <v>152</v>
      </c>
      <c r="E6" s="16" t="s">
        <v>561</v>
      </c>
      <c r="F6" s="16" t="s">
        <v>401</v>
      </c>
      <c r="G6" s="32" t="s">
        <v>153</v>
      </c>
      <c r="H6" s="32" t="s">
        <v>156</v>
      </c>
      <c r="I6" s="22" t="s">
        <v>146</v>
      </c>
      <c r="J6" s="35"/>
      <c r="K6" s="43" t="s">
        <v>49</v>
      </c>
      <c r="L6" s="43" t="s">
        <v>157</v>
      </c>
      <c r="M6" s="40" t="s">
        <v>158</v>
      </c>
      <c r="N6" s="17"/>
      <c r="O6" s="17" t="str">
        <f>"150,0"</f>
        <v>150,0</v>
      </c>
      <c r="P6" s="17" t="str">
        <f>"202,3500"</f>
        <v>202,3500</v>
      </c>
      <c r="Q6" s="16" t="s">
        <v>154</v>
      </c>
    </row>
    <row r="7" spans="1:17">
      <c r="A7" s="21" t="s">
        <v>28</v>
      </c>
      <c r="B7" s="20" t="s">
        <v>150</v>
      </c>
      <c r="C7" s="20" t="s">
        <v>155</v>
      </c>
      <c r="D7" s="20" t="s">
        <v>152</v>
      </c>
      <c r="E7" s="20" t="s">
        <v>560</v>
      </c>
      <c r="F7" s="20" t="s">
        <v>401</v>
      </c>
      <c r="G7" s="36" t="s">
        <v>153</v>
      </c>
      <c r="H7" s="36" t="s">
        <v>156</v>
      </c>
      <c r="I7" s="25" t="s">
        <v>146</v>
      </c>
      <c r="J7" s="39"/>
      <c r="K7" s="45" t="s">
        <v>49</v>
      </c>
      <c r="L7" s="45" t="s">
        <v>157</v>
      </c>
      <c r="M7" s="41" t="s">
        <v>158</v>
      </c>
      <c r="N7" s="21"/>
      <c r="O7" s="21" t="str">
        <f>"150,0"</f>
        <v>150,0</v>
      </c>
      <c r="P7" s="21" t="str">
        <f>"202,3500"</f>
        <v>202,3500</v>
      </c>
      <c r="Q7" s="20" t="s">
        <v>154</v>
      </c>
    </row>
    <row r="8" spans="1:17">
      <c r="B8" s="5" t="s">
        <v>29</v>
      </c>
    </row>
    <row r="9" spans="1:17" ht="16">
      <c r="A9" s="85" t="s">
        <v>166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7">
      <c r="A10" s="17" t="s">
        <v>28</v>
      </c>
      <c r="B10" s="16" t="s">
        <v>167</v>
      </c>
      <c r="C10" s="16" t="s">
        <v>168</v>
      </c>
      <c r="D10" s="16" t="s">
        <v>169</v>
      </c>
      <c r="E10" s="16" t="s">
        <v>562</v>
      </c>
      <c r="F10" s="16" t="s">
        <v>401</v>
      </c>
      <c r="G10" s="32" t="s">
        <v>170</v>
      </c>
      <c r="H10" s="22" t="s">
        <v>172</v>
      </c>
      <c r="I10" s="33" t="s">
        <v>173</v>
      </c>
      <c r="J10" s="17"/>
      <c r="K10" s="43" t="s">
        <v>83</v>
      </c>
      <c r="L10" s="43" t="s">
        <v>164</v>
      </c>
      <c r="M10" s="43" t="s">
        <v>148</v>
      </c>
      <c r="N10" s="17"/>
      <c r="O10" s="17" t="str">
        <f>"137,5"</f>
        <v>137,5</v>
      </c>
      <c r="P10" s="17" t="str">
        <f>"166,4575"</f>
        <v>166,4575</v>
      </c>
      <c r="Q10" s="16" t="s">
        <v>154</v>
      </c>
    </row>
    <row r="11" spans="1:17">
      <c r="A11" s="21" t="s">
        <v>28</v>
      </c>
      <c r="B11" s="20" t="s">
        <v>167</v>
      </c>
      <c r="C11" s="20" t="s">
        <v>171</v>
      </c>
      <c r="D11" s="20" t="s">
        <v>169</v>
      </c>
      <c r="E11" s="20" t="s">
        <v>560</v>
      </c>
      <c r="F11" s="20" t="s">
        <v>401</v>
      </c>
      <c r="G11" s="36" t="s">
        <v>170</v>
      </c>
      <c r="H11" s="25" t="s">
        <v>172</v>
      </c>
      <c r="I11" s="37" t="s">
        <v>173</v>
      </c>
      <c r="J11" s="21"/>
      <c r="K11" s="45" t="s">
        <v>83</v>
      </c>
      <c r="L11" s="45" t="s">
        <v>164</v>
      </c>
      <c r="M11" s="45" t="s">
        <v>148</v>
      </c>
      <c r="N11" s="21"/>
      <c r="O11" s="21" t="str">
        <f>"137,5"</f>
        <v>137,5</v>
      </c>
      <c r="P11" s="21" t="str">
        <f>"166,4575"</f>
        <v>166,4575</v>
      </c>
      <c r="Q11" s="20" t="s">
        <v>154</v>
      </c>
    </row>
    <row r="12" spans="1:17">
      <c r="B12" s="5" t="s">
        <v>29</v>
      </c>
    </row>
    <row r="13" spans="1:17" ht="16">
      <c r="A13" s="85" t="s">
        <v>43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7">
      <c r="A14" s="8" t="s">
        <v>28</v>
      </c>
      <c r="B14" s="7" t="s">
        <v>418</v>
      </c>
      <c r="C14" s="7" t="s">
        <v>419</v>
      </c>
      <c r="D14" s="7" t="s">
        <v>420</v>
      </c>
      <c r="E14" s="7" t="s">
        <v>560</v>
      </c>
      <c r="F14" s="7" t="s">
        <v>267</v>
      </c>
      <c r="G14" s="15" t="s">
        <v>177</v>
      </c>
      <c r="H14" s="14" t="s">
        <v>158</v>
      </c>
      <c r="I14" s="15" t="s">
        <v>158</v>
      </c>
      <c r="J14" s="8"/>
      <c r="K14" s="15" t="s">
        <v>84</v>
      </c>
      <c r="L14" s="15" t="s">
        <v>204</v>
      </c>
      <c r="M14" s="14" t="s">
        <v>114</v>
      </c>
      <c r="N14" s="8"/>
      <c r="O14" s="8" t="str">
        <f>"285,0"</f>
        <v>285,0</v>
      </c>
      <c r="P14" s="8" t="str">
        <f>"221,8725"</f>
        <v>221,8725</v>
      </c>
      <c r="Q14" s="7" t="s">
        <v>557</v>
      </c>
    </row>
    <row r="15" spans="1:17">
      <c r="B15" s="5" t="s">
        <v>29</v>
      </c>
    </row>
    <row r="16" spans="1:17" ht="16">
      <c r="A16" s="85" t="s">
        <v>52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7">
      <c r="A17" s="17" t="s">
        <v>28</v>
      </c>
      <c r="B17" s="16" t="s">
        <v>202</v>
      </c>
      <c r="C17" s="16" t="s">
        <v>301</v>
      </c>
      <c r="D17" s="16" t="s">
        <v>200</v>
      </c>
      <c r="E17" s="16" t="s">
        <v>562</v>
      </c>
      <c r="F17" s="28" t="s">
        <v>401</v>
      </c>
      <c r="G17" s="32" t="s">
        <v>186</v>
      </c>
      <c r="H17" s="32" t="s">
        <v>181</v>
      </c>
      <c r="I17" s="46" t="s">
        <v>40</v>
      </c>
      <c r="J17" s="17"/>
      <c r="K17" s="43" t="s">
        <v>91</v>
      </c>
      <c r="L17" s="43" t="s">
        <v>204</v>
      </c>
      <c r="M17" s="43" t="s">
        <v>205</v>
      </c>
      <c r="N17" s="35"/>
      <c r="O17" s="17" t="str">
        <f>"292,5"</f>
        <v>292,5</v>
      </c>
      <c r="P17" s="17" t="str">
        <f>"212,0333"</f>
        <v>212,0333</v>
      </c>
      <c r="Q17" s="16" t="s">
        <v>154</v>
      </c>
    </row>
    <row r="18" spans="1:17">
      <c r="A18" s="19" t="s">
        <v>28</v>
      </c>
      <c r="B18" s="18" t="s">
        <v>202</v>
      </c>
      <c r="C18" s="18" t="s">
        <v>203</v>
      </c>
      <c r="D18" s="18" t="s">
        <v>200</v>
      </c>
      <c r="E18" s="18" t="s">
        <v>560</v>
      </c>
      <c r="F18" s="57" t="s">
        <v>401</v>
      </c>
      <c r="G18" s="59" t="s">
        <v>186</v>
      </c>
      <c r="H18" s="59" t="s">
        <v>181</v>
      </c>
      <c r="I18" s="62" t="s">
        <v>40</v>
      </c>
      <c r="J18" s="19"/>
      <c r="K18" s="60" t="s">
        <v>91</v>
      </c>
      <c r="L18" s="60" t="s">
        <v>204</v>
      </c>
      <c r="M18" s="60" t="s">
        <v>205</v>
      </c>
      <c r="N18" s="58"/>
      <c r="O18" s="19" t="str">
        <f>"292,5"</f>
        <v>292,5</v>
      </c>
      <c r="P18" s="19" t="str">
        <f>"212,0333"</f>
        <v>212,0333</v>
      </c>
      <c r="Q18" s="18" t="s">
        <v>154</v>
      </c>
    </row>
    <row r="19" spans="1:17">
      <c r="A19" s="21" t="s">
        <v>138</v>
      </c>
      <c r="B19" s="20" t="s">
        <v>421</v>
      </c>
      <c r="C19" s="20" t="s">
        <v>422</v>
      </c>
      <c r="D19" s="20" t="s">
        <v>423</v>
      </c>
      <c r="E19" s="20" t="s">
        <v>560</v>
      </c>
      <c r="F19" s="29" t="s">
        <v>424</v>
      </c>
      <c r="G19" s="36" t="s">
        <v>49</v>
      </c>
      <c r="H19" s="36" t="s">
        <v>177</v>
      </c>
      <c r="I19" s="47" t="s">
        <v>186</v>
      </c>
      <c r="J19" s="21"/>
      <c r="K19" s="45" t="s">
        <v>48</v>
      </c>
      <c r="L19" s="45" t="s">
        <v>114</v>
      </c>
      <c r="M19" s="41" t="s">
        <v>205</v>
      </c>
      <c r="N19" s="39"/>
      <c r="O19" s="21" t="str">
        <f>"285,0"</f>
        <v>285,0</v>
      </c>
      <c r="P19" s="21" t="str">
        <f>"213,1230"</f>
        <v>213,1230</v>
      </c>
      <c r="Q19" s="20" t="s">
        <v>425</v>
      </c>
    </row>
    <row r="20" spans="1:17">
      <c r="B20" s="5" t="s">
        <v>29</v>
      </c>
    </row>
    <row r="21" spans="1:17" ht="16">
      <c r="A21" s="85" t="s">
        <v>92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7">
      <c r="A22" s="17" t="s">
        <v>28</v>
      </c>
      <c r="B22" s="16" t="s">
        <v>308</v>
      </c>
      <c r="C22" s="16" t="s">
        <v>309</v>
      </c>
      <c r="D22" s="16" t="s">
        <v>310</v>
      </c>
      <c r="E22" s="16" t="s">
        <v>560</v>
      </c>
      <c r="F22" s="16" t="s">
        <v>311</v>
      </c>
      <c r="G22" s="22" t="s">
        <v>61</v>
      </c>
      <c r="H22" s="22" t="s">
        <v>62</v>
      </c>
      <c r="I22" s="23" t="s">
        <v>98</v>
      </c>
      <c r="J22" s="17"/>
      <c r="K22" s="22" t="s">
        <v>58</v>
      </c>
      <c r="L22" s="22" t="s">
        <v>63</v>
      </c>
      <c r="M22" s="22" t="s">
        <v>312</v>
      </c>
      <c r="N22" s="17"/>
      <c r="O22" s="17" t="str">
        <f>"400,0"</f>
        <v>400,0</v>
      </c>
      <c r="P22" s="17" t="str">
        <f>"270,7600"</f>
        <v>270,7600</v>
      </c>
      <c r="Q22" s="16" t="s">
        <v>557</v>
      </c>
    </row>
    <row r="23" spans="1:17">
      <c r="A23" s="21" t="s">
        <v>138</v>
      </c>
      <c r="B23" s="20" t="s">
        <v>447</v>
      </c>
      <c r="C23" s="20" t="s">
        <v>448</v>
      </c>
      <c r="D23" s="20" t="s">
        <v>449</v>
      </c>
      <c r="E23" s="20" t="s">
        <v>560</v>
      </c>
      <c r="F23" s="20" t="s">
        <v>14</v>
      </c>
      <c r="G23" s="26" t="s">
        <v>186</v>
      </c>
      <c r="H23" s="25" t="s">
        <v>186</v>
      </c>
      <c r="I23" s="26" t="s">
        <v>181</v>
      </c>
      <c r="J23" s="21"/>
      <c r="K23" s="25" t="s">
        <v>97</v>
      </c>
      <c r="L23" s="25" t="s">
        <v>17</v>
      </c>
      <c r="M23" s="26" t="s">
        <v>18</v>
      </c>
      <c r="N23" s="21"/>
      <c r="O23" s="21" t="str">
        <f>"315,0"</f>
        <v>315,0</v>
      </c>
      <c r="P23" s="21" t="str">
        <f>"211,9635"</f>
        <v>211,9635</v>
      </c>
      <c r="Q23" s="20" t="s">
        <v>297</v>
      </c>
    </row>
    <row r="24" spans="1:17">
      <c r="B24" s="5" t="s">
        <v>29</v>
      </c>
    </row>
    <row r="25" spans="1:17" ht="16">
      <c r="A25" s="85" t="s">
        <v>64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7">
      <c r="A26" s="17" t="s">
        <v>28</v>
      </c>
      <c r="B26" s="16" t="s">
        <v>210</v>
      </c>
      <c r="C26" s="16" t="s">
        <v>211</v>
      </c>
      <c r="D26" s="16" t="s">
        <v>212</v>
      </c>
      <c r="E26" s="16" t="s">
        <v>561</v>
      </c>
      <c r="F26" s="28" t="s">
        <v>213</v>
      </c>
      <c r="G26" s="32" t="s">
        <v>186</v>
      </c>
      <c r="H26" s="32" t="s">
        <v>187</v>
      </c>
      <c r="I26" s="46" t="s">
        <v>188</v>
      </c>
      <c r="J26" s="17"/>
      <c r="K26" s="43" t="s">
        <v>51</v>
      </c>
      <c r="L26" s="43" t="s">
        <v>205</v>
      </c>
      <c r="M26" s="43" t="s">
        <v>16</v>
      </c>
      <c r="N26" s="35"/>
      <c r="O26" s="17" t="str">
        <f>"317,5"</f>
        <v>317,5</v>
      </c>
      <c r="P26" s="17" t="str">
        <f>"204,2160"</f>
        <v>204,2160</v>
      </c>
      <c r="Q26" s="16" t="s">
        <v>154</v>
      </c>
    </row>
    <row r="27" spans="1:17">
      <c r="A27" s="19" t="s">
        <v>28</v>
      </c>
      <c r="B27" s="18" t="s">
        <v>214</v>
      </c>
      <c r="C27" s="18" t="s">
        <v>215</v>
      </c>
      <c r="D27" s="18" t="s">
        <v>216</v>
      </c>
      <c r="E27" s="18" t="s">
        <v>560</v>
      </c>
      <c r="F27" s="57" t="s">
        <v>56</v>
      </c>
      <c r="G27" s="59" t="s">
        <v>61</v>
      </c>
      <c r="H27" s="59" t="s">
        <v>62</v>
      </c>
      <c r="I27" s="59" t="s">
        <v>47</v>
      </c>
      <c r="J27" s="19"/>
      <c r="K27" s="60" t="s">
        <v>217</v>
      </c>
      <c r="L27" s="60" t="s">
        <v>106</v>
      </c>
      <c r="M27" s="61" t="s">
        <v>218</v>
      </c>
      <c r="N27" s="58"/>
      <c r="O27" s="19" t="str">
        <f>"420,0"</f>
        <v>420,0</v>
      </c>
      <c r="P27" s="19" t="str">
        <f>"276,3180"</f>
        <v>276,3180</v>
      </c>
      <c r="Q27" s="18" t="s">
        <v>557</v>
      </c>
    </row>
    <row r="28" spans="1:17">
      <c r="A28" s="19" t="s">
        <v>138</v>
      </c>
      <c r="B28" s="18" t="s">
        <v>65</v>
      </c>
      <c r="C28" s="18" t="s">
        <v>66</v>
      </c>
      <c r="D28" s="18" t="s">
        <v>67</v>
      </c>
      <c r="E28" s="18" t="s">
        <v>560</v>
      </c>
      <c r="F28" s="57" t="s">
        <v>68</v>
      </c>
      <c r="G28" s="59" t="s">
        <v>62</v>
      </c>
      <c r="H28" s="59" t="s">
        <v>71</v>
      </c>
      <c r="I28" s="59" t="s">
        <v>72</v>
      </c>
      <c r="J28" s="19"/>
      <c r="K28" s="61" t="s">
        <v>18</v>
      </c>
      <c r="L28" s="61" t="s">
        <v>18</v>
      </c>
      <c r="M28" s="60" t="s">
        <v>18</v>
      </c>
      <c r="N28" s="58"/>
      <c r="O28" s="19" t="str">
        <f>"365,0"</f>
        <v>365,0</v>
      </c>
      <c r="P28" s="19" t="str">
        <f>"239,5130"</f>
        <v>239,5130</v>
      </c>
      <c r="Q28" s="18" t="s">
        <v>557</v>
      </c>
    </row>
    <row r="29" spans="1:17">
      <c r="A29" s="21" t="s">
        <v>139</v>
      </c>
      <c r="B29" s="20" t="s">
        <v>210</v>
      </c>
      <c r="C29" s="20" t="s">
        <v>222</v>
      </c>
      <c r="D29" s="20" t="s">
        <v>212</v>
      </c>
      <c r="E29" s="20" t="s">
        <v>560</v>
      </c>
      <c r="F29" s="29" t="s">
        <v>213</v>
      </c>
      <c r="G29" s="36" t="s">
        <v>186</v>
      </c>
      <c r="H29" s="36" t="s">
        <v>187</v>
      </c>
      <c r="I29" s="47" t="s">
        <v>188</v>
      </c>
      <c r="J29" s="21"/>
      <c r="K29" s="45" t="s">
        <v>51</v>
      </c>
      <c r="L29" s="45" t="s">
        <v>205</v>
      </c>
      <c r="M29" s="45" t="s">
        <v>16</v>
      </c>
      <c r="N29" s="39"/>
      <c r="O29" s="21" t="str">
        <f>"317,5"</f>
        <v>317,5</v>
      </c>
      <c r="P29" s="21" t="str">
        <f>"204,2160"</f>
        <v>204,2160</v>
      </c>
      <c r="Q29" s="20" t="s">
        <v>154</v>
      </c>
    </row>
    <row r="30" spans="1:17">
      <c r="B30" s="5" t="s">
        <v>29</v>
      </c>
    </row>
  </sheetData>
  <mergeCells count="18">
    <mergeCell ref="A25:N25"/>
    <mergeCell ref="A5:N5"/>
    <mergeCell ref="A9:N9"/>
    <mergeCell ref="A13:N13"/>
    <mergeCell ref="A16:N16"/>
    <mergeCell ref="A21:N21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2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9.6640625" style="5" customWidth="1"/>
    <col min="18" max="16384" width="9.1640625" style="3"/>
  </cols>
  <sheetData>
    <row r="1" spans="1:17" s="2" customFormat="1" ht="29" customHeight="1">
      <c r="A1" s="64" t="s">
        <v>533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9</v>
      </c>
      <c r="L3" s="76"/>
      <c r="M3" s="76"/>
      <c r="N3" s="76"/>
      <c r="O3" s="76" t="s">
        <v>1</v>
      </c>
      <c r="P3" s="76" t="s">
        <v>3</v>
      </c>
      <c r="Q3" s="79" t="s">
        <v>2</v>
      </c>
    </row>
    <row r="4" spans="1:17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5"/>
      <c r="P4" s="75"/>
      <c r="Q4" s="80"/>
    </row>
    <row r="5" spans="1:17" ht="16">
      <c r="A5" s="81" t="s">
        <v>109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7">
      <c r="A6" s="17" t="s">
        <v>28</v>
      </c>
      <c r="B6" s="16" t="s">
        <v>110</v>
      </c>
      <c r="C6" s="16" t="s">
        <v>111</v>
      </c>
      <c r="D6" s="16" t="s">
        <v>112</v>
      </c>
      <c r="E6" s="16" t="s">
        <v>560</v>
      </c>
      <c r="F6" s="16" t="s">
        <v>104</v>
      </c>
      <c r="G6" s="22" t="s">
        <v>51</v>
      </c>
      <c r="H6" s="22" t="s">
        <v>114</v>
      </c>
      <c r="I6" s="22" t="s">
        <v>99</v>
      </c>
      <c r="J6" s="17"/>
      <c r="K6" s="22" t="s">
        <v>19</v>
      </c>
      <c r="L6" s="22" t="s">
        <v>115</v>
      </c>
      <c r="M6" s="23" t="s">
        <v>116</v>
      </c>
      <c r="N6" s="17"/>
      <c r="O6" s="17" t="str">
        <f>"520,0"</f>
        <v>520,0</v>
      </c>
      <c r="P6" s="17" t="str">
        <f>"321,6720"</f>
        <v>321,6720</v>
      </c>
      <c r="Q6" s="16" t="s">
        <v>557</v>
      </c>
    </row>
    <row r="7" spans="1:17">
      <c r="A7" s="19" t="s">
        <v>138</v>
      </c>
      <c r="B7" s="18" t="s">
        <v>117</v>
      </c>
      <c r="C7" s="18" t="s">
        <v>118</v>
      </c>
      <c r="D7" s="18" t="s">
        <v>119</v>
      </c>
      <c r="E7" s="18" t="s">
        <v>560</v>
      </c>
      <c r="F7" s="18" t="s">
        <v>120</v>
      </c>
      <c r="G7" s="24" t="s">
        <v>114</v>
      </c>
      <c r="H7" s="24" t="s">
        <v>122</v>
      </c>
      <c r="I7" s="24" t="s">
        <v>123</v>
      </c>
      <c r="J7" s="19"/>
      <c r="K7" s="24" t="s">
        <v>106</v>
      </c>
      <c r="L7" s="24" t="s">
        <v>124</v>
      </c>
      <c r="M7" s="24" t="s">
        <v>19</v>
      </c>
      <c r="N7" s="19"/>
      <c r="O7" s="19" t="str">
        <f>"502,5"</f>
        <v>502,5</v>
      </c>
      <c r="P7" s="19" t="str">
        <f>"306,5752"</f>
        <v>306,5752</v>
      </c>
      <c r="Q7" s="18" t="s">
        <v>557</v>
      </c>
    </row>
    <row r="8" spans="1:17">
      <c r="A8" s="21" t="s">
        <v>139</v>
      </c>
      <c r="B8" s="20" t="s">
        <v>265</v>
      </c>
      <c r="C8" s="20" t="s">
        <v>183</v>
      </c>
      <c r="D8" s="20" t="s">
        <v>266</v>
      </c>
      <c r="E8" s="20" t="s">
        <v>560</v>
      </c>
      <c r="F8" s="20" t="s">
        <v>267</v>
      </c>
      <c r="G8" s="25" t="s">
        <v>84</v>
      </c>
      <c r="H8" s="25" t="s">
        <v>205</v>
      </c>
      <c r="I8" s="26" t="s">
        <v>268</v>
      </c>
      <c r="J8" s="21"/>
      <c r="K8" s="25" t="s">
        <v>19</v>
      </c>
      <c r="L8" s="26" t="s">
        <v>75</v>
      </c>
      <c r="M8" s="26" t="s">
        <v>75</v>
      </c>
      <c r="N8" s="21"/>
      <c r="O8" s="21" t="str">
        <f>"485,0"</f>
        <v>485,0</v>
      </c>
      <c r="P8" s="21" t="str">
        <f>"297,8870"</f>
        <v>297,8870</v>
      </c>
      <c r="Q8" s="20" t="s">
        <v>269</v>
      </c>
    </row>
    <row r="9" spans="1:17">
      <c r="B9" s="5" t="s">
        <v>29</v>
      </c>
    </row>
    <row r="10" spans="1:17" ht="16">
      <c r="A10" s="85" t="s">
        <v>10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7">
      <c r="A11" s="8" t="s">
        <v>28</v>
      </c>
      <c r="B11" s="7" t="s">
        <v>11</v>
      </c>
      <c r="C11" s="7" t="s">
        <v>12</v>
      </c>
      <c r="D11" s="7" t="s">
        <v>13</v>
      </c>
      <c r="E11" s="7" t="s">
        <v>560</v>
      </c>
      <c r="F11" s="7" t="s">
        <v>14</v>
      </c>
      <c r="G11" s="15" t="s">
        <v>16</v>
      </c>
      <c r="H11" s="15" t="s">
        <v>17</v>
      </c>
      <c r="I11" s="14" t="s">
        <v>18</v>
      </c>
      <c r="J11" s="8"/>
      <c r="K11" s="15" t="s">
        <v>15</v>
      </c>
      <c r="L11" s="14" t="s">
        <v>19</v>
      </c>
      <c r="M11" s="14" t="s">
        <v>19</v>
      </c>
      <c r="N11" s="8"/>
      <c r="O11" s="8" t="str">
        <f>"495,0"</f>
        <v>495,0</v>
      </c>
      <c r="P11" s="8" t="str">
        <f>"297,2970"</f>
        <v>297,2970</v>
      </c>
      <c r="Q11" s="7" t="s">
        <v>557</v>
      </c>
    </row>
    <row r="12" spans="1:17">
      <c r="B12" s="5" t="s">
        <v>29</v>
      </c>
    </row>
  </sheetData>
  <mergeCells count="14">
    <mergeCell ref="A10:N10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75"/>
  <sheetViews>
    <sheetView topLeftCell="A30" workbookViewId="0">
      <selection activeCell="E65" sqref="E65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40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64" t="s">
        <v>534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140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8" t="s">
        <v>28</v>
      </c>
      <c r="B6" s="7" t="s">
        <v>141</v>
      </c>
      <c r="C6" s="7" t="s">
        <v>142</v>
      </c>
      <c r="D6" s="7" t="s">
        <v>143</v>
      </c>
      <c r="E6" s="7" t="s">
        <v>560</v>
      </c>
      <c r="F6" s="7" t="s">
        <v>68</v>
      </c>
      <c r="G6" s="14" t="s">
        <v>146</v>
      </c>
      <c r="H6" s="15" t="s">
        <v>146</v>
      </c>
      <c r="I6" s="14" t="s">
        <v>147</v>
      </c>
      <c r="J6" s="8"/>
      <c r="K6" s="8" t="str">
        <f>"50,0"</f>
        <v>50,0</v>
      </c>
      <c r="L6" s="8" t="str">
        <f>"70,6150"</f>
        <v>70,6150</v>
      </c>
      <c r="M6" s="7" t="s">
        <v>557</v>
      </c>
    </row>
    <row r="7" spans="1:13">
      <c r="B7" s="5" t="s">
        <v>29</v>
      </c>
    </row>
    <row r="8" spans="1:13" ht="16">
      <c r="A8" s="85" t="s">
        <v>149</v>
      </c>
      <c r="B8" s="85"/>
      <c r="C8" s="85"/>
      <c r="D8" s="85"/>
      <c r="E8" s="85"/>
      <c r="F8" s="85"/>
      <c r="G8" s="85"/>
      <c r="H8" s="85"/>
      <c r="I8" s="85"/>
      <c r="J8" s="85"/>
    </row>
    <row r="9" spans="1:13">
      <c r="A9" s="17" t="s">
        <v>28</v>
      </c>
      <c r="B9" s="16" t="s">
        <v>150</v>
      </c>
      <c r="C9" s="16" t="s">
        <v>151</v>
      </c>
      <c r="D9" s="16" t="s">
        <v>152</v>
      </c>
      <c r="E9" s="16" t="s">
        <v>561</v>
      </c>
      <c r="F9" s="16" t="s">
        <v>401</v>
      </c>
      <c r="G9" s="32" t="s">
        <v>153</v>
      </c>
      <c r="H9" s="32" t="s">
        <v>156</v>
      </c>
      <c r="I9" s="22" t="s">
        <v>146</v>
      </c>
      <c r="J9" s="17"/>
      <c r="K9" s="17" t="str">
        <f>"50,0"</f>
        <v>50,0</v>
      </c>
      <c r="L9" s="17" t="str">
        <f>"67,4500"</f>
        <v>67,4500</v>
      </c>
      <c r="M9" s="16" t="s">
        <v>154</v>
      </c>
    </row>
    <row r="10" spans="1:13">
      <c r="A10" s="21" t="s">
        <v>28</v>
      </c>
      <c r="B10" s="20" t="s">
        <v>150</v>
      </c>
      <c r="C10" s="20" t="s">
        <v>155</v>
      </c>
      <c r="D10" s="20" t="s">
        <v>152</v>
      </c>
      <c r="E10" s="20" t="s">
        <v>560</v>
      </c>
      <c r="F10" s="20" t="s">
        <v>401</v>
      </c>
      <c r="G10" s="36" t="s">
        <v>153</v>
      </c>
      <c r="H10" s="36" t="s">
        <v>156</v>
      </c>
      <c r="I10" s="25" t="s">
        <v>146</v>
      </c>
      <c r="J10" s="21"/>
      <c r="K10" s="21" t="str">
        <f>"50,0"</f>
        <v>50,0</v>
      </c>
      <c r="L10" s="21" t="str">
        <f>"67,4500"</f>
        <v>67,4500</v>
      </c>
      <c r="M10" s="20" t="s">
        <v>154</v>
      </c>
    </row>
    <row r="11" spans="1:13">
      <c r="B11" s="5" t="s">
        <v>29</v>
      </c>
    </row>
    <row r="12" spans="1:13" ht="16">
      <c r="A12" s="85" t="s">
        <v>159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3">
      <c r="A13" s="8" t="s">
        <v>28</v>
      </c>
      <c r="B13" s="7" t="s">
        <v>284</v>
      </c>
      <c r="C13" s="7" t="s">
        <v>285</v>
      </c>
      <c r="D13" s="7" t="s">
        <v>286</v>
      </c>
      <c r="E13" s="7" t="s">
        <v>560</v>
      </c>
      <c r="F13" s="7" t="s">
        <v>34</v>
      </c>
      <c r="G13" s="15" t="s">
        <v>147</v>
      </c>
      <c r="H13" s="14" t="s">
        <v>37</v>
      </c>
      <c r="I13" s="15" t="s">
        <v>37</v>
      </c>
      <c r="J13" s="8"/>
      <c r="K13" s="8" t="str">
        <f>"55,0"</f>
        <v>55,0</v>
      </c>
      <c r="L13" s="8" t="str">
        <f>"68,9755"</f>
        <v>68,9755</v>
      </c>
      <c r="M13" s="7" t="s">
        <v>42</v>
      </c>
    </row>
    <row r="14" spans="1:13">
      <c r="B14" s="5" t="s">
        <v>29</v>
      </c>
    </row>
    <row r="15" spans="1:13" ht="16">
      <c r="A15" s="85" t="s">
        <v>166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3">
      <c r="A16" s="17" t="s">
        <v>28</v>
      </c>
      <c r="B16" s="16" t="s">
        <v>167</v>
      </c>
      <c r="C16" s="16" t="s">
        <v>168</v>
      </c>
      <c r="D16" s="16" t="s">
        <v>169</v>
      </c>
      <c r="E16" s="16" t="s">
        <v>562</v>
      </c>
      <c r="F16" s="16" t="s">
        <v>401</v>
      </c>
      <c r="G16" s="32" t="s">
        <v>170</v>
      </c>
      <c r="H16" s="22" t="s">
        <v>172</v>
      </c>
      <c r="I16" s="33" t="s">
        <v>173</v>
      </c>
      <c r="J16" s="17"/>
      <c r="K16" s="17" t="str">
        <f>"40,0"</f>
        <v>40,0</v>
      </c>
      <c r="L16" s="17" t="str">
        <f>"48,4240"</f>
        <v>48,4240</v>
      </c>
      <c r="M16" s="16" t="s">
        <v>154</v>
      </c>
    </row>
    <row r="17" spans="1:13">
      <c r="A17" s="21" t="s">
        <v>28</v>
      </c>
      <c r="B17" s="20" t="s">
        <v>167</v>
      </c>
      <c r="C17" s="20" t="s">
        <v>171</v>
      </c>
      <c r="D17" s="20" t="s">
        <v>169</v>
      </c>
      <c r="E17" s="20" t="s">
        <v>560</v>
      </c>
      <c r="F17" s="20" t="s">
        <v>401</v>
      </c>
      <c r="G17" s="36" t="s">
        <v>170</v>
      </c>
      <c r="H17" s="25" t="s">
        <v>172</v>
      </c>
      <c r="I17" s="37" t="s">
        <v>173</v>
      </c>
      <c r="J17" s="21"/>
      <c r="K17" s="21" t="str">
        <f>"40,0"</f>
        <v>40,0</v>
      </c>
      <c r="L17" s="21" t="str">
        <f>"48,4240"</f>
        <v>48,4240</v>
      </c>
      <c r="M17" s="20" t="s">
        <v>154</v>
      </c>
    </row>
    <row r="18" spans="1:13">
      <c r="B18" s="5" t="s">
        <v>29</v>
      </c>
    </row>
    <row r="19" spans="1:13" ht="16">
      <c r="A19" s="85" t="s">
        <v>30</v>
      </c>
      <c r="B19" s="85"/>
      <c r="C19" s="85"/>
      <c r="D19" s="85"/>
      <c r="E19" s="85"/>
      <c r="F19" s="85"/>
      <c r="G19" s="85"/>
      <c r="H19" s="85"/>
      <c r="I19" s="85"/>
      <c r="J19" s="85"/>
    </row>
    <row r="20" spans="1:13">
      <c r="A20" s="8" t="s">
        <v>28</v>
      </c>
      <c r="B20" s="7" t="s">
        <v>174</v>
      </c>
      <c r="C20" s="7" t="s">
        <v>175</v>
      </c>
      <c r="D20" s="7" t="s">
        <v>176</v>
      </c>
      <c r="E20" s="7" t="s">
        <v>560</v>
      </c>
      <c r="F20" s="7" t="s">
        <v>68</v>
      </c>
      <c r="G20" s="15" t="s">
        <v>146</v>
      </c>
      <c r="H20" s="14" t="s">
        <v>147</v>
      </c>
      <c r="I20" s="14" t="s">
        <v>147</v>
      </c>
      <c r="J20" s="8"/>
      <c r="K20" s="8" t="str">
        <f>"50,0"</f>
        <v>50,0</v>
      </c>
      <c r="L20" s="8" t="str">
        <f>"55,9600"</f>
        <v>55,9600</v>
      </c>
      <c r="M20" s="7" t="s">
        <v>557</v>
      </c>
    </row>
    <row r="21" spans="1:13">
      <c r="B21" s="5" t="s">
        <v>29</v>
      </c>
    </row>
    <row r="22" spans="1:13" ht="16">
      <c r="A22" s="85" t="s">
        <v>43</v>
      </c>
      <c r="B22" s="85"/>
      <c r="C22" s="85"/>
      <c r="D22" s="85"/>
      <c r="E22" s="85"/>
      <c r="F22" s="85"/>
      <c r="G22" s="85"/>
      <c r="H22" s="85"/>
      <c r="I22" s="85"/>
      <c r="J22" s="85"/>
    </row>
    <row r="23" spans="1:13">
      <c r="A23" s="8" t="s">
        <v>28</v>
      </c>
      <c r="B23" s="7" t="s">
        <v>287</v>
      </c>
      <c r="C23" s="7" t="s">
        <v>288</v>
      </c>
      <c r="D23" s="7" t="s">
        <v>289</v>
      </c>
      <c r="E23" s="7" t="s">
        <v>560</v>
      </c>
      <c r="F23" s="7" t="s">
        <v>14</v>
      </c>
      <c r="G23" s="14" t="s">
        <v>290</v>
      </c>
      <c r="H23" s="14" t="s">
        <v>290</v>
      </c>
      <c r="I23" s="15" t="s">
        <v>290</v>
      </c>
      <c r="J23" s="8"/>
      <c r="K23" s="8" t="str">
        <f>"67,5"</f>
        <v>67,5</v>
      </c>
      <c r="L23" s="8" t="str">
        <f>"71,0573"</f>
        <v>71,0573</v>
      </c>
      <c r="M23" s="7" t="s">
        <v>557</v>
      </c>
    </row>
    <row r="24" spans="1:13">
      <c r="B24" s="5" t="s">
        <v>29</v>
      </c>
    </row>
    <row r="25" spans="1:13" ht="16">
      <c r="A25" s="85" t="s">
        <v>43</v>
      </c>
      <c r="B25" s="85"/>
      <c r="C25" s="85"/>
      <c r="D25" s="85"/>
      <c r="E25" s="85"/>
      <c r="F25" s="85"/>
      <c r="G25" s="85"/>
      <c r="H25" s="85"/>
      <c r="I25" s="85"/>
      <c r="J25" s="85"/>
    </row>
    <row r="26" spans="1:13">
      <c r="A26" s="17" t="s">
        <v>28</v>
      </c>
      <c r="B26" s="16" t="s">
        <v>291</v>
      </c>
      <c r="C26" s="16" t="s">
        <v>292</v>
      </c>
      <c r="D26" s="16" t="s">
        <v>293</v>
      </c>
      <c r="E26" s="16" t="s">
        <v>560</v>
      </c>
      <c r="F26" s="16" t="s">
        <v>267</v>
      </c>
      <c r="G26" s="22" t="s">
        <v>186</v>
      </c>
      <c r="H26" s="23" t="s">
        <v>181</v>
      </c>
      <c r="I26" s="23" t="s">
        <v>35</v>
      </c>
      <c r="J26" s="17"/>
      <c r="K26" s="17" t="str">
        <f>"110,0"</f>
        <v>110,0</v>
      </c>
      <c r="L26" s="17" t="str">
        <f>"86,1520"</f>
        <v>86,1520</v>
      </c>
      <c r="M26" s="16" t="s">
        <v>557</v>
      </c>
    </row>
    <row r="27" spans="1:13">
      <c r="A27" s="21" t="s">
        <v>138</v>
      </c>
      <c r="B27" s="20" t="s">
        <v>44</v>
      </c>
      <c r="C27" s="20" t="s">
        <v>45</v>
      </c>
      <c r="D27" s="20" t="s">
        <v>46</v>
      </c>
      <c r="E27" s="20" t="s">
        <v>560</v>
      </c>
      <c r="F27" s="20" t="s">
        <v>34</v>
      </c>
      <c r="G27" s="26" t="s">
        <v>49</v>
      </c>
      <c r="H27" s="25" t="s">
        <v>49</v>
      </c>
      <c r="I27" s="25" t="s">
        <v>50</v>
      </c>
      <c r="J27" s="21"/>
      <c r="K27" s="21" t="str">
        <f>"95,0"</f>
        <v>95,0</v>
      </c>
      <c r="L27" s="21" t="str">
        <f>"78,2325"</f>
        <v>78,2325</v>
      </c>
      <c r="M27" s="20" t="s">
        <v>557</v>
      </c>
    </row>
    <row r="28" spans="1:13">
      <c r="B28" s="5" t="s">
        <v>29</v>
      </c>
    </row>
    <row r="29" spans="1:13" ht="16">
      <c r="A29" s="85" t="s">
        <v>52</v>
      </c>
      <c r="B29" s="85"/>
      <c r="C29" s="85"/>
      <c r="D29" s="85"/>
      <c r="E29" s="85"/>
      <c r="F29" s="85"/>
      <c r="G29" s="85"/>
      <c r="H29" s="85"/>
      <c r="I29" s="85"/>
      <c r="J29" s="85"/>
    </row>
    <row r="30" spans="1:13">
      <c r="A30" s="17" t="s">
        <v>28</v>
      </c>
      <c r="B30" s="16" t="s">
        <v>294</v>
      </c>
      <c r="C30" s="16" t="s">
        <v>295</v>
      </c>
      <c r="D30" s="16" t="s">
        <v>296</v>
      </c>
      <c r="E30" s="16" t="s">
        <v>564</v>
      </c>
      <c r="F30" s="28" t="s">
        <v>14</v>
      </c>
      <c r="G30" s="46" t="s">
        <v>186</v>
      </c>
      <c r="H30" s="22" t="s">
        <v>186</v>
      </c>
      <c r="I30" s="40" t="s">
        <v>187</v>
      </c>
      <c r="J30" s="35"/>
      <c r="K30" s="17" t="str">
        <f>"110,0"</f>
        <v>110,0</v>
      </c>
      <c r="L30" s="17" t="str">
        <f>"80,8720"</f>
        <v>80,8720</v>
      </c>
      <c r="M30" s="16" t="s">
        <v>297</v>
      </c>
    </row>
    <row r="31" spans="1:13">
      <c r="A31" s="19" t="s">
        <v>138</v>
      </c>
      <c r="B31" s="18" t="s">
        <v>298</v>
      </c>
      <c r="C31" s="18" t="s">
        <v>299</v>
      </c>
      <c r="D31" s="18" t="s">
        <v>300</v>
      </c>
      <c r="E31" s="18" t="s">
        <v>564</v>
      </c>
      <c r="F31" s="57" t="s">
        <v>401</v>
      </c>
      <c r="G31" s="59" t="s">
        <v>89</v>
      </c>
      <c r="H31" s="24" t="s">
        <v>82</v>
      </c>
      <c r="I31" s="61" t="s">
        <v>49</v>
      </c>
      <c r="J31" s="58"/>
      <c r="K31" s="19" t="str">
        <f>"82,5"</f>
        <v>82,5</v>
      </c>
      <c r="L31" s="19" t="str">
        <f>"59,6310"</f>
        <v>59,6310</v>
      </c>
      <c r="M31" s="18" t="s">
        <v>189</v>
      </c>
    </row>
    <row r="32" spans="1:13">
      <c r="A32" s="19" t="s">
        <v>28</v>
      </c>
      <c r="B32" s="18" t="s">
        <v>202</v>
      </c>
      <c r="C32" s="18" t="s">
        <v>301</v>
      </c>
      <c r="D32" s="18" t="s">
        <v>200</v>
      </c>
      <c r="E32" s="18" t="s">
        <v>562</v>
      </c>
      <c r="F32" s="57" t="s">
        <v>401</v>
      </c>
      <c r="G32" s="59" t="s">
        <v>186</v>
      </c>
      <c r="H32" s="24" t="s">
        <v>181</v>
      </c>
      <c r="I32" s="61" t="s">
        <v>40</v>
      </c>
      <c r="J32" s="58"/>
      <c r="K32" s="19" t="str">
        <f>"115,0"</f>
        <v>115,0</v>
      </c>
      <c r="L32" s="19" t="str">
        <f>"83,3635"</f>
        <v>83,3635</v>
      </c>
      <c r="M32" s="18" t="s">
        <v>154</v>
      </c>
    </row>
    <row r="33" spans="1:13">
      <c r="A33" s="21" t="s">
        <v>28</v>
      </c>
      <c r="B33" s="20" t="s">
        <v>202</v>
      </c>
      <c r="C33" s="20" t="s">
        <v>203</v>
      </c>
      <c r="D33" s="20" t="s">
        <v>200</v>
      </c>
      <c r="E33" s="20" t="s">
        <v>560</v>
      </c>
      <c r="F33" s="29" t="s">
        <v>401</v>
      </c>
      <c r="G33" s="36" t="s">
        <v>186</v>
      </c>
      <c r="H33" s="25" t="s">
        <v>181</v>
      </c>
      <c r="I33" s="41" t="s">
        <v>40</v>
      </c>
      <c r="J33" s="39"/>
      <c r="K33" s="21" t="str">
        <f>"115,0"</f>
        <v>115,0</v>
      </c>
      <c r="L33" s="21" t="str">
        <f>"83,3635"</f>
        <v>83,3635</v>
      </c>
      <c r="M33" s="20" t="s">
        <v>154</v>
      </c>
    </row>
    <row r="34" spans="1:13">
      <c r="B34" s="5" t="s">
        <v>29</v>
      </c>
    </row>
    <row r="35" spans="1:13" ht="16">
      <c r="A35" s="85" t="s">
        <v>92</v>
      </c>
      <c r="B35" s="85"/>
      <c r="C35" s="85"/>
      <c r="D35" s="85"/>
      <c r="E35" s="85"/>
      <c r="F35" s="85"/>
      <c r="G35" s="85"/>
      <c r="H35" s="85"/>
      <c r="I35" s="85"/>
      <c r="J35" s="85"/>
    </row>
    <row r="36" spans="1:13">
      <c r="A36" s="17" t="s">
        <v>28</v>
      </c>
      <c r="B36" s="16" t="s">
        <v>302</v>
      </c>
      <c r="C36" s="16" t="s">
        <v>303</v>
      </c>
      <c r="D36" s="16" t="s">
        <v>304</v>
      </c>
      <c r="E36" s="16" t="s">
        <v>561</v>
      </c>
      <c r="F36" s="16" t="s">
        <v>14</v>
      </c>
      <c r="G36" s="22" t="s">
        <v>60</v>
      </c>
      <c r="H36" s="22" t="s">
        <v>128</v>
      </c>
      <c r="I36" s="23" t="s">
        <v>61</v>
      </c>
      <c r="J36" s="17"/>
      <c r="K36" s="17" t="str">
        <f>"135,0"</f>
        <v>135,0</v>
      </c>
      <c r="L36" s="17" t="str">
        <f>"91,9485"</f>
        <v>91,9485</v>
      </c>
      <c r="M36" s="16" t="s">
        <v>557</v>
      </c>
    </row>
    <row r="37" spans="1:13">
      <c r="A37" s="19" t="s">
        <v>28</v>
      </c>
      <c r="B37" s="18" t="s">
        <v>305</v>
      </c>
      <c r="C37" s="18" t="s">
        <v>306</v>
      </c>
      <c r="D37" s="18" t="s">
        <v>307</v>
      </c>
      <c r="E37" s="18" t="s">
        <v>560</v>
      </c>
      <c r="F37" s="18" t="s">
        <v>14</v>
      </c>
      <c r="G37" s="24" t="s">
        <v>48</v>
      </c>
      <c r="H37" s="27" t="s">
        <v>91</v>
      </c>
      <c r="I37" s="27" t="s">
        <v>91</v>
      </c>
      <c r="J37" s="19"/>
      <c r="K37" s="19" t="str">
        <f>"160,0"</f>
        <v>160,0</v>
      </c>
      <c r="L37" s="19" t="str">
        <f>"107,3440"</f>
        <v>107,3440</v>
      </c>
      <c r="M37" s="18" t="s">
        <v>85</v>
      </c>
    </row>
    <row r="38" spans="1:13">
      <c r="A38" s="19" t="s">
        <v>138</v>
      </c>
      <c r="B38" s="18" t="s">
        <v>308</v>
      </c>
      <c r="C38" s="18" t="s">
        <v>309</v>
      </c>
      <c r="D38" s="18" t="s">
        <v>310</v>
      </c>
      <c r="E38" s="18" t="s">
        <v>560</v>
      </c>
      <c r="F38" s="18" t="s">
        <v>311</v>
      </c>
      <c r="G38" s="24" t="s">
        <v>61</v>
      </c>
      <c r="H38" s="24" t="s">
        <v>62</v>
      </c>
      <c r="I38" s="27" t="s">
        <v>98</v>
      </c>
      <c r="J38" s="19"/>
      <c r="K38" s="19" t="str">
        <f>"145,0"</f>
        <v>145,0</v>
      </c>
      <c r="L38" s="19" t="str">
        <f>"98,1505"</f>
        <v>98,1505</v>
      </c>
      <c r="M38" s="18" t="s">
        <v>557</v>
      </c>
    </row>
    <row r="39" spans="1:13">
      <c r="A39" s="19" t="s">
        <v>139</v>
      </c>
      <c r="B39" s="18" t="s">
        <v>302</v>
      </c>
      <c r="C39" s="18" t="s">
        <v>313</v>
      </c>
      <c r="D39" s="18" t="s">
        <v>304</v>
      </c>
      <c r="E39" s="18" t="s">
        <v>560</v>
      </c>
      <c r="F39" s="18" t="s">
        <v>14</v>
      </c>
      <c r="G39" s="24" t="s">
        <v>60</v>
      </c>
      <c r="H39" s="24" t="s">
        <v>128</v>
      </c>
      <c r="I39" s="27" t="s">
        <v>61</v>
      </c>
      <c r="J39" s="19"/>
      <c r="K39" s="19" t="str">
        <f>"135,0"</f>
        <v>135,0</v>
      </c>
      <c r="L39" s="19" t="str">
        <f>"91,9485"</f>
        <v>91,9485</v>
      </c>
      <c r="M39" s="18" t="s">
        <v>557</v>
      </c>
    </row>
    <row r="40" spans="1:13">
      <c r="A40" s="21" t="s">
        <v>28</v>
      </c>
      <c r="B40" s="20" t="s">
        <v>314</v>
      </c>
      <c r="C40" s="20" t="s">
        <v>315</v>
      </c>
      <c r="D40" s="20" t="s">
        <v>316</v>
      </c>
      <c r="E40" s="20" t="s">
        <v>563</v>
      </c>
      <c r="F40" s="20" t="s">
        <v>14</v>
      </c>
      <c r="G40" s="25" t="s">
        <v>40</v>
      </c>
      <c r="H40" s="26" t="s">
        <v>41</v>
      </c>
      <c r="I40" s="26" t="s">
        <v>41</v>
      </c>
      <c r="J40" s="21"/>
      <c r="K40" s="21" t="str">
        <f>"120,0"</f>
        <v>120,0</v>
      </c>
      <c r="L40" s="21" t="str">
        <f>"81,3480"</f>
        <v>81,3480</v>
      </c>
      <c r="M40" s="20" t="s">
        <v>557</v>
      </c>
    </row>
    <row r="41" spans="1:13">
      <c r="B41" s="5" t="s">
        <v>29</v>
      </c>
    </row>
    <row r="42" spans="1:13" ht="16">
      <c r="A42" s="85" t="s">
        <v>64</v>
      </c>
      <c r="B42" s="85"/>
      <c r="C42" s="85"/>
      <c r="D42" s="85"/>
      <c r="E42" s="85"/>
      <c r="F42" s="85"/>
      <c r="G42" s="85"/>
      <c r="H42" s="85"/>
      <c r="I42" s="85"/>
      <c r="J42" s="85"/>
    </row>
    <row r="43" spans="1:13">
      <c r="A43" s="17" t="s">
        <v>28</v>
      </c>
      <c r="B43" s="16" t="s">
        <v>210</v>
      </c>
      <c r="C43" s="16" t="s">
        <v>211</v>
      </c>
      <c r="D43" s="16" t="s">
        <v>212</v>
      </c>
      <c r="E43" s="16" t="s">
        <v>561</v>
      </c>
      <c r="F43" s="28" t="s">
        <v>213</v>
      </c>
      <c r="G43" s="32" t="s">
        <v>186</v>
      </c>
      <c r="H43" s="22" t="s">
        <v>187</v>
      </c>
      <c r="I43" s="40" t="s">
        <v>188</v>
      </c>
      <c r="J43" s="35"/>
      <c r="K43" s="17" t="str">
        <f>"117,5"</f>
        <v>117,5</v>
      </c>
      <c r="L43" s="17" t="str">
        <f>"75,5760"</f>
        <v>75,5760</v>
      </c>
      <c r="M43" s="16" t="s">
        <v>154</v>
      </c>
    </row>
    <row r="44" spans="1:13">
      <c r="A44" s="19" t="s">
        <v>28</v>
      </c>
      <c r="B44" s="18" t="s">
        <v>317</v>
      </c>
      <c r="C44" s="18" t="s">
        <v>318</v>
      </c>
      <c r="D44" s="18" t="s">
        <v>319</v>
      </c>
      <c r="E44" s="18" t="s">
        <v>560</v>
      </c>
      <c r="F44" s="57" t="s">
        <v>104</v>
      </c>
      <c r="G44" s="59" t="s">
        <v>51</v>
      </c>
      <c r="H44" s="24" t="s">
        <v>114</v>
      </c>
      <c r="I44" s="61" t="s">
        <v>320</v>
      </c>
      <c r="J44" s="58"/>
      <c r="K44" s="19" t="str">
        <f>"180,0"</f>
        <v>180,0</v>
      </c>
      <c r="L44" s="19" t="str">
        <f>"115,3080"</f>
        <v>115,3080</v>
      </c>
      <c r="M44" s="18" t="s">
        <v>321</v>
      </c>
    </row>
    <row r="45" spans="1:13">
      <c r="A45" s="19" t="s">
        <v>138</v>
      </c>
      <c r="B45" s="18" t="s">
        <v>322</v>
      </c>
      <c r="C45" s="18" t="s">
        <v>323</v>
      </c>
      <c r="D45" s="18" t="s">
        <v>212</v>
      </c>
      <c r="E45" s="18" t="s">
        <v>560</v>
      </c>
      <c r="F45" s="57" t="s">
        <v>56</v>
      </c>
      <c r="G45" s="59" t="s">
        <v>134</v>
      </c>
      <c r="H45" s="24" t="s">
        <v>71</v>
      </c>
      <c r="I45" s="60" t="s">
        <v>72</v>
      </c>
      <c r="J45" s="58"/>
      <c r="K45" s="19" t="str">
        <f>"155,0"</f>
        <v>155,0</v>
      </c>
      <c r="L45" s="19" t="str">
        <f>"99,6960"</f>
        <v>99,6960</v>
      </c>
      <c r="M45" s="18" t="s">
        <v>165</v>
      </c>
    </row>
    <row r="46" spans="1:13">
      <c r="A46" s="19" t="s">
        <v>139</v>
      </c>
      <c r="B46" s="18" t="s">
        <v>324</v>
      </c>
      <c r="C46" s="18" t="s">
        <v>325</v>
      </c>
      <c r="D46" s="18" t="s">
        <v>103</v>
      </c>
      <c r="E46" s="18" t="s">
        <v>560</v>
      </c>
      <c r="F46" s="57" t="s">
        <v>326</v>
      </c>
      <c r="G46" s="59" t="s">
        <v>62</v>
      </c>
      <c r="H46" s="24" t="s">
        <v>71</v>
      </c>
      <c r="I46" s="61" t="s">
        <v>327</v>
      </c>
      <c r="J46" s="58"/>
      <c r="K46" s="19" t="str">
        <f>"152,5"</f>
        <v>152,5</v>
      </c>
      <c r="L46" s="19" t="str">
        <f>"98,2100"</f>
        <v>98,2100</v>
      </c>
      <c r="M46" s="18" t="s">
        <v>557</v>
      </c>
    </row>
    <row r="47" spans="1:13">
      <c r="A47" s="19" t="s">
        <v>255</v>
      </c>
      <c r="B47" s="18" t="s">
        <v>328</v>
      </c>
      <c r="C47" s="18" t="s">
        <v>329</v>
      </c>
      <c r="D47" s="18" t="s">
        <v>225</v>
      </c>
      <c r="E47" s="18" t="s">
        <v>560</v>
      </c>
      <c r="F47" s="57" t="s">
        <v>330</v>
      </c>
      <c r="G47" s="59" t="s">
        <v>61</v>
      </c>
      <c r="H47" s="27" t="s">
        <v>71</v>
      </c>
      <c r="I47" s="60" t="s">
        <v>71</v>
      </c>
      <c r="J47" s="58"/>
      <c r="K47" s="19" t="str">
        <f>"152,5"</f>
        <v>152,5</v>
      </c>
      <c r="L47" s="19" t="str">
        <f>"97,3560"</f>
        <v>97,3560</v>
      </c>
      <c r="M47" s="18" t="s">
        <v>557</v>
      </c>
    </row>
    <row r="48" spans="1:13">
      <c r="A48" s="19" t="s">
        <v>364</v>
      </c>
      <c r="B48" s="18" t="s">
        <v>210</v>
      </c>
      <c r="C48" s="18" t="s">
        <v>222</v>
      </c>
      <c r="D48" s="18" t="s">
        <v>212</v>
      </c>
      <c r="E48" s="18" t="s">
        <v>560</v>
      </c>
      <c r="F48" s="57" t="s">
        <v>213</v>
      </c>
      <c r="G48" s="59" t="s">
        <v>186</v>
      </c>
      <c r="H48" s="24" t="s">
        <v>187</v>
      </c>
      <c r="I48" s="61" t="s">
        <v>188</v>
      </c>
      <c r="J48" s="58"/>
      <c r="K48" s="19" t="str">
        <f>"117,5"</f>
        <v>117,5</v>
      </c>
      <c r="L48" s="19" t="str">
        <f>"75,5760"</f>
        <v>75,5760</v>
      </c>
      <c r="M48" s="18" t="s">
        <v>154</v>
      </c>
    </row>
    <row r="49" spans="1:13">
      <c r="A49" s="21" t="s">
        <v>28</v>
      </c>
      <c r="B49" s="20" t="s">
        <v>331</v>
      </c>
      <c r="C49" s="20" t="s">
        <v>332</v>
      </c>
      <c r="D49" s="20" t="s">
        <v>333</v>
      </c>
      <c r="E49" s="20" t="s">
        <v>565</v>
      </c>
      <c r="F49" s="29" t="s">
        <v>334</v>
      </c>
      <c r="G49" s="36" t="s">
        <v>48</v>
      </c>
      <c r="H49" s="25" t="s">
        <v>335</v>
      </c>
      <c r="I49" s="45" t="s">
        <v>84</v>
      </c>
      <c r="J49" s="39"/>
      <c r="K49" s="21" t="str">
        <f>"175,0"</f>
        <v>175,0</v>
      </c>
      <c r="L49" s="21" t="str">
        <f>"152,4049"</f>
        <v>152,4049</v>
      </c>
      <c r="M49" s="20" t="s">
        <v>557</v>
      </c>
    </row>
    <row r="50" spans="1:13">
      <c r="B50" s="5" t="s">
        <v>29</v>
      </c>
    </row>
    <row r="51" spans="1:13" ht="16">
      <c r="A51" s="85" t="s">
        <v>109</v>
      </c>
      <c r="B51" s="85"/>
      <c r="C51" s="85"/>
      <c r="D51" s="85"/>
      <c r="E51" s="85"/>
      <c r="F51" s="85"/>
      <c r="G51" s="85"/>
      <c r="H51" s="85"/>
      <c r="I51" s="85"/>
      <c r="J51" s="85"/>
    </row>
    <row r="52" spans="1:13">
      <c r="A52" s="17" t="s">
        <v>28</v>
      </c>
      <c r="B52" s="16" t="s">
        <v>336</v>
      </c>
      <c r="C52" s="16" t="s">
        <v>337</v>
      </c>
      <c r="D52" s="16" t="s">
        <v>338</v>
      </c>
      <c r="E52" s="16" t="s">
        <v>560</v>
      </c>
      <c r="F52" s="16" t="s">
        <v>56</v>
      </c>
      <c r="G52" s="22" t="s">
        <v>35</v>
      </c>
      <c r="H52" s="23" t="s">
        <v>60</v>
      </c>
      <c r="I52" s="23" t="s">
        <v>36</v>
      </c>
      <c r="J52" s="17"/>
      <c r="K52" s="17" t="str">
        <f>"125,0"</f>
        <v>125,0</v>
      </c>
      <c r="L52" s="17" t="str">
        <f>"76,8750"</f>
        <v>76,8750</v>
      </c>
      <c r="M52" s="16" t="s">
        <v>165</v>
      </c>
    </row>
    <row r="53" spans="1:13">
      <c r="A53" s="21" t="s">
        <v>28</v>
      </c>
      <c r="B53" s="20" t="s">
        <v>339</v>
      </c>
      <c r="C53" s="20" t="s">
        <v>340</v>
      </c>
      <c r="D53" s="20" t="s">
        <v>341</v>
      </c>
      <c r="E53" s="20" t="s">
        <v>563</v>
      </c>
      <c r="F53" s="20" t="s">
        <v>342</v>
      </c>
      <c r="G53" s="25" t="s">
        <v>48</v>
      </c>
      <c r="H53" s="25" t="s">
        <v>107</v>
      </c>
      <c r="I53" s="26" t="s">
        <v>84</v>
      </c>
      <c r="J53" s="21"/>
      <c r="K53" s="21" t="str">
        <f>"167,5"</f>
        <v>167,5</v>
      </c>
      <c r="L53" s="21" t="str">
        <f>"108,3936"</f>
        <v>108,3936</v>
      </c>
      <c r="M53" s="20" t="s">
        <v>557</v>
      </c>
    </row>
    <row r="54" spans="1:13">
      <c r="B54" s="5" t="s">
        <v>29</v>
      </c>
    </row>
    <row r="55" spans="1:13" ht="16">
      <c r="A55" s="85" t="s">
        <v>10</v>
      </c>
      <c r="B55" s="85"/>
      <c r="C55" s="85"/>
      <c r="D55" s="85"/>
      <c r="E55" s="85"/>
      <c r="F55" s="85"/>
      <c r="G55" s="85"/>
      <c r="H55" s="85"/>
      <c r="I55" s="85"/>
      <c r="J55" s="85"/>
    </row>
    <row r="56" spans="1:13">
      <c r="A56" s="17" t="s">
        <v>28</v>
      </c>
      <c r="B56" s="16" t="s">
        <v>343</v>
      </c>
      <c r="C56" s="16" t="s">
        <v>344</v>
      </c>
      <c r="D56" s="16" t="s">
        <v>345</v>
      </c>
      <c r="E56" s="16" t="s">
        <v>561</v>
      </c>
      <c r="F56" s="16" t="s">
        <v>326</v>
      </c>
      <c r="G56" s="23" t="s">
        <v>236</v>
      </c>
      <c r="H56" s="22" t="s">
        <v>236</v>
      </c>
      <c r="I56" s="22" t="s">
        <v>107</v>
      </c>
      <c r="J56" s="17"/>
      <c r="K56" s="17" t="str">
        <f>"167,5"</f>
        <v>167,5</v>
      </c>
      <c r="L56" s="17" t="str">
        <f>"99,8300"</f>
        <v>99,8300</v>
      </c>
      <c r="M56" s="16" t="s">
        <v>557</v>
      </c>
    </row>
    <row r="57" spans="1:13">
      <c r="A57" s="19" t="s">
        <v>28</v>
      </c>
      <c r="B57" s="18" t="s">
        <v>346</v>
      </c>
      <c r="C57" s="18" t="s">
        <v>347</v>
      </c>
      <c r="D57" s="18" t="s">
        <v>258</v>
      </c>
      <c r="E57" s="18" t="s">
        <v>560</v>
      </c>
      <c r="F57" s="18" t="s">
        <v>56</v>
      </c>
      <c r="G57" s="24" t="s">
        <v>48</v>
      </c>
      <c r="H57" s="24" t="s">
        <v>107</v>
      </c>
      <c r="I57" s="24" t="s">
        <v>51</v>
      </c>
      <c r="J57" s="19"/>
      <c r="K57" s="19" t="str">
        <f>"170,0"</f>
        <v>170,0</v>
      </c>
      <c r="L57" s="19" t="str">
        <f>"100,0960"</f>
        <v>100,0960</v>
      </c>
      <c r="M57" s="18" t="s">
        <v>165</v>
      </c>
    </row>
    <row r="58" spans="1:13">
      <c r="A58" s="19" t="s">
        <v>138</v>
      </c>
      <c r="B58" s="18" t="s">
        <v>348</v>
      </c>
      <c r="C58" s="18" t="s">
        <v>349</v>
      </c>
      <c r="D58" s="18" t="s">
        <v>240</v>
      </c>
      <c r="E58" s="18" t="s">
        <v>560</v>
      </c>
      <c r="F58" s="18" t="s">
        <v>350</v>
      </c>
      <c r="G58" s="24" t="s">
        <v>71</v>
      </c>
      <c r="H58" s="24" t="s">
        <v>48</v>
      </c>
      <c r="I58" s="27" t="s">
        <v>107</v>
      </c>
      <c r="J58" s="19"/>
      <c r="K58" s="19" t="str">
        <f>"160,0"</f>
        <v>160,0</v>
      </c>
      <c r="L58" s="19" t="str">
        <f>"95,1680"</f>
        <v>95,1680</v>
      </c>
      <c r="M58" s="18" t="s">
        <v>557</v>
      </c>
    </row>
    <row r="59" spans="1:13">
      <c r="A59" s="21" t="s">
        <v>28</v>
      </c>
      <c r="B59" s="20" t="s">
        <v>351</v>
      </c>
      <c r="C59" s="20" t="s">
        <v>352</v>
      </c>
      <c r="D59" s="20" t="s">
        <v>131</v>
      </c>
      <c r="E59" s="20" t="s">
        <v>563</v>
      </c>
      <c r="F59" s="20" t="s">
        <v>353</v>
      </c>
      <c r="G59" s="25" t="s">
        <v>47</v>
      </c>
      <c r="H59" s="26" t="s">
        <v>48</v>
      </c>
      <c r="I59" s="26" t="s">
        <v>48</v>
      </c>
      <c r="J59" s="21"/>
      <c r="K59" s="21" t="str">
        <f>"150,0"</f>
        <v>150,0</v>
      </c>
      <c r="L59" s="21" t="str">
        <f>"97,1440"</f>
        <v>97,1440</v>
      </c>
      <c r="M59" s="20" t="s">
        <v>354</v>
      </c>
    </row>
    <row r="60" spans="1:13">
      <c r="B60" s="5" t="s">
        <v>29</v>
      </c>
    </row>
    <row r="61" spans="1:13" ht="16">
      <c r="A61" s="85" t="s">
        <v>273</v>
      </c>
      <c r="B61" s="85"/>
      <c r="C61" s="85"/>
      <c r="D61" s="85"/>
      <c r="E61" s="85"/>
      <c r="F61" s="85"/>
      <c r="G61" s="85"/>
      <c r="H61" s="85"/>
      <c r="I61" s="85"/>
      <c r="J61" s="85"/>
    </row>
    <row r="62" spans="1:13">
      <c r="A62" s="17" t="s">
        <v>28</v>
      </c>
      <c r="B62" s="16" t="s">
        <v>279</v>
      </c>
      <c r="C62" s="16" t="s">
        <v>280</v>
      </c>
      <c r="D62" s="16" t="s">
        <v>281</v>
      </c>
      <c r="E62" s="16" t="s">
        <v>560</v>
      </c>
      <c r="F62" s="16" t="s">
        <v>14</v>
      </c>
      <c r="G62" s="22" t="s">
        <v>69</v>
      </c>
      <c r="H62" s="23" t="s">
        <v>121</v>
      </c>
      <c r="I62" s="23" t="s">
        <v>121</v>
      </c>
      <c r="J62" s="17"/>
      <c r="K62" s="17" t="str">
        <f>"215,0"</f>
        <v>215,0</v>
      </c>
      <c r="L62" s="17" t="str">
        <f>"125,3020"</f>
        <v>125,3020</v>
      </c>
      <c r="M62" s="16" t="s">
        <v>557</v>
      </c>
    </row>
    <row r="63" spans="1:13">
      <c r="A63" s="19" t="s">
        <v>138</v>
      </c>
      <c r="B63" s="18" t="s">
        <v>355</v>
      </c>
      <c r="C63" s="18" t="s">
        <v>356</v>
      </c>
      <c r="D63" s="18" t="s">
        <v>357</v>
      </c>
      <c r="E63" s="18" t="s">
        <v>560</v>
      </c>
      <c r="F63" s="18" t="s">
        <v>234</v>
      </c>
      <c r="G63" s="24" t="s">
        <v>205</v>
      </c>
      <c r="H63" s="27" t="s">
        <v>122</v>
      </c>
      <c r="I63" s="24" t="s">
        <v>122</v>
      </c>
      <c r="J63" s="19"/>
      <c r="K63" s="19" t="str">
        <f>"192,5"</f>
        <v>192,5</v>
      </c>
      <c r="L63" s="19" t="str">
        <f>"109,9753"</f>
        <v>109,9753</v>
      </c>
      <c r="M63" s="18" t="s">
        <v>297</v>
      </c>
    </row>
    <row r="64" spans="1:13">
      <c r="A64" s="21" t="s">
        <v>139</v>
      </c>
      <c r="B64" s="20" t="s">
        <v>358</v>
      </c>
      <c r="C64" s="20" t="s">
        <v>359</v>
      </c>
      <c r="D64" s="20" t="s">
        <v>360</v>
      </c>
      <c r="E64" s="20" t="s">
        <v>560</v>
      </c>
      <c r="F64" s="20" t="s">
        <v>56</v>
      </c>
      <c r="G64" s="25" t="s">
        <v>107</v>
      </c>
      <c r="H64" s="26" t="s">
        <v>335</v>
      </c>
      <c r="I64" s="26" t="s">
        <v>335</v>
      </c>
      <c r="J64" s="21"/>
      <c r="K64" s="21" t="str">
        <f>"167,5"</f>
        <v>167,5</v>
      </c>
      <c r="L64" s="21" t="str">
        <f>"95,9775"</f>
        <v>95,9775</v>
      </c>
      <c r="M64" s="20" t="s">
        <v>557</v>
      </c>
    </row>
    <row r="65" spans="2:6">
      <c r="B65" s="5" t="s">
        <v>29</v>
      </c>
    </row>
    <row r="67" spans="2:6">
      <c r="B67" s="5" t="s">
        <v>29</v>
      </c>
    </row>
    <row r="68" spans="2:6" ht="18">
      <c r="B68" s="9" t="s">
        <v>20</v>
      </c>
      <c r="C68" s="9"/>
    </row>
    <row r="69" spans="2:6" ht="16">
      <c r="B69" s="10" t="s">
        <v>21</v>
      </c>
      <c r="C69" s="10"/>
    </row>
    <row r="70" spans="2:6" ht="14">
      <c r="B70" s="11"/>
      <c r="C70" s="12" t="s">
        <v>22</v>
      </c>
    </row>
    <row r="71" spans="2:6" ht="14">
      <c r="B71" s="13" t="s">
        <v>23</v>
      </c>
      <c r="C71" s="13" t="s">
        <v>24</v>
      </c>
      <c r="D71" s="13" t="s">
        <v>545</v>
      </c>
      <c r="E71" s="13" t="s">
        <v>260</v>
      </c>
      <c r="F71" s="13" t="s">
        <v>26</v>
      </c>
    </row>
    <row r="72" spans="2:6">
      <c r="B72" s="5" t="s">
        <v>279</v>
      </c>
      <c r="C72" s="5" t="s">
        <v>22</v>
      </c>
      <c r="D72" s="6" t="s">
        <v>282</v>
      </c>
      <c r="E72" s="6" t="s">
        <v>69</v>
      </c>
      <c r="F72" s="6" t="s">
        <v>283</v>
      </c>
    </row>
    <row r="73" spans="2:6">
      <c r="B73" s="5" t="s">
        <v>317</v>
      </c>
      <c r="C73" s="5" t="s">
        <v>22</v>
      </c>
      <c r="D73" s="6" t="s">
        <v>77</v>
      </c>
      <c r="E73" s="6" t="s">
        <v>114</v>
      </c>
      <c r="F73" s="6" t="s">
        <v>361</v>
      </c>
    </row>
    <row r="74" spans="2:6">
      <c r="B74" s="5" t="s">
        <v>355</v>
      </c>
      <c r="C74" s="5" t="s">
        <v>22</v>
      </c>
      <c r="D74" s="6" t="s">
        <v>282</v>
      </c>
      <c r="E74" s="6" t="s">
        <v>122</v>
      </c>
      <c r="F74" s="6" t="s">
        <v>362</v>
      </c>
    </row>
    <row r="75" spans="2:6">
      <c r="B75" s="5" t="s">
        <v>29</v>
      </c>
    </row>
  </sheetData>
  <mergeCells count="24">
    <mergeCell ref="A5:J5"/>
    <mergeCell ref="B3:B4"/>
    <mergeCell ref="A61:J61"/>
    <mergeCell ref="A8:J8"/>
    <mergeCell ref="A12:J12"/>
    <mergeCell ref="A15:J15"/>
    <mergeCell ref="A19:J19"/>
    <mergeCell ref="A22:J22"/>
    <mergeCell ref="A25:J25"/>
    <mergeCell ref="A29:J29"/>
    <mergeCell ref="A35:J35"/>
    <mergeCell ref="A42:J42"/>
    <mergeCell ref="A51:J51"/>
    <mergeCell ref="A55:J55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64" t="s">
        <v>535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64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7" t="s">
        <v>28</v>
      </c>
      <c r="B6" s="16" t="s">
        <v>214</v>
      </c>
      <c r="C6" s="16" t="s">
        <v>215</v>
      </c>
      <c r="D6" s="16" t="s">
        <v>216</v>
      </c>
      <c r="E6" s="16" t="s">
        <v>560</v>
      </c>
      <c r="F6" s="16" t="s">
        <v>56</v>
      </c>
      <c r="G6" s="32" t="s">
        <v>61</v>
      </c>
      <c r="H6" s="32" t="s">
        <v>62</v>
      </c>
      <c r="I6" s="22" t="s">
        <v>47</v>
      </c>
      <c r="J6" s="17"/>
      <c r="K6" s="17" t="str">
        <f>"150,0"</f>
        <v>150,0</v>
      </c>
      <c r="L6" s="17" t="str">
        <f>"98,6850"</f>
        <v>98,6850</v>
      </c>
      <c r="M6" s="16" t="s">
        <v>557</v>
      </c>
    </row>
    <row r="7" spans="1:13">
      <c r="A7" s="21" t="s">
        <v>138</v>
      </c>
      <c r="B7" s="20" t="s">
        <v>262</v>
      </c>
      <c r="C7" s="20" t="s">
        <v>263</v>
      </c>
      <c r="D7" s="20" t="s">
        <v>264</v>
      </c>
      <c r="E7" s="20" t="s">
        <v>560</v>
      </c>
      <c r="F7" s="20" t="s">
        <v>96</v>
      </c>
      <c r="G7" s="26" t="s">
        <v>62</v>
      </c>
      <c r="H7" s="26" t="s">
        <v>47</v>
      </c>
      <c r="I7" s="25" t="s">
        <v>47</v>
      </c>
      <c r="J7" s="21"/>
      <c r="K7" s="21" t="str">
        <f>"150,0"</f>
        <v>150,0</v>
      </c>
      <c r="L7" s="21" t="str">
        <f>"96,1950"</f>
        <v>96,1950</v>
      </c>
      <c r="M7" s="20" t="s">
        <v>557</v>
      </c>
    </row>
    <row r="8" spans="1:13">
      <c r="B8" s="5" t="s">
        <v>29</v>
      </c>
    </row>
    <row r="9" spans="1:13" ht="16">
      <c r="A9" s="85" t="s">
        <v>109</v>
      </c>
      <c r="B9" s="85"/>
      <c r="C9" s="85"/>
      <c r="D9" s="85"/>
      <c r="E9" s="85"/>
      <c r="F9" s="85"/>
      <c r="G9" s="85"/>
      <c r="H9" s="85"/>
      <c r="I9" s="85"/>
      <c r="J9" s="85"/>
    </row>
    <row r="10" spans="1:13">
      <c r="A10" s="17" t="s">
        <v>28</v>
      </c>
      <c r="B10" s="16" t="s">
        <v>117</v>
      </c>
      <c r="C10" s="16" t="s">
        <v>118</v>
      </c>
      <c r="D10" s="16" t="s">
        <v>119</v>
      </c>
      <c r="E10" s="16" t="s">
        <v>560</v>
      </c>
      <c r="F10" s="28" t="s">
        <v>120</v>
      </c>
      <c r="G10" s="32" t="s">
        <v>114</v>
      </c>
      <c r="H10" s="22" t="s">
        <v>122</v>
      </c>
      <c r="I10" s="43" t="s">
        <v>123</v>
      </c>
      <c r="J10" s="35"/>
      <c r="K10" s="17" t="str">
        <f>"202,5"</f>
        <v>202,5</v>
      </c>
      <c r="L10" s="17" t="str">
        <f>"123,5452"</f>
        <v>123,5452</v>
      </c>
      <c r="M10" s="16" t="s">
        <v>557</v>
      </c>
    </row>
    <row r="11" spans="1:13">
      <c r="A11" s="19" t="s">
        <v>138</v>
      </c>
      <c r="B11" s="18" t="s">
        <v>110</v>
      </c>
      <c r="C11" s="18" t="s">
        <v>111</v>
      </c>
      <c r="D11" s="18" t="s">
        <v>112</v>
      </c>
      <c r="E11" s="18" t="s">
        <v>560</v>
      </c>
      <c r="F11" s="57" t="s">
        <v>104</v>
      </c>
      <c r="G11" s="59" t="s">
        <v>51</v>
      </c>
      <c r="H11" s="24" t="s">
        <v>114</v>
      </c>
      <c r="I11" s="60" t="s">
        <v>99</v>
      </c>
      <c r="J11" s="58"/>
      <c r="K11" s="19" t="str">
        <f>"190,0"</f>
        <v>190,0</v>
      </c>
      <c r="L11" s="19" t="str">
        <f>"117,5340"</f>
        <v>117,5340</v>
      </c>
      <c r="M11" s="18" t="s">
        <v>557</v>
      </c>
    </row>
    <row r="12" spans="1:13">
      <c r="A12" s="19" t="s">
        <v>139</v>
      </c>
      <c r="B12" s="18" t="s">
        <v>265</v>
      </c>
      <c r="C12" s="18" t="s">
        <v>183</v>
      </c>
      <c r="D12" s="18" t="s">
        <v>266</v>
      </c>
      <c r="E12" s="18" t="s">
        <v>560</v>
      </c>
      <c r="F12" s="57" t="s">
        <v>267</v>
      </c>
      <c r="G12" s="59" t="s">
        <v>84</v>
      </c>
      <c r="H12" s="24" t="s">
        <v>205</v>
      </c>
      <c r="I12" s="61" t="s">
        <v>268</v>
      </c>
      <c r="J12" s="58"/>
      <c r="K12" s="19" t="str">
        <f>"185,0"</f>
        <v>185,0</v>
      </c>
      <c r="L12" s="19" t="str">
        <f>"113,6270"</f>
        <v>113,6270</v>
      </c>
      <c r="M12" s="18" t="s">
        <v>269</v>
      </c>
    </row>
    <row r="13" spans="1:13">
      <c r="A13" s="21" t="s">
        <v>254</v>
      </c>
      <c r="B13" s="20" t="s">
        <v>270</v>
      </c>
      <c r="C13" s="20" t="s">
        <v>271</v>
      </c>
      <c r="D13" s="20" t="s">
        <v>272</v>
      </c>
      <c r="E13" s="20" t="s">
        <v>560</v>
      </c>
      <c r="F13" s="29" t="s">
        <v>14</v>
      </c>
      <c r="G13" s="47" t="s">
        <v>72</v>
      </c>
      <c r="H13" s="26" t="s">
        <v>72</v>
      </c>
      <c r="I13" s="41" t="s">
        <v>72</v>
      </c>
      <c r="J13" s="39"/>
      <c r="K13" s="55">
        <v>0</v>
      </c>
      <c r="L13" s="21" t="str">
        <f>"0,0000"</f>
        <v>0,0000</v>
      </c>
      <c r="M13" s="20" t="s">
        <v>557</v>
      </c>
    </row>
    <row r="14" spans="1:13">
      <c r="B14" s="5" t="s">
        <v>29</v>
      </c>
    </row>
    <row r="15" spans="1:13" ht="16">
      <c r="A15" s="85" t="s">
        <v>10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3">
      <c r="A16" s="8" t="s">
        <v>28</v>
      </c>
      <c r="B16" s="7" t="s">
        <v>11</v>
      </c>
      <c r="C16" s="7" t="s">
        <v>12</v>
      </c>
      <c r="D16" s="7" t="s">
        <v>13</v>
      </c>
      <c r="E16" s="7" t="s">
        <v>560</v>
      </c>
      <c r="F16" s="7" t="s">
        <v>14</v>
      </c>
      <c r="G16" s="15" t="s">
        <v>16</v>
      </c>
      <c r="H16" s="15" t="s">
        <v>17</v>
      </c>
      <c r="I16" s="14" t="s">
        <v>18</v>
      </c>
      <c r="J16" s="8"/>
      <c r="K16" s="8" t="str">
        <f>"205,0"</f>
        <v>205,0</v>
      </c>
      <c r="L16" s="8" t="str">
        <f>"123,1230"</f>
        <v>123,1230</v>
      </c>
      <c r="M16" s="7" t="s">
        <v>557</v>
      </c>
    </row>
    <row r="17" spans="1:13">
      <c r="B17" s="5" t="s">
        <v>29</v>
      </c>
    </row>
    <row r="18" spans="1:13" ht="16">
      <c r="A18" s="85" t="s">
        <v>273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3">
      <c r="A19" s="17" t="s">
        <v>28</v>
      </c>
      <c r="B19" s="16" t="s">
        <v>274</v>
      </c>
      <c r="C19" s="16" t="s">
        <v>275</v>
      </c>
      <c r="D19" s="16" t="s">
        <v>276</v>
      </c>
      <c r="E19" s="16" t="s">
        <v>560</v>
      </c>
      <c r="F19" s="16" t="s">
        <v>277</v>
      </c>
      <c r="G19" s="22" t="s">
        <v>121</v>
      </c>
      <c r="H19" s="23" t="s">
        <v>58</v>
      </c>
      <c r="I19" s="23" t="s">
        <v>58</v>
      </c>
      <c r="J19" s="17"/>
      <c r="K19" s="17" t="str">
        <f>"225,0"</f>
        <v>225,0</v>
      </c>
      <c r="L19" s="17" t="str">
        <f>"128,9025"</f>
        <v>128,9025</v>
      </c>
      <c r="M19" s="16" t="s">
        <v>278</v>
      </c>
    </row>
    <row r="20" spans="1:13">
      <c r="A20" s="21" t="s">
        <v>138</v>
      </c>
      <c r="B20" s="20" t="s">
        <v>279</v>
      </c>
      <c r="C20" s="20" t="s">
        <v>280</v>
      </c>
      <c r="D20" s="20" t="s">
        <v>281</v>
      </c>
      <c r="E20" s="20" t="s">
        <v>560</v>
      </c>
      <c r="F20" s="20" t="s">
        <v>14</v>
      </c>
      <c r="G20" s="25" t="s">
        <v>69</v>
      </c>
      <c r="H20" s="26" t="s">
        <v>121</v>
      </c>
      <c r="I20" s="26" t="s">
        <v>121</v>
      </c>
      <c r="J20" s="21"/>
      <c r="K20" s="21" t="str">
        <f>"215,0"</f>
        <v>215,0</v>
      </c>
      <c r="L20" s="21" t="str">
        <f>"125,3020"</f>
        <v>125,3020</v>
      </c>
      <c r="M20" s="20" t="s">
        <v>557</v>
      </c>
    </row>
    <row r="21" spans="1:13">
      <c r="B21" s="5" t="s">
        <v>29</v>
      </c>
    </row>
    <row r="22" spans="1:13">
      <c r="B22" s="5" t="s">
        <v>29</v>
      </c>
    </row>
  </sheetData>
  <mergeCells count="15">
    <mergeCell ref="A9:J9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83203125" style="5" customWidth="1"/>
    <col min="14" max="16384" width="9.1640625" style="3"/>
  </cols>
  <sheetData>
    <row r="1" spans="1:13" s="2" customFormat="1" ht="29" customHeight="1">
      <c r="A1" s="64" t="s">
        <v>536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556</v>
      </c>
      <c r="B3" s="83" t="s">
        <v>0</v>
      </c>
      <c r="C3" s="74" t="s">
        <v>558</v>
      </c>
      <c r="D3" s="74" t="s">
        <v>6</v>
      </c>
      <c r="E3" s="76" t="s">
        <v>559</v>
      </c>
      <c r="F3" s="76" t="s">
        <v>5</v>
      </c>
      <c r="G3" s="76" t="s">
        <v>8</v>
      </c>
      <c r="H3" s="76"/>
      <c r="I3" s="76"/>
      <c r="J3" s="76"/>
      <c r="K3" s="76" t="s">
        <v>261</v>
      </c>
      <c r="L3" s="76" t="s">
        <v>3</v>
      </c>
      <c r="M3" s="79" t="s">
        <v>2</v>
      </c>
    </row>
    <row r="4" spans="1:13" s="1" customFormat="1" ht="21" customHeight="1" thickBot="1">
      <c r="A4" s="73"/>
      <c r="B4" s="84"/>
      <c r="C4" s="75"/>
      <c r="D4" s="75"/>
      <c r="E4" s="75"/>
      <c r="F4" s="75"/>
      <c r="G4" s="4">
        <v>1</v>
      </c>
      <c r="H4" s="4">
        <v>2</v>
      </c>
      <c r="I4" s="4">
        <v>3</v>
      </c>
      <c r="J4" s="4" t="s">
        <v>4</v>
      </c>
      <c r="K4" s="75"/>
      <c r="L4" s="75"/>
      <c r="M4" s="80"/>
    </row>
    <row r="5" spans="1:13" ht="16">
      <c r="A5" s="81" t="s">
        <v>52</v>
      </c>
      <c r="B5" s="81"/>
      <c r="C5" s="82"/>
      <c r="D5" s="82"/>
      <c r="E5" s="82"/>
      <c r="F5" s="82"/>
      <c r="G5" s="82"/>
      <c r="H5" s="82"/>
      <c r="I5" s="82"/>
      <c r="J5" s="82"/>
    </row>
    <row r="6" spans="1:13">
      <c r="A6" s="17" t="s">
        <v>28</v>
      </c>
      <c r="B6" s="16" t="s">
        <v>365</v>
      </c>
      <c r="C6" s="16" t="s">
        <v>366</v>
      </c>
      <c r="D6" s="16" t="s">
        <v>367</v>
      </c>
      <c r="E6" s="16" t="s">
        <v>560</v>
      </c>
      <c r="F6" s="16" t="s">
        <v>104</v>
      </c>
      <c r="G6" s="23" t="s">
        <v>205</v>
      </c>
      <c r="H6" s="23" t="s">
        <v>205</v>
      </c>
      <c r="I6" s="22" t="s">
        <v>205</v>
      </c>
      <c r="J6" s="17"/>
      <c r="K6" s="17" t="str">
        <f>"185,0"</f>
        <v>185,0</v>
      </c>
      <c r="L6" s="17" t="str">
        <f>"127,5020"</f>
        <v>127,5020</v>
      </c>
      <c r="M6" s="16" t="s">
        <v>557</v>
      </c>
    </row>
    <row r="7" spans="1:13">
      <c r="A7" s="21" t="s">
        <v>28</v>
      </c>
      <c r="B7" s="20" t="s">
        <v>365</v>
      </c>
      <c r="C7" s="20" t="s">
        <v>368</v>
      </c>
      <c r="D7" s="20" t="s">
        <v>367</v>
      </c>
      <c r="E7" s="20" t="s">
        <v>563</v>
      </c>
      <c r="F7" s="20" t="s">
        <v>104</v>
      </c>
      <c r="G7" s="26" t="s">
        <v>205</v>
      </c>
      <c r="H7" s="26" t="s">
        <v>205</v>
      </c>
      <c r="I7" s="25" t="s">
        <v>205</v>
      </c>
      <c r="J7" s="21"/>
      <c r="K7" s="21" t="str">
        <f>"185,0"</f>
        <v>185,0</v>
      </c>
      <c r="L7" s="21" t="str">
        <f>"136,1721"</f>
        <v>136,1721</v>
      </c>
      <c r="M7" s="20" t="s">
        <v>557</v>
      </c>
    </row>
    <row r="8" spans="1:13">
      <c r="B8" s="5" t="s">
        <v>29</v>
      </c>
    </row>
    <row r="9" spans="1:13" ht="16">
      <c r="A9" s="85" t="s">
        <v>64</v>
      </c>
      <c r="B9" s="85"/>
      <c r="C9" s="85"/>
      <c r="D9" s="85"/>
      <c r="E9" s="85"/>
      <c r="F9" s="85"/>
      <c r="G9" s="85"/>
      <c r="H9" s="85"/>
      <c r="I9" s="85"/>
      <c r="J9" s="85"/>
    </row>
    <row r="10" spans="1:13">
      <c r="A10" s="8" t="s">
        <v>28</v>
      </c>
      <c r="B10" s="7" t="s">
        <v>369</v>
      </c>
      <c r="C10" s="7" t="s">
        <v>370</v>
      </c>
      <c r="D10" s="7" t="s">
        <v>371</v>
      </c>
      <c r="E10" s="7" t="s">
        <v>560</v>
      </c>
      <c r="F10" s="7" t="s">
        <v>104</v>
      </c>
      <c r="G10" s="14" t="s">
        <v>99</v>
      </c>
      <c r="H10" s="15" t="s">
        <v>99</v>
      </c>
      <c r="I10" s="14" t="s">
        <v>16</v>
      </c>
      <c r="J10" s="8"/>
      <c r="K10" s="8" t="str">
        <f>"190,0"</f>
        <v>190,0</v>
      </c>
      <c r="L10" s="8" t="str">
        <f>"116,7645"</f>
        <v>116,7645</v>
      </c>
      <c r="M10" s="7" t="s">
        <v>557</v>
      </c>
    </row>
    <row r="11" spans="1:13">
      <c r="B11" s="5" t="s">
        <v>29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WRPF Военный жим ДК</vt:lpstr>
      <vt:lpstr>WRPF Военный жим</vt:lpstr>
      <vt:lpstr>WRPF Жим СФО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2022-05-01T17:14:14Z</dcterms:modified>
</cp:coreProperties>
</file>