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Апрель/"/>
    </mc:Choice>
  </mc:AlternateContent>
  <xr:revisionPtr revIDLastSave="0" documentId="13_ncr:1_{7A832218-EC93-C247-B41D-A2E5B7E742E5}" xr6:coauthVersionLast="45" xr6:coauthVersionMax="45" xr10:uidLastSave="{00000000-0000-0000-0000-000000000000}"/>
  <bookViews>
    <workbookView xWindow="0" yWindow="460" windowWidth="28800" windowHeight="15620" tabRatio="949" xr2:uid="{00000000-000D-0000-FFFF-FFFF00000000}"/>
  </bookViews>
  <sheets>
    <sheet name="WRPF ПЛ без экипировки ДК" sheetId="8" r:id="rId1"/>
    <sheet name="WRPF ПЛ без экипировки" sheetId="7" r:id="rId2"/>
    <sheet name="WRPF ПЛ в бинтах ДК" sheetId="6" r:id="rId3"/>
    <sheet name="WRPF ПЛ в бинтах" sheetId="5" r:id="rId4"/>
    <sheet name="WRPF Двоеборье без экип ДК" sheetId="22" r:id="rId5"/>
    <sheet name="WRPF Двоеборье без экип" sheetId="21" r:id="rId6"/>
    <sheet name="WRPF Жим лежа без экип ДК" sheetId="12" r:id="rId7"/>
    <sheet name="WRPF Жим лежа без экип" sheetId="11" r:id="rId8"/>
    <sheet name="WEPF Жим однослой" sheetId="14" r:id="rId9"/>
    <sheet name="WEPF Жим софт однопетельная ДК" sheetId="13" r:id="rId10"/>
    <sheet name="WEPF Жим софт однопетельная" sheetId="9" r:id="rId11"/>
    <sheet name="WEPF Жим софт многопетельнаяДК" sheetId="17" r:id="rId12"/>
    <sheet name="WEPF Жим софт многопетельная" sheetId="16" r:id="rId13"/>
    <sheet name="WRPF Военный жим ДК" sheetId="15" r:id="rId14"/>
    <sheet name="WRPF Военный жим" sheetId="10" r:id="rId15"/>
    <sheet name="WRPF Жим СФО" sheetId="44" r:id="rId16"/>
    <sheet name="WRPF Тяга без экипировки ДК" sheetId="19" r:id="rId17"/>
    <sheet name="WRPF Тяга без экипировки" sheetId="18" r:id="rId18"/>
    <sheet name="WRPF Подъем на бицепс ДК" sheetId="40" r:id="rId19"/>
    <sheet name="WRPF Подъем на бицепс" sheetId="39" r:id="rId20"/>
  </sheets>
  <definedNames>
    <definedName name="_FilterDatabase" localSheetId="3" hidden="1">'WRPF ПЛ в бинтах'!$A$1:$S$3</definedName>
  </definedNames>
  <calcPr calcId="191029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" i="10" l="1"/>
  <c r="K10" i="10"/>
  <c r="L6" i="44"/>
  <c r="K6" i="44"/>
  <c r="L37" i="40"/>
  <c r="K37" i="40"/>
  <c r="L34" i="40"/>
  <c r="K34" i="40"/>
  <c r="L33" i="40"/>
  <c r="K33" i="40"/>
  <c r="L32" i="40"/>
  <c r="K32" i="40"/>
  <c r="L31" i="40"/>
  <c r="K31" i="40"/>
  <c r="L30" i="40"/>
  <c r="K30" i="40"/>
  <c r="L27" i="40"/>
  <c r="K27" i="40"/>
  <c r="L26" i="40"/>
  <c r="K26" i="40"/>
  <c r="L25" i="40"/>
  <c r="K25" i="40"/>
  <c r="L24" i="40"/>
  <c r="K24" i="40"/>
  <c r="L23" i="40"/>
  <c r="K23" i="40"/>
  <c r="L20" i="40"/>
  <c r="K20" i="40"/>
  <c r="L19" i="40"/>
  <c r="K19" i="40"/>
  <c r="L18" i="40"/>
  <c r="K18" i="40"/>
  <c r="L17" i="40"/>
  <c r="K17" i="40"/>
  <c r="L16" i="40"/>
  <c r="K16" i="40"/>
  <c r="L15" i="40"/>
  <c r="K15" i="40"/>
  <c r="L12" i="40"/>
  <c r="K12" i="40"/>
  <c r="L9" i="40"/>
  <c r="K9" i="40"/>
  <c r="L6" i="40"/>
  <c r="K6" i="40"/>
  <c r="L17" i="39"/>
  <c r="K17" i="39"/>
  <c r="L14" i="39"/>
  <c r="K14" i="39"/>
  <c r="L11" i="39"/>
  <c r="K11" i="39"/>
  <c r="L8" i="39"/>
  <c r="K8" i="39"/>
  <c r="L7" i="39"/>
  <c r="K7" i="39"/>
  <c r="L6" i="39"/>
  <c r="K6" i="39"/>
  <c r="P32" i="22"/>
  <c r="P31" i="22"/>
  <c r="O31" i="22"/>
  <c r="P28" i="22"/>
  <c r="O28" i="22"/>
  <c r="P25" i="22"/>
  <c r="O25" i="22"/>
  <c r="P22" i="22"/>
  <c r="O22" i="22"/>
  <c r="P21" i="22"/>
  <c r="O21" i="22"/>
  <c r="P18" i="22"/>
  <c r="O18" i="22"/>
  <c r="P15" i="22"/>
  <c r="O15" i="22"/>
  <c r="P12" i="22"/>
  <c r="O12" i="22"/>
  <c r="P9" i="22"/>
  <c r="O9" i="22"/>
  <c r="P6" i="22"/>
  <c r="O6" i="22"/>
  <c r="P12" i="21"/>
  <c r="O12" i="21"/>
  <c r="P11" i="21"/>
  <c r="O11" i="21"/>
  <c r="P8" i="21"/>
  <c r="O8" i="21"/>
  <c r="P7" i="21"/>
  <c r="O7" i="21"/>
  <c r="P6" i="21"/>
  <c r="O6" i="21"/>
  <c r="L69" i="19"/>
  <c r="K69" i="19"/>
  <c r="L68" i="19"/>
  <c r="K68" i="19"/>
  <c r="L65" i="19"/>
  <c r="K65" i="19"/>
  <c r="L64" i="19"/>
  <c r="K64" i="19"/>
  <c r="L61" i="19"/>
  <c r="K61" i="19"/>
  <c r="L60" i="19"/>
  <c r="K60" i="19"/>
  <c r="L59" i="19"/>
  <c r="K59" i="19"/>
  <c r="L58" i="19"/>
  <c r="K58" i="19"/>
  <c r="L57" i="19"/>
  <c r="K57" i="19"/>
  <c r="L54" i="19"/>
  <c r="K54" i="19"/>
  <c r="L53" i="19"/>
  <c r="K53" i="19"/>
  <c r="L52" i="19"/>
  <c r="K52" i="19"/>
  <c r="L51" i="19"/>
  <c r="K51" i="19"/>
  <c r="L50" i="19"/>
  <c r="K50" i="19"/>
  <c r="L47" i="19"/>
  <c r="K47" i="19"/>
  <c r="L46" i="19"/>
  <c r="K46" i="19"/>
  <c r="L45" i="19"/>
  <c r="K45" i="19"/>
  <c r="L42" i="19"/>
  <c r="K42" i="19"/>
  <c r="L39" i="19"/>
  <c r="K39" i="19"/>
  <c r="L38" i="19"/>
  <c r="K38" i="19"/>
  <c r="L37" i="19"/>
  <c r="K37" i="19"/>
  <c r="L34" i="19"/>
  <c r="K34" i="19"/>
  <c r="L31" i="19"/>
  <c r="K31" i="19"/>
  <c r="L28" i="19"/>
  <c r="K28" i="19"/>
  <c r="L27" i="19"/>
  <c r="K27" i="19"/>
  <c r="L26" i="19"/>
  <c r="K26" i="19"/>
  <c r="L25" i="19"/>
  <c r="K25" i="19"/>
  <c r="L22" i="19"/>
  <c r="K22" i="19"/>
  <c r="L19" i="19"/>
  <c r="K19" i="19"/>
  <c r="L18" i="19"/>
  <c r="K18" i="19"/>
  <c r="L17" i="19"/>
  <c r="K17" i="19"/>
  <c r="L16" i="19"/>
  <c r="K16" i="19"/>
  <c r="L15" i="19"/>
  <c r="K15" i="19"/>
  <c r="L12" i="19"/>
  <c r="K12" i="19"/>
  <c r="L9" i="19"/>
  <c r="K9" i="19"/>
  <c r="L6" i="19"/>
  <c r="K6" i="19"/>
  <c r="L31" i="18"/>
  <c r="K31" i="18"/>
  <c r="L28" i="18"/>
  <c r="K28" i="18"/>
  <c r="L25" i="18"/>
  <c r="K25" i="18"/>
  <c r="L24" i="18"/>
  <c r="K24" i="18"/>
  <c r="L21" i="18"/>
  <c r="K21" i="18"/>
  <c r="L20" i="18"/>
  <c r="K20" i="18"/>
  <c r="L19" i="18"/>
  <c r="K19" i="18"/>
  <c r="L16" i="18"/>
  <c r="K16" i="18"/>
  <c r="L15" i="18"/>
  <c r="K15" i="18"/>
  <c r="L14" i="18"/>
  <c r="K14" i="18"/>
  <c r="L13" i="18"/>
  <c r="K13" i="18"/>
  <c r="L12" i="18"/>
  <c r="K12" i="18"/>
  <c r="L9" i="18"/>
  <c r="K9" i="18"/>
  <c r="L6" i="18"/>
  <c r="K6" i="18"/>
  <c r="L9" i="17"/>
  <c r="K9" i="17"/>
  <c r="L6" i="17"/>
  <c r="K6" i="17"/>
  <c r="L14" i="16"/>
  <c r="K14" i="16"/>
  <c r="L11" i="16"/>
  <c r="K11" i="16"/>
  <c r="L10" i="16"/>
  <c r="K10" i="16"/>
  <c r="L9" i="16"/>
  <c r="K9" i="16"/>
  <c r="L6" i="16"/>
  <c r="K6" i="16"/>
  <c r="L16" i="15"/>
  <c r="K16" i="15"/>
  <c r="L15" i="15"/>
  <c r="K15" i="15"/>
  <c r="L12" i="15"/>
  <c r="K12" i="15"/>
  <c r="L9" i="15"/>
  <c r="K9" i="15"/>
  <c r="L6" i="15"/>
  <c r="K6" i="15"/>
  <c r="L9" i="14"/>
  <c r="L6" i="14"/>
  <c r="K6" i="14"/>
  <c r="L6" i="13"/>
  <c r="K6" i="13"/>
  <c r="L102" i="12"/>
  <c r="K102" i="12"/>
  <c r="L101" i="12"/>
  <c r="L100" i="12"/>
  <c r="K100" i="12"/>
  <c r="L99" i="12"/>
  <c r="K99" i="12"/>
  <c r="L98" i="12"/>
  <c r="K98" i="12"/>
  <c r="L97" i="12"/>
  <c r="K97" i="12"/>
  <c r="L96" i="12"/>
  <c r="K96" i="12"/>
  <c r="L95" i="12"/>
  <c r="K95" i="12"/>
  <c r="L92" i="12"/>
  <c r="K92" i="12"/>
  <c r="L91" i="12"/>
  <c r="K91" i="12"/>
  <c r="L90" i="12"/>
  <c r="L89" i="12"/>
  <c r="K89" i="12"/>
  <c r="L88" i="12"/>
  <c r="K88" i="12"/>
  <c r="L87" i="12"/>
  <c r="K87" i="12"/>
  <c r="L86" i="12"/>
  <c r="K86" i="12"/>
  <c r="L85" i="12"/>
  <c r="K85" i="12"/>
  <c r="L84" i="12"/>
  <c r="K84" i="12"/>
  <c r="L81" i="12"/>
  <c r="L80" i="12"/>
  <c r="K80" i="12"/>
  <c r="L79" i="12"/>
  <c r="K79" i="12"/>
  <c r="L78" i="12"/>
  <c r="K78" i="12"/>
  <c r="L77" i="12"/>
  <c r="L76" i="12"/>
  <c r="K76" i="12"/>
  <c r="L75" i="12"/>
  <c r="K75" i="12"/>
  <c r="L74" i="12"/>
  <c r="K74" i="12"/>
  <c r="L73" i="12"/>
  <c r="K73" i="12"/>
  <c r="L72" i="12"/>
  <c r="K72" i="12"/>
  <c r="L71" i="12"/>
  <c r="K71" i="12"/>
  <c r="L68" i="12"/>
  <c r="K68" i="12"/>
  <c r="L67" i="12"/>
  <c r="L66" i="12"/>
  <c r="K66" i="12"/>
  <c r="L65" i="12"/>
  <c r="K65" i="12"/>
  <c r="L64" i="12"/>
  <c r="K64" i="12"/>
  <c r="L63" i="12"/>
  <c r="K63" i="12"/>
  <c r="L62" i="12"/>
  <c r="K62" i="12"/>
  <c r="L61" i="12"/>
  <c r="K61" i="12"/>
  <c r="L60" i="12"/>
  <c r="K60" i="12"/>
  <c r="L57" i="12"/>
  <c r="L56" i="12"/>
  <c r="K56" i="12"/>
  <c r="L55" i="12"/>
  <c r="K55" i="12"/>
  <c r="L54" i="12"/>
  <c r="K54" i="12"/>
  <c r="L53" i="12"/>
  <c r="K53" i="12"/>
  <c r="L52" i="12"/>
  <c r="K52" i="12"/>
  <c r="L51" i="12"/>
  <c r="K51" i="12"/>
  <c r="L50" i="12"/>
  <c r="K50" i="12"/>
  <c r="L47" i="12"/>
  <c r="K47" i="12"/>
  <c r="L46" i="12"/>
  <c r="K46" i="12"/>
  <c r="L45" i="12"/>
  <c r="K45" i="12"/>
  <c r="L44" i="12"/>
  <c r="K44" i="12"/>
  <c r="L43" i="12"/>
  <c r="K43" i="12"/>
  <c r="L42" i="12"/>
  <c r="L41" i="12"/>
  <c r="K41" i="12"/>
  <c r="L38" i="12"/>
  <c r="K38" i="12"/>
  <c r="L37" i="12"/>
  <c r="K37" i="12"/>
  <c r="L36" i="12"/>
  <c r="K36" i="12"/>
  <c r="L33" i="12"/>
  <c r="L32" i="12"/>
  <c r="K32" i="12"/>
  <c r="L31" i="12"/>
  <c r="K31" i="12"/>
  <c r="L28" i="12"/>
  <c r="K28" i="12"/>
  <c r="L25" i="12"/>
  <c r="K25" i="12"/>
  <c r="L24" i="12"/>
  <c r="K24" i="12"/>
  <c r="L21" i="12"/>
  <c r="K21" i="12"/>
  <c r="L18" i="12"/>
  <c r="K18" i="12"/>
  <c r="L17" i="12"/>
  <c r="K17" i="12"/>
  <c r="L16" i="12"/>
  <c r="K16" i="12"/>
  <c r="L15" i="12"/>
  <c r="K15" i="12"/>
  <c r="L12" i="12"/>
  <c r="K12" i="12"/>
  <c r="L9" i="12"/>
  <c r="K9" i="12"/>
  <c r="L8" i="12"/>
  <c r="K8" i="12"/>
  <c r="L7" i="12"/>
  <c r="K7" i="12"/>
  <c r="L6" i="12"/>
  <c r="K6" i="12"/>
  <c r="L55" i="11"/>
  <c r="K55" i="11"/>
  <c r="L52" i="11"/>
  <c r="K52" i="11"/>
  <c r="L51" i="11"/>
  <c r="L50" i="11"/>
  <c r="K50" i="11"/>
  <c r="L49" i="11"/>
  <c r="K49" i="11"/>
  <c r="L46" i="11"/>
  <c r="K46" i="11"/>
  <c r="L45" i="11"/>
  <c r="K45" i="11"/>
  <c r="L42" i="11"/>
  <c r="K42" i="11"/>
  <c r="L41" i="11"/>
  <c r="K41" i="11"/>
  <c r="L40" i="11"/>
  <c r="K40" i="11"/>
  <c r="L39" i="11"/>
  <c r="K39" i="11"/>
  <c r="L38" i="11"/>
  <c r="K38" i="11"/>
  <c r="L37" i="11"/>
  <c r="K37" i="11"/>
  <c r="L36" i="11"/>
  <c r="K36" i="11"/>
  <c r="L33" i="11"/>
  <c r="K33" i="11"/>
  <c r="L32" i="11"/>
  <c r="K32" i="11"/>
  <c r="L31" i="11"/>
  <c r="K31" i="11"/>
  <c r="L30" i="11"/>
  <c r="K30" i="11"/>
  <c r="L29" i="11"/>
  <c r="K29" i="11"/>
  <c r="L28" i="11"/>
  <c r="K28" i="11"/>
  <c r="L27" i="11"/>
  <c r="K27" i="11"/>
  <c r="L26" i="11"/>
  <c r="K26" i="11"/>
  <c r="L25" i="11"/>
  <c r="K25" i="11"/>
  <c r="L24" i="11"/>
  <c r="K24" i="11"/>
  <c r="L23" i="11"/>
  <c r="K23" i="11"/>
  <c r="L22" i="11"/>
  <c r="K22" i="11"/>
  <c r="L19" i="11"/>
  <c r="K19" i="11"/>
  <c r="L18" i="11"/>
  <c r="K18" i="11"/>
  <c r="L17" i="11"/>
  <c r="K17" i="11"/>
  <c r="L16" i="11"/>
  <c r="K16" i="11"/>
  <c r="L13" i="11"/>
  <c r="K13" i="11"/>
  <c r="L12" i="11"/>
  <c r="K12" i="11"/>
  <c r="L11" i="11"/>
  <c r="K11" i="11"/>
  <c r="L10" i="11"/>
  <c r="K10" i="11"/>
  <c r="L9" i="11"/>
  <c r="K9" i="11"/>
  <c r="L6" i="11"/>
  <c r="K6" i="11"/>
  <c r="L13" i="10"/>
  <c r="K13" i="10"/>
  <c r="L9" i="10"/>
  <c r="K9" i="10"/>
  <c r="L6" i="10"/>
  <c r="K6" i="10"/>
  <c r="L22" i="9"/>
  <c r="K22" i="9"/>
  <c r="L19" i="9"/>
  <c r="K19" i="9"/>
  <c r="L16" i="9"/>
  <c r="L15" i="9"/>
  <c r="L12" i="9"/>
  <c r="K12" i="9"/>
  <c r="L9" i="9"/>
  <c r="K9" i="9"/>
  <c r="L6" i="9"/>
  <c r="T87" i="8"/>
  <c r="S87" i="8"/>
  <c r="T84" i="8"/>
  <c r="S84" i="8"/>
  <c r="T81" i="8"/>
  <c r="T80" i="8"/>
  <c r="S80" i="8"/>
  <c r="T77" i="8"/>
  <c r="S77" i="8"/>
  <c r="T76" i="8"/>
  <c r="S76" i="8"/>
  <c r="T75" i="8"/>
  <c r="S75" i="8"/>
  <c r="T74" i="8"/>
  <c r="S74" i="8"/>
  <c r="T73" i="8"/>
  <c r="S73" i="8"/>
  <c r="T72" i="8"/>
  <c r="S72" i="8"/>
  <c r="T71" i="8"/>
  <c r="S71" i="8"/>
  <c r="T68" i="8"/>
  <c r="S68" i="8"/>
  <c r="T67" i="8"/>
  <c r="S67" i="8"/>
  <c r="T66" i="8"/>
  <c r="S66" i="8"/>
  <c r="T65" i="8"/>
  <c r="T64" i="8"/>
  <c r="S64" i="8"/>
  <c r="T63" i="8"/>
  <c r="S63" i="8"/>
  <c r="T62" i="8"/>
  <c r="S62" i="8"/>
  <c r="T61" i="8"/>
  <c r="S61" i="8"/>
  <c r="T60" i="8"/>
  <c r="S60" i="8"/>
  <c r="T59" i="8"/>
  <c r="S59" i="8"/>
  <c r="T58" i="8"/>
  <c r="S58" i="8"/>
  <c r="T55" i="8"/>
  <c r="S55" i="8"/>
  <c r="T54" i="8"/>
  <c r="S54" i="8"/>
  <c r="T53" i="8"/>
  <c r="S53" i="8"/>
  <c r="T50" i="8"/>
  <c r="S50" i="8"/>
  <c r="T49" i="8"/>
  <c r="T48" i="8"/>
  <c r="S48" i="8"/>
  <c r="T47" i="8"/>
  <c r="S47" i="8"/>
  <c r="T46" i="8"/>
  <c r="S46" i="8"/>
  <c r="T43" i="8"/>
  <c r="S43" i="8"/>
  <c r="T40" i="8"/>
  <c r="S40" i="8"/>
  <c r="T37" i="8"/>
  <c r="S37" i="8"/>
  <c r="T34" i="8"/>
  <c r="S34" i="8"/>
  <c r="T31" i="8"/>
  <c r="S31" i="8"/>
  <c r="T28" i="8"/>
  <c r="S28" i="8"/>
  <c r="T27" i="8"/>
  <c r="S27" i="8"/>
  <c r="T26" i="8"/>
  <c r="S26" i="8"/>
  <c r="T25" i="8"/>
  <c r="S25" i="8"/>
  <c r="T22" i="8"/>
  <c r="S22" i="8"/>
  <c r="T21" i="8"/>
  <c r="S21" i="8"/>
  <c r="T20" i="8"/>
  <c r="S20" i="8"/>
  <c r="T19" i="8"/>
  <c r="S19" i="8"/>
  <c r="T18" i="8"/>
  <c r="S18" i="8"/>
  <c r="T15" i="8"/>
  <c r="S15" i="8"/>
  <c r="T14" i="8"/>
  <c r="S14" i="8"/>
  <c r="T13" i="8"/>
  <c r="S13" i="8"/>
  <c r="T12" i="8"/>
  <c r="S12" i="8"/>
  <c r="T9" i="8"/>
  <c r="S9" i="8"/>
  <c r="T6" i="8"/>
  <c r="T61" i="7"/>
  <c r="S61" i="7"/>
  <c r="T58" i="7"/>
  <c r="S58" i="7"/>
  <c r="T57" i="7"/>
  <c r="S57" i="7"/>
  <c r="T56" i="7"/>
  <c r="S56" i="7"/>
  <c r="T55" i="7"/>
  <c r="S55" i="7"/>
  <c r="T52" i="7"/>
  <c r="T51" i="7"/>
  <c r="S51" i="7"/>
  <c r="T50" i="7"/>
  <c r="S50" i="7"/>
  <c r="T47" i="7"/>
  <c r="S47" i="7"/>
  <c r="T46" i="7"/>
  <c r="S46" i="7"/>
  <c r="T45" i="7"/>
  <c r="S45" i="7"/>
  <c r="T44" i="7"/>
  <c r="S44" i="7"/>
  <c r="T41" i="7"/>
  <c r="S41" i="7"/>
  <c r="T40" i="7"/>
  <c r="S40" i="7"/>
  <c r="T39" i="7"/>
  <c r="S39" i="7"/>
  <c r="T38" i="7"/>
  <c r="S38" i="7"/>
  <c r="T37" i="7"/>
  <c r="S37" i="7"/>
  <c r="T36" i="7"/>
  <c r="S36" i="7"/>
  <c r="T33" i="7"/>
  <c r="S33" i="7"/>
  <c r="T32" i="7"/>
  <c r="S32" i="7"/>
  <c r="T31" i="7"/>
  <c r="S31" i="7"/>
  <c r="T28" i="7"/>
  <c r="S28" i="7"/>
  <c r="T25" i="7"/>
  <c r="S25" i="7"/>
  <c r="T24" i="7"/>
  <c r="S24" i="7"/>
  <c r="T21" i="7"/>
  <c r="S21" i="7"/>
  <c r="T18" i="7"/>
  <c r="S18" i="7"/>
  <c r="T17" i="7"/>
  <c r="S17" i="7"/>
  <c r="T14" i="7"/>
  <c r="S14" i="7"/>
  <c r="T13" i="7"/>
  <c r="S13" i="7"/>
  <c r="T12" i="7"/>
  <c r="S12" i="7"/>
  <c r="T9" i="7"/>
  <c r="S9" i="7"/>
  <c r="T6" i="7"/>
  <c r="S6" i="7"/>
  <c r="T9" i="6"/>
  <c r="S9" i="6"/>
  <c r="T6" i="6"/>
  <c r="S6" i="6"/>
  <c r="T19" i="5"/>
  <c r="S19" i="5"/>
  <c r="T18" i="5"/>
  <c r="S18" i="5"/>
  <c r="T15" i="5"/>
  <c r="S15" i="5"/>
  <c r="T12" i="5"/>
  <c r="S12" i="5"/>
  <c r="T9" i="5"/>
  <c r="S9" i="5"/>
  <c r="T6" i="5"/>
  <c r="S6" i="5"/>
</calcChain>
</file>

<file path=xl/sharedStrings.xml><?xml version="1.0" encoding="utf-8"?>
<sst xmlns="http://schemas.openxmlformats.org/spreadsheetml/2006/main" count="4405" uniqueCount="1191">
  <si>
    <t>ФИО</t>
  </si>
  <si>
    <t>Сумма</t>
  </si>
  <si>
    <t>Тренер</t>
  </si>
  <si>
    <t>Очки</t>
  </si>
  <si>
    <t>Рек</t>
  </si>
  <si>
    <t>Собственный 
вес</t>
  </si>
  <si>
    <t>Город/Страна</t>
  </si>
  <si>
    <t>Приседание</t>
  </si>
  <si>
    <t>Жим лёжа</t>
  </si>
  <si>
    <t>Становая тяга</t>
  </si>
  <si>
    <t>ВЕСОВАЯ КАТЕГОРИЯ   90</t>
  </si>
  <si>
    <t>Пироженко Николай</t>
  </si>
  <si>
    <t>Юниоры (28.04.1999)/22</t>
  </si>
  <si>
    <t>89,20</t>
  </si>
  <si>
    <t>180,0</t>
  </si>
  <si>
    <t>195,0</t>
  </si>
  <si>
    <t>210,0</t>
  </si>
  <si>
    <t>140,0</t>
  </si>
  <si>
    <t>150,0</t>
  </si>
  <si>
    <t>155,0</t>
  </si>
  <si>
    <t>190,0</t>
  </si>
  <si>
    <t>205,0</t>
  </si>
  <si>
    <t>215,0</t>
  </si>
  <si>
    <t>ВЕСОВАЯ КАТЕГОРИЯ   100</t>
  </si>
  <si>
    <t>Ahmadov Ramil</t>
  </si>
  <si>
    <t>Открытая (06.05.1988)/33</t>
  </si>
  <si>
    <t>99,40</t>
  </si>
  <si>
    <t>300,0</t>
  </si>
  <si>
    <t>315,0</t>
  </si>
  <si>
    <t>217,5</t>
  </si>
  <si>
    <t>325,0</t>
  </si>
  <si>
    <t>330,0</t>
  </si>
  <si>
    <t>ВЕСОВАЯ КАТЕГОРИЯ   110</t>
  </si>
  <si>
    <t>Карцев Иван</t>
  </si>
  <si>
    <t>Открытая (28.05.1996)/25</t>
  </si>
  <si>
    <t>109,20</t>
  </si>
  <si>
    <t>240,0</t>
  </si>
  <si>
    <t>255,0</t>
  </si>
  <si>
    <t>265,0</t>
  </si>
  <si>
    <t>160,0</t>
  </si>
  <si>
    <t>230,0</t>
  </si>
  <si>
    <t>250,0</t>
  </si>
  <si>
    <t>ВЕСОВАЯ КАТЕГОРИЯ   140</t>
  </si>
  <si>
    <t>Артемьев Павел</t>
  </si>
  <si>
    <t>Открытая (14.07.1984)/37</t>
  </si>
  <si>
    <t>139,00</t>
  </si>
  <si>
    <t>360,0</t>
  </si>
  <si>
    <t>380,0</t>
  </si>
  <si>
    <t>390,0</t>
  </si>
  <si>
    <t>220,0</t>
  </si>
  <si>
    <t>ВЕСОВАЯ КАТЕГОРИЯ   140+</t>
  </si>
  <si>
    <t>Шерстнев Илья</t>
  </si>
  <si>
    <t>Юноши 17-19 (25.04.2003)/18</t>
  </si>
  <si>
    <t>150,80</t>
  </si>
  <si>
    <t>400,0</t>
  </si>
  <si>
    <t>170,0</t>
  </si>
  <si>
    <t>185,0</t>
  </si>
  <si>
    <t>280,0</t>
  </si>
  <si>
    <t>Открытая (25.04.2003)/18</t>
  </si>
  <si>
    <t>302,5</t>
  </si>
  <si>
    <t xml:space="preserve">Абсолютный зачёт </t>
  </si>
  <si>
    <t xml:space="preserve">Мужчины </t>
  </si>
  <si>
    <t xml:space="preserve">Юноши </t>
  </si>
  <si>
    <t xml:space="preserve">ФИО </t>
  </si>
  <si>
    <t xml:space="preserve">Возрастная группа </t>
  </si>
  <si>
    <t xml:space="preserve">Сумма </t>
  </si>
  <si>
    <t xml:space="preserve">Wilks </t>
  </si>
  <si>
    <t xml:space="preserve">Юноши 17-19 </t>
  </si>
  <si>
    <t>140+</t>
  </si>
  <si>
    <t>850,0</t>
  </si>
  <si>
    <t>90</t>
  </si>
  <si>
    <t xml:space="preserve">Открытая </t>
  </si>
  <si>
    <t>140</t>
  </si>
  <si>
    <t>100</t>
  </si>
  <si>
    <t>1</t>
  </si>
  <si>
    <t/>
  </si>
  <si>
    <t>Место</t>
  </si>
  <si>
    <t>Марчук Дмитрий</t>
  </si>
  <si>
    <t>Открытая (16.10.1992)/29</t>
  </si>
  <si>
    <t>99,00</t>
  </si>
  <si>
    <t>222,5</t>
  </si>
  <si>
    <t>145,0</t>
  </si>
  <si>
    <t>200,0</t>
  </si>
  <si>
    <t>Веселов Валерий</t>
  </si>
  <si>
    <t>Открытая (15.06.1983)/38</t>
  </si>
  <si>
    <t>108,40</t>
  </si>
  <si>
    <t>235,0</t>
  </si>
  <si>
    <t>157,5</t>
  </si>
  <si>
    <t>270,0</t>
  </si>
  <si>
    <t>110</t>
  </si>
  <si>
    <t>ВЕСОВАЯ КАТЕГОРИЯ   52</t>
  </si>
  <si>
    <t>Жук Юлия</t>
  </si>
  <si>
    <t>Открытая (01.04.1986)/36</t>
  </si>
  <si>
    <t>49,10</t>
  </si>
  <si>
    <t>105,0</t>
  </si>
  <si>
    <t>107,5</t>
  </si>
  <si>
    <t>50,0</t>
  </si>
  <si>
    <t>52,5</t>
  </si>
  <si>
    <t>55,0</t>
  </si>
  <si>
    <t>130,0</t>
  </si>
  <si>
    <t>137,5</t>
  </si>
  <si>
    <t>ВЕСОВАЯ КАТЕГОРИЯ   56</t>
  </si>
  <si>
    <t>Устинова Виктория</t>
  </si>
  <si>
    <t>Открытая (14.01.1990)/32</t>
  </si>
  <si>
    <t>55,80</t>
  </si>
  <si>
    <t>82,5</t>
  </si>
  <si>
    <t>87,5</t>
  </si>
  <si>
    <t>92,5</t>
  </si>
  <si>
    <t>47,5</t>
  </si>
  <si>
    <t>110,0</t>
  </si>
  <si>
    <t>115,0</t>
  </si>
  <si>
    <t>120,0</t>
  </si>
  <si>
    <t>ВЕСОВАЯ КАТЕГОРИЯ   60</t>
  </si>
  <si>
    <t>Самарина Ульяна</t>
  </si>
  <si>
    <t>Девушки 14-16 (08.10.2007)/14</t>
  </si>
  <si>
    <t>59,80</t>
  </si>
  <si>
    <t>112,5</t>
  </si>
  <si>
    <t>85,0</t>
  </si>
  <si>
    <t>Гатало Ирина</t>
  </si>
  <si>
    <t>Открытая (06.03.1989)/33</t>
  </si>
  <si>
    <t>59,90</t>
  </si>
  <si>
    <t>90,0</t>
  </si>
  <si>
    <t>95,0</t>
  </si>
  <si>
    <t>100,0</t>
  </si>
  <si>
    <t>45,0</t>
  </si>
  <si>
    <t>125,0</t>
  </si>
  <si>
    <t>Ануфриева Елизавета</t>
  </si>
  <si>
    <t>Открытая (30.10.1988)/33</t>
  </si>
  <si>
    <t>59,30</t>
  </si>
  <si>
    <t>62,5</t>
  </si>
  <si>
    <t>67,5</t>
  </si>
  <si>
    <t>ВЕСОВАЯ КАТЕГОРИЯ   67.5</t>
  </si>
  <si>
    <t>Бондарчук Елена</t>
  </si>
  <si>
    <t>Открытая (18.06.1980)/41</t>
  </si>
  <si>
    <t>63,40</t>
  </si>
  <si>
    <t>147,5</t>
  </si>
  <si>
    <t>162,5</t>
  </si>
  <si>
    <t>175,0</t>
  </si>
  <si>
    <t>191,0</t>
  </si>
  <si>
    <t xml:space="preserve">Таранухин Г. </t>
  </si>
  <si>
    <t>Мастера 40-49 (18.06.1980)/41</t>
  </si>
  <si>
    <t>ВЕСОВАЯ КАТЕГОРИЯ   82.5</t>
  </si>
  <si>
    <t>Парджиани Анна</t>
  </si>
  <si>
    <t>Открытая (06.11.1996)/25</t>
  </si>
  <si>
    <t>77,00</t>
  </si>
  <si>
    <t>122,5</t>
  </si>
  <si>
    <t>Суслов Дмитрий</t>
  </si>
  <si>
    <t>Юноши 14-16 (15.01.2008)/14</t>
  </si>
  <si>
    <t>63,50</t>
  </si>
  <si>
    <t>72,5</t>
  </si>
  <si>
    <t>75,0</t>
  </si>
  <si>
    <t>Аствацатрян Варданес</t>
  </si>
  <si>
    <t>Открытая (31.10.1988)/33</t>
  </si>
  <si>
    <t>67,00</t>
  </si>
  <si>
    <t>165,0</t>
  </si>
  <si>
    <t>127,5</t>
  </si>
  <si>
    <t>202,5</t>
  </si>
  <si>
    <t>212,5</t>
  </si>
  <si>
    <t>ВЕСОВАЯ КАТЕГОРИЯ   75</t>
  </si>
  <si>
    <t>Николаев Денис</t>
  </si>
  <si>
    <t>Открытая (15.07.1991)/30</t>
  </si>
  <si>
    <t>75,00</t>
  </si>
  <si>
    <t>260,0</t>
  </si>
  <si>
    <t>135,0</t>
  </si>
  <si>
    <t>272,5</t>
  </si>
  <si>
    <t xml:space="preserve">Кузнецов И. </t>
  </si>
  <si>
    <t>Зайнутдинов Владислав</t>
  </si>
  <si>
    <t>Открытая (15.10.1977)/44</t>
  </si>
  <si>
    <t>81,90</t>
  </si>
  <si>
    <t>142,5</t>
  </si>
  <si>
    <t>Кульпин Никита</t>
  </si>
  <si>
    <t>Открытая (11.10.1993)/28</t>
  </si>
  <si>
    <t>82,40</t>
  </si>
  <si>
    <t>237,5</t>
  </si>
  <si>
    <t>Мастера 40-49 (15.10.1977)/44</t>
  </si>
  <si>
    <t>Мамедов Фарид</t>
  </si>
  <si>
    <t>Юниоры (18.10.2001)/20</t>
  </si>
  <si>
    <t>89,00</t>
  </si>
  <si>
    <t>225,0</t>
  </si>
  <si>
    <t>Платонов Максим</t>
  </si>
  <si>
    <t>Открытая (07.04.1995)/27</t>
  </si>
  <si>
    <t>87,70</t>
  </si>
  <si>
    <t>167,5</t>
  </si>
  <si>
    <t>Данилов Михаил</t>
  </si>
  <si>
    <t>Открытая (27.07.1984)/37</t>
  </si>
  <si>
    <t>86,40</t>
  </si>
  <si>
    <t xml:space="preserve">Суслов Н. </t>
  </si>
  <si>
    <t>Старовойтов Иван</t>
  </si>
  <si>
    <t>Открытая (26.03.1987)/35</t>
  </si>
  <si>
    <t>89,40</t>
  </si>
  <si>
    <t>132,5</t>
  </si>
  <si>
    <t>Тихоновский Олег</t>
  </si>
  <si>
    <t>Мастера 40-49 (04.08.1978)/43</t>
  </si>
  <si>
    <t>85,10</t>
  </si>
  <si>
    <t>Михайлов Александр</t>
  </si>
  <si>
    <t>Мастера 60-69 (09.12.1958)/63</t>
  </si>
  <si>
    <t>88,20</t>
  </si>
  <si>
    <t>Басиров Рустам</t>
  </si>
  <si>
    <t>Открытая (31.07.1989)/32</t>
  </si>
  <si>
    <t>99,90</t>
  </si>
  <si>
    <t>310,0</t>
  </si>
  <si>
    <t>320,0</t>
  </si>
  <si>
    <t>335,0</t>
  </si>
  <si>
    <t>350,0</t>
  </si>
  <si>
    <t>Комисаров Михаил</t>
  </si>
  <si>
    <t>Открытая (23.08.1995)/26</t>
  </si>
  <si>
    <t>99,70</t>
  </si>
  <si>
    <t>275,0</t>
  </si>
  <si>
    <t>305,0</t>
  </si>
  <si>
    <t>Лукьянов Евгений</t>
  </si>
  <si>
    <t>Открытая (06.02.1981)/41</t>
  </si>
  <si>
    <t>97,50</t>
  </si>
  <si>
    <t>152,5</t>
  </si>
  <si>
    <t>Холунин Алексей</t>
  </si>
  <si>
    <t>Мастера 40-49 (15.04.1982)/40</t>
  </si>
  <si>
    <t>227,5</t>
  </si>
  <si>
    <t>Поддубный Владислав</t>
  </si>
  <si>
    <t>Открытая (26.07.1989)/32</t>
  </si>
  <si>
    <t>105,60</t>
  </si>
  <si>
    <t>290,0</t>
  </si>
  <si>
    <t>Клюкач Дмитрий</t>
  </si>
  <si>
    <t>Открытая (20.10.1991)/30</t>
  </si>
  <si>
    <t>108,30</t>
  </si>
  <si>
    <t>232,5</t>
  </si>
  <si>
    <t>245,0</t>
  </si>
  <si>
    <t>252,5</t>
  </si>
  <si>
    <t>Мельник Андрей</t>
  </si>
  <si>
    <t>Открытая (27.07.1989)/32</t>
  </si>
  <si>
    <t>106,10</t>
  </si>
  <si>
    <t>ВЕСОВАЯ КАТЕГОРИЯ   125</t>
  </si>
  <si>
    <t>Попов Денис</t>
  </si>
  <si>
    <t>Открытая (18.05.1989)/32</t>
  </si>
  <si>
    <t>123,60</t>
  </si>
  <si>
    <t>187,5</t>
  </si>
  <si>
    <t>Абрамов Александр</t>
  </si>
  <si>
    <t>Открытая (14.05.1991)/30</t>
  </si>
  <si>
    <t>122,10</t>
  </si>
  <si>
    <t>285,0</t>
  </si>
  <si>
    <t>295,0</t>
  </si>
  <si>
    <t>Смирнов Сергей</t>
  </si>
  <si>
    <t>Открытая (23.09.1981)/40</t>
  </si>
  <si>
    <t>117,30</t>
  </si>
  <si>
    <t>287,5</t>
  </si>
  <si>
    <t>Петров Артем</t>
  </si>
  <si>
    <t>Открытая (22.03.1986)/36</t>
  </si>
  <si>
    <t>115,70</t>
  </si>
  <si>
    <t>Цуркану Сергей</t>
  </si>
  <si>
    <t>Открытая (08.04.1983)/39</t>
  </si>
  <si>
    <t>145,70</t>
  </si>
  <si>
    <t xml:space="preserve">Женщины </t>
  </si>
  <si>
    <t xml:space="preserve">Юноши 14-16 </t>
  </si>
  <si>
    <t>60</t>
  </si>
  <si>
    <t>82.5</t>
  </si>
  <si>
    <t>582,5</t>
  </si>
  <si>
    <t>544,8705</t>
  </si>
  <si>
    <t>67.5</t>
  </si>
  <si>
    <t>468,5</t>
  </si>
  <si>
    <t>500,7328</t>
  </si>
  <si>
    <t>52</t>
  </si>
  <si>
    <t>384,1785</t>
  </si>
  <si>
    <t xml:space="preserve">Мастера </t>
  </si>
  <si>
    <t xml:space="preserve">Мастера 40-49 </t>
  </si>
  <si>
    <t>890,0</t>
  </si>
  <si>
    <t>541,8320</t>
  </si>
  <si>
    <t>472,2600</t>
  </si>
  <si>
    <t>770,0</t>
  </si>
  <si>
    <t>469,1610</t>
  </si>
  <si>
    <t>2</t>
  </si>
  <si>
    <t>3</t>
  </si>
  <si>
    <t>-</t>
  </si>
  <si>
    <t>4</t>
  </si>
  <si>
    <t>ВЕСОВАЯ КАТЕГОРИЯ   48</t>
  </si>
  <si>
    <t>Громова Екатерина</t>
  </si>
  <si>
    <t>Мастера 40-49 (13.07.1980)/41</t>
  </si>
  <si>
    <t>48,00</t>
  </si>
  <si>
    <t>60,0</t>
  </si>
  <si>
    <t>65,0</t>
  </si>
  <si>
    <t>30,0</t>
  </si>
  <si>
    <t>80,0</t>
  </si>
  <si>
    <t>Андреева Ольга</t>
  </si>
  <si>
    <t>Открытая (18.04.1993)/29</t>
  </si>
  <si>
    <t>51,80</t>
  </si>
  <si>
    <t>70,0</t>
  </si>
  <si>
    <t>Авдеева Елена</t>
  </si>
  <si>
    <t>Открытая (17.02.1982)/40</t>
  </si>
  <si>
    <t>55,30</t>
  </si>
  <si>
    <t>97,5</t>
  </si>
  <si>
    <t>Рыбникова Анастасия</t>
  </si>
  <si>
    <t>Открытая (01.01.1996)/26</t>
  </si>
  <si>
    <t>55,90</t>
  </si>
  <si>
    <t>42,5</t>
  </si>
  <si>
    <t>Пономарева Елена</t>
  </si>
  <si>
    <t>54,10</t>
  </si>
  <si>
    <t>Ирха Софья</t>
  </si>
  <si>
    <t>Открытая (08.09.1989)/32</t>
  </si>
  <si>
    <t>Епишина Алена</t>
  </si>
  <si>
    <t>Открытая (10.04.1988)/34</t>
  </si>
  <si>
    <t>58,30</t>
  </si>
  <si>
    <t>Сапожникова Анастасия</t>
  </si>
  <si>
    <t>Открытая (23.12.1995)/26</t>
  </si>
  <si>
    <t>60,00</t>
  </si>
  <si>
    <t xml:space="preserve">Румянцев С. </t>
  </si>
  <si>
    <t>Натёкина Юлия</t>
  </si>
  <si>
    <t>Открытая (02.12.1994)/27</t>
  </si>
  <si>
    <t>59,00</t>
  </si>
  <si>
    <t>102,5</t>
  </si>
  <si>
    <t xml:space="preserve">Тимофеев Д. </t>
  </si>
  <si>
    <t>Гурьева Евгения</t>
  </si>
  <si>
    <t>Открытая (05.05.1995)/26</t>
  </si>
  <si>
    <t>58,70</t>
  </si>
  <si>
    <t>57,5</t>
  </si>
  <si>
    <t>Кальнова Елена</t>
  </si>
  <si>
    <t>Открытая (21.04.1989)/33</t>
  </si>
  <si>
    <t>57,90</t>
  </si>
  <si>
    <t>35,0</t>
  </si>
  <si>
    <t>40,0</t>
  </si>
  <si>
    <t>Крючкова Виктория</t>
  </si>
  <si>
    <t>Юниорки (29.11.1999)/22</t>
  </si>
  <si>
    <t>66,10</t>
  </si>
  <si>
    <t>117,5</t>
  </si>
  <si>
    <t>Истомина Татьяна</t>
  </si>
  <si>
    <t>Открытая (12.08.1985)/36</t>
  </si>
  <si>
    <t>64,20</t>
  </si>
  <si>
    <t>Фирсова Анастасия</t>
  </si>
  <si>
    <t>Открытая (14.09.1983)/38</t>
  </si>
  <si>
    <t>65,60</t>
  </si>
  <si>
    <t>Зализко Светлана</t>
  </si>
  <si>
    <t>Мастера 40-49 (20.10.1977)/44</t>
  </si>
  <si>
    <t>67,20</t>
  </si>
  <si>
    <t>Юнусова Маргарита</t>
  </si>
  <si>
    <t>Открытая (13.04.1988)/34</t>
  </si>
  <si>
    <t>73,70</t>
  </si>
  <si>
    <t>Нефёдова Алена</t>
  </si>
  <si>
    <t>81,70</t>
  </si>
  <si>
    <t>ВЕСОВАЯ КАТЕГОРИЯ   90+</t>
  </si>
  <si>
    <t>Богданова Юлия</t>
  </si>
  <si>
    <t>Открытая (26.04.1985)/36</t>
  </si>
  <si>
    <t>119,70</t>
  </si>
  <si>
    <t>Секирко Александр</t>
  </si>
  <si>
    <t>Юноши 17-19 (01.10.2002)/19</t>
  </si>
  <si>
    <t>55,60</t>
  </si>
  <si>
    <t>77,5</t>
  </si>
  <si>
    <t>Савельев Никита</t>
  </si>
  <si>
    <t>Открытая (30.11.2001)/20</t>
  </si>
  <si>
    <t>Кузьмин Михаил</t>
  </si>
  <si>
    <t>Открытая (31.10.1991)/30</t>
  </si>
  <si>
    <t>72,80</t>
  </si>
  <si>
    <t>Колебошин Дмитрий</t>
  </si>
  <si>
    <t>Открытая (14.06.1998)/23</t>
  </si>
  <si>
    <t>73,30</t>
  </si>
  <si>
    <t>Абдуллаев Анвар</t>
  </si>
  <si>
    <t>Открытая (17.04.2002)/20</t>
  </si>
  <si>
    <t>74,40</t>
  </si>
  <si>
    <t>Карпенко Евгений</t>
  </si>
  <si>
    <t>Открытая (29.07.1996)/25</t>
  </si>
  <si>
    <t>70,70</t>
  </si>
  <si>
    <t>Князев Дмитрий</t>
  </si>
  <si>
    <t>Мастера 40-49 (08.06.1979)/42</t>
  </si>
  <si>
    <t>74,70</t>
  </si>
  <si>
    <t>182,5</t>
  </si>
  <si>
    <t>143,5</t>
  </si>
  <si>
    <t>Ройхка Андрей</t>
  </si>
  <si>
    <t>Юниоры (22.06.2001)/20</t>
  </si>
  <si>
    <t>81,50</t>
  </si>
  <si>
    <t>172,5</t>
  </si>
  <si>
    <t>Кириллов Дмитрий</t>
  </si>
  <si>
    <t>Юниоры (01.06.1999)/22</t>
  </si>
  <si>
    <t>80,90</t>
  </si>
  <si>
    <t>Ан Сергей</t>
  </si>
  <si>
    <t>Открытая (09.11.1987)/34</t>
  </si>
  <si>
    <t>Гринёв Сергей</t>
  </si>
  <si>
    <t>Юниоры (10.02.1999)/23</t>
  </si>
  <si>
    <t>86,60</t>
  </si>
  <si>
    <t>207,5</t>
  </si>
  <si>
    <t>242,5</t>
  </si>
  <si>
    <t>Голенцов Вадим</t>
  </si>
  <si>
    <t>Юниоры (03.06.1999)/22</t>
  </si>
  <si>
    <t>87,20</t>
  </si>
  <si>
    <t>177,5</t>
  </si>
  <si>
    <t>192,5</t>
  </si>
  <si>
    <t>Москалев Тимофей</t>
  </si>
  <si>
    <t>Открытая (09.02.1992)/30</t>
  </si>
  <si>
    <t>89,60</t>
  </si>
  <si>
    <t>Решетников Вячеслав</t>
  </si>
  <si>
    <t>Открытая (17.01.1994)/28</t>
  </si>
  <si>
    <t>90,00</t>
  </si>
  <si>
    <t>Открытая (03.06.1999)/22</t>
  </si>
  <si>
    <t>Иванов Владимир</t>
  </si>
  <si>
    <t>Открытая (13.06.1990)/31</t>
  </si>
  <si>
    <t>89,80</t>
  </si>
  <si>
    <t>Порублев Александр</t>
  </si>
  <si>
    <t>Открытая (12.06.1991)/30</t>
  </si>
  <si>
    <t>Грунтов Илья</t>
  </si>
  <si>
    <t>Открытая (20.09.1995)/26</t>
  </si>
  <si>
    <t>88,30</t>
  </si>
  <si>
    <t>Григорьев Александр</t>
  </si>
  <si>
    <t>Мастера 40-49 (22.11.1980)/41</t>
  </si>
  <si>
    <t>89,50</t>
  </si>
  <si>
    <t>Клюквин Дмитрий</t>
  </si>
  <si>
    <t>Мастера 40-49 (08.06.1977)/44</t>
  </si>
  <si>
    <t>89,30</t>
  </si>
  <si>
    <t>Андреев Владимир</t>
  </si>
  <si>
    <t>Мастера 40-49 (08.03.1976)/46</t>
  </si>
  <si>
    <t>Киселев Андрей</t>
  </si>
  <si>
    <t>Открытая (17.08.1995)/26</t>
  </si>
  <si>
    <t>100,00</t>
  </si>
  <si>
    <t>Кормаков Виктор</t>
  </si>
  <si>
    <t>Открытая (09.07.1984)/37</t>
  </si>
  <si>
    <t>99,30</t>
  </si>
  <si>
    <t>Веденский Виктор</t>
  </si>
  <si>
    <t>Открытая (01.04.1992)/30</t>
  </si>
  <si>
    <t>97,70</t>
  </si>
  <si>
    <t>Иванов Тимофей</t>
  </si>
  <si>
    <t>Открытая (20.09.1985)/36</t>
  </si>
  <si>
    <t>Серов Денис</t>
  </si>
  <si>
    <t>Открытая (05.09.1981)/40</t>
  </si>
  <si>
    <t>98,90</t>
  </si>
  <si>
    <t>Зубков Александр</t>
  </si>
  <si>
    <t>Мастера 40-49 (08.10.1978)/43</t>
  </si>
  <si>
    <t>Чирков Алексей</t>
  </si>
  <si>
    <t>Мастера 40-49 (13.08.1978)/43</t>
  </si>
  <si>
    <t>94,80</t>
  </si>
  <si>
    <t>Мельниченко Илья</t>
  </si>
  <si>
    <t>Открытая (12.09.1990)/31</t>
  </si>
  <si>
    <t>108,60</t>
  </si>
  <si>
    <t xml:space="preserve">Михайлов Д. </t>
  </si>
  <si>
    <t>Степанов Федор</t>
  </si>
  <si>
    <t>Открытая (13.04.1987)/35</t>
  </si>
  <si>
    <t>100,10</t>
  </si>
  <si>
    <t>Спицин Александр</t>
  </si>
  <si>
    <t>Открытая (10.09.1988)/33</t>
  </si>
  <si>
    <t>117,70</t>
  </si>
  <si>
    <t xml:space="preserve">Илюткин А. </t>
  </si>
  <si>
    <t>Самарин Лев</t>
  </si>
  <si>
    <t>Открытая (28.05.1983)/38</t>
  </si>
  <si>
    <t>146,80</t>
  </si>
  <si>
    <t>355,0</t>
  </si>
  <si>
    <t>404,7355</t>
  </si>
  <si>
    <t>345,6190</t>
  </si>
  <si>
    <t>338,8160</t>
  </si>
  <si>
    <t>56</t>
  </si>
  <si>
    <t>125</t>
  </si>
  <si>
    <t>735,0</t>
  </si>
  <si>
    <t>424,5360</t>
  </si>
  <si>
    <t>75</t>
  </si>
  <si>
    <t>567,5</t>
  </si>
  <si>
    <t>413,0265</t>
  </si>
  <si>
    <t>730,0</t>
  </si>
  <si>
    <t>405,1500</t>
  </si>
  <si>
    <t>5</t>
  </si>
  <si>
    <t>Лазуренко Ольга</t>
  </si>
  <si>
    <t>Открытая (05.09.1971)/50</t>
  </si>
  <si>
    <t>65,30</t>
  </si>
  <si>
    <t xml:space="preserve">Беловал Е. </t>
  </si>
  <si>
    <t>Макарова Елена</t>
  </si>
  <si>
    <t>Мастера 50-59 (08.08.1962)/59</t>
  </si>
  <si>
    <t>71,20</t>
  </si>
  <si>
    <t>Антропов Александр</t>
  </si>
  <si>
    <t>Открытая (14.03.1969)/53</t>
  </si>
  <si>
    <t>73,60</t>
  </si>
  <si>
    <t xml:space="preserve">Фомичев К. </t>
  </si>
  <si>
    <t>Волков Вячеслав</t>
  </si>
  <si>
    <t>Открытая (10.04.1979)/43</t>
  </si>
  <si>
    <t>88,40</t>
  </si>
  <si>
    <t>Мастера 40-49 (10.04.1979)/43</t>
  </si>
  <si>
    <t>Лучинский Сергей</t>
  </si>
  <si>
    <t>Открытая (12.11.1981)/40</t>
  </si>
  <si>
    <t>106,50</t>
  </si>
  <si>
    <t>Никифоров Александр</t>
  </si>
  <si>
    <t>Мастера 40-49 (04.01.1982)/40</t>
  </si>
  <si>
    <t>110,30</t>
  </si>
  <si>
    <t xml:space="preserve">Результат </t>
  </si>
  <si>
    <t xml:space="preserve">Gloss </t>
  </si>
  <si>
    <t xml:space="preserve">Мастера 50-59 </t>
  </si>
  <si>
    <t>Результат</t>
  </si>
  <si>
    <t>Федосов Игорь</t>
  </si>
  <si>
    <t>Открытая (10.04.1985)/37</t>
  </si>
  <si>
    <t xml:space="preserve">Лаппалайнен Д. </t>
  </si>
  <si>
    <t>Локтионов Александр</t>
  </si>
  <si>
    <t>Открытая (20.12.1964)/57</t>
  </si>
  <si>
    <t>Лаппалайнен Дмитрий</t>
  </si>
  <si>
    <t>Открытая (01.06.1989)/32</t>
  </si>
  <si>
    <t>115,60</t>
  </si>
  <si>
    <t>Мастера 50-59 (14.03.1969)/53</t>
  </si>
  <si>
    <t>Цыплаков Андрей</t>
  </si>
  <si>
    <t>Открытая (05.01.1987)/35</t>
  </si>
  <si>
    <t>79,80</t>
  </si>
  <si>
    <t>Груздев Павел</t>
  </si>
  <si>
    <t>Открытая (09.02.1990)/32</t>
  </si>
  <si>
    <t>81,80</t>
  </si>
  <si>
    <t>Старцев Виталий</t>
  </si>
  <si>
    <t>Открытая (19.07.1982)/39</t>
  </si>
  <si>
    <t>Сабитов Риф</t>
  </si>
  <si>
    <t>Открытая (22.10.1982)/39</t>
  </si>
  <si>
    <t>81,00</t>
  </si>
  <si>
    <t>Буханцев Антон</t>
  </si>
  <si>
    <t>Открытая (22.06.1991)/30</t>
  </si>
  <si>
    <t>80,60</t>
  </si>
  <si>
    <t>Кандауров Станислав</t>
  </si>
  <si>
    <t>Открытая (26.05.1990)/31</t>
  </si>
  <si>
    <t>Кузнецов Максим</t>
  </si>
  <si>
    <t>Открытая (26.01.1992)/30</t>
  </si>
  <si>
    <t>88,70</t>
  </si>
  <si>
    <t>Ветров Владимир</t>
  </si>
  <si>
    <t>Мастера 50-59 (02.09.1964)/57</t>
  </si>
  <si>
    <t>85,60</t>
  </si>
  <si>
    <t>Letlans Vjaceslavs</t>
  </si>
  <si>
    <t>Открытая (28.02.1987)/35</t>
  </si>
  <si>
    <t>92,20</t>
  </si>
  <si>
    <t>Полунин Дмитрий</t>
  </si>
  <si>
    <t>Открытая (12.10.1991)/30</t>
  </si>
  <si>
    <t>Солнцев Иван</t>
  </si>
  <si>
    <t>Открытая (25.03.1974)/48</t>
  </si>
  <si>
    <t>Царёв Иван</t>
  </si>
  <si>
    <t>Открытая (29.01.1985)/37</t>
  </si>
  <si>
    <t>96,20</t>
  </si>
  <si>
    <t xml:space="preserve">Сарычев К. </t>
  </si>
  <si>
    <t>Юдаев Александр</t>
  </si>
  <si>
    <t>Открытая (10.02.1994)/28</t>
  </si>
  <si>
    <t>Брагинец Алексей</t>
  </si>
  <si>
    <t>Открытая (14.08.1987)/34</t>
  </si>
  <si>
    <t>98,70</t>
  </si>
  <si>
    <t>Уфимцев Дмитрий</t>
  </si>
  <si>
    <t>Открытая (18.03.1986)/36</t>
  </si>
  <si>
    <t>98,80</t>
  </si>
  <si>
    <t>Беспалов Александр</t>
  </si>
  <si>
    <t>Мастера 40-49 (07.01.1980)/42</t>
  </si>
  <si>
    <t>97,80</t>
  </si>
  <si>
    <t>Мастера 40-49 (25.03.1974)/48</t>
  </si>
  <si>
    <t>Ругинов Олег</t>
  </si>
  <si>
    <t>Мастера 40-49 (27.08.1981)/40</t>
  </si>
  <si>
    <t>98,20</t>
  </si>
  <si>
    <t>Кутузов Александр</t>
  </si>
  <si>
    <t>Мастера 60-69 (11.09.1956)/65</t>
  </si>
  <si>
    <t>97,60</t>
  </si>
  <si>
    <t>Медведь Алексей</t>
  </si>
  <si>
    <t>Открытая (20.06.1985)/36</t>
  </si>
  <si>
    <t>109,30</t>
  </si>
  <si>
    <t>197,5</t>
  </si>
  <si>
    <t>Царан Сергей</t>
  </si>
  <si>
    <t>Открытая (18.11.1988)/33</t>
  </si>
  <si>
    <t>107,80</t>
  </si>
  <si>
    <t>Быстров Филипп</t>
  </si>
  <si>
    <t>Открытая (20.01.1991)/31</t>
  </si>
  <si>
    <t>104,40</t>
  </si>
  <si>
    <t>Курка Сергей</t>
  </si>
  <si>
    <t>Открытая (13.12.1990)/31</t>
  </si>
  <si>
    <t>107,50</t>
  </si>
  <si>
    <t>Федоров Михаил</t>
  </si>
  <si>
    <t>Открытая (12.07.1986)/35</t>
  </si>
  <si>
    <t>103,80</t>
  </si>
  <si>
    <t>Гусев Виталий</t>
  </si>
  <si>
    <t>Открытая (16.09.1981)/40</t>
  </si>
  <si>
    <t>100,50</t>
  </si>
  <si>
    <t>Черненко Дмитрий</t>
  </si>
  <si>
    <t>Мастера 40-49 (17.02.1973)/49</t>
  </si>
  <si>
    <t>100,40</t>
  </si>
  <si>
    <t>Дмитриев Эдуард</t>
  </si>
  <si>
    <t>Мастера 40-49 (26.05.1972)/49</t>
  </si>
  <si>
    <t>111,10</t>
  </si>
  <si>
    <t>Пешков Андрей</t>
  </si>
  <si>
    <t>Мастера 50-59 (05.11.1963)/58</t>
  </si>
  <si>
    <t>117,60</t>
  </si>
  <si>
    <t xml:space="preserve">Грахов Ю. </t>
  </si>
  <si>
    <t>Кондрашов Илья</t>
  </si>
  <si>
    <t>Юниоры (13.09.2001)/20</t>
  </si>
  <si>
    <t>127,20</t>
  </si>
  <si>
    <t>Крылов Олег</t>
  </si>
  <si>
    <t>Открытая (04.11.1973)/48</t>
  </si>
  <si>
    <t>132,70</t>
  </si>
  <si>
    <t>Ковешников Данил</t>
  </si>
  <si>
    <t>Открытая (22.06.1993)/28</t>
  </si>
  <si>
    <t>126,50</t>
  </si>
  <si>
    <t>Мастера 40-49 (04.11.1973)/48</t>
  </si>
  <si>
    <t>Гогуев Расул</t>
  </si>
  <si>
    <t>Открытая (26.08.1987)/34</t>
  </si>
  <si>
    <t>155,50</t>
  </si>
  <si>
    <t>145,0840</t>
  </si>
  <si>
    <t>136,9800</t>
  </si>
  <si>
    <t>134,2220</t>
  </si>
  <si>
    <t>152,5256</t>
  </si>
  <si>
    <t>145,1067</t>
  </si>
  <si>
    <t>134,9878</t>
  </si>
  <si>
    <t>6</t>
  </si>
  <si>
    <t>7</t>
  </si>
  <si>
    <t>8</t>
  </si>
  <si>
    <t>Фадеева Ирина</t>
  </si>
  <si>
    <t>Девушки 14-16 (21.07.2006)/15</t>
  </si>
  <si>
    <t>51,00</t>
  </si>
  <si>
    <t>Макаренко Елена</t>
  </si>
  <si>
    <t>Юниорки (23.02.2000)/22</t>
  </si>
  <si>
    <t>50,90</t>
  </si>
  <si>
    <t xml:space="preserve">BLR/Витебск </t>
  </si>
  <si>
    <t>Захватова Анастасия</t>
  </si>
  <si>
    <t>Открытая (21.07.1986)/35</t>
  </si>
  <si>
    <t>49,30</t>
  </si>
  <si>
    <t xml:space="preserve">Рак Я. </t>
  </si>
  <si>
    <t>Ляховская Юлианна</t>
  </si>
  <si>
    <t>Открытая (26.10.1995)/26</t>
  </si>
  <si>
    <t>50,60</t>
  </si>
  <si>
    <t xml:space="preserve">Абашин А. </t>
  </si>
  <si>
    <t>Платонова Кристина</t>
  </si>
  <si>
    <t>Открытая (07.05.1990)/31</t>
  </si>
  <si>
    <t>55,20</t>
  </si>
  <si>
    <t>Балабатько Оксана</t>
  </si>
  <si>
    <t>Девушки 17-19 (24.01.2005)/17</t>
  </si>
  <si>
    <t>59,20</t>
  </si>
  <si>
    <t>Садовникова Юлия</t>
  </si>
  <si>
    <t>Открытая (26.06.1983)/38</t>
  </si>
  <si>
    <t>59,40</t>
  </si>
  <si>
    <t>Лукашова Татьяна</t>
  </si>
  <si>
    <t>Открытая (11.03.1984)/38</t>
  </si>
  <si>
    <t>58,80</t>
  </si>
  <si>
    <t xml:space="preserve">Александров А. </t>
  </si>
  <si>
    <t>Долгашова Тамара</t>
  </si>
  <si>
    <t>Мастера 50-59 (13.09.1967)/54</t>
  </si>
  <si>
    <t>59,70</t>
  </si>
  <si>
    <t>Ломаева Марина</t>
  </si>
  <si>
    <t>Открытая (26.06.1990)/31</t>
  </si>
  <si>
    <t>64,00</t>
  </si>
  <si>
    <t>32,5</t>
  </si>
  <si>
    <t>37,5</t>
  </si>
  <si>
    <t>Семыкина Дарья</t>
  </si>
  <si>
    <t>Открытая (03.03.2001)/21</t>
  </si>
  <si>
    <t>72,20</t>
  </si>
  <si>
    <t>Матвеева Наталия</t>
  </si>
  <si>
    <t>Мастера 60-69 (06.10.1961)/60</t>
  </si>
  <si>
    <t>Савенко Владислав</t>
  </si>
  <si>
    <t>Юноши 14-16 (08.01.2009)/13</t>
  </si>
  <si>
    <t>49,40</t>
  </si>
  <si>
    <t>Орлов Владислав</t>
  </si>
  <si>
    <t>Юноши 14-16 (02.11.2005)/16</t>
  </si>
  <si>
    <t>Сергеев Егор</t>
  </si>
  <si>
    <t>Юноши 14-16 (06.11.2005)/16</t>
  </si>
  <si>
    <t>56,80</t>
  </si>
  <si>
    <t>Кузьмин Павел</t>
  </si>
  <si>
    <t>Открытая (02.07.1995)/26</t>
  </si>
  <si>
    <t>58,40</t>
  </si>
  <si>
    <t>Колесников Никита</t>
  </si>
  <si>
    <t>Юноши 14-16 (19.04.2007)/15</t>
  </si>
  <si>
    <t>65,70</t>
  </si>
  <si>
    <t>Мжельский Кирилл</t>
  </si>
  <si>
    <t>Открытая (30.07.1987)/34</t>
  </si>
  <si>
    <t>Степанов Владимир</t>
  </si>
  <si>
    <t>Открытая (30.07.1996)/25</t>
  </si>
  <si>
    <t>66,60</t>
  </si>
  <si>
    <t xml:space="preserve">Лукашевич Е. </t>
  </si>
  <si>
    <t>Лашков Никита</t>
  </si>
  <si>
    <t>Юноши 14-16 (31.01.2006)/16</t>
  </si>
  <si>
    <t>72,90</t>
  </si>
  <si>
    <t>Ядрышников Владислав</t>
  </si>
  <si>
    <t>Юниоры (21.01.2000)/22</t>
  </si>
  <si>
    <t>Кетенчиев Марат</t>
  </si>
  <si>
    <t>Открытая (19.07.1986)/35</t>
  </si>
  <si>
    <t>74,20</t>
  </si>
  <si>
    <t>Езерский Виктор</t>
  </si>
  <si>
    <t>Открытая (08.06.1979)/42</t>
  </si>
  <si>
    <t>74,60</t>
  </si>
  <si>
    <t>Сябренко Алексей</t>
  </si>
  <si>
    <t>Открытая (29.10.1997)/24</t>
  </si>
  <si>
    <t xml:space="preserve">Ларионов В. </t>
  </si>
  <si>
    <t>Миленин Станислав</t>
  </si>
  <si>
    <t>Мастера 40-49 (04.07.1975)/46</t>
  </si>
  <si>
    <t>Сайфиев Огабек</t>
  </si>
  <si>
    <t>Юноши 17-19 (27.02.2004)/18</t>
  </si>
  <si>
    <t>78,10</t>
  </si>
  <si>
    <t>Хлюстин Валерий</t>
  </si>
  <si>
    <t>Юноши 17-19 (25.05.2003)/18</t>
  </si>
  <si>
    <t>82,30</t>
  </si>
  <si>
    <t xml:space="preserve">Быков А. </t>
  </si>
  <si>
    <t>Шербоев Шавкат</t>
  </si>
  <si>
    <t>Открытая (17.11.1997)/24</t>
  </si>
  <si>
    <t>80,30</t>
  </si>
  <si>
    <t>Открытая (27.02.2004)/18</t>
  </si>
  <si>
    <t>Афанасьев Антон</t>
  </si>
  <si>
    <t>Открытая (03.04.1986)/36</t>
  </si>
  <si>
    <t>79,50</t>
  </si>
  <si>
    <t>Череповецкий Виктор</t>
  </si>
  <si>
    <t>Мастера 40-49 (03.02.1981)/41</t>
  </si>
  <si>
    <t>Воронов Александр</t>
  </si>
  <si>
    <t>Мастера 40-49 (25.12.1979)/42</t>
  </si>
  <si>
    <t>81,20</t>
  </si>
  <si>
    <t>Горюшкин Дмитрий</t>
  </si>
  <si>
    <t>Мастера 40-49 (01.08.1980)/41</t>
  </si>
  <si>
    <t>Видяков Александр</t>
  </si>
  <si>
    <t>Юниоры (25.12.2000)/21</t>
  </si>
  <si>
    <t>88,50</t>
  </si>
  <si>
    <t>Черепахин Виталий</t>
  </si>
  <si>
    <t>Открытая (24.01.1991)/31</t>
  </si>
  <si>
    <t>88,90</t>
  </si>
  <si>
    <t xml:space="preserve">Берлин П. </t>
  </si>
  <si>
    <t>Арсентьев Андрей</t>
  </si>
  <si>
    <t>Открытая (10.02.1985)/37</t>
  </si>
  <si>
    <t>87,80</t>
  </si>
  <si>
    <t>Копкин Денис</t>
  </si>
  <si>
    <t>Открытая (06.10.1986)/35</t>
  </si>
  <si>
    <t>88,60</t>
  </si>
  <si>
    <t xml:space="preserve">Коробов И. </t>
  </si>
  <si>
    <t>Горев Владислав</t>
  </si>
  <si>
    <t>Открытая (25.01.1996)/26</t>
  </si>
  <si>
    <t xml:space="preserve">Солдатов А. </t>
  </si>
  <si>
    <t>Антонов Антон</t>
  </si>
  <si>
    <t>Открытая (07.03.1989)/33</t>
  </si>
  <si>
    <t>85,30</t>
  </si>
  <si>
    <t>Дмитриев Виктор</t>
  </si>
  <si>
    <t>Открытая (16.09.1988)/33</t>
  </si>
  <si>
    <t>89,10</t>
  </si>
  <si>
    <t>Билый Александр</t>
  </si>
  <si>
    <t>Открытая (16.07.1987)/34</t>
  </si>
  <si>
    <t>Хаярдинов Ильдар</t>
  </si>
  <si>
    <t>Мастера 40-49 (08.12.1972)/49</t>
  </si>
  <si>
    <t>86,50</t>
  </si>
  <si>
    <t>Вагин Алексей</t>
  </si>
  <si>
    <t>Юноши 14-16 (21.04.2006)/16</t>
  </si>
  <si>
    <t>93,80</t>
  </si>
  <si>
    <t>Волков Тимофей</t>
  </si>
  <si>
    <t>Юноши 14-16 (24.07.2005)/16</t>
  </si>
  <si>
    <t>93,70</t>
  </si>
  <si>
    <t>Колесников Артём</t>
  </si>
  <si>
    <t>Юноши 17-19 (04.06.2002)/19</t>
  </si>
  <si>
    <t>97,10</t>
  </si>
  <si>
    <t>Открытая (04.06.2002)/19</t>
  </si>
  <si>
    <t>Мельник Антон</t>
  </si>
  <si>
    <t>Открытая (16.04.1988)/34</t>
  </si>
  <si>
    <t>Белокуров Даниил</t>
  </si>
  <si>
    <t>Открытая (08.07.1996)/25</t>
  </si>
  <si>
    <t>Медведев Владислав</t>
  </si>
  <si>
    <t>Открытая (24.06.1996)/25</t>
  </si>
  <si>
    <t xml:space="preserve">Балабатько И. </t>
  </si>
  <si>
    <t>Сытько Вадим</t>
  </si>
  <si>
    <t>Мастера 40-49 (01.04.1982)/40</t>
  </si>
  <si>
    <t>99,50</t>
  </si>
  <si>
    <t>Мастера 50-59 (20.12.1964)/57</t>
  </si>
  <si>
    <t>Егоров Георгий</t>
  </si>
  <si>
    <t>Мастера 50-59 (17.03.1972)/50</t>
  </si>
  <si>
    <t>Мишанов Игорь</t>
  </si>
  <si>
    <t>Открытая (18.04.1989)/33</t>
  </si>
  <si>
    <t>109,50</t>
  </si>
  <si>
    <t>Вежов Михаил</t>
  </si>
  <si>
    <t>Открытая (31.05.1988)/33</t>
  </si>
  <si>
    <t>105,20</t>
  </si>
  <si>
    <t>Громов Алексей</t>
  </si>
  <si>
    <t>Открытая (14.02.1990)/32</t>
  </si>
  <si>
    <t>Крылов Андрей</t>
  </si>
  <si>
    <t>Открытая (01.07.1987)/34</t>
  </si>
  <si>
    <t>107,40</t>
  </si>
  <si>
    <t>Бадаев Андрей</t>
  </si>
  <si>
    <t>108,80</t>
  </si>
  <si>
    <t xml:space="preserve">Волков А. </t>
  </si>
  <si>
    <t>Шиляев Алексей</t>
  </si>
  <si>
    <t>Открытая (07.07.1995)/26</t>
  </si>
  <si>
    <t>107,60</t>
  </si>
  <si>
    <t>Алешкин Сергей</t>
  </si>
  <si>
    <t>Открытая (26.12.1985)/36</t>
  </si>
  <si>
    <t>103,10</t>
  </si>
  <si>
    <t>Грунтов Виктор</t>
  </si>
  <si>
    <t>Мастера 40-49 (27.05.1972)/49</t>
  </si>
  <si>
    <t>Новиков Михаил</t>
  </si>
  <si>
    <t>Мастера 40-49 (24.03.1979)/43</t>
  </si>
  <si>
    <t>105,70</t>
  </si>
  <si>
    <t>Фролов Сергей</t>
  </si>
  <si>
    <t>Открытая (21.03.1986)/36</t>
  </si>
  <si>
    <t>113,00</t>
  </si>
  <si>
    <t>Куликов Антон</t>
  </si>
  <si>
    <t>Открытая (22.12.1982)/39</t>
  </si>
  <si>
    <t>120,50</t>
  </si>
  <si>
    <t>Иванов Михаил</t>
  </si>
  <si>
    <t>Открытая (02.07.1976)/45</t>
  </si>
  <si>
    <t>122,60</t>
  </si>
  <si>
    <t>Захарьянц Денис</t>
  </si>
  <si>
    <t>Открытая (30.11.1984)/37</t>
  </si>
  <si>
    <t>123,10</t>
  </si>
  <si>
    <t>Фадеев Дмитрий</t>
  </si>
  <si>
    <t>Мастера 40-49 (30.08.1975)/46</t>
  </si>
  <si>
    <t>119,10</t>
  </si>
  <si>
    <t>Иванов Юрий</t>
  </si>
  <si>
    <t>Мастера 40-49 (17.09.1975)/46</t>
  </si>
  <si>
    <t>122,00</t>
  </si>
  <si>
    <t>Кузнецов Николай</t>
  </si>
  <si>
    <t>Мастера 40-49 (12.02.1978)/44</t>
  </si>
  <si>
    <t>122,30</t>
  </si>
  <si>
    <t>Франчук Василий</t>
  </si>
  <si>
    <t>Мастера 60-69 (27.08.1955)/66</t>
  </si>
  <si>
    <t>111,60</t>
  </si>
  <si>
    <t>90,1135</t>
  </si>
  <si>
    <t>86,2750</t>
  </si>
  <si>
    <t>81,4610</t>
  </si>
  <si>
    <t xml:space="preserve">Мастера 60-69 </t>
  </si>
  <si>
    <t>103,9950</t>
  </si>
  <si>
    <t>100,1163</t>
  </si>
  <si>
    <t>75,0840</t>
  </si>
  <si>
    <t>112,4007</t>
  </si>
  <si>
    <t>109,1360</t>
  </si>
  <si>
    <t>104,4265</t>
  </si>
  <si>
    <t>171,3285</t>
  </si>
  <si>
    <t>142,1490</t>
  </si>
  <si>
    <t>123,6625</t>
  </si>
  <si>
    <t>Анфарович Александр</t>
  </si>
  <si>
    <t>Мастера 60-69 (03.12.1961)/60</t>
  </si>
  <si>
    <t>81,60</t>
  </si>
  <si>
    <t>Кравцов Константин</t>
  </si>
  <si>
    <t>Открытая (26.10.1982)/39</t>
  </si>
  <si>
    <t>96,60</t>
  </si>
  <si>
    <t>Гусев Феликс</t>
  </si>
  <si>
    <t>Мастера 50-59 (02.10.1970)/51</t>
  </si>
  <si>
    <t xml:space="preserve">Ларионов Д.С. </t>
  </si>
  <si>
    <t>Матвеев Александр</t>
  </si>
  <si>
    <t>Мастера 40-49 (14.03.1974)/48</t>
  </si>
  <si>
    <t>217,0</t>
  </si>
  <si>
    <t xml:space="preserve">Жинкин В. </t>
  </si>
  <si>
    <t>Александров Александр</t>
  </si>
  <si>
    <t>Открытая (19.07.1979)/42</t>
  </si>
  <si>
    <t>Зайцев Сергей</t>
  </si>
  <si>
    <t>Открытая (25.05.1982)/39</t>
  </si>
  <si>
    <t>Мастера 40-49 (19.07.1979)/42</t>
  </si>
  <si>
    <t>Алтухов Александр</t>
  </si>
  <si>
    <t>Открытая (31.03.1989)/33</t>
  </si>
  <si>
    <t>110,00</t>
  </si>
  <si>
    <t>Небыков Алексей</t>
  </si>
  <si>
    <t>Открытая (19.03.1966)/56</t>
  </si>
  <si>
    <t>Скок Андрей</t>
  </si>
  <si>
    <t>Открытая (28.05.1988)/33</t>
  </si>
  <si>
    <t>282,5</t>
  </si>
  <si>
    <t>Хлызов Евгений</t>
  </si>
  <si>
    <t>Открытая (01.07.1989)/32</t>
  </si>
  <si>
    <t xml:space="preserve">Зайнутдинов В. </t>
  </si>
  <si>
    <t>Кобелев Павел</t>
  </si>
  <si>
    <t>Открытая (04.08.1989)/32</t>
  </si>
  <si>
    <t>347,5</t>
  </si>
  <si>
    <t>Талеров Александр</t>
  </si>
  <si>
    <t>Открытая (08.06.1983)/38</t>
  </si>
  <si>
    <t xml:space="preserve">Таранухин Г.Ю </t>
  </si>
  <si>
    <t>Журавов Никита</t>
  </si>
  <si>
    <t>Открытая (08.12.1996)/25</t>
  </si>
  <si>
    <t>87,60</t>
  </si>
  <si>
    <t>Корякин Сергей</t>
  </si>
  <si>
    <t>Мастера 40-49 (01.07.1976)/45</t>
  </si>
  <si>
    <t>84,50</t>
  </si>
  <si>
    <t>Кулиш Александр</t>
  </si>
  <si>
    <t>Открытая (31.08.1990)/31</t>
  </si>
  <si>
    <t>Чернышев Дмитрий</t>
  </si>
  <si>
    <t>Открытая (22.01.1974)/48</t>
  </si>
  <si>
    <t>Костылев Алексей</t>
  </si>
  <si>
    <t>Мастера 40-49 (04.09.1973)/48</t>
  </si>
  <si>
    <t>118,70</t>
  </si>
  <si>
    <t>Прокофьев Никита</t>
  </si>
  <si>
    <t>Юниоры (27.06.1998)/23</t>
  </si>
  <si>
    <t>128,90</t>
  </si>
  <si>
    <t>213,0800</t>
  </si>
  <si>
    <t>208,7540</t>
  </si>
  <si>
    <t>208,0650</t>
  </si>
  <si>
    <t>ВЕСОВАЯ КАТЕГОРИЯ   44</t>
  </si>
  <si>
    <t>Белова Галина</t>
  </si>
  <si>
    <t>Открытая (26.04.1991)/30</t>
  </si>
  <si>
    <t>43,50</t>
  </si>
  <si>
    <t xml:space="preserve">Белов А. Г. </t>
  </si>
  <si>
    <t>Дементьева Анастасия</t>
  </si>
  <si>
    <t>Открытая (23.04.1994)/28</t>
  </si>
  <si>
    <t>47,90</t>
  </si>
  <si>
    <t>Данилова Александра</t>
  </si>
  <si>
    <t>Открытая (03.12.1987)/34</t>
  </si>
  <si>
    <t>Суворова Наталья</t>
  </si>
  <si>
    <t>Девушки 17-19 (19.06.2002)/19</t>
  </si>
  <si>
    <t>Большакова Карина</t>
  </si>
  <si>
    <t>Юниорки (21.01.2002)/20</t>
  </si>
  <si>
    <t>Миранкова Злата</t>
  </si>
  <si>
    <t>Открытая (04.08.1987)/34</t>
  </si>
  <si>
    <t>Тимофеева Татьяна</t>
  </si>
  <si>
    <t>Открытая (11.08.1984)/37</t>
  </si>
  <si>
    <t>55,00</t>
  </si>
  <si>
    <t>Посникова Ирина</t>
  </si>
  <si>
    <t>Открытая (04.04.1987)/35</t>
  </si>
  <si>
    <t>56,90</t>
  </si>
  <si>
    <t>Стасенко Ева</t>
  </si>
  <si>
    <t>Девушки 14-16 (06.01.2006)/16</t>
  </si>
  <si>
    <t>Христова Диана</t>
  </si>
  <si>
    <t>Открытая (23.11.1995)/26</t>
  </si>
  <si>
    <t>Гусейнова Елена</t>
  </si>
  <si>
    <t>Открытая (25.10.1988)/33</t>
  </si>
  <si>
    <t>61,60</t>
  </si>
  <si>
    <t>Щуклина Надежда</t>
  </si>
  <si>
    <t>Мастера 40-49 (06.06.1978)/43</t>
  </si>
  <si>
    <t>63,60</t>
  </si>
  <si>
    <t>Зотова Грета</t>
  </si>
  <si>
    <t>Открытая (14.03.1995)/27</t>
  </si>
  <si>
    <t>71,10</t>
  </si>
  <si>
    <t>Садовников Артём</t>
  </si>
  <si>
    <t>Юноши 14-16 (21.08.2007)/14</t>
  </si>
  <si>
    <t>57,60</t>
  </si>
  <si>
    <t>Седнин Никита</t>
  </si>
  <si>
    <t>Юноши 17-19 (23.04.2003)/19</t>
  </si>
  <si>
    <t>Терешенков Владимир</t>
  </si>
  <si>
    <t>Открытая (06.12.1988)/33</t>
  </si>
  <si>
    <t>74,10</t>
  </si>
  <si>
    <t>Чёлошкин Егор</t>
  </si>
  <si>
    <t>Открытая (18.02.1993)/29</t>
  </si>
  <si>
    <t xml:space="preserve">Черепанов В. </t>
  </si>
  <si>
    <t>Ковтун Евгений</t>
  </si>
  <si>
    <t>Открытая (21.09.1982)/39</t>
  </si>
  <si>
    <t>Кувалдов Дмитрий</t>
  </si>
  <si>
    <t>Открытая (26.06.1991)/30</t>
  </si>
  <si>
    <t>87,10</t>
  </si>
  <si>
    <t>247,5</t>
  </si>
  <si>
    <t>Елисеев Сергей</t>
  </si>
  <si>
    <t>Открытая (01.01.1995)/27</t>
  </si>
  <si>
    <t>Большаков Владимир</t>
  </si>
  <si>
    <t>Открытая (27.06.1988)/33</t>
  </si>
  <si>
    <t>Зверев Александр</t>
  </si>
  <si>
    <t>Открытая (27.07.1994)/27</t>
  </si>
  <si>
    <t>Устинов Дмитрий</t>
  </si>
  <si>
    <t>Открытая (05.12.1987)/34</t>
  </si>
  <si>
    <t>85,40</t>
  </si>
  <si>
    <t>Кибизов Марат</t>
  </si>
  <si>
    <t>Юноши 17-19 (17.10.2003)/18</t>
  </si>
  <si>
    <t>99,80</t>
  </si>
  <si>
    <t>Зверев Роман</t>
  </si>
  <si>
    <t>Открытая (15.05.1988)/33</t>
  </si>
  <si>
    <t>Григорьев Юрий</t>
  </si>
  <si>
    <t>Открытая (30.12.1970)/51</t>
  </si>
  <si>
    <t>Мастера 50-59 (30.12.1970)/51</t>
  </si>
  <si>
    <t>Кудряшов Денис</t>
  </si>
  <si>
    <t>Юноши 17-19 (31.05.2003)/18</t>
  </si>
  <si>
    <t>Бондарчук Антон</t>
  </si>
  <si>
    <t>Открытая (03.03.1975)/47</t>
  </si>
  <si>
    <t>123,30</t>
  </si>
  <si>
    <t>Мастера 40-49 (03.03.1975)/47</t>
  </si>
  <si>
    <t>148,4850</t>
  </si>
  <si>
    <t>147,2875</t>
  </si>
  <si>
    <t>193,1265</t>
  </si>
  <si>
    <t>160,0200</t>
  </si>
  <si>
    <t>155,8800</t>
  </si>
  <si>
    <t>Дрейзин Александр</t>
  </si>
  <si>
    <t>Открытая (17.04.1983)/39</t>
  </si>
  <si>
    <t>Меньщиков Станислав</t>
  </si>
  <si>
    <t>108,70</t>
  </si>
  <si>
    <t>Антимонов Виктор</t>
  </si>
  <si>
    <t>Открытая (07.11.1984)/37</t>
  </si>
  <si>
    <t>106,90</t>
  </si>
  <si>
    <t>Кочнева Елизавета</t>
  </si>
  <si>
    <t>Девушки 14-16 (08.04.2006)/16</t>
  </si>
  <si>
    <t>53,40</t>
  </si>
  <si>
    <t>Иванова Наталия</t>
  </si>
  <si>
    <t>Открытая (20.10.1990)/31</t>
  </si>
  <si>
    <t>Веселова Ирина</t>
  </si>
  <si>
    <t>Открытая (21.09.1991)/30</t>
  </si>
  <si>
    <t>66,80</t>
  </si>
  <si>
    <t>Золотова Маргарита</t>
  </si>
  <si>
    <t>Открытая (19.06.1993)/28</t>
  </si>
  <si>
    <t>73,90</t>
  </si>
  <si>
    <t>Быстров Михаил</t>
  </si>
  <si>
    <t>Юноши 17-19 (21.08.2003)/18</t>
  </si>
  <si>
    <t>63,10</t>
  </si>
  <si>
    <t>Тронь Владислав</t>
  </si>
  <si>
    <t>Юноши 14-16 (03.08.2008)/13</t>
  </si>
  <si>
    <t>69,40</t>
  </si>
  <si>
    <t>Томилов Никита</t>
  </si>
  <si>
    <t>Юниоры (16.11.1999)/22</t>
  </si>
  <si>
    <t>72,50</t>
  </si>
  <si>
    <t>Васильев Богдан</t>
  </si>
  <si>
    <t>Юноши 17-19 (29.08.2003)/18</t>
  </si>
  <si>
    <t>106,30</t>
  </si>
  <si>
    <t>25,0</t>
  </si>
  <si>
    <t>73,20</t>
  </si>
  <si>
    <t>Греченюк Алексей</t>
  </si>
  <si>
    <t>78,60</t>
  </si>
  <si>
    <t>Никитин Максим</t>
  </si>
  <si>
    <t>Открытая (14.07.1997)/24</t>
  </si>
  <si>
    <t>80,00</t>
  </si>
  <si>
    <t>Намшуков Илья</t>
  </si>
  <si>
    <t>Открытая (25.08.1984)/37</t>
  </si>
  <si>
    <t>Иванов Вячеслав</t>
  </si>
  <si>
    <t>92,50</t>
  </si>
  <si>
    <t>Дмитриенко Сергей</t>
  </si>
  <si>
    <t>129,20</t>
  </si>
  <si>
    <t>27,5</t>
  </si>
  <si>
    <t>Никитина Анна</t>
  </si>
  <si>
    <t>65,80</t>
  </si>
  <si>
    <t>20,0</t>
  </si>
  <si>
    <t>Новоселов Михаил</t>
  </si>
  <si>
    <t>72,60</t>
  </si>
  <si>
    <t>Заваркин Егор</t>
  </si>
  <si>
    <t>72,30</t>
  </si>
  <si>
    <t>Татарников Владимир</t>
  </si>
  <si>
    <t>Открытая (25.04.1995)/26</t>
  </si>
  <si>
    <t>73,00</t>
  </si>
  <si>
    <t>Антипин Александр</t>
  </si>
  <si>
    <t>Открытая (21.07.1993)/28</t>
  </si>
  <si>
    <t>Барбанель Вадим</t>
  </si>
  <si>
    <t xml:space="preserve">Крицкий А. </t>
  </si>
  <si>
    <t>Меженский Николай</t>
  </si>
  <si>
    <t>Открытая (30.09.1992)/29</t>
  </si>
  <si>
    <t>81,10</t>
  </si>
  <si>
    <t>Луштин Максим</t>
  </si>
  <si>
    <t>Открытая (15.03.1995)/27</t>
  </si>
  <si>
    <t>Худайбердин Александр</t>
  </si>
  <si>
    <t>Открытая (16.10.1996)/25</t>
  </si>
  <si>
    <t xml:space="preserve">Гучинская Г. </t>
  </si>
  <si>
    <t>Лавренюк Алексей</t>
  </si>
  <si>
    <t>Открытая (20.10.1987)/34</t>
  </si>
  <si>
    <t>Мукулов Кирилл</t>
  </si>
  <si>
    <t>84,60</t>
  </si>
  <si>
    <t>Гнутов Дмитрий</t>
  </si>
  <si>
    <t>Открытая (24.03.1992)/30</t>
  </si>
  <si>
    <t>Степанов Павел</t>
  </si>
  <si>
    <t>Мастера 60+ (20.01.1960)/62</t>
  </si>
  <si>
    <t>97,40</t>
  </si>
  <si>
    <t>48,8887</t>
  </si>
  <si>
    <t>41,6374</t>
  </si>
  <si>
    <t>40,6575</t>
  </si>
  <si>
    <t>Сухишвили Антон</t>
  </si>
  <si>
    <t>Открытая (21.11.1985)/36</t>
  </si>
  <si>
    <t xml:space="preserve">Волков Н. </t>
  </si>
  <si>
    <t>Весовая категория</t>
  </si>
  <si>
    <t xml:space="preserve">Леонов А. </t>
  </si>
  <si>
    <t xml:space="preserve">Гаджиев Р. </t>
  </si>
  <si>
    <t xml:space="preserve">Корзая А. </t>
  </si>
  <si>
    <t xml:space="preserve">Ерахтин А. </t>
  </si>
  <si>
    <t xml:space="preserve">Калинкин И. </t>
  </si>
  <si>
    <t xml:space="preserve">Гнетнев В. </t>
  </si>
  <si>
    <t xml:space="preserve">Грицаев Д. </t>
  </si>
  <si>
    <t xml:space="preserve">Смирнов Е. </t>
  </si>
  <si>
    <t xml:space="preserve">Бебенин Г. </t>
  </si>
  <si>
    <t xml:space="preserve">Матвеев С. </t>
  </si>
  <si>
    <t xml:space="preserve">Талеров А. </t>
  </si>
  <si>
    <t xml:space="preserve">Ан С. </t>
  </si>
  <si>
    <t xml:space="preserve">Снопков В. </t>
  </si>
  <si>
    <t xml:space="preserve">Непатюк А. </t>
  </si>
  <si>
    <t xml:space="preserve">Павлов С. </t>
  </si>
  <si>
    <t xml:space="preserve">Смирнов А. </t>
  </si>
  <si>
    <t xml:space="preserve">Ефимов А. </t>
  </si>
  <si>
    <t xml:space="preserve">Боровков С. </t>
  </si>
  <si>
    <t xml:space="preserve">Рябинков И. </t>
  </si>
  <si>
    <t xml:space="preserve">Самарин Л. </t>
  </si>
  <si>
    <t xml:space="preserve">Кульпин Н. </t>
  </si>
  <si>
    <t xml:space="preserve">Самарина Н. </t>
  </si>
  <si>
    <t xml:space="preserve">Непотюк А. </t>
  </si>
  <si>
    <t xml:space="preserve">Сусова В. </t>
  </si>
  <si>
    <t xml:space="preserve">Рыбаков Д. </t>
  </si>
  <si>
    <t xml:space="preserve">Сабитов Р. </t>
  </si>
  <si>
    <t>Международный турнир «Мемориал памяти Константина Константинова»
WRPF Пауэрлифтинг без экипировки ДК
Санкт-Петербург, 23-24 апреля 2022 года</t>
  </si>
  <si>
    <t>Международный турнир «Мемориал памяти Константина Константинова»
WRPF Пауэрлифтинг без экипировки
Санкт-Петербург, 23-24 апреля 2022 года</t>
  </si>
  <si>
    <t>Международный турнир «Мемориал памяти Константина Константинова»
WRPF Пауэрлифтинг классический в бинтах ДК
Санкт-Петербург, 23-24 апреля 2022 года</t>
  </si>
  <si>
    <t>Международный турнир «Мемориал памяти Константина Константинова»
WRPF Пауэрлифтинг классический в бинтах
Санкт-Петербург, 23-24 апреля 2022 года</t>
  </si>
  <si>
    <t>Международный турнир «Мемориал памяти Константина Константинова»
WRPF Силовое двоеборье без экипировки ДК
Санкт-Петербург, 23-24 апреля 2022 года</t>
  </si>
  <si>
    <t>Международный турнир «Мемориал памяти Константина Константинова»
WRPF Силовое двоеборье без экипировки
Санкт-Петербург, 23-24 апреля 2022 года</t>
  </si>
  <si>
    <t>Международный турнир «Мемориал памяти Константина Константинова»
WRPF Жим лежа без экипировки ДК
Санкт-Петербург, 23-24 апреля 2022 года</t>
  </si>
  <si>
    <t>Международный турнир «Мемориал памяти Константина Константинова»
WRPF Жим лежа без экипировки
Санкт-Петербург, 23-24 апреля 2022 года</t>
  </si>
  <si>
    <t>Международный турнир «Мемориал памяти Константина Константинова»
WEPF Жим лежа в однослойной экипировке
Санкт-Петербург, 23-24 апреля 2022 года</t>
  </si>
  <si>
    <t>Международный турнир «Мемориал памяти Константина Константинова»
WEPF Жим лежа в однопетельной софт экипировке ДК
Санкт-Петербург, 23-24 апреля 2022 года</t>
  </si>
  <si>
    <t>Международный турнир «Мемориал памяти Константина Константинова»
WEPF Жим лежа в однопетельной софт экипировке
Санкт-Петербург, 23-24 апреля 2022 года</t>
  </si>
  <si>
    <t>Международный турнир «Мемориал памяти Константина Константинова»
WEPF Жим лежа в многопетельной софт экипировке ДК
Санкт-Петербург, 23-24 апреля 2022 года</t>
  </si>
  <si>
    <t>Международный турнир «Мемориал памяти Константина Константинова»
WEPF Жим лежа в многопетельной софт экипировке
Санкт-Петербург, 23-24 апреля 2022 года</t>
  </si>
  <si>
    <t>Международный турнир «Мемориал памяти Константина Константинова»
WRPF Военный жим лежа с ДК
Санкт-Петербург, 23-24 апреля 2022 года</t>
  </si>
  <si>
    <t>Международный турнир «Мемориал памяти Константина Константинова»
WRPF Военный жим лежа
Санкт-Петербург, 23-24 апреля 2022 года</t>
  </si>
  <si>
    <t>Международный турнир «Мемориал памяти Константина Константинова»
WRPF Жим лежа среди спортсменов с физическими особенностями
Санкт-Петербург, 23-24 апреля 2022 года</t>
  </si>
  <si>
    <t>Международный турнир «Мемориал памяти Константина Константинова»
WRPF Становая тяга без экипировки ДК
Санкт-Петербург, 23-24 апреля 2022 года</t>
  </si>
  <si>
    <t>Международный турнир «Мемориал памяти Константина Константинова»
WRPF Становая тяга без экипировки
Санкт-Петербург, 23-24 апреля 2022 года</t>
  </si>
  <si>
    <t>Международный турнир «Мемориал памяти Константина Константинова»
WRPF Строгий подъем штанги на бицепс ДК
Санкт-Петербург, 23-24 апреля 2022 года</t>
  </si>
  <si>
    <t>Международный турнир «Мемориал памяти Константина Константинова»
WRPF Строгий подъем штанги на бицепс
Санкт-Петербург, 23-24 апреля 2022 года</t>
  </si>
  <si>
    <t>Самостоятельно</t>
  </si>
  <si>
    <t xml:space="preserve">Кравцов Д. </t>
  </si>
  <si>
    <t xml:space="preserve">Скворцов М. </t>
  </si>
  <si>
    <t xml:space="preserve">Черкас Ю. </t>
  </si>
  <si>
    <t xml:space="preserve">Ругинов О. </t>
  </si>
  <si>
    <t xml:space="preserve">Хлызов Е. </t>
  </si>
  <si>
    <t xml:space="preserve">Verdyev H. </t>
  </si>
  <si>
    <t xml:space="preserve">Абрамов А. </t>
  </si>
  <si>
    <t xml:space="preserve">Солнцев М. </t>
  </si>
  <si>
    <t xml:space="preserve">Пыткин М. </t>
  </si>
  <si>
    <t xml:space="preserve">Гудков М., Коробов И. </t>
  </si>
  <si>
    <t xml:space="preserve">Ловчиков А. </t>
  </si>
  <si>
    <t xml:space="preserve">Солнцев И. </t>
  </si>
  <si>
    <t xml:space="preserve">Иванов И. </t>
  </si>
  <si>
    <t xml:space="preserve">Докучаев К., Сюмайкин М. </t>
  </si>
  <si>
    <t xml:space="preserve">Ярошко Е. </t>
  </si>
  <si>
    <t xml:space="preserve">Тютюнник Е. </t>
  </si>
  <si>
    <t xml:space="preserve">Федотов Б. </t>
  </si>
  <si>
    <t xml:space="preserve">Горбачёв Г. </t>
  </si>
  <si>
    <t xml:space="preserve">Марков А. </t>
  </si>
  <si>
    <t xml:space="preserve">Дмитриев Э. </t>
  </si>
  <si>
    <t xml:space="preserve">Камиский Е. </t>
  </si>
  <si>
    <t xml:space="preserve">Яруков С. </t>
  </si>
  <si>
    <t xml:space="preserve">Косарев А. </t>
  </si>
  <si>
    <t xml:space="preserve">Нойманн Ю. </t>
  </si>
  <si>
    <t xml:space="preserve">Антонов Л. </t>
  </si>
  <si>
    <t xml:space="preserve">Рогожин А. </t>
  </si>
  <si>
    <t xml:space="preserve">Дроздов А. </t>
  </si>
  <si>
    <t xml:space="preserve">Рябенков И. </t>
  </si>
  <si>
    <t>Мастера 40-49 (08.01.1981)/41</t>
  </si>
  <si>
    <t>Юноши 13-19 (25.02.2004)/18</t>
  </si>
  <si>
    <t>Юноши 13-19 (18.08.2004)/17</t>
  </si>
  <si>
    <t>Юниоры 20-23 (21.01.2000)/22</t>
  </si>
  <si>
    <t>Юниоры 20-23 (17.10.2001)/20</t>
  </si>
  <si>
    <t>Юниоры 20-23 (05.10.1998)/23</t>
  </si>
  <si>
    <t>Юноши 13-19 (15.10.2004)/17</t>
  </si>
  <si>
    <t>Мастера 50-59 (22.02.1972)/50</t>
  </si>
  <si>
    <t>Мастера 40-49 (26.08.1975)/46</t>
  </si>
  <si>
    <t xml:space="preserve">Белов А. </t>
  </si>
  <si>
    <t xml:space="preserve">Платонов М. </t>
  </si>
  <si>
    <t xml:space="preserve">Ковтун Е. </t>
  </si>
  <si>
    <t xml:space="preserve">Кувалдов Д. </t>
  </si>
  <si>
    <t xml:space="preserve">Абиджба Р. </t>
  </si>
  <si>
    <t xml:space="preserve">Захаров С. </t>
  </si>
  <si>
    <t xml:space="preserve">Григорьев Ю. </t>
  </si>
  <si>
    <t xml:space="preserve">Длужневский С. </t>
  </si>
  <si>
    <t xml:space="preserve">Нойман Ю. </t>
  </si>
  <si>
    <t xml:space="preserve">Цыплаков А. </t>
  </si>
  <si>
    <t xml:space="preserve">Меженский Н. </t>
  </si>
  <si>
    <t xml:space="preserve">Бирюков С. </t>
  </si>
  <si>
    <t xml:space="preserve">Дмитриенко С. </t>
  </si>
  <si>
    <t xml:space="preserve">Гнутов Д. </t>
  </si>
  <si>
    <t>Жим</t>
  </si>
  <si>
    <t xml:space="preserve">Вышний Волочёк </t>
  </si>
  <si>
    <t xml:space="preserve">Санкт-Петербург </t>
  </si>
  <si>
    <t xml:space="preserve">Сочи </t>
  </si>
  <si>
    <t xml:space="preserve">Химки </t>
  </si>
  <si>
    <t xml:space="preserve">Кондопога </t>
  </si>
  <si>
    <t xml:space="preserve">Москва </t>
  </si>
  <si>
    <t xml:space="preserve">Выборг </t>
  </si>
  <si>
    <t xml:space="preserve">Крымск </t>
  </si>
  <si>
    <t xml:space="preserve">Всеволожск </t>
  </si>
  <si>
    <t xml:space="preserve">Сосновый Бор </t>
  </si>
  <si>
    <t xml:space="preserve">Красное Село </t>
  </si>
  <si>
    <t xml:space="preserve">Кудрово </t>
  </si>
  <si>
    <t xml:space="preserve">Владимир </t>
  </si>
  <si>
    <t xml:space="preserve">Чита </t>
  </si>
  <si>
    <t xml:space="preserve">Петрозаводск </t>
  </si>
  <si>
    <t xml:space="preserve">Кириши </t>
  </si>
  <si>
    <t xml:space="preserve">Красногорск </t>
  </si>
  <si>
    <t xml:space="preserve">Радужный </t>
  </si>
  <si>
    <t xml:space="preserve">Пангоды </t>
  </si>
  <si>
    <t xml:space="preserve">Елец </t>
  </si>
  <si>
    <t xml:space="preserve">Тольятти </t>
  </si>
  <si>
    <t xml:space="preserve">Зеленодольск </t>
  </si>
  <si>
    <t xml:space="preserve">Кронштадт </t>
  </si>
  <si>
    <t xml:space="preserve">Хабаровск </t>
  </si>
  <si>
    <t xml:space="preserve">Пушкин </t>
  </si>
  <si>
    <t xml:space="preserve">Чагода </t>
  </si>
  <si>
    <t xml:space="preserve">Ачинск </t>
  </si>
  <si>
    <t xml:space="preserve">Великие Луки </t>
  </si>
  <si>
    <t xml:space="preserve">Пикалёво </t>
  </si>
  <si>
    <t xml:space="preserve">Нижневартовск </t>
  </si>
  <si>
    <t xml:space="preserve">Колпино </t>
  </si>
  <si>
    <t xml:space="preserve">Псков </t>
  </si>
  <si>
    <t xml:space="preserve">Одинцово </t>
  </si>
  <si>
    <t xml:space="preserve">Ярославль </t>
  </si>
  <si>
    <t xml:space="preserve">Самара </t>
  </si>
  <si>
    <t xml:space="preserve">Саратов </t>
  </si>
  <si>
    <t xml:space="preserve">Тихвин </t>
  </si>
  <si>
    <t xml:space="preserve">поселок Тельмана </t>
  </si>
  <si>
    <t xml:space="preserve">Сольцы </t>
  </si>
  <si>
    <t xml:space="preserve">Петропавловск-Камчатский </t>
  </si>
  <si>
    <t xml:space="preserve">Бологое </t>
  </si>
  <si>
    <t xml:space="preserve">Домодедово </t>
  </si>
  <si>
    <t xml:space="preserve">Тула </t>
  </si>
  <si>
    <t xml:space="preserve">Великий Новгород </t>
  </si>
  <si>
    <t xml:space="preserve">Шлиссельбург </t>
  </si>
  <si>
    <t xml:space="preserve">Смоленск </t>
  </si>
  <si>
    <t xml:space="preserve">Губкинский </t>
  </si>
  <si>
    <t xml:space="preserve">Мурманск </t>
  </si>
  <si>
    <t xml:space="preserve">Гатчина </t>
  </si>
  <si>
    <t xml:space="preserve">Воронеж </t>
  </si>
  <si>
    <t xml:space="preserve">Липецк </t>
  </si>
  <si>
    <t xml:space="preserve">Энгельс </t>
  </si>
  <si>
    <t xml:space="preserve">Зеленоград </t>
  </si>
  <si>
    <t xml:space="preserve">Коммунар </t>
  </si>
  <si>
    <t xml:space="preserve">Ухта </t>
  </si>
  <si>
    <t xml:space="preserve">Вырица </t>
  </si>
  <si>
    <t xml:space="preserve">Долинск </t>
  </si>
  <si>
    <t xml:space="preserve">Малая Вишера </t>
  </si>
  <si>
    <t xml:space="preserve">Владикавказ </t>
  </si>
  <si>
    <t xml:space="preserve">Шарья </t>
  </si>
  <si>
    <t xml:space="preserve">Морозовск </t>
  </si>
  <si>
    <t xml:space="preserve">Белая Калитва </t>
  </si>
  <si>
    <t xml:space="preserve">Новотроицк </t>
  </si>
  <si>
    <t xml:space="preserve">Оренбург </t>
  </si>
  <si>
    <t xml:space="preserve">Тверь </t>
  </si>
  <si>
    <t xml:space="preserve">Баку </t>
  </si>
  <si>
    <t xml:space="preserve">Силламяэ </t>
  </si>
  <si>
    <t>Sillamae</t>
  </si>
  <si>
    <t xml:space="preserve">
Дата рождения/Возраст</t>
  </si>
  <si>
    <t>Возрастная группа</t>
  </si>
  <si>
    <t>O</t>
  </si>
  <si>
    <t>M1</t>
  </si>
  <si>
    <t>T</t>
  </si>
  <si>
    <t>J</t>
  </si>
  <si>
    <t>M3</t>
  </si>
  <si>
    <t>M2</t>
  </si>
  <si>
    <t>T2</t>
  </si>
  <si>
    <t>T1</t>
  </si>
  <si>
    <t xml:space="preserve">Riga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</si>
</sst>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49" fontId="0" fillId="0" borderId="22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center" vertical="center"/>
    </xf>
    <xf numFmtId="49" fontId="0" fillId="0" borderId="24" xfId="0" applyNumberFormat="1" applyFont="1" applyFill="1" applyBorder="1" applyAlignment="1">
      <alignment horizontal="center" vertical="center"/>
    </xf>
    <xf numFmtId="49" fontId="1" fillId="2" borderId="24" xfId="0" applyNumberFormat="1" applyFont="1" applyFill="1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/>
    </xf>
    <xf numFmtId="49" fontId="0" fillId="0" borderId="23" xfId="0" applyNumberFormat="1" applyFont="1" applyFill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U104"/>
  <sheetViews>
    <sheetView tabSelected="1" topLeftCell="A60" workbookViewId="0">
      <selection activeCell="E87" sqref="E87"/>
    </sheetView>
  </sheetViews>
  <sheetFormatPr baseColWidth="10" defaultColWidth="9.1640625" defaultRowHeight="13"/>
  <cols>
    <col min="1" max="1" width="7.5" style="5" bestFit="1" customWidth="1"/>
    <col min="2" max="2" width="22.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6.83203125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28" bestFit="1" customWidth="1"/>
    <col min="20" max="20" width="8.5" style="6" bestFit="1" customWidth="1"/>
    <col min="21" max="21" width="27.5" style="5" bestFit="1" customWidth="1"/>
    <col min="22" max="16384" width="9.1640625" style="3"/>
  </cols>
  <sheetData>
    <row r="1" spans="1:21" s="2" customFormat="1" ht="29" customHeight="1">
      <c r="A1" s="57" t="s">
        <v>1039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60"/>
    </row>
    <row r="2" spans="1:21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4"/>
    </row>
    <row r="3" spans="1:21" s="1" customFormat="1" ht="12.75" customHeight="1">
      <c r="A3" s="65" t="s">
        <v>76</v>
      </c>
      <c r="B3" s="47" t="s">
        <v>0</v>
      </c>
      <c r="C3" s="67" t="s">
        <v>1180</v>
      </c>
      <c r="D3" s="67" t="s">
        <v>5</v>
      </c>
      <c r="E3" s="51" t="s">
        <v>1181</v>
      </c>
      <c r="F3" s="51" t="s">
        <v>6</v>
      </c>
      <c r="G3" s="51" t="s">
        <v>7</v>
      </c>
      <c r="H3" s="51"/>
      <c r="I3" s="51"/>
      <c r="J3" s="51"/>
      <c r="K3" s="51" t="s">
        <v>8</v>
      </c>
      <c r="L3" s="51"/>
      <c r="M3" s="51"/>
      <c r="N3" s="51"/>
      <c r="O3" s="51" t="s">
        <v>9</v>
      </c>
      <c r="P3" s="51"/>
      <c r="Q3" s="51"/>
      <c r="R3" s="51"/>
      <c r="S3" s="49" t="s">
        <v>1</v>
      </c>
      <c r="T3" s="51" t="s">
        <v>3</v>
      </c>
      <c r="U3" s="53" t="s">
        <v>2</v>
      </c>
    </row>
    <row r="4" spans="1:21" s="1" customFormat="1" ht="21" customHeight="1" thickBot="1">
      <c r="A4" s="66"/>
      <c r="B4" s="48"/>
      <c r="C4" s="52"/>
      <c r="D4" s="52"/>
      <c r="E4" s="52"/>
      <c r="F4" s="52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0"/>
      <c r="T4" s="52"/>
      <c r="U4" s="54"/>
    </row>
    <row r="5" spans="1:21" ht="16">
      <c r="A5" s="55" t="s">
        <v>271</v>
      </c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21">
      <c r="A6" s="8" t="s">
        <v>269</v>
      </c>
      <c r="B6" s="7" t="s">
        <v>272</v>
      </c>
      <c r="C6" s="7" t="s">
        <v>273</v>
      </c>
      <c r="D6" s="7" t="s">
        <v>274</v>
      </c>
      <c r="E6" s="7" t="s">
        <v>1183</v>
      </c>
      <c r="F6" s="7" t="s">
        <v>1112</v>
      </c>
      <c r="G6" s="19" t="s">
        <v>275</v>
      </c>
      <c r="H6" s="19" t="s">
        <v>276</v>
      </c>
      <c r="I6" s="19" t="s">
        <v>276</v>
      </c>
      <c r="J6" s="8"/>
      <c r="K6" s="19"/>
      <c r="L6" s="8"/>
      <c r="M6" s="8"/>
      <c r="N6" s="8"/>
      <c r="O6" s="19"/>
      <c r="P6" s="8"/>
      <c r="Q6" s="8"/>
      <c r="R6" s="8"/>
      <c r="S6" s="29">
        <v>0</v>
      </c>
      <c r="T6" s="8" t="str">
        <f>"0,0000"</f>
        <v>0,0000</v>
      </c>
      <c r="U6" s="7" t="s">
        <v>1013</v>
      </c>
    </row>
    <row r="7" spans="1:21">
      <c r="B7" s="5" t="s">
        <v>75</v>
      </c>
    </row>
    <row r="8" spans="1:21" ht="16">
      <c r="A8" s="46" t="s">
        <v>90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</row>
    <row r="9" spans="1:21">
      <c r="A9" s="8" t="s">
        <v>74</v>
      </c>
      <c r="B9" s="7" t="s">
        <v>279</v>
      </c>
      <c r="C9" s="7" t="s">
        <v>280</v>
      </c>
      <c r="D9" s="7" t="s">
        <v>281</v>
      </c>
      <c r="E9" s="7" t="s">
        <v>1182</v>
      </c>
      <c r="F9" s="7" t="s">
        <v>1113</v>
      </c>
      <c r="G9" s="18" t="s">
        <v>282</v>
      </c>
      <c r="H9" s="18" t="s">
        <v>150</v>
      </c>
      <c r="I9" s="18" t="s">
        <v>278</v>
      </c>
      <c r="J9" s="8"/>
      <c r="K9" s="18" t="s">
        <v>108</v>
      </c>
      <c r="L9" s="19" t="s">
        <v>96</v>
      </c>
      <c r="M9" s="18" t="s">
        <v>96</v>
      </c>
      <c r="N9" s="8"/>
      <c r="O9" s="18" t="s">
        <v>123</v>
      </c>
      <c r="P9" s="18" t="s">
        <v>94</v>
      </c>
      <c r="Q9" s="19" t="s">
        <v>95</v>
      </c>
      <c r="R9" s="8"/>
      <c r="S9" s="29" t="str">
        <f>"235,0"</f>
        <v>235,0</v>
      </c>
      <c r="T9" s="8" t="str">
        <f>"293,8440"</f>
        <v>293,8440</v>
      </c>
      <c r="U9" s="7" t="s">
        <v>1014</v>
      </c>
    </row>
    <row r="10" spans="1:21">
      <c r="B10" s="5" t="s">
        <v>75</v>
      </c>
    </row>
    <row r="11" spans="1:21" ht="16">
      <c r="A11" s="46" t="s">
        <v>101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</row>
    <row r="12" spans="1:21">
      <c r="A12" s="10" t="s">
        <v>74</v>
      </c>
      <c r="B12" s="9" t="s">
        <v>283</v>
      </c>
      <c r="C12" s="9" t="s">
        <v>284</v>
      </c>
      <c r="D12" s="9" t="s">
        <v>285</v>
      </c>
      <c r="E12" s="9" t="s">
        <v>1182</v>
      </c>
      <c r="F12" s="9" t="s">
        <v>1113</v>
      </c>
      <c r="G12" s="21" t="s">
        <v>121</v>
      </c>
      <c r="H12" s="21" t="s">
        <v>122</v>
      </c>
      <c r="I12" s="21" t="s">
        <v>286</v>
      </c>
      <c r="J12" s="10"/>
      <c r="K12" s="21" t="s">
        <v>96</v>
      </c>
      <c r="L12" s="20" t="s">
        <v>98</v>
      </c>
      <c r="M12" s="20" t="s">
        <v>98</v>
      </c>
      <c r="N12" s="10"/>
      <c r="O12" s="21" t="s">
        <v>94</v>
      </c>
      <c r="P12" s="21" t="s">
        <v>110</v>
      </c>
      <c r="Q12" s="21" t="s">
        <v>111</v>
      </c>
      <c r="R12" s="10"/>
      <c r="S12" s="30" t="str">
        <f>"267,5"</f>
        <v>267,5</v>
      </c>
      <c r="T12" s="10" t="str">
        <f>"317,8703"</f>
        <v>317,8703</v>
      </c>
      <c r="U12" s="9" t="s">
        <v>425</v>
      </c>
    </row>
    <row r="13" spans="1:21">
      <c r="A13" s="25" t="s">
        <v>267</v>
      </c>
      <c r="B13" s="24" t="s">
        <v>287</v>
      </c>
      <c r="C13" s="24" t="s">
        <v>288</v>
      </c>
      <c r="D13" s="24" t="s">
        <v>289</v>
      </c>
      <c r="E13" s="24" t="s">
        <v>1182</v>
      </c>
      <c r="F13" s="24" t="s">
        <v>1114</v>
      </c>
      <c r="G13" s="26" t="s">
        <v>122</v>
      </c>
      <c r="H13" s="27" t="s">
        <v>123</v>
      </c>
      <c r="I13" s="27" t="s">
        <v>123</v>
      </c>
      <c r="J13" s="25"/>
      <c r="K13" s="27" t="s">
        <v>290</v>
      </c>
      <c r="L13" s="27" t="s">
        <v>290</v>
      </c>
      <c r="M13" s="26" t="s">
        <v>290</v>
      </c>
      <c r="N13" s="25"/>
      <c r="O13" s="26" t="s">
        <v>109</v>
      </c>
      <c r="P13" s="26" t="s">
        <v>110</v>
      </c>
      <c r="Q13" s="26" t="s">
        <v>125</v>
      </c>
      <c r="R13" s="25"/>
      <c r="S13" s="31" t="str">
        <f>"262,5"</f>
        <v>262,5</v>
      </c>
      <c r="T13" s="25" t="str">
        <f>"309,3038"</f>
        <v>309,3038</v>
      </c>
      <c r="U13" s="24" t="s">
        <v>1015</v>
      </c>
    </row>
    <row r="14" spans="1:21">
      <c r="A14" s="25" t="s">
        <v>268</v>
      </c>
      <c r="B14" s="24" t="s">
        <v>291</v>
      </c>
      <c r="C14" s="24" t="s">
        <v>127</v>
      </c>
      <c r="D14" s="24" t="s">
        <v>292</v>
      </c>
      <c r="E14" s="24" t="s">
        <v>1182</v>
      </c>
      <c r="F14" s="24" t="s">
        <v>1113</v>
      </c>
      <c r="G14" s="26" t="s">
        <v>117</v>
      </c>
      <c r="H14" s="27" t="s">
        <v>107</v>
      </c>
      <c r="I14" s="27" t="s">
        <v>122</v>
      </c>
      <c r="J14" s="25"/>
      <c r="K14" s="26" t="s">
        <v>124</v>
      </c>
      <c r="L14" s="27" t="s">
        <v>108</v>
      </c>
      <c r="M14" s="27" t="s">
        <v>108</v>
      </c>
      <c r="N14" s="25"/>
      <c r="O14" s="26" t="s">
        <v>110</v>
      </c>
      <c r="P14" s="26" t="s">
        <v>111</v>
      </c>
      <c r="Q14" s="26" t="s">
        <v>145</v>
      </c>
      <c r="R14" s="25"/>
      <c r="S14" s="31" t="str">
        <f>"252,5"</f>
        <v>252,5</v>
      </c>
      <c r="T14" s="25" t="str">
        <f>"305,2220"</f>
        <v>305,2220</v>
      </c>
      <c r="U14" s="24" t="s">
        <v>1016</v>
      </c>
    </row>
    <row r="15" spans="1:21">
      <c r="A15" s="12" t="s">
        <v>270</v>
      </c>
      <c r="B15" s="11" t="s">
        <v>293</v>
      </c>
      <c r="C15" s="11" t="s">
        <v>294</v>
      </c>
      <c r="D15" s="11" t="s">
        <v>285</v>
      </c>
      <c r="E15" s="11" t="s">
        <v>1182</v>
      </c>
      <c r="F15" s="11" t="s">
        <v>1115</v>
      </c>
      <c r="G15" s="23" t="s">
        <v>105</v>
      </c>
      <c r="H15" s="23" t="s">
        <v>106</v>
      </c>
      <c r="I15" s="22" t="s">
        <v>107</v>
      </c>
      <c r="J15" s="12"/>
      <c r="K15" s="23" t="s">
        <v>96</v>
      </c>
      <c r="L15" s="22" t="s">
        <v>98</v>
      </c>
      <c r="M15" s="22" t="s">
        <v>98</v>
      </c>
      <c r="N15" s="12"/>
      <c r="O15" s="23" t="s">
        <v>278</v>
      </c>
      <c r="P15" s="23" t="s">
        <v>106</v>
      </c>
      <c r="Q15" s="22" t="s">
        <v>107</v>
      </c>
      <c r="R15" s="12"/>
      <c r="S15" s="32" t="str">
        <f>"225,0"</f>
        <v>225,0</v>
      </c>
      <c r="T15" s="12" t="str">
        <f>"267,3675"</f>
        <v>267,3675</v>
      </c>
      <c r="U15" s="11" t="s">
        <v>1017</v>
      </c>
    </row>
    <row r="16" spans="1:21">
      <c r="B16" s="5" t="s">
        <v>75</v>
      </c>
    </row>
    <row r="17" spans="1:21" ht="16">
      <c r="A17" s="46" t="s">
        <v>112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</row>
    <row r="18" spans="1:21">
      <c r="A18" s="10" t="s">
        <v>74</v>
      </c>
      <c r="B18" s="9" t="s">
        <v>295</v>
      </c>
      <c r="C18" s="9" t="s">
        <v>296</v>
      </c>
      <c r="D18" s="9" t="s">
        <v>297</v>
      </c>
      <c r="E18" s="9" t="s">
        <v>1182</v>
      </c>
      <c r="F18" s="9" t="s">
        <v>1116</v>
      </c>
      <c r="G18" s="20" t="s">
        <v>125</v>
      </c>
      <c r="H18" s="21" t="s">
        <v>125</v>
      </c>
      <c r="I18" s="21" t="s">
        <v>155</v>
      </c>
      <c r="J18" s="10"/>
      <c r="K18" s="21" t="s">
        <v>276</v>
      </c>
      <c r="L18" s="21" t="s">
        <v>130</v>
      </c>
      <c r="M18" s="20" t="s">
        <v>282</v>
      </c>
      <c r="N18" s="10"/>
      <c r="O18" s="21" t="s">
        <v>81</v>
      </c>
      <c r="P18" s="21" t="s">
        <v>18</v>
      </c>
      <c r="Q18" s="21" t="s">
        <v>39</v>
      </c>
      <c r="R18" s="10"/>
      <c r="S18" s="30" t="str">
        <f>"355,0"</f>
        <v>355,0</v>
      </c>
      <c r="T18" s="10" t="str">
        <f>"404,7355"</f>
        <v>404,7355</v>
      </c>
      <c r="U18" s="9" t="s">
        <v>1018</v>
      </c>
    </row>
    <row r="19" spans="1:21">
      <c r="A19" s="25" t="s">
        <v>267</v>
      </c>
      <c r="B19" s="24" t="s">
        <v>298</v>
      </c>
      <c r="C19" s="24" t="s">
        <v>299</v>
      </c>
      <c r="D19" s="24" t="s">
        <v>300</v>
      </c>
      <c r="E19" s="24" t="s">
        <v>1182</v>
      </c>
      <c r="F19" s="24" t="s">
        <v>1117</v>
      </c>
      <c r="G19" s="27" t="s">
        <v>125</v>
      </c>
      <c r="H19" s="26" t="s">
        <v>125</v>
      </c>
      <c r="I19" s="27" t="s">
        <v>190</v>
      </c>
      <c r="J19" s="25"/>
      <c r="K19" s="26" t="s">
        <v>98</v>
      </c>
      <c r="L19" s="26" t="s">
        <v>275</v>
      </c>
      <c r="M19" s="26" t="s">
        <v>129</v>
      </c>
      <c r="N19" s="25"/>
      <c r="O19" s="26" t="s">
        <v>110</v>
      </c>
      <c r="P19" s="26" t="s">
        <v>145</v>
      </c>
      <c r="Q19" s="27" t="s">
        <v>99</v>
      </c>
      <c r="R19" s="25"/>
      <c r="S19" s="31" t="str">
        <f>"310,0"</f>
        <v>310,0</v>
      </c>
      <c r="T19" s="25" t="str">
        <f>"345,6190"</f>
        <v>345,6190</v>
      </c>
      <c r="U19" s="24" t="s">
        <v>301</v>
      </c>
    </row>
    <row r="20" spans="1:21">
      <c r="A20" s="25" t="s">
        <v>268</v>
      </c>
      <c r="B20" s="24" t="s">
        <v>302</v>
      </c>
      <c r="C20" s="24" t="s">
        <v>303</v>
      </c>
      <c r="D20" s="24" t="s">
        <v>304</v>
      </c>
      <c r="E20" s="24" t="s">
        <v>1182</v>
      </c>
      <c r="F20" s="24" t="s">
        <v>1113</v>
      </c>
      <c r="G20" s="26" t="s">
        <v>122</v>
      </c>
      <c r="H20" s="26" t="s">
        <v>123</v>
      </c>
      <c r="I20" s="26" t="s">
        <v>305</v>
      </c>
      <c r="J20" s="25"/>
      <c r="K20" s="26" t="s">
        <v>96</v>
      </c>
      <c r="L20" s="27" t="s">
        <v>97</v>
      </c>
      <c r="M20" s="27" t="s">
        <v>97</v>
      </c>
      <c r="N20" s="25"/>
      <c r="O20" s="26" t="s">
        <v>111</v>
      </c>
      <c r="P20" s="26" t="s">
        <v>99</v>
      </c>
      <c r="Q20" s="27" t="s">
        <v>163</v>
      </c>
      <c r="R20" s="25"/>
      <c r="S20" s="31" t="str">
        <f>"282,5"</f>
        <v>282,5</v>
      </c>
      <c r="T20" s="25" t="str">
        <f>"319,0838"</f>
        <v>319,0838</v>
      </c>
      <c r="U20" s="24" t="s">
        <v>306</v>
      </c>
    </row>
    <row r="21" spans="1:21">
      <c r="A21" s="25" t="s">
        <v>270</v>
      </c>
      <c r="B21" s="24" t="s">
        <v>307</v>
      </c>
      <c r="C21" s="24" t="s">
        <v>308</v>
      </c>
      <c r="D21" s="24" t="s">
        <v>309</v>
      </c>
      <c r="E21" s="24" t="s">
        <v>1182</v>
      </c>
      <c r="F21" s="24" t="s">
        <v>1118</v>
      </c>
      <c r="G21" s="26" t="s">
        <v>278</v>
      </c>
      <c r="H21" s="26" t="s">
        <v>121</v>
      </c>
      <c r="I21" s="27" t="s">
        <v>123</v>
      </c>
      <c r="J21" s="25"/>
      <c r="K21" s="26" t="s">
        <v>96</v>
      </c>
      <c r="L21" s="26" t="s">
        <v>98</v>
      </c>
      <c r="M21" s="27" t="s">
        <v>310</v>
      </c>
      <c r="N21" s="25"/>
      <c r="O21" s="26" t="s">
        <v>123</v>
      </c>
      <c r="P21" s="26" t="s">
        <v>109</v>
      </c>
      <c r="Q21" s="25"/>
      <c r="R21" s="25"/>
      <c r="S21" s="31" t="str">
        <f>"255,0"</f>
        <v>255,0</v>
      </c>
      <c r="T21" s="25" t="str">
        <f>"289,1700"</f>
        <v>289,1700</v>
      </c>
      <c r="U21" s="24" t="s">
        <v>1019</v>
      </c>
    </row>
    <row r="22" spans="1:21">
      <c r="A22" s="12" t="s">
        <v>449</v>
      </c>
      <c r="B22" s="11" t="s">
        <v>311</v>
      </c>
      <c r="C22" s="11" t="s">
        <v>312</v>
      </c>
      <c r="D22" s="11" t="s">
        <v>313</v>
      </c>
      <c r="E22" s="11" t="s">
        <v>1182</v>
      </c>
      <c r="F22" s="11" t="s">
        <v>1113</v>
      </c>
      <c r="G22" s="23" t="s">
        <v>275</v>
      </c>
      <c r="H22" s="23" t="s">
        <v>130</v>
      </c>
      <c r="I22" s="23" t="s">
        <v>150</v>
      </c>
      <c r="J22" s="12"/>
      <c r="K22" s="23" t="s">
        <v>314</v>
      </c>
      <c r="L22" s="22" t="s">
        <v>315</v>
      </c>
      <c r="M22" s="22" t="s">
        <v>290</v>
      </c>
      <c r="N22" s="12"/>
      <c r="O22" s="23" t="s">
        <v>105</v>
      </c>
      <c r="P22" s="23" t="s">
        <v>121</v>
      </c>
      <c r="Q22" s="23" t="s">
        <v>286</v>
      </c>
      <c r="R22" s="12"/>
      <c r="S22" s="32" t="str">
        <f>"207,5"</f>
        <v>207,5</v>
      </c>
      <c r="T22" s="12" t="str">
        <f>"237,8572"</f>
        <v>237,8572</v>
      </c>
      <c r="U22" s="11" t="s">
        <v>1020</v>
      </c>
    </row>
    <row r="23" spans="1:21">
      <c r="B23" s="5" t="s">
        <v>75</v>
      </c>
    </row>
    <row r="24" spans="1:21" ht="16">
      <c r="A24" s="46" t="s">
        <v>131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</row>
    <row r="25" spans="1:21">
      <c r="A25" s="10" t="s">
        <v>74</v>
      </c>
      <c r="B25" s="9" t="s">
        <v>316</v>
      </c>
      <c r="C25" s="9" t="s">
        <v>317</v>
      </c>
      <c r="D25" s="9" t="s">
        <v>318</v>
      </c>
      <c r="E25" s="9" t="s">
        <v>1185</v>
      </c>
      <c r="F25" s="9" t="s">
        <v>1119</v>
      </c>
      <c r="G25" s="20" t="s">
        <v>319</v>
      </c>
      <c r="H25" s="21" t="s">
        <v>319</v>
      </c>
      <c r="I25" s="20" t="s">
        <v>125</v>
      </c>
      <c r="J25" s="10"/>
      <c r="K25" s="21" t="s">
        <v>310</v>
      </c>
      <c r="L25" s="21" t="s">
        <v>129</v>
      </c>
      <c r="M25" s="21" t="s">
        <v>276</v>
      </c>
      <c r="N25" s="10"/>
      <c r="O25" s="21" t="s">
        <v>111</v>
      </c>
      <c r="P25" s="21" t="s">
        <v>99</v>
      </c>
      <c r="Q25" s="21" t="s">
        <v>100</v>
      </c>
      <c r="R25" s="10"/>
      <c r="S25" s="30" t="str">
        <f>"320,0"</f>
        <v>320,0</v>
      </c>
      <c r="T25" s="10" t="str">
        <f>"331,5840"</f>
        <v>331,5840</v>
      </c>
      <c r="U25" s="9" t="s">
        <v>1021</v>
      </c>
    </row>
    <row r="26" spans="1:21">
      <c r="A26" s="25" t="s">
        <v>74</v>
      </c>
      <c r="B26" s="24" t="s">
        <v>320</v>
      </c>
      <c r="C26" s="24" t="s">
        <v>321</v>
      </c>
      <c r="D26" s="24" t="s">
        <v>322</v>
      </c>
      <c r="E26" s="24" t="s">
        <v>1182</v>
      </c>
      <c r="F26" s="24" t="s">
        <v>1120</v>
      </c>
      <c r="G26" s="26" t="s">
        <v>94</v>
      </c>
      <c r="H26" s="27" t="s">
        <v>116</v>
      </c>
      <c r="I26" s="27" t="s">
        <v>116</v>
      </c>
      <c r="J26" s="25"/>
      <c r="K26" s="26" t="s">
        <v>275</v>
      </c>
      <c r="L26" s="26" t="s">
        <v>276</v>
      </c>
      <c r="M26" s="27" t="s">
        <v>130</v>
      </c>
      <c r="N26" s="25"/>
      <c r="O26" s="26" t="s">
        <v>17</v>
      </c>
      <c r="P26" s="26" t="s">
        <v>18</v>
      </c>
      <c r="Q26" s="27" t="s">
        <v>19</v>
      </c>
      <c r="R26" s="25"/>
      <c r="S26" s="31" t="str">
        <f>"320,0"</f>
        <v>320,0</v>
      </c>
      <c r="T26" s="25" t="str">
        <f>"338,8160"</f>
        <v>338,8160</v>
      </c>
      <c r="U26" s="24" t="s">
        <v>306</v>
      </c>
    </row>
    <row r="27" spans="1:21">
      <c r="A27" s="25" t="s">
        <v>267</v>
      </c>
      <c r="B27" s="24" t="s">
        <v>323</v>
      </c>
      <c r="C27" s="24" t="s">
        <v>324</v>
      </c>
      <c r="D27" s="24" t="s">
        <v>325</v>
      </c>
      <c r="E27" s="24" t="s">
        <v>1182</v>
      </c>
      <c r="F27" s="24" t="s">
        <v>1113</v>
      </c>
      <c r="G27" s="26" t="s">
        <v>117</v>
      </c>
      <c r="H27" s="26" t="s">
        <v>107</v>
      </c>
      <c r="I27" s="26" t="s">
        <v>286</v>
      </c>
      <c r="J27" s="25"/>
      <c r="K27" s="26" t="s">
        <v>129</v>
      </c>
      <c r="L27" s="27" t="s">
        <v>276</v>
      </c>
      <c r="M27" s="27" t="s">
        <v>276</v>
      </c>
      <c r="N27" s="25"/>
      <c r="O27" s="26" t="s">
        <v>111</v>
      </c>
      <c r="P27" s="26" t="s">
        <v>155</v>
      </c>
      <c r="Q27" s="27" t="s">
        <v>99</v>
      </c>
      <c r="R27" s="25"/>
      <c r="S27" s="31" t="str">
        <f>"287,5"</f>
        <v>287,5</v>
      </c>
      <c r="T27" s="25" t="str">
        <f>"299,5750"</f>
        <v>299,5750</v>
      </c>
      <c r="U27" s="24" t="s">
        <v>1022</v>
      </c>
    </row>
    <row r="28" spans="1:21">
      <c r="A28" s="12" t="s">
        <v>74</v>
      </c>
      <c r="B28" s="11" t="s">
        <v>326</v>
      </c>
      <c r="C28" s="11" t="s">
        <v>327</v>
      </c>
      <c r="D28" s="11" t="s">
        <v>328</v>
      </c>
      <c r="E28" s="11" t="s">
        <v>1183</v>
      </c>
      <c r="F28" s="11" t="s">
        <v>1113</v>
      </c>
      <c r="G28" s="23" t="s">
        <v>130</v>
      </c>
      <c r="H28" s="23" t="s">
        <v>149</v>
      </c>
      <c r="I28" s="23" t="s">
        <v>150</v>
      </c>
      <c r="J28" s="12"/>
      <c r="K28" s="23" t="s">
        <v>108</v>
      </c>
      <c r="L28" s="22" t="s">
        <v>97</v>
      </c>
      <c r="M28" s="22" t="s">
        <v>97</v>
      </c>
      <c r="N28" s="12"/>
      <c r="O28" s="23" t="s">
        <v>122</v>
      </c>
      <c r="P28" s="23" t="s">
        <v>305</v>
      </c>
      <c r="Q28" s="23" t="s">
        <v>94</v>
      </c>
      <c r="R28" s="12"/>
      <c r="S28" s="32" t="str">
        <f>"227,5"</f>
        <v>227,5</v>
      </c>
      <c r="T28" s="12" t="str">
        <f>"243,1865"</f>
        <v>243,1865</v>
      </c>
      <c r="U28" s="11" t="s">
        <v>748</v>
      </c>
    </row>
    <row r="29" spans="1:21">
      <c r="B29" s="5" t="s">
        <v>75</v>
      </c>
    </row>
    <row r="30" spans="1:21" ht="16">
      <c r="A30" s="46" t="s">
        <v>158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</row>
    <row r="31" spans="1:21">
      <c r="A31" s="8" t="s">
        <v>74</v>
      </c>
      <c r="B31" s="7" t="s">
        <v>329</v>
      </c>
      <c r="C31" s="7" t="s">
        <v>330</v>
      </c>
      <c r="D31" s="7" t="s">
        <v>331</v>
      </c>
      <c r="E31" s="7" t="s">
        <v>1182</v>
      </c>
      <c r="F31" s="7" t="s">
        <v>1113</v>
      </c>
      <c r="G31" s="18" t="s">
        <v>305</v>
      </c>
      <c r="H31" s="18" t="s">
        <v>109</v>
      </c>
      <c r="I31" s="18" t="s">
        <v>116</v>
      </c>
      <c r="J31" s="8"/>
      <c r="K31" s="18" t="s">
        <v>129</v>
      </c>
      <c r="L31" s="19" t="s">
        <v>130</v>
      </c>
      <c r="M31" s="19" t="s">
        <v>130</v>
      </c>
      <c r="N31" s="8"/>
      <c r="O31" s="18" t="s">
        <v>18</v>
      </c>
      <c r="P31" s="18" t="s">
        <v>39</v>
      </c>
      <c r="Q31" s="19" t="s">
        <v>55</v>
      </c>
      <c r="R31" s="8"/>
      <c r="S31" s="29" t="str">
        <f>"335,0"</f>
        <v>335,0</v>
      </c>
      <c r="T31" s="8" t="str">
        <f>"322,0355"</f>
        <v>322,0355</v>
      </c>
      <c r="U31" s="7" t="s">
        <v>306</v>
      </c>
    </row>
    <row r="32" spans="1:21">
      <c r="B32" s="5" t="s">
        <v>75</v>
      </c>
    </row>
    <row r="33" spans="1:21" ht="16">
      <c r="A33" s="46" t="s">
        <v>141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</row>
    <row r="34" spans="1:21">
      <c r="A34" s="8" t="s">
        <v>74</v>
      </c>
      <c r="B34" s="7" t="s">
        <v>332</v>
      </c>
      <c r="C34" s="7" t="s">
        <v>44</v>
      </c>
      <c r="D34" s="7" t="s">
        <v>333</v>
      </c>
      <c r="E34" s="7" t="s">
        <v>1182</v>
      </c>
      <c r="F34" s="7" t="s">
        <v>1121</v>
      </c>
      <c r="G34" s="18" t="s">
        <v>109</v>
      </c>
      <c r="H34" s="18" t="s">
        <v>110</v>
      </c>
      <c r="I34" s="18" t="s">
        <v>111</v>
      </c>
      <c r="J34" s="8"/>
      <c r="K34" s="18" t="s">
        <v>278</v>
      </c>
      <c r="L34" s="18" t="s">
        <v>117</v>
      </c>
      <c r="M34" s="19" t="s">
        <v>106</v>
      </c>
      <c r="N34" s="8"/>
      <c r="O34" s="18" t="s">
        <v>125</v>
      </c>
      <c r="P34" s="18" t="s">
        <v>190</v>
      </c>
      <c r="Q34" s="18" t="s">
        <v>100</v>
      </c>
      <c r="R34" s="8"/>
      <c r="S34" s="29" t="str">
        <f>"342,5"</f>
        <v>342,5</v>
      </c>
      <c r="T34" s="8" t="str">
        <f>"309,8255"</f>
        <v>309,8255</v>
      </c>
      <c r="U34" s="7" t="s">
        <v>697</v>
      </c>
    </row>
    <row r="35" spans="1:21">
      <c r="B35" s="5" t="s">
        <v>75</v>
      </c>
    </row>
    <row r="36" spans="1:21" ht="16">
      <c r="A36" s="46" t="s">
        <v>334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</row>
    <row r="37" spans="1:21">
      <c r="A37" s="8" t="s">
        <v>74</v>
      </c>
      <c r="B37" s="7" t="s">
        <v>335</v>
      </c>
      <c r="C37" s="7" t="s">
        <v>336</v>
      </c>
      <c r="D37" s="7" t="s">
        <v>337</v>
      </c>
      <c r="E37" s="7" t="s">
        <v>1182</v>
      </c>
      <c r="F37" s="7" t="s">
        <v>1113</v>
      </c>
      <c r="G37" s="19" t="s">
        <v>94</v>
      </c>
      <c r="H37" s="18" t="s">
        <v>94</v>
      </c>
      <c r="I37" s="18" t="s">
        <v>109</v>
      </c>
      <c r="J37" s="8"/>
      <c r="K37" s="18" t="s">
        <v>275</v>
      </c>
      <c r="L37" s="18" t="s">
        <v>276</v>
      </c>
      <c r="M37" s="18" t="s">
        <v>282</v>
      </c>
      <c r="N37" s="8"/>
      <c r="O37" s="18" t="s">
        <v>99</v>
      </c>
      <c r="P37" s="18" t="s">
        <v>17</v>
      </c>
      <c r="Q37" s="18" t="s">
        <v>81</v>
      </c>
      <c r="R37" s="8"/>
      <c r="S37" s="29" t="str">
        <f>"325,0"</f>
        <v>325,0</v>
      </c>
      <c r="T37" s="8" t="str">
        <f>"260,0000"</f>
        <v>260,0000</v>
      </c>
      <c r="U37" s="7" t="s">
        <v>1023</v>
      </c>
    </row>
    <row r="38" spans="1:21">
      <c r="B38" s="5" t="s">
        <v>75</v>
      </c>
    </row>
    <row r="39" spans="1:21" ht="16">
      <c r="A39" s="46" t="s">
        <v>101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</row>
    <row r="40" spans="1:21">
      <c r="A40" s="8" t="s">
        <v>74</v>
      </c>
      <c r="B40" s="7" t="s">
        <v>338</v>
      </c>
      <c r="C40" s="7" t="s">
        <v>339</v>
      </c>
      <c r="D40" s="7" t="s">
        <v>340</v>
      </c>
      <c r="E40" s="7" t="s">
        <v>1188</v>
      </c>
      <c r="F40" s="7" t="s">
        <v>1118</v>
      </c>
      <c r="G40" s="18" t="s">
        <v>107</v>
      </c>
      <c r="H40" s="18" t="s">
        <v>123</v>
      </c>
      <c r="I40" s="18" t="s">
        <v>95</v>
      </c>
      <c r="J40" s="8"/>
      <c r="K40" s="18" t="s">
        <v>130</v>
      </c>
      <c r="L40" s="18" t="s">
        <v>149</v>
      </c>
      <c r="M40" s="18" t="s">
        <v>341</v>
      </c>
      <c r="N40" s="8"/>
      <c r="O40" s="18" t="s">
        <v>100</v>
      </c>
      <c r="P40" s="18" t="s">
        <v>212</v>
      </c>
      <c r="Q40" s="19" t="s">
        <v>154</v>
      </c>
      <c r="R40" s="8"/>
      <c r="S40" s="29" t="str">
        <f>"337,5"</f>
        <v>337,5</v>
      </c>
      <c r="T40" s="8" t="str">
        <f>"309,4200"</f>
        <v>309,4200</v>
      </c>
      <c r="U40" s="7" t="s">
        <v>1024</v>
      </c>
    </row>
    <row r="41" spans="1:21">
      <c r="B41" s="5" t="s">
        <v>75</v>
      </c>
    </row>
    <row r="42" spans="1:21" ht="16">
      <c r="A42" s="46" t="s">
        <v>131</v>
      </c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</row>
    <row r="43" spans="1:21">
      <c r="A43" s="8" t="s">
        <v>74</v>
      </c>
      <c r="B43" s="7" t="s">
        <v>342</v>
      </c>
      <c r="C43" s="7" t="s">
        <v>343</v>
      </c>
      <c r="D43" s="7" t="s">
        <v>153</v>
      </c>
      <c r="E43" s="7" t="s">
        <v>1182</v>
      </c>
      <c r="F43" s="7" t="s">
        <v>1117</v>
      </c>
      <c r="G43" s="18" t="s">
        <v>17</v>
      </c>
      <c r="H43" s="18" t="s">
        <v>18</v>
      </c>
      <c r="I43" s="19" t="s">
        <v>39</v>
      </c>
      <c r="J43" s="8"/>
      <c r="K43" s="18" t="s">
        <v>111</v>
      </c>
      <c r="L43" s="19" t="s">
        <v>125</v>
      </c>
      <c r="M43" s="19" t="s">
        <v>99</v>
      </c>
      <c r="N43" s="8"/>
      <c r="O43" s="18" t="s">
        <v>39</v>
      </c>
      <c r="P43" s="18" t="s">
        <v>55</v>
      </c>
      <c r="Q43" s="19" t="s">
        <v>14</v>
      </c>
      <c r="R43" s="8"/>
      <c r="S43" s="29" t="str">
        <f>"440,0"</f>
        <v>440,0</v>
      </c>
      <c r="T43" s="8" t="str">
        <f>"341,2640"</f>
        <v>341,2640</v>
      </c>
      <c r="U43" s="7" t="s">
        <v>301</v>
      </c>
    </row>
    <row r="44" spans="1:21">
      <c r="B44" s="5" t="s">
        <v>75</v>
      </c>
    </row>
    <row r="45" spans="1:21" ht="16">
      <c r="A45" s="46" t="s">
        <v>158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</row>
    <row r="46" spans="1:21">
      <c r="A46" s="10" t="s">
        <v>74</v>
      </c>
      <c r="B46" s="9" t="s">
        <v>344</v>
      </c>
      <c r="C46" s="9" t="s">
        <v>345</v>
      </c>
      <c r="D46" s="9" t="s">
        <v>346</v>
      </c>
      <c r="E46" s="9" t="s">
        <v>1182</v>
      </c>
      <c r="F46" s="9" t="s">
        <v>1122</v>
      </c>
      <c r="G46" s="21" t="s">
        <v>14</v>
      </c>
      <c r="H46" s="21" t="s">
        <v>20</v>
      </c>
      <c r="I46" s="21" t="s">
        <v>156</v>
      </c>
      <c r="J46" s="10"/>
      <c r="K46" s="21" t="s">
        <v>116</v>
      </c>
      <c r="L46" s="21" t="s">
        <v>110</v>
      </c>
      <c r="M46" s="20" t="s">
        <v>111</v>
      </c>
      <c r="N46" s="10"/>
      <c r="O46" s="21" t="s">
        <v>40</v>
      </c>
      <c r="P46" s="21" t="s">
        <v>36</v>
      </c>
      <c r="Q46" s="21" t="s">
        <v>41</v>
      </c>
      <c r="R46" s="10"/>
      <c r="S46" s="30" t="str">
        <f>"567,5"</f>
        <v>567,5</v>
      </c>
      <c r="T46" s="10" t="str">
        <f>"413,0265"</f>
        <v>413,0265</v>
      </c>
      <c r="U46" s="9" t="s">
        <v>1025</v>
      </c>
    </row>
    <row r="47" spans="1:21">
      <c r="A47" s="25" t="s">
        <v>267</v>
      </c>
      <c r="B47" s="24" t="s">
        <v>347</v>
      </c>
      <c r="C47" s="24" t="s">
        <v>348</v>
      </c>
      <c r="D47" s="24" t="s">
        <v>349</v>
      </c>
      <c r="E47" s="24" t="s">
        <v>1182</v>
      </c>
      <c r="F47" s="24" t="s">
        <v>1115</v>
      </c>
      <c r="G47" s="26" t="s">
        <v>56</v>
      </c>
      <c r="H47" s="27" t="s">
        <v>15</v>
      </c>
      <c r="I47" s="27" t="s">
        <v>15</v>
      </c>
      <c r="J47" s="25"/>
      <c r="K47" s="26" t="s">
        <v>110</v>
      </c>
      <c r="L47" s="26" t="s">
        <v>145</v>
      </c>
      <c r="M47" s="26" t="s">
        <v>125</v>
      </c>
      <c r="N47" s="25"/>
      <c r="O47" s="26" t="s">
        <v>29</v>
      </c>
      <c r="P47" s="26" t="s">
        <v>215</v>
      </c>
      <c r="Q47" s="27" t="s">
        <v>223</v>
      </c>
      <c r="R47" s="25"/>
      <c r="S47" s="31" t="str">
        <f>"537,5"</f>
        <v>537,5</v>
      </c>
      <c r="T47" s="25" t="str">
        <f>"389,2575"</f>
        <v>389,2575</v>
      </c>
      <c r="U47" s="24" t="s">
        <v>1017</v>
      </c>
    </row>
    <row r="48" spans="1:21">
      <c r="A48" s="25" t="s">
        <v>268</v>
      </c>
      <c r="B48" s="24" t="s">
        <v>350</v>
      </c>
      <c r="C48" s="24" t="s">
        <v>351</v>
      </c>
      <c r="D48" s="24" t="s">
        <v>352</v>
      </c>
      <c r="E48" s="24" t="s">
        <v>1182</v>
      </c>
      <c r="F48" s="24" t="s">
        <v>1117</v>
      </c>
      <c r="G48" s="26" t="s">
        <v>163</v>
      </c>
      <c r="H48" s="26" t="s">
        <v>81</v>
      </c>
      <c r="I48" s="26" t="s">
        <v>19</v>
      </c>
      <c r="J48" s="25"/>
      <c r="K48" s="26" t="s">
        <v>110</v>
      </c>
      <c r="L48" s="26" t="s">
        <v>145</v>
      </c>
      <c r="M48" s="27" t="s">
        <v>155</v>
      </c>
      <c r="N48" s="25"/>
      <c r="O48" s="26" t="s">
        <v>81</v>
      </c>
      <c r="P48" s="26" t="s">
        <v>87</v>
      </c>
      <c r="Q48" s="25"/>
      <c r="R48" s="25"/>
      <c r="S48" s="31" t="str">
        <f>"435,0"</f>
        <v>435,0</v>
      </c>
      <c r="T48" s="25" t="str">
        <f>"311,7210"</f>
        <v>311,7210</v>
      </c>
      <c r="U48" s="24"/>
    </row>
    <row r="49" spans="1:21">
      <c r="A49" s="25" t="s">
        <v>269</v>
      </c>
      <c r="B49" s="24" t="s">
        <v>353</v>
      </c>
      <c r="C49" s="24" t="s">
        <v>354</v>
      </c>
      <c r="D49" s="24" t="s">
        <v>355</v>
      </c>
      <c r="E49" s="24" t="s">
        <v>1182</v>
      </c>
      <c r="F49" s="24" t="s">
        <v>1113</v>
      </c>
      <c r="G49" s="26" t="s">
        <v>109</v>
      </c>
      <c r="H49" s="27" t="s">
        <v>111</v>
      </c>
      <c r="I49" s="26" t="s">
        <v>125</v>
      </c>
      <c r="J49" s="25"/>
      <c r="K49" s="26" t="s">
        <v>278</v>
      </c>
      <c r="L49" s="26" t="s">
        <v>121</v>
      </c>
      <c r="M49" s="26" t="s">
        <v>123</v>
      </c>
      <c r="N49" s="25"/>
      <c r="O49" s="27" t="s">
        <v>109</v>
      </c>
      <c r="P49" s="27" t="s">
        <v>109</v>
      </c>
      <c r="Q49" s="25"/>
      <c r="R49" s="25"/>
      <c r="S49" s="31">
        <v>0</v>
      </c>
      <c r="T49" s="25" t="str">
        <f>"0,0000"</f>
        <v>0,0000</v>
      </c>
      <c r="U49" s="24"/>
    </row>
    <row r="50" spans="1:21">
      <c r="A50" s="12" t="s">
        <v>74</v>
      </c>
      <c r="B50" s="11" t="s">
        <v>356</v>
      </c>
      <c r="C50" s="11" t="s">
        <v>357</v>
      </c>
      <c r="D50" s="11" t="s">
        <v>358</v>
      </c>
      <c r="E50" s="11" t="s">
        <v>1183</v>
      </c>
      <c r="F50" s="11" t="s">
        <v>1113</v>
      </c>
      <c r="G50" s="23" t="s">
        <v>55</v>
      </c>
      <c r="H50" s="23" t="s">
        <v>137</v>
      </c>
      <c r="I50" s="23" t="s">
        <v>359</v>
      </c>
      <c r="J50" s="12"/>
      <c r="K50" s="23" t="s">
        <v>163</v>
      </c>
      <c r="L50" s="22" t="s">
        <v>360</v>
      </c>
      <c r="M50" s="23" t="s">
        <v>360</v>
      </c>
      <c r="N50" s="12"/>
      <c r="O50" s="23" t="s">
        <v>14</v>
      </c>
      <c r="P50" s="22" t="s">
        <v>20</v>
      </c>
      <c r="Q50" s="22" t="s">
        <v>15</v>
      </c>
      <c r="R50" s="12"/>
      <c r="S50" s="32" t="str">
        <f>"506,0"</f>
        <v>506,0</v>
      </c>
      <c r="T50" s="12" t="str">
        <f>"366,6498"</f>
        <v>366,6498</v>
      </c>
      <c r="U50" s="11"/>
    </row>
    <row r="51" spans="1:21">
      <c r="B51" s="5" t="s">
        <v>75</v>
      </c>
    </row>
    <row r="52" spans="1:21" ht="16">
      <c r="A52" s="46" t="s">
        <v>141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</row>
    <row r="53" spans="1:21">
      <c r="A53" s="10" t="s">
        <v>74</v>
      </c>
      <c r="B53" s="9" t="s">
        <v>361</v>
      </c>
      <c r="C53" s="9" t="s">
        <v>362</v>
      </c>
      <c r="D53" s="9" t="s">
        <v>363</v>
      </c>
      <c r="E53" s="9" t="s">
        <v>1185</v>
      </c>
      <c r="F53" s="9" t="s">
        <v>1120</v>
      </c>
      <c r="G53" s="21" t="s">
        <v>39</v>
      </c>
      <c r="H53" s="21" t="s">
        <v>364</v>
      </c>
      <c r="I53" s="20" t="s">
        <v>14</v>
      </c>
      <c r="J53" s="10"/>
      <c r="K53" s="21" t="s">
        <v>94</v>
      </c>
      <c r="L53" s="20" t="s">
        <v>110</v>
      </c>
      <c r="M53" s="21" t="s">
        <v>110</v>
      </c>
      <c r="N53" s="10"/>
      <c r="O53" s="21" t="s">
        <v>15</v>
      </c>
      <c r="P53" s="21" t="s">
        <v>16</v>
      </c>
      <c r="Q53" s="20" t="s">
        <v>49</v>
      </c>
      <c r="R53" s="10"/>
      <c r="S53" s="30" t="str">
        <f>"497,5"</f>
        <v>497,5</v>
      </c>
      <c r="T53" s="10" t="str">
        <f>"335,7627"</f>
        <v>335,7627</v>
      </c>
      <c r="U53" s="9" t="s">
        <v>1026</v>
      </c>
    </row>
    <row r="54" spans="1:21">
      <c r="A54" s="25" t="s">
        <v>267</v>
      </c>
      <c r="B54" s="24" t="s">
        <v>365</v>
      </c>
      <c r="C54" s="24" t="s">
        <v>366</v>
      </c>
      <c r="D54" s="24" t="s">
        <v>367</v>
      </c>
      <c r="E54" s="24" t="s">
        <v>1185</v>
      </c>
      <c r="F54" s="24" t="s">
        <v>1113</v>
      </c>
      <c r="G54" s="27" t="s">
        <v>39</v>
      </c>
      <c r="H54" s="26" t="s">
        <v>39</v>
      </c>
      <c r="I54" s="26" t="s">
        <v>154</v>
      </c>
      <c r="J54" s="25"/>
      <c r="K54" s="26" t="s">
        <v>94</v>
      </c>
      <c r="L54" s="26" t="s">
        <v>109</v>
      </c>
      <c r="M54" s="27" t="s">
        <v>116</v>
      </c>
      <c r="N54" s="25"/>
      <c r="O54" s="26" t="s">
        <v>55</v>
      </c>
      <c r="P54" s="26" t="s">
        <v>14</v>
      </c>
      <c r="Q54" s="26" t="s">
        <v>20</v>
      </c>
      <c r="R54" s="25"/>
      <c r="S54" s="31" t="str">
        <f>"465,0"</f>
        <v>465,0</v>
      </c>
      <c r="T54" s="25" t="str">
        <f>"315,2235"</f>
        <v>315,2235</v>
      </c>
      <c r="U54" s="24" t="s">
        <v>1023</v>
      </c>
    </row>
    <row r="55" spans="1:21">
      <c r="A55" s="12" t="s">
        <v>74</v>
      </c>
      <c r="B55" s="11" t="s">
        <v>368</v>
      </c>
      <c r="C55" s="11" t="s">
        <v>369</v>
      </c>
      <c r="D55" s="11" t="s">
        <v>172</v>
      </c>
      <c r="E55" s="11" t="s">
        <v>1182</v>
      </c>
      <c r="F55" s="11" t="s">
        <v>1118</v>
      </c>
      <c r="G55" s="23" t="s">
        <v>364</v>
      </c>
      <c r="H55" s="23" t="s">
        <v>14</v>
      </c>
      <c r="I55" s="23" t="s">
        <v>56</v>
      </c>
      <c r="J55" s="12"/>
      <c r="K55" s="23" t="s">
        <v>169</v>
      </c>
      <c r="L55" s="23" t="s">
        <v>18</v>
      </c>
      <c r="M55" s="23" t="s">
        <v>19</v>
      </c>
      <c r="N55" s="12"/>
      <c r="O55" s="23" t="s">
        <v>16</v>
      </c>
      <c r="P55" s="22" t="s">
        <v>40</v>
      </c>
      <c r="Q55" s="22" t="s">
        <v>40</v>
      </c>
      <c r="R55" s="12"/>
      <c r="S55" s="32" t="str">
        <f>"550,0"</f>
        <v>550,0</v>
      </c>
      <c r="T55" s="12" t="str">
        <f>"368,7200"</f>
        <v>368,7200</v>
      </c>
      <c r="U55" s="11"/>
    </row>
    <row r="56" spans="1:21">
      <c r="B56" s="5" t="s">
        <v>75</v>
      </c>
    </row>
    <row r="57" spans="1:21" ht="16">
      <c r="A57" s="46" t="s">
        <v>10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</row>
    <row r="58" spans="1:21">
      <c r="A58" s="10" t="s">
        <v>74</v>
      </c>
      <c r="B58" s="9" t="s">
        <v>370</v>
      </c>
      <c r="C58" s="9" t="s">
        <v>371</v>
      </c>
      <c r="D58" s="9" t="s">
        <v>372</v>
      </c>
      <c r="E58" s="9" t="s">
        <v>1185</v>
      </c>
      <c r="F58" s="9" t="s">
        <v>1113</v>
      </c>
      <c r="G58" s="21" t="s">
        <v>15</v>
      </c>
      <c r="H58" s="21" t="s">
        <v>373</v>
      </c>
      <c r="I58" s="21" t="s">
        <v>157</v>
      </c>
      <c r="J58" s="10"/>
      <c r="K58" s="21" t="s">
        <v>163</v>
      </c>
      <c r="L58" s="21" t="s">
        <v>135</v>
      </c>
      <c r="M58" s="21" t="s">
        <v>212</v>
      </c>
      <c r="N58" s="10"/>
      <c r="O58" s="21" t="s">
        <v>40</v>
      </c>
      <c r="P58" s="21" t="s">
        <v>374</v>
      </c>
      <c r="Q58" s="20" t="s">
        <v>41</v>
      </c>
      <c r="R58" s="10"/>
      <c r="S58" s="30" t="str">
        <f>"607,5"</f>
        <v>607,5</v>
      </c>
      <c r="T58" s="10" t="str">
        <f>"395,7862"</f>
        <v>395,7862</v>
      </c>
      <c r="U58" s="9"/>
    </row>
    <row r="59" spans="1:21">
      <c r="A59" s="25" t="s">
        <v>267</v>
      </c>
      <c r="B59" s="24" t="s">
        <v>375</v>
      </c>
      <c r="C59" s="24" t="s">
        <v>376</v>
      </c>
      <c r="D59" s="24" t="s">
        <v>377</v>
      </c>
      <c r="E59" s="24" t="s">
        <v>1185</v>
      </c>
      <c r="F59" s="24" t="s">
        <v>1113</v>
      </c>
      <c r="G59" s="26" t="s">
        <v>378</v>
      </c>
      <c r="H59" s="26" t="s">
        <v>56</v>
      </c>
      <c r="I59" s="27" t="s">
        <v>379</v>
      </c>
      <c r="J59" s="25"/>
      <c r="K59" s="26" t="s">
        <v>125</v>
      </c>
      <c r="L59" s="26" t="s">
        <v>99</v>
      </c>
      <c r="M59" s="27" t="s">
        <v>163</v>
      </c>
      <c r="N59" s="25"/>
      <c r="O59" s="26" t="s">
        <v>373</v>
      </c>
      <c r="P59" s="27" t="s">
        <v>22</v>
      </c>
      <c r="Q59" s="27" t="s">
        <v>22</v>
      </c>
      <c r="R59" s="25"/>
      <c r="S59" s="31" t="str">
        <f>"522,5"</f>
        <v>522,5</v>
      </c>
      <c r="T59" s="25" t="str">
        <f>"339,1548"</f>
        <v>339,1548</v>
      </c>
      <c r="U59" s="24"/>
    </row>
    <row r="60" spans="1:21">
      <c r="A60" s="25" t="s">
        <v>74</v>
      </c>
      <c r="B60" s="24" t="s">
        <v>380</v>
      </c>
      <c r="C60" s="24" t="s">
        <v>381</v>
      </c>
      <c r="D60" s="24" t="s">
        <v>382</v>
      </c>
      <c r="E60" s="24" t="s">
        <v>1182</v>
      </c>
      <c r="F60" s="24" t="s">
        <v>1117</v>
      </c>
      <c r="G60" s="26" t="s">
        <v>137</v>
      </c>
      <c r="H60" s="26" t="s">
        <v>56</v>
      </c>
      <c r="I60" s="26" t="s">
        <v>20</v>
      </c>
      <c r="J60" s="25"/>
      <c r="K60" s="26" t="s">
        <v>99</v>
      </c>
      <c r="L60" s="26" t="s">
        <v>163</v>
      </c>
      <c r="M60" s="27" t="s">
        <v>100</v>
      </c>
      <c r="N60" s="25"/>
      <c r="O60" s="26" t="s">
        <v>178</v>
      </c>
      <c r="P60" s="26" t="s">
        <v>86</v>
      </c>
      <c r="Q60" s="26" t="s">
        <v>36</v>
      </c>
      <c r="R60" s="25"/>
      <c r="S60" s="31" t="str">
        <f>"565,0"</f>
        <v>565,0</v>
      </c>
      <c r="T60" s="25" t="str">
        <f>"361,4870"</f>
        <v>361,4870</v>
      </c>
      <c r="U60" s="24" t="s">
        <v>1027</v>
      </c>
    </row>
    <row r="61" spans="1:21">
      <c r="A61" s="25" t="s">
        <v>267</v>
      </c>
      <c r="B61" s="24" t="s">
        <v>383</v>
      </c>
      <c r="C61" s="24" t="s">
        <v>384</v>
      </c>
      <c r="D61" s="24" t="s">
        <v>385</v>
      </c>
      <c r="E61" s="24" t="s">
        <v>1182</v>
      </c>
      <c r="F61" s="24" t="s">
        <v>1113</v>
      </c>
      <c r="G61" s="27" t="s">
        <v>56</v>
      </c>
      <c r="H61" s="26" t="s">
        <v>56</v>
      </c>
      <c r="I61" s="27" t="s">
        <v>82</v>
      </c>
      <c r="J61" s="25"/>
      <c r="K61" s="27" t="s">
        <v>81</v>
      </c>
      <c r="L61" s="27" t="s">
        <v>81</v>
      </c>
      <c r="M61" s="26" t="s">
        <v>81</v>
      </c>
      <c r="N61" s="25"/>
      <c r="O61" s="27" t="s">
        <v>21</v>
      </c>
      <c r="P61" s="26" t="s">
        <v>16</v>
      </c>
      <c r="Q61" s="27" t="s">
        <v>22</v>
      </c>
      <c r="R61" s="25"/>
      <c r="S61" s="31" t="str">
        <f>"540,0"</f>
        <v>540,0</v>
      </c>
      <c r="T61" s="25" t="str">
        <f>"344,7360"</f>
        <v>344,7360</v>
      </c>
      <c r="U61" s="24"/>
    </row>
    <row r="62" spans="1:21">
      <c r="A62" s="25" t="s">
        <v>268</v>
      </c>
      <c r="B62" s="24" t="s">
        <v>375</v>
      </c>
      <c r="C62" s="24" t="s">
        <v>386</v>
      </c>
      <c r="D62" s="24" t="s">
        <v>377</v>
      </c>
      <c r="E62" s="24" t="s">
        <v>1182</v>
      </c>
      <c r="F62" s="24" t="s">
        <v>1113</v>
      </c>
      <c r="G62" s="26" t="s">
        <v>378</v>
      </c>
      <c r="H62" s="26" t="s">
        <v>56</v>
      </c>
      <c r="I62" s="27" t="s">
        <v>379</v>
      </c>
      <c r="J62" s="25"/>
      <c r="K62" s="26" t="s">
        <v>125</v>
      </c>
      <c r="L62" s="26" t="s">
        <v>99</v>
      </c>
      <c r="M62" s="27" t="s">
        <v>163</v>
      </c>
      <c r="N62" s="25"/>
      <c r="O62" s="26" t="s">
        <v>373</v>
      </c>
      <c r="P62" s="27" t="s">
        <v>22</v>
      </c>
      <c r="Q62" s="27" t="s">
        <v>22</v>
      </c>
      <c r="R62" s="25"/>
      <c r="S62" s="31" t="str">
        <f>"522,5"</f>
        <v>522,5</v>
      </c>
      <c r="T62" s="25" t="str">
        <f>"339,1548"</f>
        <v>339,1548</v>
      </c>
      <c r="U62" s="24"/>
    </row>
    <row r="63" spans="1:21">
      <c r="A63" s="25" t="s">
        <v>270</v>
      </c>
      <c r="B63" s="24" t="s">
        <v>387</v>
      </c>
      <c r="C63" s="24" t="s">
        <v>388</v>
      </c>
      <c r="D63" s="24" t="s">
        <v>389</v>
      </c>
      <c r="E63" s="24" t="s">
        <v>1182</v>
      </c>
      <c r="F63" s="24" t="s">
        <v>1113</v>
      </c>
      <c r="G63" s="26" t="s">
        <v>39</v>
      </c>
      <c r="H63" s="26" t="s">
        <v>364</v>
      </c>
      <c r="I63" s="27" t="s">
        <v>137</v>
      </c>
      <c r="J63" s="25"/>
      <c r="K63" s="27" t="s">
        <v>109</v>
      </c>
      <c r="L63" s="26" t="s">
        <v>110</v>
      </c>
      <c r="M63" s="27" t="s">
        <v>111</v>
      </c>
      <c r="N63" s="25"/>
      <c r="O63" s="26" t="s">
        <v>82</v>
      </c>
      <c r="P63" s="26" t="s">
        <v>16</v>
      </c>
      <c r="Q63" s="27" t="s">
        <v>22</v>
      </c>
      <c r="R63" s="25"/>
      <c r="S63" s="31" t="str">
        <f>"497,5"</f>
        <v>497,5</v>
      </c>
      <c r="T63" s="25" t="str">
        <f>"317,9523"</f>
        <v>317,9523</v>
      </c>
      <c r="U63" s="24" t="s">
        <v>1028</v>
      </c>
    </row>
    <row r="64" spans="1:21">
      <c r="A64" s="25" t="s">
        <v>449</v>
      </c>
      <c r="B64" s="24" t="s">
        <v>390</v>
      </c>
      <c r="C64" s="24" t="s">
        <v>391</v>
      </c>
      <c r="D64" s="24" t="s">
        <v>13</v>
      </c>
      <c r="E64" s="24" t="s">
        <v>1182</v>
      </c>
      <c r="F64" s="24" t="s">
        <v>1113</v>
      </c>
      <c r="G64" s="26" t="s">
        <v>81</v>
      </c>
      <c r="H64" s="26" t="s">
        <v>19</v>
      </c>
      <c r="I64" s="27" t="s">
        <v>87</v>
      </c>
      <c r="J64" s="25"/>
      <c r="K64" s="26" t="s">
        <v>121</v>
      </c>
      <c r="L64" s="26" t="s">
        <v>286</v>
      </c>
      <c r="M64" s="26" t="s">
        <v>123</v>
      </c>
      <c r="N64" s="25"/>
      <c r="O64" s="27" t="s">
        <v>19</v>
      </c>
      <c r="P64" s="27" t="s">
        <v>19</v>
      </c>
      <c r="Q64" s="26" t="s">
        <v>19</v>
      </c>
      <c r="R64" s="25"/>
      <c r="S64" s="31" t="str">
        <f>"410,0"</f>
        <v>410,0</v>
      </c>
      <c r="T64" s="25" t="str">
        <f>"262,9330"</f>
        <v>262,9330</v>
      </c>
      <c r="U64" s="24" t="s">
        <v>1029</v>
      </c>
    </row>
    <row r="65" spans="1:21">
      <c r="A65" s="25" t="s">
        <v>269</v>
      </c>
      <c r="B65" s="24" t="s">
        <v>392</v>
      </c>
      <c r="C65" s="24" t="s">
        <v>393</v>
      </c>
      <c r="D65" s="24" t="s">
        <v>394</v>
      </c>
      <c r="E65" s="24" t="s">
        <v>1182</v>
      </c>
      <c r="F65" s="24" t="s">
        <v>1115</v>
      </c>
      <c r="G65" s="27" t="s">
        <v>82</v>
      </c>
      <c r="H65" s="27" t="s">
        <v>21</v>
      </c>
      <c r="I65" s="26" t="s">
        <v>21</v>
      </c>
      <c r="J65" s="25"/>
      <c r="K65" s="27" t="s">
        <v>135</v>
      </c>
      <c r="L65" s="27" t="s">
        <v>135</v>
      </c>
      <c r="M65" s="27" t="s">
        <v>135</v>
      </c>
      <c r="N65" s="25"/>
      <c r="O65" s="27"/>
      <c r="P65" s="25"/>
      <c r="Q65" s="25"/>
      <c r="R65" s="25"/>
      <c r="S65" s="31">
        <v>0</v>
      </c>
      <c r="T65" s="25" t="str">
        <f>"0,0000"</f>
        <v>0,0000</v>
      </c>
      <c r="U65" s="24" t="s">
        <v>1017</v>
      </c>
    </row>
    <row r="66" spans="1:21">
      <c r="A66" s="25" t="s">
        <v>74</v>
      </c>
      <c r="B66" s="24" t="s">
        <v>395</v>
      </c>
      <c r="C66" s="24" t="s">
        <v>396</v>
      </c>
      <c r="D66" s="24" t="s">
        <v>397</v>
      </c>
      <c r="E66" s="24" t="s">
        <v>1183</v>
      </c>
      <c r="F66" s="24" t="s">
        <v>1113</v>
      </c>
      <c r="G66" s="26" t="s">
        <v>55</v>
      </c>
      <c r="H66" s="26" t="s">
        <v>14</v>
      </c>
      <c r="I66" s="27" t="s">
        <v>56</v>
      </c>
      <c r="J66" s="25"/>
      <c r="K66" s="26" t="s">
        <v>81</v>
      </c>
      <c r="L66" s="26" t="s">
        <v>18</v>
      </c>
      <c r="M66" s="26" t="s">
        <v>19</v>
      </c>
      <c r="N66" s="25"/>
      <c r="O66" s="26" t="s">
        <v>22</v>
      </c>
      <c r="P66" s="26" t="s">
        <v>178</v>
      </c>
      <c r="Q66" s="26" t="s">
        <v>40</v>
      </c>
      <c r="R66" s="25"/>
      <c r="S66" s="31" t="str">
        <f>"565,0"</f>
        <v>565,0</v>
      </c>
      <c r="T66" s="25" t="str">
        <f>"363,5216"</f>
        <v>363,5216</v>
      </c>
      <c r="U66" s="24"/>
    </row>
    <row r="67" spans="1:21">
      <c r="A67" s="25" t="s">
        <v>267</v>
      </c>
      <c r="B67" s="24" t="s">
        <v>398</v>
      </c>
      <c r="C67" s="24" t="s">
        <v>399</v>
      </c>
      <c r="D67" s="24" t="s">
        <v>400</v>
      </c>
      <c r="E67" s="24" t="s">
        <v>1183</v>
      </c>
      <c r="F67" s="24" t="s">
        <v>1113</v>
      </c>
      <c r="G67" s="26" t="s">
        <v>20</v>
      </c>
      <c r="H67" s="27" t="s">
        <v>82</v>
      </c>
      <c r="I67" s="27" t="s">
        <v>82</v>
      </c>
      <c r="J67" s="25"/>
      <c r="K67" s="26" t="s">
        <v>163</v>
      </c>
      <c r="L67" s="26" t="s">
        <v>100</v>
      </c>
      <c r="M67" s="26" t="s">
        <v>17</v>
      </c>
      <c r="N67" s="25"/>
      <c r="O67" s="26" t="s">
        <v>20</v>
      </c>
      <c r="P67" s="26" t="s">
        <v>82</v>
      </c>
      <c r="Q67" s="27" t="s">
        <v>16</v>
      </c>
      <c r="R67" s="25"/>
      <c r="S67" s="31" t="str">
        <f>"530,0"</f>
        <v>530,0</v>
      </c>
      <c r="T67" s="25" t="str">
        <f>"354,6781"</f>
        <v>354,6781</v>
      </c>
      <c r="U67" s="24" t="s">
        <v>748</v>
      </c>
    </row>
    <row r="68" spans="1:21">
      <c r="A68" s="12" t="s">
        <v>268</v>
      </c>
      <c r="B68" s="11" t="s">
        <v>401</v>
      </c>
      <c r="C68" s="11" t="s">
        <v>402</v>
      </c>
      <c r="D68" s="11" t="s">
        <v>394</v>
      </c>
      <c r="E68" s="11" t="s">
        <v>1183</v>
      </c>
      <c r="F68" s="11" t="s">
        <v>1113</v>
      </c>
      <c r="G68" s="23" t="s">
        <v>39</v>
      </c>
      <c r="H68" s="22" t="s">
        <v>55</v>
      </c>
      <c r="I68" s="23" t="s">
        <v>55</v>
      </c>
      <c r="J68" s="12"/>
      <c r="K68" s="23" t="s">
        <v>319</v>
      </c>
      <c r="L68" s="23" t="s">
        <v>145</v>
      </c>
      <c r="M68" s="22" t="s">
        <v>125</v>
      </c>
      <c r="N68" s="12"/>
      <c r="O68" s="23" t="s">
        <v>56</v>
      </c>
      <c r="P68" s="23" t="s">
        <v>15</v>
      </c>
      <c r="Q68" s="22" t="s">
        <v>21</v>
      </c>
      <c r="R68" s="12"/>
      <c r="S68" s="32" t="str">
        <f>"487,5"</f>
        <v>487,5</v>
      </c>
      <c r="T68" s="12" t="str">
        <f>"338,8060"</f>
        <v>338,8060</v>
      </c>
      <c r="U68" s="11"/>
    </row>
    <row r="69" spans="1:21">
      <c r="B69" s="5" t="s">
        <v>75</v>
      </c>
    </row>
    <row r="70" spans="1:21" ht="16">
      <c r="A70" s="46" t="s">
        <v>23</v>
      </c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</row>
    <row r="71" spans="1:21">
      <c r="A71" s="10" t="s">
        <v>74</v>
      </c>
      <c r="B71" s="9" t="s">
        <v>403</v>
      </c>
      <c r="C71" s="9" t="s">
        <v>404</v>
      </c>
      <c r="D71" s="9" t="s">
        <v>405</v>
      </c>
      <c r="E71" s="9" t="s">
        <v>1182</v>
      </c>
      <c r="F71" s="9" t="s">
        <v>1117</v>
      </c>
      <c r="G71" s="21" t="s">
        <v>56</v>
      </c>
      <c r="H71" s="21" t="s">
        <v>15</v>
      </c>
      <c r="I71" s="20" t="s">
        <v>82</v>
      </c>
      <c r="J71" s="10"/>
      <c r="K71" s="20" t="s">
        <v>19</v>
      </c>
      <c r="L71" s="21" t="s">
        <v>19</v>
      </c>
      <c r="M71" s="21" t="s">
        <v>136</v>
      </c>
      <c r="N71" s="10"/>
      <c r="O71" s="21" t="s">
        <v>86</v>
      </c>
      <c r="P71" s="21" t="s">
        <v>224</v>
      </c>
      <c r="Q71" s="21" t="s">
        <v>41</v>
      </c>
      <c r="R71" s="10"/>
      <c r="S71" s="30" t="str">
        <f>"607,5"</f>
        <v>607,5</v>
      </c>
      <c r="T71" s="10" t="str">
        <f>"369,7245"</f>
        <v>369,7245</v>
      </c>
      <c r="U71" s="9"/>
    </row>
    <row r="72" spans="1:21">
      <c r="A72" s="25" t="s">
        <v>267</v>
      </c>
      <c r="B72" s="24" t="s">
        <v>406</v>
      </c>
      <c r="C72" s="24" t="s">
        <v>407</v>
      </c>
      <c r="D72" s="24" t="s">
        <v>408</v>
      </c>
      <c r="E72" s="24" t="s">
        <v>1182</v>
      </c>
      <c r="F72" s="24" t="s">
        <v>1113</v>
      </c>
      <c r="G72" s="26" t="s">
        <v>20</v>
      </c>
      <c r="H72" s="26" t="s">
        <v>82</v>
      </c>
      <c r="I72" s="27" t="s">
        <v>21</v>
      </c>
      <c r="J72" s="25"/>
      <c r="K72" s="26" t="s">
        <v>163</v>
      </c>
      <c r="L72" s="26" t="s">
        <v>169</v>
      </c>
      <c r="M72" s="27" t="s">
        <v>135</v>
      </c>
      <c r="N72" s="25"/>
      <c r="O72" s="26" t="s">
        <v>40</v>
      </c>
      <c r="P72" s="26" t="s">
        <v>224</v>
      </c>
      <c r="Q72" s="26" t="s">
        <v>37</v>
      </c>
      <c r="R72" s="25"/>
      <c r="S72" s="31" t="str">
        <f>"597,5"</f>
        <v>597,5</v>
      </c>
      <c r="T72" s="25" t="str">
        <f>"364,6543"</f>
        <v>364,6543</v>
      </c>
      <c r="U72" s="24" t="s">
        <v>1030</v>
      </c>
    </row>
    <row r="73" spans="1:21">
      <c r="A73" s="25" t="s">
        <v>268</v>
      </c>
      <c r="B73" s="24" t="s">
        <v>409</v>
      </c>
      <c r="C73" s="24" t="s">
        <v>410</v>
      </c>
      <c r="D73" s="24" t="s">
        <v>411</v>
      </c>
      <c r="E73" s="24" t="s">
        <v>1182</v>
      </c>
      <c r="F73" s="24" t="s">
        <v>1113</v>
      </c>
      <c r="G73" s="26" t="s">
        <v>14</v>
      </c>
      <c r="H73" s="26" t="s">
        <v>20</v>
      </c>
      <c r="I73" s="26" t="s">
        <v>82</v>
      </c>
      <c r="J73" s="25"/>
      <c r="K73" s="26" t="s">
        <v>111</v>
      </c>
      <c r="L73" s="27" t="s">
        <v>99</v>
      </c>
      <c r="M73" s="27" t="s">
        <v>99</v>
      </c>
      <c r="N73" s="25"/>
      <c r="O73" s="26" t="s">
        <v>41</v>
      </c>
      <c r="P73" s="27" t="s">
        <v>162</v>
      </c>
      <c r="Q73" s="27" t="s">
        <v>162</v>
      </c>
      <c r="R73" s="25"/>
      <c r="S73" s="31" t="str">
        <f>"570,0"</f>
        <v>570,0</v>
      </c>
      <c r="T73" s="25" t="str">
        <f>"350,2080"</f>
        <v>350,2080</v>
      </c>
      <c r="U73" s="24" t="s">
        <v>1031</v>
      </c>
    </row>
    <row r="74" spans="1:21">
      <c r="A74" s="25" t="s">
        <v>270</v>
      </c>
      <c r="B74" s="24" t="s">
        <v>412</v>
      </c>
      <c r="C74" s="24" t="s">
        <v>413</v>
      </c>
      <c r="D74" s="24" t="s">
        <v>408</v>
      </c>
      <c r="E74" s="24" t="s">
        <v>1182</v>
      </c>
      <c r="F74" s="24" t="s">
        <v>1113</v>
      </c>
      <c r="G74" s="26" t="s">
        <v>56</v>
      </c>
      <c r="H74" s="26" t="s">
        <v>15</v>
      </c>
      <c r="I74" s="26" t="s">
        <v>82</v>
      </c>
      <c r="J74" s="25"/>
      <c r="K74" s="26" t="s">
        <v>17</v>
      </c>
      <c r="L74" s="26" t="s">
        <v>81</v>
      </c>
      <c r="M74" s="27" t="s">
        <v>135</v>
      </c>
      <c r="N74" s="25"/>
      <c r="O74" s="26" t="s">
        <v>16</v>
      </c>
      <c r="P74" s="26" t="s">
        <v>80</v>
      </c>
      <c r="Q74" s="27" t="s">
        <v>178</v>
      </c>
      <c r="R74" s="25"/>
      <c r="S74" s="31" t="str">
        <f>"567,5"</f>
        <v>567,5</v>
      </c>
      <c r="T74" s="25" t="str">
        <f>"346,3453"</f>
        <v>346,3453</v>
      </c>
      <c r="U74" s="24"/>
    </row>
    <row r="75" spans="1:21">
      <c r="A75" s="25" t="s">
        <v>449</v>
      </c>
      <c r="B75" s="24" t="s">
        <v>414</v>
      </c>
      <c r="C75" s="24" t="s">
        <v>415</v>
      </c>
      <c r="D75" s="24" t="s">
        <v>416</v>
      </c>
      <c r="E75" s="24" t="s">
        <v>1182</v>
      </c>
      <c r="F75" s="24" t="s">
        <v>1113</v>
      </c>
      <c r="G75" s="26" t="s">
        <v>55</v>
      </c>
      <c r="H75" s="26" t="s">
        <v>14</v>
      </c>
      <c r="I75" s="27" t="s">
        <v>56</v>
      </c>
      <c r="J75" s="25"/>
      <c r="K75" s="26" t="s">
        <v>99</v>
      </c>
      <c r="L75" s="26" t="s">
        <v>17</v>
      </c>
      <c r="M75" s="27" t="s">
        <v>81</v>
      </c>
      <c r="N75" s="25"/>
      <c r="O75" s="26" t="s">
        <v>20</v>
      </c>
      <c r="P75" s="26" t="s">
        <v>16</v>
      </c>
      <c r="Q75" s="26" t="s">
        <v>40</v>
      </c>
      <c r="R75" s="25"/>
      <c r="S75" s="31" t="str">
        <f>"550,0"</f>
        <v>550,0</v>
      </c>
      <c r="T75" s="25" t="str">
        <f>"336,2150"</f>
        <v>336,2150</v>
      </c>
      <c r="U75" s="24" t="s">
        <v>1032</v>
      </c>
    </row>
    <row r="76" spans="1:21">
      <c r="A76" s="25" t="s">
        <v>74</v>
      </c>
      <c r="B76" s="24" t="s">
        <v>417</v>
      </c>
      <c r="C76" s="24" t="s">
        <v>418</v>
      </c>
      <c r="D76" s="24" t="s">
        <v>199</v>
      </c>
      <c r="E76" s="24" t="s">
        <v>1183</v>
      </c>
      <c r="F76" s="24" t="s">
        <v>1113</v>
      </c>
      <c r="G76" s="27" t="s">
        <v>178</v>
      </c>
      <c r="H76" s="27" t="s">
        <v>178</v>
      </c>
      <c r="I76" s="26" t="s">
        <v>178</v>
      </c>
      <c r="J76" s="25"/>
      <c r="K76" s="26" t="s">
        <v>190</v>
      </c>
      <c r="L76" s="27" t="s">
        <v>100</v>
      </c>
      <c r="M76" s="26" t="s">
        <v>100</v>
      </c>
      <c r="N76" s="25"/>
      <c r="O76" s="26" t="s">
        <v>40</v>
      </c>
      <c r="P76" s="26" t="s">
        <v>374</v>
      </c>
      <c r="Q76" s="27" t="s">
        <v>224</v>
      </c>
      <c r="R76" s="25"/>
      <c r="S76" s="31" t="str">
        <f>"605,0"</f>
        <v>605,0</v>
      </c>
      <c r="T76" s="25" t="str">
        <f>"378,6371"</f>
        <v>378,6371</v>
      </c>
      <c r="U76" s="24"/>
    </row>
    <row r="77" spans="1:21">
      <c r="A77" s="12" t="s">
        <v>267</v>
      </c>
      <c r="B77" s="11" t="s">
        <v>419</v>
      </c>
      <c r="C77" s="11" t="s">
        <v>420</v>
      </c>
      <c r="D77" s="11" t="s">
        <v>421</v>
      </c>
      <c r="E77" s="11" t="s">
        <v>1183</v>
      </c>
      <c r="F77" s="11" t="s">
        <v>1113</v>
      </c>
      <c r="G77" s="23" t="s">
        <v>14</v>
      </c>
      <c r="H77" s="23" t="s">
        <v>56</v>
      </c>
      <c r="I77" s="23" t="s">
        <v>233</v>
      </c>
      <c r="J77" s="12"/>
      <c r="K77" s="23" t="s">
        <v>81</v>
      </c>
      <c r="L77" s="23" t="s">
        <v>18</v>
      </c>
      <c r="M77" s="23" t="s">
        <v>19</v>
      </c>
      <c r="N77" s="12"/>
      <c r="O77" s="23" t="s">
        <v>21</v>
      </c>
      <c r="P77" s="23" t="s">
        <v>157</v>
      </c>
      <c r="Q77" s="23" t="s">
        <v>22</v>
      </c>
      <c r="R77" s="12"/>
      <c r="S77" s="32" t="str">
        <f>"557,5"</f>
        <v>557,5</v>
      </c>
      <c r="T77" s="12" t="str">
        <f>"356,8183"</f>
        <v>356,8183</v>
      </c>
      <c r="U77" s="11" t="s">
        <v>563</v>
      </c>
    </row>
    <row r="78" spans="1:21">
      <c r="B78" s="5" t="s">
        <v>75</v>
      </c>
    </row>
    <row r="79" spans="1:21" ht="16">
      <c r="A79" s="46" t="s">
        <v>32</v>
      </c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</row>
    <row r="80" spans="1:21">
      <c r="A80" s="10" t="s">
        <v>74</v>
      </c>
      <c r="B80" s="9" t="s">
        <v>422</v>
      </c>
      <c r="C80" s="9" t="s">
        <v>423</v>
      </c>
      <c r="D80" s="9" t="s">
        <v>424</v>
      </c>
      <c r="E80" s="9" t="s">
        <v>1182</v>
      </c>
      <c r="F80" s="9" t="s">
        <v>1113</v>
      </c>
      <c r="G80" s="21" t="s">
        <v>15</v>
      </c>
      <c r="H80" s="21" t="s">
        <v>21</v>
      </c>
      <c r="I80" s="21" t="s">
        <v>22</v>
      </c>
      <c r="J80" s="10"/>
      <c r="K80" s="21" t="s">
        <v>39</v>
      </c>
      <c r="L80" s="21" t="s">
        <v>154</v>
      </c>
      <c r="M80" s="20" t="s">
        <v>55</v>
      </c>
      <c r="N80" s="10"/>
      <c r="O80" s="21" t="s">
        <v>178</v>
      </c>
      <c r="P80" s="21" t="s">
        <v>40</v>
      </c>
      <c r="Q80" s="20" t="s">
        <v>86</v>
      </c>
      <c r="R80" s="10"/>
      <c r="S80" s="30" t="str">
        <f>"610,0"</f>
        <v>610,0</v>
      </c>
      <c r="T80" s="10" t="str">
        <f>"360,4490"</f>
        <v>360,4490</v>
      </c>
      <c r="U80" s="9" t="s">
        <v>425</v>
      </c>
    </row>
    <row r="81" spans="1:21">
      <c r="A81" s="12" t="s">
        <v>269</v>
      </c>
      <c r="B81" s="11" t="s">
        <v>426</v>
      </c>
      <c r="C81" s="11" t="s">
        <v>427</v>
      </c>
      <c r="D81" s="11" t="s">
        <v>428</v>
      </c>
      <c r="E81" s="11" t="s">
        <v>1182</v>
      </c>
      <c r="F81" s="11" t="s">
        <v>1115</v>
      </c>
      <c r="G81" s="22" t="s">
        <v>137</v>
      </c>
      <c r="H81" s="22" t="s">
        <v>137</v>
      </c>
      <c r="I81" s="22" t="s">
        <v>137</v>
      </c>
      <c r="J81" s="12"/>
      <c r="K81" s="22"/>
      <c r="L81" s="12"/>
      <c r="M81" s="12"/>
      <c r="N81" s="12"/>
      <c r="O81" s="22"/>
      <c r="P81" s="12"/>
      <c r="Q81" s="12"/>
      <c r="R81" s="12"/>
      <c r="S81" s="32">
        <v>0</v>
      </c>
      <c r="T81" s="12" t="str">
        <f>"0,0000"</f>
        <v>0,0000</v>
      </c>
      <c r="U81" s="11" t="s">
        <v>1017</v>
      </c>
    </row>
    <row r="82" spans="1:21">
      <c r="B82" s="5" t="s">
        <v>75</v>
      </c>
    </row>
    <row r="83" spans="1:21" ht="16">
      <c r="A83" s="46" t="s">
        <v>229</v>
      </c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</row>
    <row r="84" spans="1:21">
      <c r="A84" s="8" t="s">
        <v>74</v>
      </c>
      <c r="B84" s="7" t="s">
        <v>429</v>
      </c>
      <c r="C84" s="7" t="s">
        <v>430</v>
      </c>
      <c r="D84" s="7" t="s">
        <v>431</v>
      </c>
      <c r="E84" s="7" t="s">
        <v>1182</v>
      </c>
      <c r="F84" s="7" t="s">
        <v>1118</v>
      </c>
      <c r="G84" s="18" t="s">
        <v>36</v>
      </c>
      <c r="H84" s="18" t="s">
        <v>37</v>
      </c>
      <c r="I84" s="18" t="s">
        <v>88</v>
      </c>
      <c r="J84" s="8"/>
      <c r="K84" s="18" t="s">
        <v>19</v>
      </c>
      <c r="L84" s="19" t="s">
        <v>154</v>
      </c>
      <c r="M84" s="18" t="s">
        <v>154</v>
      </c>
      <c r="N84" s="8"/>
      <c r="O84" s="18" t="s">
        <v>88</v>
      </c>
      <c r="P84" s="18" t="s">
        <v>219</v>
      </c>
      <c r="Q84" s="18" t="s">
        <v>27</v>
      </c>
      <c r="R84" s="8"/>
      <c r="S84" s="29" t="str">
        <f>"735,0"</f>
        <v>735,0</v>
      </c>
      <c r="T84" s="8" t="str">
        <f>"424,5360"</f>
        <v>424,5360</v>
      </c>
      <c r="U84" s="7" t="s">
        <v>432</v>
      </c>
    </row>
    <row r="85" spans="1:21">
      <c r="B85" s="5" t="s">
        <v>75</v>
      </c>
    </row>
    <row r="86" spans="1:21" ht="16">
      <c r="A86" s="46" t="s">
        <v>50</v>
      </c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</row>
    <row r="87" spans="1:21">
      <c r="A87" s="8" t="s">
        <v>74</v>
      </c>
      <c r="B87" s="7" t="s">
        <v>433</v>
      </c>
      <c r="C87" s="7" t="s">
        <v>434</v>
      </c>
      <c r="D87" s="7" t="s">
        <v>435</v>
      </c>
      <c r="E87" s="7" t="s">
        <v>1182</v>
      </c>
      <c r="F87" s="7" t="s">
        <v>1113</v>
      </c>
      <c r="G87" s="18" t="s">
        <v>38</v>
      </c>
      <c r="H87" s="18" t="s">
        <v>207</v>
      </c>
      <c r="I87" s="19" t="s">
        <v>219</v>
      </c>
      <c r="J87" s="8"/>
      <c r="K87" s="18" t="s">
        <v>81</v>
      </c>
      <c r="L87" s="18" t="s">
        <v>18</v>
      </c>
      <c r="M87" s="18" t="s">
        <v>19</v>
      </c>
      <c r="N87" s="8"/>
      <c r="O87" s="18" t="s">
        <v>219</v>
      </c>
      <c r="P87" s="18" t="s">
        <v>27</v>
      </c>
      <c r="Q87" s="8"/>
      <c r="R87" s="8"/>
      <c r="S87" s="29" t="str">
        <f>"730,0"</f>
        <v>730,0</v>
      </c>
      <c r="T87" s="8" t="str">
        <f>"405,1500"</f>
        <v>405,1500</v>
      </c>
      <c r="U87" s="7"/>
    </row>
    <row r="88" spans="1:21">
      <c r="B88" s="5" t="s">
        <v>75</v>
      </c>
    </row>
    <row r="91" spans="1:21" ht="18">
      <c r="B91" s="13" t="s">
        <v>60</v>
      </c>
      <c r="C91" s="13"/>
    </row>
    <row r="92" spans="1:21" ht="16">
      <c r="B92" s="14" t="s">
        <v>249</v>
      </c>
      <c r="C92" s="14"/>
    </row>
    <row r="93" spans="1:21" ht="14">
      <c r="B93" s="15"/>
      <c r="C93" s="16" t="s">
        <v>71</v>
      </c>
    </row>
    <row r="94" spans="1:21" ht="14">
      <c r="B94" s="17" t="s">
        <v>63</v>
      </c>
      <c r="C94" s="17" t="s">
        <v>64</v>
      </c>
      <c r="D94" s="17" t="s">
        <v>1012</v>
      </c>
      <c r="E94" s="17" t="s">
        <v>65</v>
      </c>
      <c r="F94" s="17" t="s">
        <v>66</v>
      </c>
    </row>
    <row r="95" spans="1:21">
      <c r="B95" s="5" t="s">
        <v>295</v>
      </c>
      <c r="C95" s="5" t="s">
        <v>71</v>
      </c>
      <c r="D95" s="6" t="s">
        <v>251</v>
      </c>
      <c r="E95" s="6" t="s">
        <v>436</v>
      </c>
      <c r="F95" s="6" t="s">
        <v>437</v>
      </c>
    </row>
    <row r="96" spans="1:21">
      <c r="B96" s="5" t="s">
        <v>298</v>
      </c>
      <c r="C96" s="5" t="s">
        <v>71</v>
      </c>
      <c r="D96" s="6" t="s">
        <v>251</v>
      </c>
      <c r="E96" s="6" t="s">
        <v>200</v>
      </c>
      <c r="F96" s="6" t="s">
        <v>438</v>
      </c>
    </row>
    <row r="97" spans="2:6">
      <c r="B97" s="5" t="s">
        <v>320</v>
      </c>
      <c r="C97" s="5" t="s">
        <v>71</v>
      </c>
      <c r="D97" s="6" t="s">
        <v>255</v>
      </c>
      <c r="E97" s="6" t="s">
        <v>201</v>
      </c>
      <c r="F97" s="6" t="s">
        <v>439</v>
      </c>
    </row>
    <row r="99" spans="2:6" ht="16">
      <c r="B99" s="14" t="s">
        <v>61</v>
      </c>
      <c r="C99" s="14"/>
    </row>
    <row r="100" spans="2:6" ht="14">
      <c r="B100" s="15"/>
      <c r="C100" s="16" t="s">
        <v>71</v>
      </c>
    </row>
    <row r="101" spans="2:6" ht="14">
      <c r="B101" s="17" t="s">
        <v>63</v>
      </c>
      <c r="C101" s="17" t="s">
        <v>64</v>
      </c>
      <c r="D101" s="17" t="s">
        <v>1012</v>
      </c>
      <c r="E101" s="17" t="s">
        <v>65</v>
      </c>
      <c r="F101" s="17" t="s">
        <v>66</v>
      </c>
    </row>
    <row r="102" spans="2:6">
      <c r="B102" s="5" t="s">
        <v>429</v>
      </c>
      <c r="C102" s="5" t="s">
        <v>71</v>
      </c>
      <c r="D102" s="6" t="s">
        <v>441</v>
      </c>
      <c r="E102" s="6" t="s">
        <v>442</v>
      </c>
      <c r="F102" s="6" t="s">
        <v>443</v>
      </c>
    </row>
    <row r="103" spans="2:6">
      <c r="B103" s="5" t="s">
        <v>344</v>
      </c>
      <c r="C103" s="5" t="s">
        <v>71</v>
      </c>
      <c r="D103" s="6" t="s">
        <v>444</v>
      </c>
      <c r="E103" s="6" t="s">
        <v>445</v>
      </c>
      <c r="F103" s="6" t="s">
        <v>446</v>
      </c>
    </row>
    <row r="104" spans="2:6">
      <c r="B104" s="5" t="s">
        <v>433</v>
      </c>
      <c r="C104" s="5" t="s">
        <v>71</v>
      </c>
      <c r="D104" s="6" t="s">
        <v>68</v>
      </c>
      <c r="E104" s="6" t="s">
        <v>447</v>
      </c>
      <c r="F104" s="6" t="s">
        <v>448</v>
      </c>
    </row>
  </sheetData>
  <mergeCells count="30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33:R33"/>
    <mergeCell ref="S3:S4"/>
    <mergeCell ref="T3:T4"/>
    <mergeCell ref="U3:U4"/>
    <mergeCell ref="A5:R5"/>
    <mergeCell ref="A70:R70"/>
    <mergeCell ref="A79:R79"/>
    <mergeCell ref="A83:R83"/>
    <mergeCell ref="A86:R86"/>
    <mergeCell ref="B3:B4"/>
    <mergeCell ref="A36:R36"/>
    <mergeCell ref="A39:R39"/>
    <mergeCell ref="A42:R42"/>
    <mergeCell ref="A45:R45"/>
    <mergeCell ref="A52:R52"/>
    <mergeCell ref="A57:R57"/>
    <mergeCell ref="A8:R8"/>
    <mergeCell ref="A11:R11"/>
    <mergeCell ref="A17:R17"/>
    <mergeCell ref="A24:R24"/>
    <mergeCell ref="A30:R3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M7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8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1" style="5" customWidth="1"/>
    <col min="7" max="9" width="5.5" style="6" customWidth="1"/>
    <col min="10" max="10" width="4.83203125" style="6" customWidth="1"/>
    <col min="11" max="11" width="12" style="6" customWidth="1"/>
    <col min="12" max="12" width="11" style="6" customWidth="1"/>
    <col min="13" max="13" width="19.83203125" style="5" customWidth="1"/>
    <col min="14" max="16384" width="9.1640625" style="3"/>
  </cols>
  <sheetData>
    <row r="1" spans="1:13" s="2" customFormat="1" ht="29" customHeight="1">
      <c r="A1" s="57" t="s">
        <v>1048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76</v>
      </c>
      <c r="B3" s="47" t="s">
        <v>0</v>
      </c>
      <c r="C3" s="67" t="s">
        <v>1180</v>
      </c>
      <c r="D3" s="67" t="s">
        <v>5</v>
      </c>
      <c r="E3" s="51" t="s">
        <v>1181</v>
      </c>
      <c r="F3" s="51" t="s">
        <v>6</v>
      </c>
      <c r="G3" s="51" t="s">
        <v>8</v>
      </c>
      <c r="H3" s="51"/>
      <c r="I3" s="51"/>
      <c r="J3" s="51"/>
      <c r="K3" s="51" t="s">
        <v>474</v>
      </c>
      <c r="L3" s="51" t="s">
        <v>3</v>
      </c>
      <c r="M3" s="53" t="s">
        <v>2</v>
      </c>
    </row>
    <row r="4" spans="1:13" s="1" customFormat="1" ht="21" customHeight="1" thickBot="1">
      <c r="A4" s="66"/>
      <c r="B4" s="48"/>
      <c r="C4" s="52"/>
      <c r="D4" s="52"/>
      <c r="E4" s="52"/>
      <c r="F4" s="52"/>
      <c r="G4" s="4">
        <v>1</v>
      </c>
      <c r="H4" s="4">
        <v>2</v>
      </c>
      <c r="I4" s="4">
        <v>3</v>
      </c>
      <c r="J4" s="4" t="s">
        <v>4</v>
      </c>
      <c r="K4" s="52"/>
      <c r="L4" s="52"/>
      <c r="M4" s="54"/>
    </row>
    <row r="5" spans="1:13" ht="16">
      <c r="A5" s="55" t="s">
        <v>112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8" t="s">
        <v>74</v>
      </c>
      <c r="B6" s="7" t="s">
        <v>607</v>
      </c>
      <c r="C6" s="7" t="s">
        <v>608</v>
      </c>
      <c r="D6" s="7" t="s">
        <v>609</v>
      </c>
      <c r="E6" s="7" t="s">
        <v>1182</v>
      </c>
      <c r="F6" s="7" t="s">
        <v>1137</v>
      </c>
      <c r="G6" s="18" t="s">
        <v>286</v>
      </c>
      <c r="H6" s="19" t="s">
        <v>95</v>
      </c>
      <c r="I6" s="19" t="s">
        <v>95</v>
      </c>
      <c r="J6" s="8"/>
      <c r="K6" s="8" t="str">
        <f>"97,5"</f>
        <v>97,5</v>
      </c>
      <c r="L6" s="8" t="str">
        <f>"97,0710"</f>
        <v>97,0710</v>
      </c>
      <c r="M6" s="7"/>
    </row>
    <row r="7" spans="1:13">
      <c r="B7" s="5" t="s">
        <v>75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M23"/>
  <sheetViews>
    <sheetView workbookViewId="0">
      <selection activeCell="E23" sqref="E23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0.5" style="5" bestFit="1" customWidth="1"/>
    <col min="7" max="9" width="5.5" style="6" customWidth="1"/>
    <col min="10" max="10" width="4.83203125" style="6" customWidth="1"/>
    <col min="11" max="11" width="12" style="28" customWidth="1"/>
    <col min="12" max="12" width="8.5" style="6" bestFit="1" customWidth="1"/>
    <col min="13" max="13" width="21" style="5" customWidth="1"/>
    <col min="14" max="16384" width="9.1640625" style="3"/>
  </cols>
  <sheetData>
    <row r="1" spans="1:13" s="2" customFormat="1" ht="29" customHeight="1">
      <c r="A1" s="57" t="s">
        <v>1049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76</v>
      </c>
      <c r="B3" s="47" t="s">
        <v>0</v>
      </c>
      <c r="C3" s="67" t="s">
        <v>1180</v>
      </c>
      <c r="D3" s="67" t="s">
        <v>5</v>
      </c>
      <c r="E3" s="51" t="s">
        <v>1181</v>
      </c>
      <c r="F3" s="51" t="s">
        <v>6</v>
      </c>
      <c r="G3" s="51" t="s">
        <v>8</v>
      </c>
      <c r="H3" s="51"/>
      <c r="I3" s="51"/>
      <c r="J3" s="51"/>
      <c r="K3" s="49" t="s">
        <v>474</v>
      </c>
      <c r="L3" s="51" t="s">
        <v>3</v>
      </c>
      <c r="M3" s="53" t="s">
        <v>2</v>
      </c>
    </row>
    <row r="4" spans="1:13" s="1" customFormat="1" ht="21" customHeight="1" thickBot="1">
      <c r="A4" s="66"/>
      <c r="B4" s="48"/>
      <c r="C4" s="52"/>
      <c r="D4" s="52"/>
      <c r="E4" s="52"/>
      <c r="F4" s="52"/>
      <c r="G4" s="4">
        <v>1</v>
      </c>
      <c r="H4" s="4">
        <v>2</v>
      </c>
      <c r="I4" s="4">
        <v>3</v>
      </c>
      <c r="J4" s="4" t="s">
        <v>4</v>
      </c>
      <c r="K4" s="50"/>
      <c r="L4" s="52"/>
      <c r="M4" s="54"/>
    </row>
    <row r="5" spans="1:13" ht="16">
      <c r="A5" s="55" t="s">
        <v>131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8" t="s">
        <v>269</v>
      </c>
      <c r="B6" s="7" t="s">
        <v>450</v>
      </c>
      <c r="C6" s="7" t="s">
        <v>451</v>
      </c>
      <c r="D6" s="7" t="s">
        <v>452</v>
      </c>
      <c r="E6" s="7" t="s">
        <v>1182</v>
      </c>
      <c r="F6" s="7" t="s">
        <v>1161</v>
      </c>
      <c r="G6" s="19" t="s">
        <v>137</v>
      </c>
      <c r="H6" s="19" t="s">
        <v>14</v>
      </c>
      <c r="I6" s="19" t="s">
        <v>14</v>
      </c>
      <c r="J6" s="8"/>
      <c r="K6" s="29">
        <v>0</v>
      </c>
      <c r="L6" s="8" t="str">
        <f>"0,0000"</f>
        <v>0,0000</v>
      </c>
      <c r="M6" s="7" t="s">
        <v>453</v>
      </c>
    </row>
    <row r="7" spans="1:13">
      <c r="B7" s="5" t="s">
        <v>75</v>
      </c>
    </row>
    <row r="8" spans="1:13" ht="16">
      <c r="A8" s="46" t="s">
        <v>158</v>
      </c>
      <c r="B8" s="46"/>
      <c r="C8" s="46"/>
      <c r="D8" s="46"/>
      <c r="E8" s="46"/>
      <c r="F8" s="46"/>
      <c r="G8" s="46"/>
      <c r="H8" s="46"/>
      <c r="I8" s="46"/>
      <c r="J8" s="46"/>
    </row>
    <row r="9" spans="1:13">
      <c r="A9" s="8" t="s">
        <v>74</v>
      </c>
      <c r="B9" s="7" t="s">
        <v>454</v>
      </c>
      <c r="C9" s="7" t="s">
        <v>455</v>
      </c>
      <c r="D9" s="7" t="s">
        <v>456</v>
      </c>
      <c r="E9" s="7" t="s">
        <v>1187</v>
      </c>
      <c r="F9" s="7" t="s">
        <v>1162</v>
      </c>
      <c r="G9" s="18" t="s">
        <v>81</v>
      </c>
      <c r="H9" s="19" t="s">
        <v>18</v>
      </c>
      <c r="I9" s="19" t="s">
        <v>18</v>
      </c>
      <c r="J9" s="8"/>
      <c r="K9" s="29" t="str">
        <f>"145,0"</f>
        <v>145,0</v>
      </c>
      <c r="L9" s="8" t="str">
        <f>"165,1627"</f>
        <v>165,1627</v>
      </c>
      <c r="M9" s="7"/>
    </row>
    <row r="10" spans="1:13">
      <c r="B10" s="5" t="s">
        <v>75</v>
      </c>
    </row>
    <row r="11" spans="1:13" ht="16">
      <c r="A11" s="46" t="s">
        <v>158</v>
      </c>
      <c r="B11" s="46"/>
      <c r="C11" s="46"/>
      <c r="D11" s="46"/>
      <c r="E11" s="46"/>
      <c r="F11" s="46"/>
      <c r="G11" s="46"/>
      <c r="H11" s="46"/>
      <c r="I11" s="46"/>
      <c r="J11" s="46"/>
    </row>
    <row r="12" spans="1:13">
      <c r="A12" s="8" t="s">
        <v>74</v>
      </c>
      <c r="B12" s="7" t="s">
        <v>457</v>
      </c>
      <c r="C12" s="7" t="s">
        <v>458</v>
      </c>
      <c r="D12" s="7" t="s">
        <v>459</v>
      </c>
      <c r="E12" s="7" t="s">
        <v>1182</v>
      </c>
      <c r="F12" s="7" t="s">
        <v>1120</v>
      </c>
      <c r="G12" s="18" t="s">
        <v>36</v>
      </c>
      <c r="H12" s="19" t="s">
        <v>41</v>
      </c>
      <c r="I12" s="18" t="s">
        <v>41</v>
      </c>
      <c r="J12" s="8"/>
      <c r="K12" s="29" t="str">
        <f>"250,0"</f>
        <v>250,0</v>
      </c>
      <c r="L12" s="8" t="str">
        <f>"174,5750"</f>
        <v>174,5750</v>
      </c>
      <c r="M12" s="7" t="s">
        <v>460</v>
      </c>
    </row>
    <row r="13" spans="1:13">
      <c r="B13" s="5" t="s">
        <v>75</v>
      </c>
    </row>
    <row r="14" spans="1:13" ht="16">
      <c r="A14" s="46" t="s">
        <v>10</v>
      </c>
      <c r="B14" s="46"/>
      <c r="C14" s="46"/>
      <c r="D14" s="46"/>
      <c r="E14" s="46"/>
      <c r="F14" s="46"/>
      <c r="G14" s="46"/>
      <c r="H14" s="46"/>
      <c r="I14" s="46"/>
      <c r="J14" s="46"/>
    </row>
    <row r="15" spans="1:13">
      <c r="A15" s="10" t="s">
        <v>269</v>
      </c>
      <c r="B15" s="9" t="s">
        <v>461</v>
      </c>
      <c r="C15" s="9" t="s">
        <v>462</v>
      </c>
      <c r="D15" s="9" t="s">
        <v>463</v>
      </c>
      <c r="E15" s="9" t="s">
        <v>1182</v>
      </c>
      <c r="F15" s="9" t="s">
        <v>1113</v>
      </c>
      <c r="G15" s="20" t="s">
        <v>80</v>
      </c>
      <c r="H15" s="20" t="s">
        <v>80</v>
      </c>
      <c r="I15" s="20" t="s">
        <v>80</v>
      </c>
      <c r="J15" s="10"/>
      <c r="K15" s="30">
        <v>0</v>
      </c>
      <c r="L15" s="10" t="str">
        <f>"0,0000"</f>
        <v>0,0000</v>
      </c>
      <c r="M15" s="9"/>
    </row>
    <row r="16" spans="1:13">
      <c r="A16" s="12" t="s">
        <v>269</v>
      </c>
      <c r="B16" s="11" t="s">
        <v>461</v>
      </c>
      <c r="C16" s="11" t="s">
        <v>464</v>
      </c>
      <c r="D16" s="11" t="s">
        <v>463</v>
      </c>
      <c r="E16" s="11" t="s">
        <v>1183</v>
      </c>
      <c r="F16" s="11" t="s">
        <v>1113</v>
      </c>
      <c r="G16" s="22" t="s">
        <v>80</v>
      </c>
      <c r="H16" s="22" t="s">
        <v>80</v>
      </c>
      <c r="I16" s="22" t="s">
        <v>80</v>
      </c>
      <c r="J16" s="12"/>
      <c r="K16" s="32">
        <v>0</v>
      </c>
      <c r="L16" s="12" t="str">
        <f>"0,0000"</f>
        <v>0,0000</v>
      </c>
      <c r="M16" s="11"/>
    </row>
    <row r="17" spans="1:13">
      <c r="B17" s="5" t="s">
        <v>75</v>
      </c>
    </row>
    <row r="18" spans="1:13" ht="16">
      <c r="A18" s="46" t="s">
        <v>32</v>
      </c>
      <c r="B18" s="46"/>
      <c r="C18" s="46"/>
      <c r="D18" s="46"/>
      <c r="E18" s="46"/>
      <c r="F18" s="46"/>
      <c r="G18" s="46"/>
      <c r="H18" s="46"/>
      <c r="I18" s="46"/>
      <c r="J18" s="46"/>
    </row>
    <row r="19" spans="1:13">
      <c r="A19" s="8" t="s">
        <v>74</v>
      </c>
      <c r="B19" s="7" t="s">
        <v>465</v>
      </c>
      <c r="C19" s="7" t="s">
        <v>466</v>
      </c>
      <c r="D19" s="7" t="s">
        <v>467</v>
      </c>
      <c r="E19" s="7" t="s">
        <v>1182</v>
      </c>
      <c r="F19" s="7" t="s">
        <v>1113</v>
      </c>
      <c r="G19" s="18" t="s">
        <v>36</v>
      </c>
      <c r="H19" s="18" t="s">
        <v>37</v>
      </c>
      <c r="I19" s="18" t="s">
        <v>38</v>
      </c>
      <c r="J19" s="8"/>
      <c r="K19" s="29" t="str">
        <f>"265,0"</f>
        <v>265,0</v>
      </c>
      <c r="L19" s="8" t="str">
        <f>"150,5068"</f>
        <v>150,5068</v>
      </c>
      <c r="M19" s="7"/>
    </row>
    <row r="20" spans="1:13">
      <c r="B20" s="5" t="s">
        <v>75</v>
      </c>
    </row>
    <row r="21" spans="1:13" ht="16">
      <c r="A21" s="46" t="s">
        <v>229</v>
      </c>
      <c r="B21" s="46"/>
      <c r="C21" s="46"/>
      <c r="D21" s="46"/>
      <c r="E21" s="46"/>
      <c r="F21" s="46"/>
      <c r="G21" s="46"/>
      <c r="H21" s="46"/>
      <c r="I21" s="46"/>
      <c r="J21" s="46"/>
    </row>
    <row r="22" spans="1:13">
      <c r="A22" s="8" t="s">
        <v>74</v>
      </c>
      <c r="B22" s="7" t="s">
        <v>468</v>
      </c>
      <c r="C22" s="7" t="s">
        <v>469</v>
      </c>
      <c r="D22" s="7" t="s">
        <v>470</v>
      </c>
      <c r="E22" s="7" t="s">
        <v>1183</v>
      </c>
      <c r="F22" s="7" t="s">
        <v>1178</v>
      </c>
      <c r="G22" s="18" t="s">
        <v>49</v>
      </c>
      <c r="H22" s="18" t="s">
        <v>40</v>
      </c>
      <c r="I22" s="18" t="s">
        <v>36</v>
      </c>
      <c r="J22" s="8"/>
      <c r="K22" s="29" t="str">
        <f>"240,0"</f>
        <v>240,0</v>
      </c>
      <c r="L22" s="8" t="str">
        <f>"134,8920"</f>
        <v>134,8920</v>
      </c>
      <c r="M22" s="7"/>
    </row>
    <row r="23" spans="1:13">
      <c r="B23" s="5" t="s">
        <v>75</v>
      </c>
    </row>
  </sheetData>
  <mergeCells count="17"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  <mergeCell ref="A21:J21"/>
    <mergeCell ref="A5:J5"/>
    <mergeCell ref="A8:J8"/>
    <mergeCell ref="A11:J11"/>
    <mergeCell ref="A14:J14"/>
    <mergeCell ref="A18:J1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M11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20.16406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0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8.6640625" style="5" customWidth="1"/>
    <col min="14" max="16384" width="9.1640625" style="3"/>
  </cols>
  <sheetData>
    <row r="1" spans="1:13" s="2" customFormat="1" ht="29" customHeight="1">
      <c r="A1" s="57" t="s">
        <v>1050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76</v>
      </c>
      <c r="B3" s="47" t="s">
        <v>0</v>
      </c>
      <c r="C3" s="67" t="s">
        <v>1180</v>
      </c>
      <c r="D3" s="67" t="s">
        <v>5</v>
      </c>
      <c r="E3" s="51" t="s">
        <v>1181</v>
      </c>
      <c r="F3" s="51" t="s">
        <v>6</v>
      </c>
      <c r="G3" s="51" t="s">
        <v>8</v>
      </c>
      <c r="H3" s="51"/>
      <c r="I3" s="51"/>
      <c r="J3" s="51"/>
      <c r="K3" s="51" t="s">
        <v>474</v>
      </c>
      <c r="L3" s="51" t="s">
        <v>3</v>
      </c>
      <c r="M3" s="53" t="s">
        <v>2</v>
      </c>
    </row>
    <row r="4" spans="1:13" s="1" customFormat="1" ht="21" customHeight="1" thickBot="1">
      <c r="A4" s="66"/>
      <c r="B4" s="48"/>
      <c r="C4" s="52"/>
      <c r="D4" s="52"/>
      <c r="E4" s="52"/>
      <c r="F4" s="52"/>
      <c r="G4" s="4">
        <v>1</v>
      </c>
      <c r="H4" s="4">
        <v>2</v>
      </c>
      <c r="I4" s="4">
        <v>3</v>
      </c>
      <c r="J4" s="4" t="s">
        <v>4</v>
      </c>
      <c r="K4" s="52"/>
      <c r="L4" s="52"/>
      <c r="M4" s="54"/>
    </row>
    <row r="5" spans="1:13" ht="16">
      <c r="A5" s="55" t="s">
        <v>141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8" t="s">
        <v>74</v>
      </c>
      <c r="B6" s="7" t="s">
        <v>818</v>
      </c>
      <c r="C6" s="7" t="s">
        <v>819</v>
      </c>
      <c r="D6" s="7" t="s">
        <v>363</v>
      </c>
      <c r="E6" s="7" t="s">
        <v>1182</v>
      </c>
      <c r="F6" s="7" t="s">
        <v>1163</v>
      </c>
      <c r="G6" s="18" t="s">
        <v>40</v>
      </c>
      <c r="H6" s="18" t="s">
        <v>36</v>
      </c>
      <c r="I6" s="18" t="s">
        <v>41</v>
      </c>
      <c r="J6" s="8"/>
      <c r="K6" s="8" t="str">
        <f>"250,0"</f>
        <v>250,0</v>
      </c>
      <c r="L6" s="8" t="str">
        <f>"162,4375"</f>
        <v>162,4375</v>
      </c>
      <c r="M6" s="7"/>
    </row>
    <row r="7" spans="1:13">
      <c r="B7" s="5" t="s">
        <v>75</v>
      </c>
    </row>
    <row r="8" spans="1:13" ht="16">
      <c r="A8" s="46" t="s">
        <v>32</v>
      </c>
      <c r="B8" s="46"/>
      <c r="C8" s="46"/>
      <c r="D8" s="46"/>
      <c r="E8" s="46"/>
      <c r="F8" s="46"/>
      <c r="G8" s="46"/>
      <c r="H8" s="46"/>
      <c r="I8" s="46"/>
      <c r="J8" s="46"/>
    </row>
    <row r="9" spans="1:13">
      <c r="A9" s="8" t="s">
        <v>74</v>
      </c>
      <c r="B9" s="7" t="s">
        <v>820</v>
      </c>
      <c r="C9" s="7" t="s">
        <v>821</v>
      </c>
      <c r="D9" s="7" t="s">
        <v>550</v>
      </c>
      <c r="E9" s="7" t="s">
        <v>1182</v>
      </c>
      <c r="F9" s="7" t="s">
        <v>1113</v>
      </c>
      <c r="G9" s="18" t="s">
        <v>40</v>
      </c>
      <c r="H9" s="18" t="s">
        <v>162</v>
      </c>
      <c r="I9" s="19" t="s">
        <v>822</v>
      </c>
      <c r="J9" s="8"/>
      <c r="K9" s="8" t="str">
        <f>"260,0"</f>
        <v>260,0</v>
      </c>
      <c r="L9" s="8" t="str">
        <f>"148,9670"</f>
        <v>148,9670</v>
      </c>
      <c r="M9" s="7"/>
    </row>
    <row r="10" spans="1:13">
      <c r="B10" s="5" t="s">
        <v>75</v>
      </c>
    </row>
    <row r="11" spans="1:13">
      <c r="B11" s="5" t="s">
        <v>75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M15"/>
  <sheetViews>
    <sheetView workbookViewId="0">
      <selection activeCell="E15" sqref="E15"/>
    </sheetView>
  </sheetViews>
  <sheetFormatPr baseColWidth="10" defaultColWidth="9.1640625" defaultRowHeight="13"/>
  <cols>
    <col min="1" max="1" width="7.5" style="5" bestFit="1" customWidth="1"/>
    <col min="2" max="2" width="22.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0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0" style="5" customWidth="1"/>
    <col min="14" max="16384" width="9.1640625" style="3"/>
  </cols>
  <sheetData>
    <row r="1" spans="1:13" s="2" customFormat="1" ht="29" customHeight="1">
      <c r="A1" s="57" t="s">
        <v>1051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76</v>
      </c>
      <c r="B3" s="47" t="s">
        <v>0</v>
      </c>
      <c r="C3" s="67" t="s">
        <v>1180</v>
      </c>
      <c r="D3" s="67" t="s">
        <v>5</v>
      </c>
      <c r="E3" s="51" t="s">
        <v>1181</v>
      </c>
      <c r="F3" s="51" t="s">
        <v>6</v>
      </c>
      <c r="G3" s="51" t="s">
        <v>8</v>
      </c>
      <c r="H3" s="51"/>
      <c r="I3" s="51"/>
      <c r="J3" s="51"/>
      <c r="K3" s="51" t="s">
        <v>474</v>
      </c>
      <c r="L3" s="51" t="s">
        <v>3</v>
      </c>
      <c r="M3" s="53" t="s">
        <v>2</v>
      </c>
    </row>
    <row r="4" spans="1:13" s="1" customFormat="1" ht="21" customHeight="1" thickBot="1">
      <c r="A4" s="66"/>
      <c r="B4" s="48"/>
      <c r="C4" s="52"/>
      <c r="D4" s="52"/>
      <c r="E4" s="52"/>
      <c r="F4" s="52"/>
      <c r="G4" s="4">
        <v>1</v>
      </c>
      <c r="H4" s="4">
        <v>2</v>
      </c>
      <c r="I4" s="4">
        <v>3</v>
      </c>
      <c r="J4" s="4" t="s">
        <v>4</v>
      </c>
      <c r="K4" s="52"/>
      <c r="L4" s="52"/>
      <c r="M4" s="54"/>
    </row>
    <row r="5" spans="1:13" ht="16">
      <c r="A5" s="55" t="s">
        <v>141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8" t="s">
        <v>74</v>
      </c>
      <c r="B6" s="7" t="s">
        <v>806</v>
      </c>
      <c r="C6" s="7" t="s">
        <v>807</v>
      </c>
      <c r="D6" s="7" t="s">
        <v>497</v>
      </c>
      <c r="E6" s="7" t="s">
        <v>1183</v>
      </c>
      <c r="F6" s="7" t="s">
        <v>1124</v>
      </c>
      <c r="G6" s="18" t="s">
        <v>808</v>
      </c>
      <c r="H6" s="19" t="s">
        <v>178</v>
      </c>
      <c r="I6" s="19" t="s">
        <v>178</v>
      </c>
      <c r="J6" s="8"/>
      <c r="K6" s="8" t="str">
        <f>"217,0"</f>
        <v>217,0</v>
      </c>
      <c r="L6" s="8" t="str">
        <f>"155,8031"</f>
        <v>155,8031</v>
      </c>
      <c r="M6" s="7" t="s">
        <v>809</v>
      </c>
    </row>
    <row r="7" spans="1:13">
      <c r="B7" s="5" t="s">
        <v>75</v>
      </c>
    </row>
    <row r="8" spans="1:13" ht="16">
      <c r="A8" s="46" t="s">
        <v>10</v>
      </c>
      <c r="B8" s="46"/>
      <c r="C8" s="46"/>
      <c r="D8" s="46"/>
      <c r="E8" s="46"/>
      <c r="F8" s="46"/>
      <c r="G8" s="46"/>
      <c r="H8" s="46"/>
      <c r="I8" s="46"/>
      <c r="J8" s="46"/>
    </row>
    <row r="9" spans="1:13">
      <c r="A9" s="10" t="s">
        <v>74</v>
      </c>
      <c r="B9" s="9" t="s">
        <v>810</v>
      </c>
      <c r="C9" s="9" t="s">
        <v>811</v>
      </c>
      <c r="D9" s="9" t="s">
        <v>385</v>
      </c>
      <c r="E9" s="9" t="s">
        <v>1182</v>
      </c>
      <c r="F9" s="9" t="s">
        <v>1113</v>
      </c>
      <c r="G9" s="21" t="s">
        <v>88</v>
      </c>
      <c r="H9" s="21" t="s">
        <v>219</v>
      </c>
      <c r="I9" s="21" t="s">
        <v>27</v>
      </c>
      <c r="J9" s="10"/>
      <c r="K9" s="10" t="str">
        <f>"300,0"</f>
        <v>300,0</v>
      </c>
      <c r="L9" s="10" t="str">
        <f>"183,5550"</f>
        <v>183,5550</v>
      </c>
      <c r="M9" s="9" t="s">
        <v>613</v>
      </c>
    </row>
    <row r="10" spans="1:13">
      <c r="A10" s="25" t="s">
        <v>267</v>
      </c>
      <c r="B10" s="24" t="s">
        <v>812</v>
      </c>
      <c r="C10" s="24" t="s">
        <v>813</v>
      </c>
      <c r="D10" s="24" t="s">
        <v>394</v>
      </c>
      <c r="E10" s="24" t="s">
        <v>1182</v>
      </c>
      <c r="F10" s="24" t="s">
        <v>1179</v>
      </c>
      <c r="G10" s="26" t="s">
        <v>36</v>
      </c>
      <c r="H10" s="27" t="s">
        <v>41</v>
      </c>
      <c r="I10" s="26" t="s">
        <v>37</v>
      </c>
      <c r="J10" s="25"/>
      <c r="K10" s="25" t="str">
        <f>"255,0"</f>
        <v>255,0</v>
      </c>
      <c r="L10" s="25" t="str">
        <f>"157,7047"</f>
        <v>157,7047</v>
      </c>
      <c r="M10" s="24"/>
    </row>
    <row r="11" spans="1:13">
      <c r="A11" s="12" t="s">
        <v>74</v>
      </c>
      <c r="B11" s="11" t="s">
        <v>810</v>
      </c>
      <c r="C11" s="11" t="s">
        <v>814</v>
      </c>
      <c r="D11" s="11" t="s">
        <v>385</v>
      </c>
      <c r="E11" s="11" t="s">
        <v>1183</v>
      </c>
      <c r="F11" s="11" t="s">
        <v>1113</v>
      </c>
      <c r="G11" s="23" t="s">
        <v>88</v>
      </c>
      <c r="H11" s="23" t="s">
        <v>219</v>
      </c>
      <c r="I11" s="23" t="s">
        <v>27</v>
      </c>
      <c r="J11" s="12"/>
      <c r="K11" s="12" t="str">
        <f>"300,0"</f>
        <v>300,0</v>
      </c>
      <c r="L11" s="12" t="str">
        <f>"187,2261"</f>
        <v>187,2261</v>
      </c>
      <c r="M11" s="11" t="s">
        <v>613</v>
      </c>
    </row>
    <row r="12" spans="1:13">
      <c r="B12" s="5" t="s">
        <v>75</v>
      </c>
    </row>
    <row r="13" spans="1:13" ht="16">
      <c r="A13" s="46" t="s">
        <v>32</v>
      </c>
      <c r="B13" s="46"/>
      <c r="C13" s="46"/>
      <c r="D13" s="46"/>
      <c r="E13" s="46"/>
      <c r="F13" s="46"/>
      <c r="G13" s="46"/>
      <c r="H13" s="46"/>
      <c r="I13" s="46"/>
      <c r="J13" s="46"/>
    </row>
    <row r="14" spans="1:13">
      <c r="A14" s="8" t="s">
        <v>74</v>
      </c>
      <c r="B14" s="7" t="s">
        <v>815</v>
      </c>
      <c r="C14" s="7" t="s">
        <v>816</v>
      </c>
      <c r="D14" s="7" t="s">
        <v>817</v>
      </c>
      <c r="E14" s="7" t="s">
        <v>1182</v>
      </c>
      <c r="F14" s="7" t="s">
        <v>1113</v>
      </c>
      <c r="G14" s="18" t="s">
        <v>41</v>
      </c>
      <c r="H14" s="18" t="s">
        <v>162</v>
      </c>
      <c r="I14" s="18" t="s">
        <v>38</v>
      </c>
      <c r="J14" s="8"/>
      <c r="K14" s="8" t="str">
        <f>"265,0"</f>
        <v>265,0</v>
      </c>
      <c r="L14" s="8" t="str">
        <f>"149,0625"</f>
        <v>149,0625</v>
      </c>
      <c r="M14" s="7" t="s">
        <v>563</v>
      </c>
    </row>
    <row r="15" spans="1:13">
      <c r="B15" s="5" t="s">
        <v>75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3:J13"/>
    <mergeCell ref="B3:B4"/>
    <mergeCell ref="K3:K4"/>
    <mergeCell ref="L3:L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M18"/>
  <sheetViews>
    <sheetView workbookViewId="0">
      <selection activeCell="E17" sqref="E17"/>
    </sheetView>
  </sheetViews>
  <sheetFormatPr baseColWidth="10" defaultColWidth="9.1640625" defaultRowHeight="13"/>
  <cols>
    <col min="1" max="1" width="7.5" style="5" bestFit="1" customWidth="1"/>
    <col min="2" max="2" width="22.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2.1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3.83203125" style="5" customWidth="1"/>
    <col min="14" max="16384" width="9.1640625" style="3"/>
  </cols>
  <sheetData>
    <row r="1" spans="1:13" s="2" customFormat="1" ht="29" customHeight="1">
      <c r="A1" s="57" t="s">
        <v>1052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76</v>
      </c>
      <c r="B3" s="47" t="s">
        <v>0</v>
      </c>
      <c r="C3" s="67" t="s">
        <v>1180</v>
      </c>
      <c r="D3" s="67" t="s">
        <v>5</v>
      </c>
      <c r="E3" s="51" t="s">
        <v>1181</v>
      </c>
      <c r="F3" s="51" t="s">
        <v>6</v>
      </c>
      <c r="G3" s="51" t="s">
        <v>8</v>
      </c>
      <c r="H3" s="51"/>
      <c r="I3" s="51"/>
      <c r="J3" s="51"/>
      <c r="K3" s="51" t="s">
        <v>474</v>
      </c>
      <c r="L3" s="51" t="s">
        <v>3</v>
      </c>
      <c r="M3" s="53" t="s">
        <v>2</v>
      </c>
    </row>
    <row r="4" spans="1:13" s="1" customFormat="1" ht="21" customHeight="1" thickBot="1">
      <c r="A4" s="66"/>
      <c r="B4" s="48"/>
      <c r="C4" s="52"/>
      <c r="D4" s="52"/>
      <c r="E4" s="52"/>
      <c r="F4" s="52"/>
      <c r="G4" s="4">
        <v>1</v>
      </c>
      <c r="H4" s="4">
        <v>2</v>
      </c>
      <c r="I4" s="4">
        <v>3</v>
      </c>
      <c r="J4" s="4" t="s">
        <v>4</v>
      </c>
      <c r="K4" s="52"/>
      <c r="L4" s="52"/>
      <c r="M4" s="54"/>
    </row>
    <row r="5" spans="1:13" ht="16">
      <c r="A5" s="55" t="s">
        <v>90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8" t="s">
        <v>74</v>
      </c>
      <c r="B6" s="7" t="s">
        <v>597</v>
      </c>
      <c r="C6" s="7" t="s">
        <v>598</v>
      </c>
      <c r="D6" s="7" t="s">
        <v>599</v>
      </c>
      <c r="E6" s="7" t="s">
        <v>1182</v>
      </c>
      <c r="F6" s="7" t="s">
        <v>1113</v>
      </c>
      <c r="G6" s="18" t="s">
        <v>315</v>
      </c>
      <c r="H6" s="19" t="s">
        <v>124</v>
      </c>
      <c r="I6" s="19" t="s">
        <v>124</v>
      </c>
      <c r="J6" s="8"/>
      <c r="K6" s="8" t="str">
        <f>"40,0"</f>
        <v>40,0</v>
      </c>
      <c r="L6" s="8" t="str">
        <f>"50,9200"</f>
        <v>50,9200</v>
      </c>
      <c r="M6" s="7" t="s">
        <v>600</v>
      </c>
    </row>
    <row r="7" spans="1:13">
      <c r="B7" s="5" t="s">
        <v>75</v>
      </c>
    </row>
    <row r="8" spans="1:13" ht="16">
      <c r="A8" s="46" t="s">
        <v>158</v>
      </c>
      <c r="B8" s="46"/>
      <c r="C8" s="46"/>
      <c r="D8" s="46"/>
      <c r="E8" s="46"/>
      <c r="F8" s="46"/>
      <c r="G8" s="46"/>
      <c r="H8" s="46"/>
      <c r="I8" s="46"/>
      <c r="J8" s="46"/>
    </row>
    <row r="9" spans="1:13">
      <c r="A9" s="8" t="s">
        <v>74</v>
      </c>
      <c r="B9" s="7" t="s">
        <v>650</v>
      </c>
      <c r="C9" s="7" t="s">
        <v>651</v>
      </c>
      <c r="D9" s="7" t="s">
        <v>459</v>
      </c>
      <c r="E9" s="7" t="s">
        <v>1185</v>
      </c>
      <c r="F9" s="7" t="s">
        <v>1141</v>
      </c>
      <c r="G9" s="18" t="s">
        <v>94</v>
      </c>
      <c r="H9" s="8"/>
      <c r="I9" s="8"/>
      <c r="J9" s="8"/>
      <c r="K9" s="8" t="str">
        <f>"105,0"</f>
        <v>105,0</v>
      </c>
      <c r="L9" s="8" t="str">
        <f>"75,8205"</f>
        <v>75,8205</v>
      </c>
      <c r="M9" s="7" t="s">
        <v>646</v>
      </c>
    </row>
    <row r="10" spans="1:13">
      <c r="B10" s="5" t="s">
        <v>75</v>
      </c>
    </row>
    <row r="11" spans="1:13" ht="16">
      <c r="A11" s="46" t="s">
        <v>10</v>
      </c>
      <c r="B11" s="46"/>
      <c r="C11" s="46"/>
      <c r="D11" s="46"/>
      <c r="E11" s="46"/>
      <c r="F11" s="46"/>
      <c r="G11" s="46"/>
      <c r="H11" s="46"/>
      <c r="I11" s="46"/>
      <c r="J11" s="46"/>
    </row>
    <row r="12" spans="1:13">
      <c r="A12" s="8" t="s">
        <v>74</v>
      </c>
      <c r="B12" s="7" t="s">
        <v>803</v>
      </c>
      <c r="C12" s="7" t="s">
        <v>804</v>
      </c>
      <c r="D12" s="7" t="s">
        <v>463</v>
      </c>
      <c r="E12" s="7" t="s">
        <v>1187</v>
      </c>
      <c r="F12" s="7" t="s">
        <v>1113</v>
      </c>
      <c r="G12" s="19" t="s">
        <v>122</v>
      </c>
      <c r="H12" s="18" t="s">
        <v>123</v>
      </c>
      <c r="I12" s="18" t="s">
        <v>94</v>
      </c>
      <c r="J12" s="8"/>
      <c r="K12" s="8" t="str">
        <f>"105,0"</f>
        <v>105,0</v>
      </c>
      <c r="L12" s="8" t="str">
        <f>"79,0292"</f>
        <v>79,0292</v>
      </c>
      <c r="M12" s="7" t="s">
        <v>805</v>
      </c>
    </row>
    <row r="13" spans="1:13">
      <c r="B13" s="5" t="s">
        <v>75</v>
      </c>
    </row>
    <row r="14" spans="1:13" ht="16">
      <c r="A14" s="46" t="s">
        <v>23</v>
      </c>
      <c r="B14" s="46"/>
      <c r="C14" s="46"/>
      <c r="D14" s="46"/>
      <c r="E14" s="46"/>
      <c r="F14" s="46"/>
      <c r="G14" s="46"/>
      <c r="H14" s="46"/>
      <c r="I14" s="46"/>
      <c r="J14" s="46"/>
    </row>
    <row r="15" spans="1:13">
      <c r="A15" s="10" t="s">
        <v>74</v>
      </c>
      <c r="B15" s="9" t="s">
        <v>478</v>
      </c>
      <c r="C15" s="9" t="s">
        <v>479</v>
      </c>
      <c r="D15" s="9" t="s">
        <v>411</v>
      </c>
      <c r="E15" s="9" t="s">
        <v>1182</v>
      </c>
      <c r="F15" s="9" t="s">
        <v>1149</v>
      </c>
      <c r="G15" s="21" t="s">
        <v>82</v>
      </c>
      <c r="H15" s="21" t="s">
        <v>21</v>
      </c>
      <c r="I15" s="10"/>
      <c r="J15" s="10"/>
      <c r="K15" s="10" t="str">
        <f>"205,0"</f>
        <v>205,0</v>
      </c>
      <c r="L15" s="10" t="str">
        <f>"125,9520"</f>
        <v>125,9520</v>
      </c>
      <c r="M15" s="9" t="s">
        <v>306</v>
      </c>
    </row>
    <row r="16" spans="1:13">
      <c r="A16" s="12" t="s">
        <v>74</v>
      </c>
      <c r="B16" s="11" t="s">
        <v>478</v>
      </c>
      <c r="C16" s="11" t="s">
        <v>732</v>
      </c>
      <c r="D16" s="11" t="s">
        <v>411</v>
      </c>
      <c r="E16" s="11" t="s">
        <v>1187</v>
      </c>
      <c r="F16" s="11" t="s">
        <v>1149</v>
      </c>
      <c r="G16" s="23" t="s">
        <v>82</v>
      </c>
      <c r="H16" s="23" t="s">
        <v>21</v>
      </c>
      <c r="I16" s="12"/>
      <c r="J16" s="12"/>
      <c r="K16" s="12" t="str">
        <f>"205,0"</f>
        <v>205,0</v>
      </c>
      <c r="L16" s="12" t="str">
        <f>"163,3598"</f>
        <v>163,3598</v>
      </c>
      <c r="M16" s="11" t="s">
        <v>306</v>
      </c>
    </row>
    <row r="17" spans="2:2">
      <c r="B17" s="5" t="s">
        <v>75</v>
      </c>
    </row>
    <row r="18" spans="2:2">
      <c r="B18" s="5" t="s">
        <v>75</v>
      </c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4:J14"/>
    <mergeCell ref="B3:B4"/>
    <mergeCell ref="K3:K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M14"/>
  <sheetViews>
    <sheetView workbookViewId="0">
      <selection activeCell="E14" sqref="E14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9.5" style="5" customWidth="1"/>
    <col min="4" max="4" width="21.5" style="5" bestFit="1" customWidth="1"/>
    <col min="5" max="5" width="10.5" style="5" bestFit="1" customWidth="1"/>
    <col min="6" max="6" width="22.1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.6640625" style="5" customWidth="1"/>
    <col min="14" max="16384" width="9.1640625" style="3"/>
  </cols>
  <sheetData>
    <row r="1" spans="1:13" s="2" customFormat="1" ht="29" customHeight="1">
      <c r="A1" s="57" t="s">
        <v>1053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76</v>
      </c>
      <c r="B3" s="47" t="s">
        <v>0</v>
      </c>
      <c r="C3" s="67" t="s">
        <v>1180</v>
      </c>
      <c r="D3" s="67" t="s">
        <v>5</v>
      </c>
      <c r="E3" s="51" t="s">
        <v>1181</v>
      </c>
      <c r="F3" s="51" t="s">
        <v>6</v>
      </c>
      <c r="G3" s="51" t="s">
        <v>8</v>
      </c>
      <c r="H3" s="51"/>
      <c r="I3" s="51"/>
      <c r="J3" s="51"/>
      <c r="K3" s="51" t="s">
        <v>474</v>
      </c>
      <c r="L3" s="51" t="s">
        <v>3</v>
      </c>
      <c r="M3" s="53" t="s">
        <v>2</v>
      </c>
    </row>
    <row r="4" spans="1:13" s="1" customFormat="1" ht="21" customHeight="1" thickBot="1">
      <c r="A4" s="66"/>
      <c r="B4" s="48"/>
      <c r="C4" s="52"/>
      <c r="D4" s="52"/>
      <c r="E4" s="52"/>
      <c r="F4" s="52"/>
      <c r="G4" s="4">
        <v>1</v>
      </c>
      <c r="H4" s="4">
        <v>2</v>
      </c>
      <c r="I4" s="4">
        <v>3</v>
      </c>
      <c r="J4" s="4" t="s">
        <v>4</v>
      </c>
      <c r="K4" s="52"/>
      <c r="L4" s="52"/>
      <c r="M4" s="54"/>
    </row>
    <row r="5" spans="1:13" ht="16">
      <c r="A5" s="55" t="s">
        <v>10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8" t="s">
        <v>74</v>
      </c>
      <c r="B6" s="7" t="s">
        <v>475</v>
      </c>
      <c r="C6" s="7" t="s">
        <v>476</v>
      </c>
      <c r="D6" s="7" t="s">
        <v>382</v>
      </c>
      <c r="E6" s="7" t="s">
        <v>1182</v>
      </c>
      <c r="F6" s="7" t="s">
        <v>1160</v>
      </c>
      <c r="G6" s="18" t="s">
        <v>17</v>
      </c>
      <c r="H6" s="18" t="s">
        <v>18</v>
      </c>
      <c r="I6" s="19" t="s">
        <v>87</v>
      </c>
      <c r="J6" s="8"/>
      <c r="K6" s="8" t="str">
        <f>"150,0"</f>
        <v>150,0</v>
      </c>
      <c r="L6" s="8" t="str">
        <f>"95,9700"</f>
        <v>95,9700</v>
      </c>
      <c r="M6" s="7" t="s">
        <v>477</v>
      </c>
    </row>
    <row r="7" spans="1:13">
      <c r="B7" s="5" t="s">
        <v>75</v>
      </c>
    </row>
    <row r="8" spans="1:13" ht="16">
      <c r="A8" s="46" t="s">
        <v>23</v>
      </c>
      <c r="B8" s="46"/>
      <c r="C8" s="46"/>
      <c r="D8" s="46"/>
      <c r="E8" s="46"/>
      <c r="F8" s="46"/>
      <c r="G8" s="46"/>
      <c r="H8" s="46"/>
      <c r="I8" s="46"/>
      <c r="J8" s="46"/>
    </row>
    <row r="9" spans="1:13">
      <c r="A9" s="36" t="s">
        <v>74</v>
      </c>
      <c r="B9" s="42" t="s">
        <v>478</v>
      </c>
      <c r="C9" s="42" t="s">
        <v>479</v>
      </c>
      <c r="D9" s="42" t="s">
        <v>411</v>
      </c>
      <c r="E9" s="9" t="s">
        <v>1182</v>
      </c>
      <c r="F9" s="37" t="s">
        <v>1149</v>
      </c>
      <c r="G9" s="21" t="s">
        <v>82</v>
      </c>
      <c r="H9" s="38" t="s">
        <v>21</v>
      </c>
      <c r="I9" s="10"/>
      <c r="J9" s="44"/>
      <c r="K9" s="44" t="str">
        <f>"205,0"</f>
        <v>205,0</v>
      </c>
      <c r="L9" s="44" t="str">
        <f>"125,9520"</f>
        <v>125,9520</v>
      </c>
      <c r="M9" s="33" t="s">
        <v>306</v>
      </c>
    </row>
    <row r="10" spans="1:13">
      <c r="A10" s="39" t="s">
        <v>74</v>
      </c>
      <c r="B10" s="43" t="s">
        <v>478</v>
      </c>
      <c r="C10" s="43" t="s">
        <v>732</v>
      </c>
      <c r="D10" s="43" t="s">
        <v>411</v>
      </c>
      <c r="E10" s="11" t="s">
        <v>1187</v>
      </c>
      <c r="F10" s="40" t="s">
        <v>1149</v>
      </c>
      <c r="G10" s="23" t="s">
        <v>82</v>
      </c>
      <c r="H10" s="41" t="s">
        <v>21</v>
      </c>
      <c r="I10" s="12"/>
      <c r="J10" s="45"/>
      <c r="K10" s="45" t="str">
        <f>"205,0"</f>
        <v>205,0</v>
      </c>
      <c r="L10" s="45" t="str">
        <f>"125,9520"</f>
        <v>125,9520</v>
      </c>
      <c r="M10" s="35" t="s">
        <v>306</v>
      </c>
    </row>
    <row r="11" spans="1:13">
      <c r="B11" s="5" t="s">
        <v>75</v>
      </c>
    </row>
    <row r="12" spans="1:13" ht="16">
      <c r="A12" s="46" t="s">
        <v>229</v>
      </c>
      <c r="B12" s="46"/>
      <c r="C12" s="46"/>
      <c r="D12" s="46"/>
      <c r="E12" s="46"/>
      <c r="F12" s="46"/>
      <c r="G12" s="46"/>
      <c r="H12" s="46"/>
      <c r="I12" s="46"/>
      <c r="J12" s="46"/>
    </row>
    <row r="13" spans="1:13">
      <c r="A13" s="8" t="s">
        <v>74</v>
      </c>
      <c r="B13" s="7" t="s">
        <v>480</v>
      </c>
      <c r="C13" s="7" t="s">
        <v>481</v>
      </c>
      <c r="D13" s="7" t="s">
        <v>482</v>
      </c>
      <c r="E13" s="7" t="s">
        <v>1182</v>
      </c>
      <c r="F13" s="7" t="s">
        <v>1160</v>
      </c>
      <c r="G13" s="18" t="s">
        <v>20</v>
      </c>
      <c r="H13" s="18" t="s">
        <v>82</v>
      </c>
      <c r="I13" s="18" t="s">
        <v>16</v>
      </c>
      <c r="J13" s="8"/>
      <c r="K13" s="8" t="str">
        <f>"210,0"</f>
        <v>210,0</v>
      </c>
      <c r="L13" s="8" t="str">
        <f>"121,8630"</f>
        <v>121,8630</v>
      </c>
      <c r="M13" s="7" t="s">
        <v>1011</v>
      </c>
    </row>
    <row r="14" spans="1:13">
      <c r="B14" s="5" t="s">
        <v>75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2:J12"/>
    <mergeCell ref="B3:B4"/>
    <mergeCell ref="K3:K4"/>
    <mergeCell ref="L3:L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6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8.6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57" t="s">
        <v>1054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76</v>
      </c>
      <c r="B3" s="47" t="s">
        <v>0</v>
      </c>
      <c r="C3" s="67" t="s">
        <v>1180</v>
      </c>
      <c r="D3" s="67" t="s">
        <v>5</v>
      </c>
      <c r="E3" s="51" t="s">
        <v>1181</v>
      </c>
      <c r="F3" s="51" t="s">
        <v>6</v>
      </c>
      <c r="G3" s="51" t="s">
        <v>8</v>
      </c>
      <c r="H3" s="51"/>
      <c r="I3" s="51"/>
      <c r="J3" s="51"/>
      <c r="K3" s="51" t="s">
        <v>474</v>
      </c>
      <c r="L3" s="51" t="s">
        <v>3</v>
      </c>
      <c r="M3" s="53" t="s">
        <v>2</v>
      </c>
    </row>
    <row r="4" spans="1:13" s="1" customFormat="1" ht="21" customHeight="1" thickBot="1">
      <c r="A4" s="66"/>
      <c r="B4" s="48"/>
      <c r="C4" s="52"/>
      <c r="D4" s="52"/>
      <c r="E4" s="52"/>
      <c r="F4" s="52"/>
      <c r="G4" s="4">
        <v>1</v>
      </c>
      <c r="H4" s="4">
        <v>2</v>
      </c>
      <c r="I4" s="4">
        <v>3</v>
      </c>
      <c r="J4" s="4" t="s">
        <v>4</v>
      </c>
      <c r="K4" s="52"/>
      <c r="L4" s="52"/>
      <c r="M4" s="54"/>
    </row>
    <row r="5" spans="1:13" ht="16">
      <c r="A5" s="55" t="s">
        <v>141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8" t="s">
        <v>74</v>
      </c>
      <c r="B6" s="7" t="s">
        <v>1009</v>
      </c>
      <c r="C6" s="7" t="s">
        <v>1010</v>
      </c>
      <c r="D6" s="7" t="s">
        <v>168</v>
      </c>
      <c r="E6" s="7" t="s">
        <v>1182</v>
      </c>
      <c r="F6" s="7" t="s">
        <v>1121</v>
      </c>
      <c r="G6" s="19" t="s">
        <v>125</v>
      </c>
      <c r="H6" s="19" t="s">
        <v>125</v>
      </c>
      <c r="I6" s="18" t="s">
        <v>125</v>
      </c>
      <c r="J6" s="8"/>
      <c r="K6" s="8" t="str">
        <f>"125,0"</f>
        <v>125,0</v>
      </c>
      <c r="L6" s="8" t="str">
        <f>"80,9563"</f>
        <v>80,9563</v>
      </c>
      <c r="M6" s="7"/>
    </row>
    <row r="7" spans="1:13">
      <c r="B7" s="5" t="s">
        <v>75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87"/>
  <sheetViews>
    <sheetView topLeftCell="A32" workbookViewId="0">
      <selection activeCell="E70" sqref="E70"/>
    </sheetView>
  </sheetViews>
  <sheetFormatPr baseColWidth="10" defaultColWidth="9.1640625" defaultRowHeight="13"/>
  <cols>
    <col min="1" max="1" width="7.5" style="5" bestFit="1" customWidth="1"/>
    <col min="2" max="2" width="21.1640625" style="5" bestFit="1" customWidth="1"/>
    <col min="3" max="3" width="27.83203125" style="5" customWidth="1"/>
    <col min="4" max="4" width="21.5" style="5" bestFit="1" customWidth="1"/>
    <col min="5" max="5" width="15.83203125" style="5" customWidth="1"/>
    <col min="6" max="6" width="22.33203125" style="5" bestFit="1" customWidth="1"/>
    <col min="7" max="9" width="5.5" style="6" customWidth="1"/>
    <col min="10" max="10" width="4.83203125" style="6" customWidth="1"/>
    <col min="11" max="11" width="13.5" style="6" customWidth="1"/>
    <col min="12" max="12" width="8.5" style="6" bestFit="1" customWidth="1"/>
    <col min="13" max="13" width="28.1640625" style="5" bestFit="1" customWidth="1"/>
    <col min="14" max="16384" width="9.1640625" style="3"/>
  </cols>
  <sheetData>
    <row r="1" spans="1:13" s="2" customFormat="1" ht="29" customHeight="1">
      <c r="A1" s="57" t="s">
        <v>1055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76</v>
      </c>
      <c r="B3" s="47" t="s">
        <v>0</v>
      </c>
      <c r="C3" s="67" t="s">
        <v>1180</v>
      </c>
      <c r="D3" s="67" t="s">
        <v>5</v>
      </c>
      <c r="E3" s="51" t="s">
        <v>1181</v>
      </c>
      <c r="F3" s="51" t="s">
        <v>6</v>
      </c>
      <c r="G3" s="51" t="s">
        <v>9</v>
      </c>
      <c r="H3" s="51"/>
      <c r="I3" s="51"/>
      <c r="J3" s="51"/>
      <c r="K3" s="51" t="s">
        <v>474</v>
      </c>
      <c r="L3" s="51" t="s">
        <v>3</v>
      </c>
      <c r="M3" s="53" t="s">
        <v>2</v>
      </c>
    </row>
    <row r="4" spans="1:13" s="1" customFormat="1" ht="21" customHeight="1" thickBot="1">
      <c r="A4" s="66"/>
      <c r="B4" s="48"/>
      <c r="C4" s="52"/>
      <c r="D4" s="52"/>
      <c r="E4" s="52"/>
      <c r="F4" s="52"/>
      <c r="G4" s="4">
        <v>1</v>
      </c>
      <c r="H4" s="4">
        <v>2</v>
      </c>
      <c r="I4" s="4">
        <v>3</v>
      </c>
      <c r="J4" s="4" t="s">
        <v>4</v>
      </c>
      <c r="K4" s="52"/>
      <c r="L4" s="52"/>
      <c r="M4" s="54"/>
    </row>
    <row r="5" spans="1:13" ht="16">
      <c r="A5" s="55" t="s">
        <v>851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8" t="s">
        <v>74</v>
      </c>
      <c r="B6" s="7" t="s">
        <v>852</v>
      </c>
      <c r="C6" s="7" t="s">
        <v>853</v>
      </c>
      <c r="D6" s="7" t="s">
        <v>854</v>
      </c>
      <c r="E6" s="7" t="s">
        <v>1182</v>
      </c>
      <c r="F6" s="7" t="s">
        <v>1165</v>
      </c>
      <c r="G6" s="18" t="s">
        <v>278</v>
      </c>
      <c r="H6" s="18" t="s">
        <v>106</v>
      </c>
      <c r="I6" s="18" t="s">
        <v>122</v>
      </c>
      <c r="J6" s="8"/>
      <c r="K6" s="8" t="str">
        <f>"95,0"</f>
        <v>95,0</v>
      </c>
      <c r="L6" s="8" t="str">
        <f>"134,7860"</f>
        <v>134,7860</v>
      </c>
      <c r="M6" s="7" t="s">
        <v>1097</v>
      </c>
    </row>
    <row r="7" spans="1:13">
      <c r="B7" s="5" t="s">
        <v>75</v>
      </c>
    </row>
    <row r="8" spans="1:13" ht="16">
      <c r="A8" s="46" t="s">
        <v>271</v>
      </c>
      <c r="B8" s="46"/>
      <c r="C8" s="46"/>
      <c r="D8" s="46"/>
      <c r="E8" s="46"/>
      <c r="F8" s="46"/>
      <c r="G8" s="46"/>
      <c r="H8" s="46"/>
      <c r="I8" s="46"/>
      <c r="J8" s="46"/>
    </row>
    <row r="9" spans="1:13">
      <c r="A9" s="8" t="s">
        <v>74</v>
      </c>
      <c r="B9" s="7" t="s">
        <v>856</v>
      </c>
      <c r="C9" s="7" t="s">
        <v>857</v>
      </c>
      <c r="D9" s="7" t="s">
        <v>858</v>
      </c>
      <c r="E9" s="7" t="s">
        <v>1182</v>
      </c>
      <c r="F9" s="7" t="s">
        <v>1166</v>
      </c>
      <c r="G9" s="19" t="s">
        <v>278</v>
      </c>
      <c r="H9" s="18" t="s">
        <v>278</v>
      </c>
      <c r="I9" s="19" t="s">
        <v>117</v>
      </c>
      <c r="J9" s="8"/>
      <c r="K9" s="8" t="str">
        <f>"80,0"</f>
        <v>80,0</v>
      </c>
      <c r="L9" s="8" t="str">
        <f>"106,1200"</f>
        <v>106,1200</v>
      </c>
      <c r="M9" s="7"/>
    </row>
    <row r="10" spans="1:13">
      <c r="B10" s="5" t="s">
        <v>75</v>
      </c>
    </row>
    <row r="11" spans="1:13" ht="16">
      <c r="A11" s="46" t="s">
        <v>90</v>
      </c>
      <c r="B11" s="46"/>
      <c r="C11" s="46"/>
      <c r="D11" s="46"/>
      <c r="E11" s="46"/>
      <c r="F11" s="46"/>
      <c r="G11" s="46"/>
      <c r="H11" s="46"/>
      <c r="I11" s="46"/>
      <c r="J11" s="46"/>
    </row>
    <row r="12" spans="1:13">
      <c r="A12" s="8" t="s">
        <v>74</v>
      </c>
      <c r="B12" s="7" t="s">
        <v>859</v>
      </c>
      <c r="C12" s="7" t="s">
        <v>860</v>
      </c>
      <c r="D12" s="7" t="s">
        <v>591</v>
      </c>
      <c r="E12" s="7" t="s">
        <v>1182</v>
      </c>
      <c r="F12" s="7" t="s">
        <v>1165</v>
      </c>
      <c r="G12" s="18" t="s">
        <v>149</v>
      </c>
      <c r="H12" s="18" t="s">
        <v>105</v>
      </c>
      <c r="I12" s="18" t="s">
        <v>107</v>
      </c>
      <c r="J12" s="8"/>
      <c r="K12" s="8" t="str">
        <f>"92,5"</f>
        <v>92,5</v>
      </c>
      <c r="L12" s="8" t="str">
        <f>"117,2253"</f>
        <v>117,2253</v>
      </c>
      <c r="M12" s="7" t="s">
        <v>1097</v>
      </c>
    </row>
    <row r="13" spans="1:13">
      <c r="B13" s="5" t="s">
        <v>75</v>
      </c>
    </row>
    <row r="14" spans="1:13" ht="16">
      <c r="A14" s="46" t="s">
        <v>101</v>
      </c>
      <c r="B14" s="46"/>
      <c r="C14" s="46"/>
      <c r="D14" s="46"/>
      <c r="E14" s="46"/>
      <c r="F14" s="46"/>
      <c r="G14" s="46"/>
      <c r="H14" s="46"/>
      <c r="I14" s="46"/>
      <c r="J14" s="46"/>
    </row>
    <row r="15" spans="1:13">
      <c r="A15" s="10" t="s">
        <v>74</v>
      </c>
      <c r="B15" s="9" t="s">
        <v>861</v>
      </c>
      <c r="C15" s="9" t="s">
        <v>862</v>
      </c>
      <c r="D15" s="9" t="s">
        <v>340</v>
      </c>
      <c r="E15" s="9" t="s">
        <v>1188</v>
      </c>
      <c r="F15" s="9" t="s">
        <v>1134</v>
      </c>
      <c r="G15" s="21" t="s">
        <v>123</v>
      </c>
      <c r="H15" s="21" t="s">
        <v>109</v>
      </c>
      <c r="I15" s="20" t="s">
        <v>110</v>
      </c>
      <c r="J15" s="10"/>
      <c r="K15" s="10" t="str">
        <f>"110,0"</f>
        <v>110,0</v>
      </c>
      <c r="L15" s="10" t="str">
        <f>"130,1520"</f>
        <v>130,1520</v>
      </c>
      <c r="M15" s="9" t="s">
        <v>1061</v>
      </c>
    </row>
    <row r="16" spans="1:13">
      <c r="A16" s="25" t="s">
        <v>74</v>
      </c>
      <c r="B16" s="24" t="s">
        <v>863</v>
      </c>
      <c r="C16" s="24" t="s">
        <v>864</v>
      </c>
      <c r="D16" s="24" t="s">
        <v>340</v>
      </c>
      <c r="E16" s="24" t="s">
        <v>1185</v>
      </c>
      <c r="F16" s="24" t="s">
        <v>1167</v>
      </c>
      <c r="G16" s="26" t="s">
        <v>123</v>
      </c>
      <c r="H16" s="26" t="s">
        <v>109</v>
      </c>
      <c r="I16" s="26" t="s">
        <v>110</v>
      </c>
      <c r="J16" s="25"/>
      <c r="K16" s="25" t="str">
        <f>"115,0"</f>
        <v>115,0</v>
      </c>
      <c r="L16" s="25" t="str">
        <f>"136,0680"</f>
        <v>136,0680</v>
      </c>
      <c r="M16" s="24" t="s">
        <v>1097</v>
      </c>
    </row>
    <row r="17" spans="1:13">
      <c r="A17" s="25" t="s">
        <v>74</v>
      </c>
      <c r="B17" s="24" t="s">
        <v>287</v>
      </c>
      <c r="C17" s="24" t="s">
        <v>288</v>
      </c>
      <c r="D17" s="24" t="s">
        <v>289</v>
      </c>
      <c r="E17" s="24" t="s">
        <v>1182</v>
      </c>
      <c r="F17" s="24" t="s">
        <v>1114</v>
      </c>
      <c r="G17" s="26" t="s">
        <v>109</v>
      </c>
      <c r="H17" s="26" t="s">
        <v>110</v>
      </c>
      <c r="I17" s="26" t="s">
        <v>125</v>
      </c>
      <c r="J17" s="25"/>
      <c r="K17" s="25" t="str">
        <f>"125,0"</f>
        <v>125,0</v>
      </c>
      <c r="L17" s="25" t="str">
        <f>"147,2875"</f>
        <v>147,2875</v>
      </c>
      <c r="M17" s="24" t="s">
        <v>1015</v>
      </c>
    </row>
    <row r="18" spans="1:13">
      <c r="A18" s="25" t="s">
        <v>267</v>
      </c>
      <c r="B18" s="24" t="s">
        <v>865</v>
      </c>
      <c r="C18" s="24" t="s">
        <v>866</v>
      </c>
      <c r="D18" s="24" t="s">
        <v>289</v>
      </c>
      <c r="E18" s="24" t="s">
        <v>1182</v>
      </c>
      <c r="F18" s="24" t="s">
        <v>1113</v>
      </c>
      <c r="G18" s="26" t="s">
        <v>109</v>
      </c>
      <c r="H18" s="26" t="s">
        <v>319</v>
      </c>
      <c r="I18" s="26" t="s">
        <v>125</v>
      </c>
      <c r="J18" s="25"/>
      <c r="K18" s="25" t="str">
        <f>"125,0"</f>
        <v>125,0</v>
      </c>
      <c r="L18" s="25" t="str">
        <f>"147,2875"</f>
        <v>147,2875</v>
      </c>
      <c r="M18" s="24" t="s">
        <v>306</v>
      </c>
    </row>
    <row r="19" spans="1:13">
      <c r="A19" s="12" t="s">
        <v>268</v>
      </c>
      <c r="B19" s="11" t="s">
        <v>867</v>
      </c>
      <c r="C19" s="11" t="s">
        <v>868</v>
      </c>
      <c r="D19" s="11" t="s">
        <v>869</v>
      </c>
      <c r="E19" s="11" t="s">
        <v>1182</v>
      </c>
      <c r="F19" s="11" t="s">
        <v>1113</v>
      </c>
      <c r="G19" s="23" t="s">
        <v>123</v>
      </c>
      <c r="H19" s="23" t="s">
        <v>94</v>
      </c>
      <c r="I19" s="23" t="s">
        <v>109</v>
      </c>
      <c r="J19" s="12"/>
      <c r="K19" s="12" t="str">
        <f>"110,0"</f>
        <v>110,0</v>
      </c>
      <c r="L19" s="12" t="str">
        <f>"131,2630"</f>
        <v>131,2630</v>
      </c>
      <c r="M19" s="11" t="s">
        <v>1023</v>
      </c>
    </row>
    <row r="20" spans="1:13">
      <c r="B20" s="5" t="s">
        <v>75</v>
      </c>
    </row>
    <row r="21" spans="1:13" ht="16">
      <c r="A21" s="46" t="s">
        <v>112</v>
      </c>
      <c r="B21" s="46"/>
      <c r="C21" s="46"/>
      <c r="D21" s="46"/>
      <c r="E21" s="46"/>
      <c r="F21" s="46"/>
      <c r="G21" s="46"/>
      <c r="H21" s="46"/>
      <c r="I21" s="46"/>
      <c r="J21" s="46"/>
    </row>
    <row r="22" spans="1:13">
      <c r="A22" s="8" t="s">
        <v>74</v>
      </c>
      <c r="B22" s="7" t="s">
        <v>870</v>
      </c>
      <c r="C22" s="7" t="s">
        <v>871</v>
      </c>
      <c r="D22" s="7" t="s">
        <v>872</v>
      </c>
      <c r="E22" s="7" t="s">
        <v>1182</v>
      </c>
      <c r="F22" s="7" t="s">
        <v>1113</v>
      </c>
      <c r="G22" s="18" t="s">
        <v>122</v>
      </c>
      <c r="H22" s="18" t="s">
        <v>305</v>
      </c>
      <c r="I22" s="18" t="s">
        <v>109</v>
      </c>
      <c r="J22" s="8"/>
      <c r="K22" s="8" t="str">
        <f>"110,0"</f>
        <v>110,0</v>
      </c>
      <c r="L22" s="8" t="str">
        <f>"127,8200"</f>
        <v>127,8200</v>
      </c>
      <c r="M22" s="7" t="s">
        <v>425</v>
      </c>
    </row>
    <row r="23" spans="1:13">
      <c r="B23" s="5" t="s">
        <v>75</v>
      </c>
    </row>
    <row r="24" spans="1:13" ht="16">
      <c r="A24" s="46" t="s">
        <v>131</v>
      </c>
      <c r="B24" s="46"/>
      <c r="C24" s="46"/>
      <c r="D24" s="46"/>
      <c r="E24" s="46"/>
      <c r="F24" s="46"/>
      <c r="G24" s="46"/>
      <c r="H24" s="46"/>
      <c r="I24" s="46"/>
      <c r="J24" s="46"/>
    </row>
    <row r="25" spans="1:13">
      <c r="A25" s="10" t="s">
        <v>74</v>
      </c>
      <c r="B25" s="9" t="s">
        <v>873</v>
      </c>
      <c r="C25" s="9" t="s">
        <v>874</v>
      </c>
      <c r="D25" s="9" t="s">
        <v>153</v>
      </c>
      <c r="E25" s="9" t="s">
        <v>1189</v>
      </c>
      <c r="F25" s="9" t="s">
        <v>1165</v>
      </c>
      <c r="G25" s="21" t="s">
        <v>282</v>
      </c>
      <c r="H25" s="21" t="s">
        <v>278</v>
      </c>
      <c r="I25" s="21" t="s">
        <v>121</v>
      </c>
      <c r="J25" s="10"/>
      <c r="K25" s="10" t="str">
        <f>"90,0"</f>
        <v>90,0</v>
      </c>
      <c r="L25" s="10" t="str">
        <f>"92,3490"</f>
        <v>92,3490</v>
      </c>
      <c r="M25" s="9" t="s">
        <v>855</v>
      </c>
    </row>
    <row r="26" spans="1:13">
      <c r="A26" s="25" t="s">
        <v>74</v>
      </c>
      <c r="B26" s="24" t="s">
        <v>875</v>
      </c>
      <c r="C26" s="24" t="s">
        <v>876</v>
      </c>
      <c r="D26" s="24" t="s">
        <v>325</v>
      </c>
      <c r="E26" s="24" t="s">
        <v>1182</v>
      </c>
      <c r="F26" s="24" t="s">
        <v>1134</v>
      </c>
      <c r="G26" s="26" t="s">
        <v>145</v>
      </c>
      <c r="H26" s="26" t="s">
        <v>17</v>
      </c>
      <c r="I26" s="26" t="s">
        <v>169</v>
      </c>
      <c r="J26" s="25"/>
      <c r="K26" s="25" t="str">
        <f>"142,5"</f>
        <v>142,5</v>
      </c>
      <c r="L26" s="25" t="str">
        <f>"148,4850"</f>
        <v>148,4850</v>
      </c>
      <c r="M26" s="24" t="s">
        <v>1061</v>
      </c>
    </row>
    <row r="27" spans="1:13">
      <c r="A27" s="25" t="s">
        <v>267</v>
      </c>
      <c r="B27" s="24" t="s">
        <v>877</v>
      </c>
      <c r="C27" s="24" t="s">
        <v>878</v>
      </c>
      <c r="D27" s="24" t="s">
        <v>879</v>
      </c>
      <c r="E27" s="24" t="s">
        <v>1182</v>
      </c>
      <c r="F27" s="24" t="s">
        <v>1153</v>
      </c>
      <c r="G27" s="26" t="s">
        <v>130</v>
      </c>
      <c r="H27" s="26" t="s">
        <v>149</v>
      </c>
      <c r="I27" s="26" t="s">
        <v>278</v>
      </c>
      <c r="J27" s="25"/>
      <c r="K27" s="25" t="str">
        <f>"80,0"</f>
        <v>80,0</v>
      </c>
      <c r="L27" s="25" t="str">
        <f>"87,4000"</f>
        <v>87,4000</v>
      </c>
      <c r="M27" s="24" t="s">
        <v>1098</v>
      </c>
    </row>
    <row r="28" spans="1:13">
      <c r="A28" s="12" t="s">
        <v>74</v>
      </c>
      <c r="B28" s="11" t="s">
        <v>880</v>
      </c>
      <c r="C28" s="11" t="s">
        <v>881</v>
      </c>
      <c r="D28" s="11" t="s">
        <v>882</v>
      </c>
      <c r="E28" s="11" t="s">
        <v>1183</v>
      </c>
      <c r="F28" s="11" t="s">
        <v>1134</v>
      </c>
      <c r="G28" s="23" t="s">
        <v>150</v>
      </c>
      <c r="H28" s="23" t="s">
        <v>105</v>
      </c>
      <c r="I28" s="23" t="s">
        <v>106</v>
      </c>
      <c r="J28" s="12"/>
      <c r="K28" s="12" t="str">
        <f>"87,5"</f>
        <v>87,5</v>
      </c>
      <c r="L28" s="12" t="str">
        <f>"95,9137"</f>
        <v>95,9137</v>
      </c>
      <c r="M28" s="11" t="s">
        <v>1061</v>
      </c>
    </row>
    <row r="29" spans="1:13">
      <c r="B29" s="5" t="s">
        <v>75</v>
      </c>
    </row>
    <row r="30" spans="1:13" ht="16">
      <c r="A30" s="46" t="s">
        <v>158</v>
      </c>
      <c r="B30" s="46"/>
      <c r="C30" s="46"/>
      <c r="D30" s="46"/>
      <c r="E30" s="46"/>
      <c r="F30" s="46"/>
      <c r="G30" s="46"/>
      <c r="H30" s="46"/>
      <c r="I30" s="46"/>
      <c r="J30" s="46"/>
    </row>
    <row r="31" spans="1:13">
      <c r="A31" s="8" t="s">
        <v>74</v>
      </c>
      <c r="B31" s="7" t="s">
        <v>883</v>
      </c>
      <c r="C31" s="7" t="s">
        <v>884</v>
      </c>
      <c r="D31" s="7" t="s">
        <v>885</v>
      </c>
      <c r="E31" s="7" t="s">
        <v>1182</v>
      </c>
      <c r="F31" s="7" t="s">
        <v>1168</v>
      </c>
      <c r="G31" s="18" t="s">
        <v>105</v>
      </c>
      <c r="H31" s="18" t="s">
        <v>106</v>
      </c>
      <c r="I31" s="18" t="s">
        <v>122</v>
      </c>
      <c r="J31" s="8"/>
      <c r="K31" s="8" t="str">
        <f>"95,0"</f>
        <v>95,0</v>
      </c>
      <c r="L31" s="8" t="str">
        <f>"93,5085"</f>
        <v>93,5085</v>
      </c>
      <c r="M31" s="7" t="s">
        <v>1099</v>
      </c>
    </row>
    <row r="32" spans="1:13">
      <c r="B32" s="5" t="s">
        <v>75</v>
      </c>
    </row>
    <row r="33" spans="1:13" ht="16">
      <c r="A33" s="46" t="s">
        <v>101</v>
      </c>
      <c r="B33" s="46"/>
      <c r="C33" s="46"/>
      <c r="D33" s="46"/>
      <c r="E33" s="46"/>
      <c r="F33" s="46"/>
      <c r="G33" s="46"/>
      <c r="H33" s="46"/>
      <c r="I33" s="46"/>
      <c r="J33" s="46"/>
    </row>
    <row r="34" spans="1:13">
      <c r="A34" s="8" t="s">
        <v>74</v>
      </c>
      <c r="B34" s="7" t="s">
        <v>338</v>
      </c>
      <c r="C34" s="7" t="s">
        <v>339</v>
      </c>
      <c r="D34" s="7" t="s">
        <v>340</v>
      </c>
      <c r="E34" s="7" t="s">
        <v>1188</v>
      </c>
      <c r="F34" s="7" t="s">
        <v>1118</v>
      </c>
      <c r="G34" s="18" t="s">
        <v>100</v>
      </c>
      <c r="H34" s="18" t="s">
        <v>212</v>
      </c>
      <c r="I34" s="19" t="s">
        <v>154</v>
      </c>
      <c r="J34" s="8"/>
      <c r="K34" s="8" t="str">
        <f>"152,5"</f>
        <v>152,5</v>
      </c>
      <c r="L34" s="8" t="str">
        <f>"139,8120"</f>
        <v>139,8120</v>
      </c>
      <c r="M34" s="7" t="s">
        <v>1024</v>
      </c>
    </row>
    <row r="35" spans="1:13">
      <c r="B35" s="5" t="s">
        <v>75</v>
      </c>
    </row>
    <row r="36" spans="1:13" ht="16">
      <c r="A36" s="46" t="s">
        <v>112</v>
      </c>
      <c r="B36" s="46"/>
      <c r="C36" s="46"/>
      <c r="D36" s="46"/>
      <c r="E36" s="46"/>
      <c r="F36" s="46"/>
      <c r="G36" s="46"/>
      <c r="H36" s="46"/>
      <c r="I36" s="46"/>
      <c r="J36" s="46"/>
    </row>
    <row r="37" spans="1:13">
      <c r="A37" s="10" t="s">
        <v>74</v>
      </c>
      <c r="B37" s="9" t="s">
        <v>886</v>
      </c>
      <c r="C37" s="9" t="s">
        <v>887</v>
      </c>
      <c r="D37" s="9" t="s">
        <v>888</v>
      </c>
      <c r="E37" s="9" t="s">
        <v>1189</v>
      </c>
      <c r="F37" s="9" t="s">
        <v>1137</v>
      </c>
      <c r="G37" s="21" t="s">
        <v>150</v>
      </c>
      <c r="H37" s="21" t="s">
        <v>117</v>
      </c>
      <c r="I37" s="21" t="s">
        <v>121</v>
      </c>
      <c r="J37" s="10"/>
      <c r="K37" s="10" t="str">
        <f>"90,0"</f>
        <v>90,0</v>
      </c>
      <c r="L37" s="10" t="str">
        <f>"79,7310"</f>
        <v>79,7310</v>
      </c>
      <c r="M37" s="9" t="s">
        <v>1100</v>
      </c>
    </row>
    <row r="38" spans="1:13">
      <c r="A38" s="25" t="s">
        <v>74</v>
      </c>
      <c r="B38" s="24" t="s">
        <v>889</v>
      </c>
      <c r="C38" s="24" t="s">
        <v>890</v>
      </c>
      <c r="D38" s="24" t="s">
        <v>616</v>
      </c>
      <c r="E38" s="24" t="s">
        <v>1188</v>
      </c>
      <c r="F38" s="24" t="s">
        <v>1134</v>
      </c>
      <c r="G38" s="26" t="s">
        <v>99</v>
      </c>
      <c r="H38" s="26" t="s">
        <v>17</v>
      </c>
      <c r="I38" s="26" t="s">
        <v>18</v>
      </c>
      <c r="J38" s="25"/>
      <c r="K38" s="25" t="str">
        <f>"150,0"</f>
        <v>150,0</v>
      </c>
      <c r="L38" s="25" t="str">
        <f>"128,5200"</f>
        <v>128,5200</v>
      </c>
      <c r="M38" s="24" t="s">
        <v>1061</v>
      </c>
    </row>
    <row r="39" spans="1:13">
      <c r="A39" s="12" t="s">
        <v>74</v>
      </c>
      <c r="B39" s="11" t="s">
        <v>635</v>
      </c>
      <c r="C39" s="11" t="s">
        <v>636</v>
      </c>
      <c r="D39" s="11" t="s">
        <v>637</v>
      </c>
      <c r="E39" s="11" t="s">
        <v>1182</v>
      </c>
      <c r="F39" s="11" t="s">
        <v>1113</v>
      </c>
      <c r="G39" s="23" t="s">
        <v>18</v>
      </c>
      <c r="H39" s="23" t="s">
        <v>212</v>
      </c>
      <c r="I39" s="23" t="s">
        <v>19</v>
      </c>
      <c r="J39" s="12"/>
      <c r="K39" s="12" t="str">
        <f>"155,0"</f>
        <v>155,0</v>
      </c>
      <c r="L39" s="12" t="str">
        <f>"135,5475"</f>
        <v>135,5475</v>
      </c>
      <c r="M39" s="11"/>
    </row>
    <row r="40" spans="1:13">
      <c r="B40" s="5" t="s">
        <v>75</v>
      </c>
    </row>
    <row r="41" spans="1:13" ht="16">
      <c r="A41" s="46" t="s">
        <v>158</v>
      </c>
      <c r="B41" s="46"/>
      <c r="C41" s="46"/>
      <c r="D41" s="46"/>
      <c r="E41" s="46"/>
      <c r="F41" s="46"/>
      <c r="G41" s="46"/>
      <c r="H41" s="46"/>
      <c r="I41" s="46"/>
      <c r="J41" s="46"/>
    </row>
    <row r="42" spans="1:13">
      <c r="A42" s="8" t="s">
        <v>74</v>
      </c>
      <c r="B42" s="7" t="s">
        <v>891</v>
      </c>
      <c r="C42" s="7" t="s">
        <v>892</v>
      </c>
      <c r="D42" s="7" t="s">
        <v>893</v>
      </c>
      <c r="E42" s="7" t="s">
        <v>1182</v>
      </c>
      <c r="F42" s="7" t="s">
        <v>1142</v>
      </c>
      <c r="G42" s="18" t="s">
        <v>359</v>
      </c>
      <c r="H42" s="18" t="s">
        <v>20</v>
      </c>
      <c r="I42" s="19" t="s">
        <v>15</v>
      </c>
      <c r="J42" s="8"/>
      <c r="K42" s="8" t="str">
        <f>"190,0"</f>
        <v>190,0</v>
      </c>
      <c r="L42" s="8" t="str">
        <f>"136,5340"</f>
        <v>136,5340</v>
      </c>
      <c r="M42" s="7" t="s">
        <v>1101</v>
      </c>
    </row>
    <row r="43" spans="1:13">
      <c r="B43" s="5" t="s">
        <v>75</v>
      </c>
    </row>
    <row r="44" spans="1:13" ht="16">
      <c r="A44" s="46" t="s">
        <v>141</v>
      </c>
      <c r="B44" s="46"/>
      <c r="C44" s="46"/>
      <c r="D44" s="46"/>
      <c r="E44" s="46"/>
      <c r="F44" s="46"/>
      <c r="G44" s="46"/>
      <c r="H44" s="46"/>
      <c r="I44" s="46"/>
      <c r="J44" s="46"/>
    </row>
    <row r="45" spans="1:13">
      <c r="A45" s="10" t="s">
        <v>74</v>
      </c>
      <c r="B45" s="9" t="s">
        <v>361</v>
      </c>
      <c r="C45" s="9" t="s">
        <v>362</v>
      </c>
      <c r="D45" s="9" t="s">
        <v>363</v>
      </c>
      <c r="E45" s="9" t="s">
        <v>1185</v>
      </c>
      <c r="F45" s="9" t="s">
        <v>1120</v>
      </c>
      <c r="G45" s="21" t="s">
        <v>15</v>
      </c>
      <c r="H45" s="21" t="s">
        <v>16</v>
      </c>
      <c r="I45" s="20" t="s">
        <v>49</v>
      </c>
      <c r="J45" s="10"/>
      <c r="K45" s="10" t="str">
        <f>"210,0"</f>
        <v>210,0</v>
      </c>
      <c r="L45" s="10" t="str">
        <f>"141,7290"</f>
        <v>141,7290</v>
      </c>
      <c r="M45" s="9" t="s">
        <v>1026</v>
      </c>
    </row>
    <row r="46" spans="1:13">
      <c r="A46" s="25" t="s">
        <v>74</v>
      </c>
      <c r="B46" s="24" t="s">
        <v>894</v>
      </c>
      <c r="C46" s="24" t="s">
        <v>895</v>
      </c>
      <c r="D46" s="24" t="s">
        <v>799</v>
      </c>
      <c r="E46" s="24" t="s">
        <v>1182</v>
      </c>
      <c r="F46" s="24" t="s">
        <v>1113</v>
      </c>
      <c r="G46" s="26" t="s">
        <v>21</v>
      </c>
      <c r="H46" s="26" t="s">
        <v>49</v>
      </c>
      <c r="I46" s="26" t="s">
        <v>215</v>
      </c>
      <c r="J46" s="25"/>
      <c r="K46" s="25" t="str">
        <f>"227,5"</f>
        <v>227,5</v>
      </c>
      <c r="L46" s="25" t="str">
        <f>"153,4260"</f>
        <v>153,4260</v>
      </c>
      <c r="M46" s="24" t="s">
        <v>896</v>
      </c>
    </row>
    <row r="47" spans="1:13">
      <c r="A47" s="12" t="s">
        <v>267</v>
      </c>
      <c r="B47" s="11" t="s">
        <v>897</v>
      </c>
      <c r="C47" s="11" t="s">
        <v>898</v>
      </c>
      <c r="D47" s="11" t="s">
        <v>367</v>
      </c>
      <c r="E47" s="11" t="s">
        <v>1182</v>
      </c>
      <c r="F47" s="11" t="s">
        <v>1113</v>
      </c>
      <c r="G47" s="23" t="s">
        <v>137</v>
      </c>
      <c r="H47" s="23" t="s">
        <v>21</v>
      </c>
      <c r="I47" s="23" t="s">
        <v>178</v>
      </c>
      <c r="J47" s="12"/>
      <c r="K47" s="12" t="str">
        <f>"225,0"</f>
        <v>225,0</v>
      </c>
      <c r="L47" s="12" t="str">
        <f>"152,5275"</f>
        <v>152,5275</v>
      </c>
      <c r="M47" s="11"/>
    </row>
    <row r="48" spans="1:13">
      <c r="B48" s="5" t="s">
        <v>75</v>
      </c>
    </row>
    <row r="49" spans="1:13" ht="16">
      <c r="A49" s="46" t="s">
        <v>10</v>
      </c>
      <c r="B49" s="46"/>
      <c r="C49" s="46"/>
      <c r="D49" s="46"/>
      <c r="E49" s="46"/>
      <c r="F49" s="46"/>
      <c r="G49" s="46"/>
      <c r="H49" s="46"/>
      <c r="I49" s="46"/>
      <c r="J49" s="46"/>
    </row>
    <row r="50" spans="1:13">
      <c r="A50" s="10" t="s">
        <v>74</v>
      </c>
      <c r="B50" s="9" t="s">
        <v>899</v>
      </c>
      <c r="C50" s="9" t="s">
        <v>900</v>
      </c>
      <c r="D50" s="9" t="s">
        <v>901</v>
      </c>
      <c r="E50" s="9" t="s">
        <v>1182</v>
      </c>
      <c r="F50" s="9" t="s">
        <v>1113</v>
      </c>
      <c r="G50" s="21" t="s">
        <v>36</v>
      </c>
      <c r="H50" s="20" t="s">
        <v>902</v>
      </c>
      <c r="I50" s="20" t="s">
        <v>902</v>
      </c>
      <c r="J50" s="10"/>
      <c r="K50" s="10" t="str">
        <f>"240,0"</f>
        <v>240,0</v>
      </c>
      <c r="L50" s="10" t="str">
        <f>"155,8800"</f>
        <v>155,8800</v>
      </c>
      <c r="M50" s="9" t="s">
        <v>1102</v>
      </c>
    </row>
    <row r="51" spans="1:13">
      <c r="A51" s="25" t="s">
        <v>267</v>
      </c>
      <c r="B51" s="24" t="s">
        <v>903</v>
      </c>
      <c r="C51" s="24" t="s">
        <v>904</v>
      </c>
      <c r="D51" s="24" t="s">
        <v>372</v>
      </c>
      <c r="E51" s="24" t="s">
        <v>1182</v>
      </c>
      <c r="F51" s="24" t="s">
        <v>1169</v>
      </c>
      <c r="G51" s="26" t="s">
        <v>21</v>
      </c>
      <c r="H51" s="27" t="s">
        <v>49</v>
      </c>
      <c r="I51" s="26" t="s">
        <v>40</v>
      </c>
      <c r="J51" s="25"/>
      <c r="K51" s="25" t="str">
        <f>"230,0"</f>
        <v>230,0</v>
      </c>
      <c r="L51" s="25" t="str">
        <f>"149,8450"</f>
        <v>149,8450</v>
      </c>
      <c r="M51" s="24"/>
    </row>
    <row r="52" spans="1:13">
      <c r="A52" s="25" t="s">
        <v>268</v>
      </c>
      <c r="B52" s="24" t="s">
        <v>905</v>
      </c>
      <c r="C52" s="24" t="s">
        <v>906</v>
      </c>
      <c r="D52" s="24" t="s">
        <v>696</v>
      </c>
      <c r="E52" s="24" t="s">
        <v>1182</v>
      </c>
      <c r="F52" s="24" t="s">
        <v>1125</v>
      </c>
      <c r="G52" s="27" t="s">
        <v>22</v>
      </c>
      <c r="H52" s="26" t="s">
        <v>22</v>
      </c>
      <c r="I52" s="27" t="s">
        <v>40</v>
      </c>
      <c r="J52" s="25"/>
      <c r="K52" s="25" t="str">
        <f>"215,0"</f>
        <v>215,0</v>
      </c>
      <c r="L52" s="25" t="str">
        <f>"138,3740"</f>
        <v>138,3740</v>
      </c>
      <c r="M52" s="24"/>
    </row>
    <row r="53" spans="1:13">
      <c r="A53" s="25" t="s">
        <v>270</v>
      </c>
      <c r="B53" s="24" t="s">
        <v>907</v>
      </c>
      <c r="C53" s="24" t="s">
        <v>908</v>
      </c>
      <c r="D53" s="24" t="s">
        <v>502</v>
      </c>
      <c r="E53" s="24" t="s">
        <v>1182</v>
      </c>
      <c r="F53" s="24" t="s">
        <v>1155</v>
      </c>
      <c r="G53" s="26" t="s">
        <v>379</v>
      </c>
      <c r="H53" s="26" t="s">
        <v>156</v>
      </c>
      <c r="I53" s="26" t="s">
        <v>373</v>
      </c>
      <c r="J53" s="25"/>
      <c r="K53" s="25" t="str">
        <f>"207,5"</f>
        <v>207,5</v>
      </c>
      <c r="L53" s="25" t="str">
        <f>"133,4640"</f>
        <v>133,4640</v>
      </c>
      <c r="M53" s="24"/>
    </row>
    <row r="54" spans="1:13">
      <c r="A54" s="12" t="s">
        <v>449</v>
      </c>
      <c r="B54" s="11" t="s">
        <v>909</v>
      </c>
      <c r="C54" s="11" t="s">
        <v>910</v>
      </c>
      <c r="D54" s="11" t="s">
        <v>911</v>
      </c>
      <c r="E54" s="11" t="s">
        <v>1182</v>
      </c>
      <c r="F54" s="11" t="s">
        <v>1169</v>
      </c>
      <c r="G54" s="23" t="s">
        <v>156</v>
      </c>
      <c r="H54" s="22" t="s">
        <v>16</v>
      </c>
      <c r="I54" s="22" t="s">
        <v>16</v>
      </c>
      <c r="J54" s="12"/>
      <c r="K54" s="12" t="str">
        <f>"202,5"</f>
        <v>202,5</v>
      </c>
      <c r="L54" s="12" t="str">
        <f>"132,9615"</f>
        <v>132,9615</v>
      </c>
      <c r="M54" s="11"/>
    </row>
    <row r="55" spans="1:13">
      <c r="B55" s="5" t="s">
        <v>75</v>
      </c>
    </row>
    <row r="56" spans="1:13" ht="16">
      <c r="A56" s="46" t="s">
        <v>23</v>
      </c>
      <c r="B56" s="46"/>
      <c r="C56" s="46"/>
      <c r="D56" s="46"/>
      <c r="E56" s="46"/>
      <c r="F56" s="46"/>
      <c r="G56" s="46"/>
      <c r="H56" s="46"/>
      <c r="I56" s="46"/>
      <c r="J56" s="46"/>
    </row>
    <row r="57" spans="1:13">
      <c r="A57" s="10" t="s">
        <v>74</v>
      </c>
      <c r="B57" s="9" t="s">
        <v>912</v>
      </c>
      <c r="C57" s="9" t="s">
        <v>913</v>
      </c>
      <c r="D57" s="9" t="s">
        <v>914</v>
      </c>
      <c r="E57" s="9" t="s">
        <v>1188</v>
      </c>
      <c r="F57" s="9" t="s">
        <v>1170</v>
      </c>
      <c r="G57" s="21" t="s">
        <v>49</v>
      </c>
      <c r="H57" s="21" t="s">
        <v>86</v>
      </c>
      <c r="I57" s="20" t="s">
        <v>41</v>
      </c>
      <c r="J57" s="10"/>
      <c r="K57" s="10" t="str">
        <f>"235,0"</f>
        <v>235,0</v>
      </c>
      <c r="L57" s="10" t="str">
        <f>"143,1385"</f>
        <v>143,1385</v>
      </c>
      <c r="M57" s="9"/>
    </row>
    <row r="58" spans="1:13">
      <c r="A58" s="25" t="s">
        <v>74</v>
      </c>
      <c r="B58" s="24" t="s">
        <v>915</v>
      </c>
      <c r="C58" s="24" t="s">
        <v>916</v>
      </c>
      <c r="D58" s="24" t="s">
        <v>531</v>
      </c>
      <c r="E58" s="24" t="s">
        <v>1182</v>
      </c>
      <c r="F58" s="24" t="s">
        <v>1164</v>
      </c>
      <c r="G58" s="26" t="s">
        <v>238</v>
      </c>
      <c r="H58" s="26" t="s">
        <v>200</v>
      </c>
      <c r="I58" s="26" t="s">
        <v>28</v>
      </c>
      <c r="J58" s="25"/>
      <c r="K58" s="25" t="str">
        <f>"315,0"</f>
        <v>315,0</v>
      </c>
      <c r="L58" s="25" t="str">
        <f>"193,1265"</f>
        <v>193,1265</v>
      </c>
      <c r="M58" s="24"/>
    </row>
    <row r="59" spans="1:13">
      <c r="A59" s="25" t="s">
        <v>267</v>
      </c>
      <c r="B59" s="24" t="s">
        <v>917</v>
      </c>
      <c r="C59" s="24" t="s">
        <v>918</v>
      </c>
      <c r="D59" s="24" t="s">
        <v>416</v>
      </c>
      <c r="E59" s="24" t="s">
        <v>1182</v>
      </c>
      <c r="F59" s="24" t="s">
        <v>1117</v>
      </c>
      <c r="G59" s="26" t="s">
        <v>82</v>
      </c>
      <c r="H59" s="26" t="s">
        <v>16</v>
      </c>
      <c r="I59" s="26" t="s">
        <v>49</v>
      </c>
      <c r="J59" s="25"/>
      <c r="K59" s="25" t="str">
        <f>"220,0"</f>
        <v>220,0</v>
      </c>
      <c r="L59" s="25" t="str">
        <f>"134,4860"</f>
        <v>134,4860</v>
      </c>
      <c r="M59" s="24" t="s">
        <v>1103</v>
      </c>
    </row>
    <row r="60" spans="1:13">
      <c r="A60" s="25" t="s">
        <v>74</v>
      </c>
      <c r="B60" s="24" t="s">
        <v>419</v>
      </c>
      <c r="C60" s="24" t="s">
        <v>420</v>
      </c>
      <c r="D60" s="24" t="s">
        <v>421</v>
      </c>
      <c r="E60" s="24" t="s">
        <v>1183</v>
      </c>
      <c r="F60" s="24" t="s">
        <v>1113</v>
      </c>
      <c r="G60" s="26" t="s">
        <v>21</v>
      </c>
      <c r="H60" s="26" t="s">
        <v>157</v>
      </c>
      <c r="I60" s="26" t="s">
        <v>22</v>
      </c>
      <c r="J60" s="25"/>
      <c r="K60" s="25" t="str">
        <f>"215,0"</f>
        <v>215,0</v>
      </c>
      <c r="L60" s="25" t="str">
        <f>"137,6071"</f>
        <v>137,6071</v>
      </c>
      <c r="M60" s="24" t="s">
        <v>563</v>
      </c>
    </row>
    <row r="61" spans="1:13">
      <c r="A61" s="12" t="s">
        <v>74</v>
      </c>
      <c r="B61" s="11" t="s">
        <v>917</v>
      </c>
      <c r="C61" s="11" t="s">
        <v>919</v>
      </c>
      <c r="D61" s="11" t="s">
        <v>416</v>
      </c>
      <c r="E61" s="11" t="s">
        <v>1187</v>
      </c>
      <c r="F61" s="11" t="s">
        <v>1117</v>
      </c>
      <c r="G61" s="23" t="s">
        <v>82</v>
      </c>
      <c r="H61" s="23" t="s">
        <v>16</v>
      </c>
      <c r="I61" s="23" t="s">
        <v>49</v>
      </c>
      <c r="J61" s="12"/>
      <c r="K61" s="12" t="str">
        <f>"220,0"</f>
        <v>220,0</v>
      </c>
      <c r="L61" s="12" t="str">
        <f>"157,0796"</f>
        <v>157,0796</v>
      </c>
      <c r="M61" s="11" t="s">
        <v>1103</v>
      </c>
    </row>
    <row r="62" spans="1:13">
      <c r="B62" s="5" t="s">
        <v>75</v>
      </c>
    </row>
    <row r="63" spans="1:13" ht="16">
      <c r="A63" s="46" t="s">
        <v>32</v>
      </c>
      <c r="B63" s="46"/>
      <c r="C63" s="46"/>
      <c r="D63" s="46"/>
      <c r="E63" s="46"/>
      <c r="F63" s="46"/>
      <c r="G63" s="46"/>
      <c r="H63" s="46"/>
      <c r="I63" s="46"/>
      <c r="J63" s="46"/>
    </row>
    <row r="64" spans="1:13">
      <c r="A64" s="10" t="s">
        <v>74</v>
      </c>
      <c r="B64" s="9" t="s">
        <v>920</v>
      </c>
      <c r="C64" s="9" t="s">
        <v>921</v>
      </c>
      <c r="D64" s="9" t="s">
        <v>547</v>
      </c>
      <c r="E64" s="9" t="s">
        <v>1188</v>
      </c>
      <c r="F64" s="9" t="s">
        <v>1113</v>
      </c>
      <c r="G64" s="21" t="s">
        <v>178</v>
      </c>
      <c r="H64" s="21" t="s">
        <v>86</v>
      </c>
      <c r="I64" s="10"/>
      <c r="J64" s="10"/>
      <c r="K64" s="10" t="str">
        <f>"235,0"</f>
        <v>235,0</v>
      </c>
      <c r="L64" s="10" t="str">
        <f>"139,3080"</f>
        <v>139,3080</v>
      </c>
      <c r="M64" s="9"/>
    </row>
    <row r="65" spans="1:13">
      <c r="A65" s="12" t="s">
        <v>74</v>
      </c>
      <c r="B65" s="11" t="s">
        <v>426</v>
      </c>
      <c r="C65" s="11" t="s">
        <v>427</v>
      </c>
      <c r="D65" s="11" t="s">
        <v>428</v>
      </c>
      <c r="E65" s="11" t="s">
        <v>1182</v>
      </c>
      <c r="F65" s="11" t="s">
        <v>1115</v>
      </c>
      <c r="G65" s="23" t="s">
        <v>18</v>
      </c>
      <c r="H65" s="23" t="s">
        <v>55</v>
      </c>
      <c r="I65" s="23" t="s">
        <v>20</v>
      </c>
      <c r="J65" s="12"/>
      <c r="K65" s="12" t="str">
        <f>"190,0"</f>
        <v>190,0</v>
      </c>
      <c r="L65" s="12" t="str">
        <f>"115,5770"</f>
        <v>115,5770</v>
      </c>
      <c r="M65" s="11" t="s">
        <v>1017</v>
      </c>
    </row>
    <row r="66" spans="1:13">
      <c r="B66" s="5" t="s">
        <v>75</v>
      </c>
    </row>
    <row r="67" spans="1:13" ht="16">
      <c r="A67" s="46" t="s">
        <v>229</v>
      </c>
      <c r="B67" s="46"/>
      <c r="C67" s="46"/>
      <c r="D67" s="46"/>
      <c r="E67" s="46"/>
      <c r="F67" s="46"/>
      <c r="G67" s="46"/>
      <c r="H67" s="46"/>
      <c r="I67" s="46"/>
      <c r="J67" s="46"/>
    </row>
    <row r="68" spans="1:13">
      <c r="A68" s="10" t="s">
        <v>74</v>
      </c>
      <c r="B68" s="9" t="s">
        <v>922</v>
      </c>
      <c r="C68" s="9" t="s">
        <v>923</v>
      </c>
      <c r="D68" s="9" t="s">
        <v>924</v>
      </c>
      <c r="E68" s="9" t="s">
        <v>1182</v>
      </c>
      <c r="F68" s="9" t="s">
        <v>1113</v>
      </c>
      <c r="G68" s="21" t="s">
        <v>38</v>
      </c>
      <c r="H68" s="21" t="s">
        <v>57</v>
      </c>
      <c r="I68" s="20" t="s">
        <v>219</v>
      </c>
      <c r="J68" s="10"/>
      <c r="K68" s="10" t="str">
        <f>"280,0"</f>
        <v>280,0</v>
      </c>
      <c r="L68" s="10" t="str">
        <f>"160,0200"</f>
        <v>160,0200</v>
      </c>
      <c r="M68" s="9" t="s">
        <v>1032</v>
      </c>
    </row>
    <row r="69" spans="1:13">
      <c r="A69" s="12" t="s">
        <v>74</v>
      </c>
      <c r="B69" s="11" t="s">
        <v>922</v>
      </c>
      <c r="C69" s="11" t="s">
        <v>925</v>
      </c>
      <c r="D69" s="11" t="s">
        <v>924</v>
      </c>
      <c r="E69" s="11" t="s">
        <v>1183</v>
      </c>
      <c r="F69" s="11" t="s">
        <v>1113</v>
      </c>
      <c r="G69" s="23" t="s">
        <v>38</v>
      </c>
      <c r="H69" s="23" t="s">
        <v>57</v>
      </c>
      <c r="I69" s="22" t="s">
        <v>219</v>
      </c>
      <c r="J69" s="12"/>
      <c r="K69" s="12" t="str">
        <f>"280,0"</f>
        <v>280,0</v>
      </c>
      <c r="L69" s="12" t="str">
        <f>"175,3819"</f>
        <v>175,3819</v>
      </c>
      <c r="M69" s="11" t="s">
        <v>1032</v>
      </c>
    </row>
    <row r="70" spans="1:13">
      <c r="B70" s="5" t="s">
        <v>75</v>
      </c>
    </row>
    <row r="73" spans="1:13" ht="18">
      <c r="B73" s="13" t="s">
        <v>60</v>
      </c>
      <c r="C73" s="13"/>
    </row>
    <row r="74" spans="1:13" ht="16">
      <c r="B74" s="14" t="s">
        <v>249</v>
      </c>
      <c r="C74" s="14"/>
    </row>
    <row r="75" spans="1:13" ht="14">
      <c r="B75" s="15"/>
      <c r="C75" s="16" t="s">
        <v>71</v>
      </c>
    </row>
    <row r="76" spans="1:13" ht="14">
      <c r="B76" s="17" t="s">
        <v>63</v>
      </c>
      <c r="C76" s="17" t="s">
        <v>64</v>
      </c>
      <c r="D76" s="17" t="s">
        <v>1012</v>
      </c>
      <c r="E76" s="17" t="s">
        <v>471</v>
      </c>
      <c r="F76" s="17" t="s">
        <v>66</v>
      </c>
    </row>
    <row r="77" spans="1:13">
      <c r="B77" s="5" t="s">
        <v>875</v>
      </c>
      <c r="C77" s="5" t="s">
        <v>71</v>
      </c>
      <c r="D77" s="6" t="s">
        <v>255</v>
      </c>
      <c r="E77" s="6" t="s">
        <v>169</v>
      </c>
      <c r="F77" s="6" t="s">
        <v>926</v>
      </c>
    </row>
    <row r="78" spans="1:13">
      <c r="B78" s="5" t="s">
        <v>865</v>
      </c>
      <c r="C78" s="5" t="s">
        <v>71</v>
      </c>
      <c r="D78" s="6" t="s">
        <v>440</v>
      </c>
      <c r="E78" s="6" t="s">
        <v>125</v>
      </c>
      <c r="F78" s="6" t="s">
        <v>927</v>
      </c>
    </row>
    <row r="79" spans="1:13">
      <c r="B79" s="5" t="s">
        <v>287</v>
      </c>
      <c r="C79" s="5" t="s">
        <v>71</v>
      </c>
      <c r="D79" s="6" t="s">
        <v>440</v>
      </c>
      <c r="E79" s="6" t="s">
        <v>125</v>
      </c>
      <c r="F79" s="6" t="s">
        <v>927</v>
      </c>
    </row>
    <row r="81" spans="2:6" ht="16">
      <c r="B81" s="14" t="s">
        <v>61</v>
      </c>
      <c r="C81" s="14"/>
    </row>
    <row r="82" spans="2:6" ht="14">
      <c r="B82" s="15"/>
      <c r="C82" s="16" t="s">
        <v>71</v>
      </c>
    </row>
    <row r="83" spans="2:6" ht="14">
      <c r="B83" s="17" t="s">
        <v>63</v>
      </c>
      <c r="C83" s="17" t="s">
        <v>64</v>
      </c>
      <c r="D83" s="17" t="s">
        <v>1012</v>
      </c>
      <c r="E83" s="17" t="s">
        <v>471</v>
      </c>
      <c r="F83" s="17" t="s">
        <v>66</v>
      </c>
    </row>
    <row r="84" spans="2:6">
      <c r="B84" s="5" t="s">
        <v>915</v>
      </c>
      <c r="C84" s="5" t="s">
        <v>71</v>
      </c>
      <c r="D84" s="6" t="s">
        <v>73</v>
      </c>
      <c r="E84" s="6" t="s">
        <v>28</v>
      </c>
      <c r="F84" s="6" t="s">
        <v>928</v>
      </c>
    </row>
    <row r="85" spans="2:6">
      <c r="B85" s="5" t="s">
        <v>922</v>
      </c>
      <c r="C85" s="5" t="s">
        <v>71</v>
      </c>
      <c r="D85" s="6" t="s">
        <v>441</v>
      </c>
      <c r="E85" s="6" t="s">
        <v>57</v>
      </c>
      <c r="F85" s="6" t="s">
        <v>929</v>
      </c>
    </row>
    <row r="86" spans="2:6">
      <c r="B86" s="5" t="s">
        <v>899</v>
      </c>
      <c r="C86" s="5" t="s">
        <v>71</v>
      </c>
      <c r="D86" s="6" t="s">
        <v>70</v>
      </c>
      <c r="E86" s="6" t="s">
        <v>36</v>
      </c>
      <c r="F86" s="6" t="s">
        <v>930</v>
      </c>
    </row>
    <row r="87" spans="2:6">
      <c r="B87" s="5" t="s">
        <v>75</v>
      </c>
    </row>
  </sheetData>
  <mergeCells count="2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63:J63"/>
    <mergeCell ref="A67:J67"/>
    <mergeCell ref="B3:B4"/>
    <mergeCell ref="A33:J33"/>
    <mergeCell ref="A36:J36"/>
    <mergeCell ref="A41:J41"/>
    <mergeCell ref="A44:J44"/>
    <mergeCell ref="A49:J49"/>
    <mergeCell ref="A56:J56"/>
    <mergeCell ref="A8:J8"/>
    <mergeCell ref="A11:J11"/>
    <mergeCell ref="A14:J14"/>
    <mergeCell ref="A21:J21"/>
    <mergeCell ref="A24:J24"/>
    <mergeCell ref="A30:J3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42"/>
  <sheetViews>
    <sheetView workbookViewId="0">
      <selection activeCell="E32" sqref="E32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7.5" style="5" bestFit="1" customWidth="1"/>
    <col min="4" max="4" width="21.5" style="5" bestFit="1" customWidth="1"/>
    <col min="5" max="5" width="12.5" style="5" customWidth="1"/>
    <col min="6" max="6" width="24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3" style="5" customWidth="1"/>
    <col min="14" max="16384" width="9.1640625" style="3"/>
  </cols>
  <sheetData>
    <row r="1" spans="1:13" s="2" customFormat="1" ht="29" customHeight="1">
      <c r="A1" s="57" t="s">
        <v>1056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76</v>
      </c>
      <c r="B3" s="47" t="s">
        <v>0</v>
      </c>
      <c r="C3" s="67" t="s">
        <v>1180</v>
      </c>
      <c r="D3" s="67" t="s">
        <v>5</v>
      </c>
      <c r="E3" s="51" t="s">
        <v>1181</v>
      </c>
      <c r="F3" s="51" t="s">
        <v>6</v>
      </c>
      <c r="G3" s="51" t="s">
        <v>9</v>
      </c>
      <c r="H3" s="51"/>
      <c r="I3" s="51"/>
      <c r="J3" s="51"/>
      <c r="K3" s="51" t="s">
        <v>474</v>
      </c>
      <c r="L3" s="51" t="s">
        <v>3</v>
      </c>
      <c r="M3" s="53" t="s">
        <v>2</v>
      </c>
    </row>
    <row r="4" spans="1:13" s="1" customFormat="1" ht="21" customHeight="1" thickBot="1">
      <c r="A4" s="66"/>
      <c r="B4" s="48"/>
      <c r="C4" s="52"/>
      <c r="D4" s="52"/>
      <c r="E4" s="52"/>
      <c r="F4" s="52"/>
      <c r="G4" s="4">
        <v>1</v>
      </c>
      <c r="H4" s="4">
        <v>2</v>
      </c>
      <c r="I4" s="4">
        <v>3</v>
      </c>
      <c r="J4" s="4" t="s">
        <v>4</v>
      </c>
      <c r="K4" s="52"/>
      <c r="L4" s="52"/>
      <c r="M4" s="54"/>
    </row>
    <row r="5" spans="1:13" ht="16">
      <c r="A5" s="55" t="s">
        <v>158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8" t="s">
        <v>74</v>
      </c>
      <c r="B6" s="7" t="s">
        <v>159</v>
      </c>
      <c r="C6" s="7" t="s">
        <v>160</v>
      </c>
      <c r="D6" s="7" t="s">
        <v>161</v>
      </c>
      <c r="E6" s="7" t="s">
        <v>1182</v>
      </c>
      <c r="F6" s="7" t="s">
        <v>1126</v>
      </c>
      <c r="G6" s="18" t="s">
        <v>41</v>
      </c>
      <c r="H6" s="18" t="s">
        <v>162</v>
      </c>
      <c r="I6" s="19" t="s">
        <v>164</v>
      </c>
      <c r="J6" s="8"/>
      <c r="K6" s="8" t="str">
        <f>"260,0"</f>
        <v>260,0</v>
      </c>
      <c r="L6" s="8" t="str">
        <f>"185,2760"</f>
        <v>185,2760</v>
      </c>
      <c r="M6" s="7" t="s">
        <v>165</v>
      </c>
    </row>
    <row r="7" spans="1:13">
      <c r="B7" s="5" t="s">
        <v>75</v>
      </c>
    </row>
    <row r="8" spans="1:13" ht="16">
      <c r="A8" s="46" t="s">
        <v>141</v>
      </c>
      <c r="B8" s="46"/>
      <c r="C8" s="46"/>
      <c r="D8" s="46"/>
      <c r="E8" s="46"/>
      <c r="F8" s="46"/>
      <c r="G8" s="46"/>
      <c r="H8" s="46"/>
      <c r="I8" s="46"/>
      <c r="J8" s="46"/>
    </row>
    <row r="9" spans="1:13">
      <c r="A9" s="8" t="s">
        <v>74</v>
      </c>
      <c r="B9" s="7" t="s">
        <v>823</v>
      </c>
      <c r="C9" s="7" t="s">
        <v>824</v>
      </c>
      <c r="D9" s="7" t="s">
        <v>489</v>
      </c>
      <c r="E9" s="7" t="s">
        <v>1182</v>
      </c>
      <c r="F9" s="7" t="s">
        <v>1120</v>
      </c>
      <c r="G9" s="18" t="s">
        <v>200</v>
      </c>
      <c r="H9" s="19" t="s">
        <v>30</v>
      </c>
      <c r="I9" s="19" t="s">
        <v>30</v>
      </c>
      <c r="J9" s="8"/>
      <c r="K9" s="8" t="str">
        <f>"310,0"</f>
        <v>310,0</v>
      </c>
      <c r="L9" s="8" t="str">
        <f>"208,7540"</f>
        <v>208,7540</v>
      </c>
      <c r="M9" s="7" t="s">
        <v>825</v>
      </c>
    </row>
    <row r="10" spans="1:13">
      <c r="B10" s="5" t="s">
        <v>75</v>
      </c>
    </row>
    <row r="11" spans="1:13" ht="16">
      <c r="A11" s="46" t="s">
        <v>10</v>
      </c>
      <c r="B11" s="46"/>
      <c r="C11" s="46"/>
      <c r="D11" s="46"/>
      <c r="E11" s="46"/>
      <c r="F11" s="46"/>
      <c r="G11" s="46"/>
      <c r="H11" s="46"/>
      <c r="I11" s="46"/>
      <c r="J11" s="46"/>
    </row>
    <row r="12" spans="1:13">
      <c r="A12" s="10" t="s">
        <v>74</v>
      </c>
      <c r="B12" s="9" t="s">
        <v>11</v>
      </c>
      <c r="C12" s="9" t="s">
        <v>12</v>
      </c>
      <c r="D12" s="9" t="s">
        <v>13</v>
      </c>
      <c r="E12" s="9" t="s">
        <v>1185</v>
      </c>
      <c r="F12" s="9" t="s">
        <v>1113</v>
      </c>
      <c r="G12" s="21" t="s">
        <v>20</v>
      </c>
      <c r="H12" s="21" t="s">
        <v>21</v>
      </c>
      <c r="I12" s="21" t="s">
        <v>22</v>
      </c>
      <c r="J12" s="10"/>
      <c r="K12" s="10" t="str">
        <f>"215,0"</f>
        <v>215,0</v>
      </c>
      <c r="L12" s="10" t="str">
        <f>"137,8795"</f>
        <v>137,8795</v>
      </c>
      <c r="M12" s="9"/>
    </row>
    <row r="13" spans="1:13">
      <c r="A13" s="25" t="s">
        <v>74</v>
      </c>
      <c r="B13" s="24" t="s">
        <v>826</v>
      </c>
      <c r="C13" s="24" t="s">
        <v>827</v>
      </c>
      <c r="D13" s="24" t="s">
        <v>397</v>
      </c>
      <c r="E13" s="24" t="s">
        <v>1182</v>
      </c>
      <c r="F13" s="24" t="s">
        <v>1123</v>
      </c>
      <c r="G13" s="26" t="s">
        <v>30</v>
      </c>
      <c r="H13" s="27" t="s">
        <v>828</v>
      </c>
      <c r="I13" s="27" t="s">
        <v>828</v>
      </c>
      <c r="J13" s="25"/>
      <c r="K13" s="25" t="str">
        <f>"325,0"</f>
        <v>325,0</v>
      </c>
      <c r="L13" s="25" t="str">
        <f>"208,0650"</f>
        <v>208,0650</v>
      </c>
      <c r="M13" s="24"/>
    </row>
    <row r="14" spans="1:13">
      <c r="A14" s="25" t="s">
        <v>267</v>
      </c>
      <c r="B14" s="24" t="s">
        <v>829</v>
      </c>
      <c r="C14" s="24" t="s">
        <v>830</v>
      </c>
      <c r="D14" s="24" t="s">
        <v>185</v>
      </c>
      <c r="E14" s="24" t="s">
        <v>1182</v>
      </c>
      <c r="F14" s="24" t="s">
        <v>1113</v>
      </c>
      <c r="G14" s="26" t="s">
        <v>207</v>
      </c>
      <c r="H14" s="27" t="s">
        <v>219</v>
      </c>
      <c r="I14" s="27" t="s">
        <v>219</v>
      </c>
      <c r="J14" s="25"/>
      <c r="K14" s="25" t="str">
        <f>"275,0"</f>
        <v>275,0</v>
      </c>
      <c r="L14" s="25" t="str">
        <f>"179,3825"</f>
        <v>179,3825</v>
      </c>
      <c r="M14" s="24" t="s">
        <v>831</v>
      </c>
    </row>
    <row r="15" spans="1:13">
      <c r="A15" s="25" t="s">
        <v>268</v>
      </c>
      <c r="B15" s="24" t="s">
        <v>832</v>
      </c>
      <c r="C15" s="24" t="s">
        <v>833</v>
      </c>
      <c r="D15" s="24" t="s">
        <v>834</v>
      </c>
      <c r="E15" s="24" t="s">
        <v>1182</v>
      </c>
      <c r="F15" s="24" t="s">
        <v>1113</v>
      </c>
      <c r="G15" s="26" t="s">
        <v>22</v>
      </c>
      <c r="H15" s="27" t="s">
        <v>178</v>
      </c>
      <c r="I15" s="27" t="s">
        <v>178</v>
      </c>
      <c r="J15" s="25"/>
      <c r="K15" s="25" t="str">
        <f>"215,0"</f>
        <v>215,0</v>
      </c>
      <c r="L15" s="25" t="str">
        <f>"139,2125"</f>
        <v>139,2125</v>
      </c>
      <c r="M15" s="24"/>
    </row>
    <row r="16" spans="1:13">
      <c r="A16" s="12" t="s">
        <v>74</v>
      </c>
      <c r="B16" s="11" t="s">
        <v>835</v>
      </c>
      <c r="C16" s="11" t="s">
        <v>836</v>
      </c>
      <c r="D16" s="11" t="s">
        <v>837</v>
      </c>
      <c r="E16" s="11" t="s">
        <v>1183</v>
      </c>
      <c r="F16" s="11" t="s">
        <v>1171</v>
      </c>
      <c r="G16" s="23" t="s">
        <v>88</v>
      </c>
      <c r="H16" s="23" t="s">
        <v>57</v>
      </c>
      <c r="I16" s="22" t="s">
        <v>237</v>
      </c>
      <c r="J16" s="12"/>
      <c r="K16" s="12" t="str">
        <f>"280,0"</f>
        <v>280,0</v>
      </c>
      <c r="L16" s="12" t="str">
        <f>"196,0661"</f>
        <v>196,0661</v>
      </c>
      <c r="M16" s="11"/>
    </row>
    <row r="17" spans="1:13">
      <c r="B17" s="5" t="s">
        <v>75</v>
      </c>
    </row>
    <row r="18" spans="1:13" ht="16">
      <c r="A18" s="46" t="s">
        <v>23</v>
      </c>
      <c r="B18" s="46"/>
      <c r="C18" s="46"/>
      <c r="D18" s="46"/>
      <c r="E18" s="46"/>
      <c r="F18" s="46"/>
      <c r="G18" s="46"/>
      <c r="H18" s="46"/>
      <c r="I18" s="46"/>
      <c r="J18" s="46"/>
    </row>
    <row r="19" spans="1:13">
      <c r="A19" s="10" t="s">
        <v>74</v>
      </c>
      <c r="B19" s="9" t="s">
        <v>197</v>
      </c>
      <c r="C19" s="9" t="s">
        <v>198</v>
      </c>
      <c r="D19" s="9" t="s">
        <v>199</v>
      </c>
      <c r="E19" s="9" t="s">
        <v>1182</v>
      </c>
      <c r="F19" s="9" t="s">
        <v>1113</v>
      </c>
      <c r="G19" s="21" t="s">
        <v>202</v>
      </c>
      <c r="H19" s="21" t="s">
        <v>203</v>
      </c>
      <c r="I19" s="10"/>
      <c r="J19" s="10"/>
      <c r="K19" s="10" t="str">
        <f>"350,0"</f>
        <v>350,0</v>
      </c>
      <c r="L19" s="10" t="str">
        <f>"213,0800"</f>
        <v>213,0800</v>
      </c>
      <c r="M19" s="9"/>
    </row>
    <row r="20" spans="1:13">
      <c r="A20" s="25" t="s">
        <v>267</v>
      </c>
      <c r="B20" s="24" t="s">
        <v>24</v>
      </c>
      <c r="C20" s="24" t="s">
        <v>25</v>
      </c>
      <c r="D20" s="24" t="s">
        <v>26</v>
      </c>
      <c r="E20" s="24" t="s">
        <v>1182</v>
      </c>
      <c r="F20" s="24" t="s">
        <v>1177</v>
      </c>
      <c r="G20" s="26" t="s">
        <v>28</v>
      </c>
      <c r="H20" s="26" t="s">
        <v>30</v>
      </c>
      <c r="I20" s="27" t="s">
        <v>31</v>
      </c>
      <c r="J20" s="25"/>
      <c r="K20" s="25" t="str">
        <f>"325,0"</f>
        <v>325,0</v>
      </c>
      <c r="L20" s="25" t="str">
        <f>"198,2825"</f>
        <v>198,2825</v>
      </c>
      <c r="M20" s="24" t="s">
        <v>1065</v>
      </c>
    </row>
    <row r="21" spans="1:13">
      <c r="A21" s="12" t="s">
        <v>268</v>
      </c>
      <c r="B21" s="11" t="s">
        <v>838</v>
      </c>
      <c r="C21" s="11" t="s">
        <v>839</v>
      </c>
      <c r="D21" s="11" t="s">
        <v>521</v>
      </c>
      <c r="E21" s="11" t="s">
        <v>1182</v>
      </c>
      <c r="F21" s="11" t="s">
        <v>1117</v>
      </c>
      <c r="G21" s="23" t="s">
        <v>41</v>
      </c>
      <c r="H21" s="23" t="s">
        <v>207</v>
      </c>
      <c r="I21" s="22" t="s">
        <v>57</v>
      </c>
      <c r="J21" s="12"/>
      <c r="K21" s="12" t="str">
        <f>"275,0"</f>
        <v>275,0</v>
      </c>
      <c r="L21" s="12" t="str">
        <f>"168,2450"</f>
        <v>168,2450</v>
      </c>
      <c r="M21" s="11"/>
    </row>
    <row r="22" spans="1:13">
      <c r="B22" s="5" t="s">
        <v>75</v>
      </c>
    </row>
    <row r="23" spans="1:13" ht="16">
      <c r="A23" s="46" t="s">
        <v>32</v>
      </c>
      <c r="B23" s="46"/>
      <c r="C23" s="46"/>
      <c r="D23" s="46"/>
      <c r="E23" s="46"/>
      <c r="F23" s="46"/>
      <c r="G23" s="46"/>
      <c r="H23" s="46"/>
      <c r="I23" s="46"/>
      <c r="J23" s="46"/>
    </row>
    <row r="24" spans="1:13">
      <c r="A24" s="10" t="s">
        <v>74</v>
      </c>
      <c r="B24" s="9" t="s">
        <v>815</v>
      </c>
      <c r="C24" s="9" t="s">
        <v>816</v>
      </c>
      <c r="D24" s="9" t="s">
        <v>817</v>
      </c>
      <c r="E24" s="9" t="s">
        <v>1182</v>
      </c>
      <c r="F24" s="9" t="s">
        <v>1113</v>
      </c>
      <c r="G24" s="21" t="s">
        <v>86</v>
      </c>
      <c r="H24" s="21" t="s">
        <v>224</v>
      </c>
      <c r="I24" s="21" t="s">
        <v>37</v>
      </c>
      <c r="J24" s="10"/>
      <c r="K24" s="10" t="str">
        <f>"255,0"</f>
        <v>255,0</v>
      </c>
      <c r="L24" s="10" t="str">
        <f>"150,0675"</f>
        <v>150,0675</v>
      </c>
      <c r="M24" s="9" t="s">
        <v>563</v>
      </c>
    </row>
    <row r="25" spans="1:13">
      <c r="A25" s="12" t="s">
        <v>269</v>
      </c>
      <c r="B25" s="11" t="s">
        <v>840</v>
      </c>
      <c r="C25" s="11" t="s">
        <v>841</v>
      </c>
      <c r="D25" s="11" t="s">
        <v>428</v>
      </c>
      <c r="E25" s="11" t="s">
        <v>1182</v>
      </c>
      <c r="F25" s="11" t="s">
        <v>1156</v>
      </c>
      <c r="G25" s="22" t="s">
        <v>201</v>
      </c>
      <c r="H25" s="22" t="s">
        <v>202</v>
      </c>
      <c r="I25" s="12"/>
      <c r="J25" s="12"/>
      <c r="K25" s="12" t="str">
        <f>"0.00"</f>
        <v>0.00</v>
      </c>
      <c r="L25" s="12" t="str">
        <f>"0,0000"</f>
        <v>0,0000</v>
      </c>
      <c r="M25" s="11"/>
    </row>
    <row r="26" spans="1:13">
      <c r="B26" s="5" t="s">
        <v>75</v>
      </c>
    </row>
    <row r="27" spans="1:13" ht="16">
      <c r="A27" s="46" t="s">
        <v>229</v>
      </c>
      <c r="B27" s="46"/>
      <c r="C27" s="46"/>
      <c r="D27" s="46"/>
      <c r="E27" s="46"/>
      <c r="F27" s="46"/>
      <c r="G27" s="46"/>
      <c r="H27" s="46"/>
      <c r="I27" s="46"/>
      <c r="J27" s="46"/>
    </row>
    <row r="28" spans="1:13">
      <c r="A28" s="8" t="s">
        <v>74</v>
      </c>
      <c r="B28" s="7" t="s">
        <v>842</v>
      </c>
      <c r="C28" s="7" t="s">
        <v>843</v>
      </c>
      <c r="D28" s="7" t="s">
        <v>844</v>
      </c>
      <c r="E28" s="7" t="s">
        <v>1183</v>
      </c>
      <c r="F28" s="7" t="s">
        <v>1126</v>
      </c>
      <c r="G28" s="18" t="s">
        <v>57</v>
      </c>
      <c r="H28" s="18" t="s">
        <v>27</v>
      </c>
      <c r="I28" s="19" t="s">
        <v>208</v>
      </c>
      <c r="J28" s="8"/>
      <c r="K28" s="8" t="str">
        <f>"300,0"</f>
        <v>300,0</v>
      </c>
      <c r="L28" s="8" t="str">
        <f>"192,6329"</f>
        <v>192,6329</v>
      </c>
      <c r="M28" s="7" t="s">
        <v>1104</v>
      </c>
    </row>
    <row r="29" spans="1:13">
      <c r="B29" s="5" t="s">
        <v>75</v>
      </c>
    </row>
    <row r="30" spans="1:13" ht="16">
      <c r="A30" s="46" t="s">
        <v>42</v>
      </c>
      <c r="B30" s="46"/>
      <c r="C30" s="46"/>
      <c r="D30" s="46"/>
      <c r="E30" s="46"/>
      <c r="F30" s="46"/>
      <c r="G30" s="46"/>
      <c r="H30" s="46"/>
      <c r="I30" s="46"/>
      <c r="J30" s="46"/>
    </row>
    <row r="31" spans="1:13">
      <c r="A31" s="8" t="s">
        <v>74</v>
      </c>
      <c r="B31" s="7" t="s">
        <v>845</v>
      </c>
      <c r="C31" s="7" t="s">
        <v>846</v>
      </c>
      <c r="D31" s="7" t="s">
        <v>847</v>
      </c>
      <c r="E31" s="7" t="s">
        <v>1185</v>
      </c>
      <c r="F31" s="7" t="s">
        <v>1117</v>
      </c>
      <c r="G31" s="18" t="s">
        <v>162</v>
      </c>
      <c r="H31" s="18" t="s">
        <v>57</v>
      </c>
      <c r="I31" s="18" t="s">
        <v>27</v>
      </c>
      <c r="J31" s="8"/>
      <c r="K31" s="8" t="str">
        <f>"300,0"</f>
        <v>300,0</v>
      </c>
      <c r="L31" s="8" t="str">
        <f>"169,9500"</f>
        <v>169,9500</v>
      </c>
      <c r="M31" s="7" t="s">
        <v>1105</v>
      </c>
    </row>
    <row r="32" spans="1:13">
      <c r="B32" s="5" t="s">
        <v>75</v>
      </c>
    </row>
    <row r="35" spans="2:6" ht="18">
      <c r="B35" s="13" t="s">
        <v>60</v>
      </c>
      <c r="C35" s="13"/>
    </row>
    <row r="36" spans="2:6" ht="16">
      <c r="B36" s="14" t="s">
        <v>61</v>
      </c>
      <c r="C36" s="14"/>
    </row>
    <row r="37" spans="2:6" ht="14">
      <c r="B37" s="15"/>
      <c r="C37" s="16" t="s">
        <v>71</v>
      </c>
    </row>
    <row r="38" spans="2:6" ht="14">
      <c r="B38" s="17" t="s">
        <v>63</v>
      </c>
      <c r="C38" s="17" t="s">
        <v>64</v>
      </c>
      <c r="D38" s="17" t="s">
        <v>1012</v>
      </c>
      <c r="E38" s="17" t="s">
        <v>471</v>
      </c>
      <c r="F38" s="17" t="s">
        <v>66</v>
      </c>
    </row>
    <row r="39" spans="2:6">
      <c r="B39" s="5" t="s">
        <v>197</v>
      </c>
      <c r="C39" s="5" t="s">
        <v>71</v>
      </c>
      <c r="D39" s="6" t="s">
        <v>73</v>
      </c>
      <c r="E39" s="6" t="s">
        <v>203</v>
      </c>
      <c r="F39" s="6" t="s">
        <v>848</v>
      </c>
    </row>
    <row r="40" spans="2:6">
      <c r="B40" s="5" t="s">
        <v>823</v>
      </c>
      <c r="C40" s="5" t="s">
        <v>71</v>
      </c>
      <c r="D40" s="6" t="s">
        <v>252</v>
      </c>
      <c r="E40" s="6" t="s">
        <v>200</v>
      </c>
      <c r="F40" s="6" t="s">
        <v>849</v>
      </c>
    </row>
    <row r="41" spans="2:6">
      <c r="B41" s="5" t="s">
        <v>826</v>
      </c>
      <c r="C41" s="5" t="s">
        <v>71</v>
      </c>
      <c r="D41" s="6" t="s">
        <v>70</v>
      </c>
      <c r="E41" s="6" t="s">
        <v>30</v>
      </c>
      <c r="F41" s="6" t="s">
        <v>850</v>
      </c>
    </row>
    <row r="42" spans="2:6">
      <c r="B42" s="5" t="s">
        <v>75</v>
      </c>
    </row>
  </sheetData>
  <mergeCells count="18">
    <mergeCell ref="A1:M2"/>
    <mergeCell ref="A3:A4"/>
    <mergeCell ref="C3:C4"/>
    <mergeCell ref="D3:D4"/>
    <mergeCell ref="E3:E4"/>
    <mergeCell ref="F3:F4"/>
    <mergeCell ref="G3:J3"/>
    <mergeCell ref="A30:J30"/>
    <mergeCell ref="K3:K4"/>
    <mergeCell ref="L3:L4"/>
    <mergeCell ref="M3:M4"/>
    <mergeCell ref="A5:J5"/>
    <mergeCell ref="B3:B4"/>
    <mergeCell ref="A8:J8"/>
    <mergeCell ref="A11:J11"/>
    <mergeCell ref="A18:J18"/>
    <mergeCell ref="A23:J23"/>
    <mergeCell ref="A27:J2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7"/>
  <sheetViews>
    <sheetView topLeftCell="A32" workbookViewId="0">
      <selection activeCell="D67" sqref="D67"/>
    </sheetView>
  </sheetViews>
  <sheetFormatPr baseColWidth="10" defaultColWidth="9.1640625" defaultRowHeight="13"/>
  <cols>
    <col min="1" max="1" width="7.5" style="5" bestFit="1" customWidth="1"/>
    <col min="2" max="2" width="22.5" style="5" bestFit="1" customWidth="1"/>
    <col min="3" max="3" width="28.5" style="5" bestFit="1" customWidth="1"/>
    <col min="4" max="4" width="21.5" style="5" bestFit="1" customWidth="1"/>
    <col min="5" max="5" width="12.83203125" style="5" customWidth="1"/>
    <col min="6" max="6" width="30.1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9.33203125" style="6" customWidth="1"/>
    <col min="13" max="13" width="28.83203125" style="5" bestFit="1" customWidth="1"/>
    <col min="14" max="16384" width="9.1640625" style="3"/>
  </cols>
  <sheetData>
    <row r="1" spans="1:13" s="2" customFormat="1" ht="29" customHeight="1">
      <c r="A1" s="57" t="s">
        <v>1057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76</v>
      </c>
      <c r="B3" s="47" t="s">
        <v>0</v>
      </c>
      <c r="C3" s="67" t="s">
        <v>1180</v>
      </c>
      <c r="D3" s="67" t="s">
        <v>5</v>
      </c>
      <c r="E3" s="51" t="s">
        <v>1181</v>
      </c>
      <c r="F3" s="51" t="s">
        <v>6</v>
      </c>
      <c r="G3" s="51" t="s">
        <v>1111</v>
      </c>
      <c r="H3" s="51"/>
      <c r="I3" s="51"/>
      <c r="J3" s="51"/>
      <c r="K3" s="51" t="s">
        <v>474</v>
      </c>
      <c r="L3" s="51" t="s">
        <v>3</v>
      </c>
      <c r="M3" s="53" t="s">
        <v>2</v>
      </c>
    </row>
    <row r="4" spans="1:13" s="1" customFormat="1" ht="21" customHeight="1" thickBot="1">
      <c r="A4" s="66"/>
      <c r="B4" s="48"/>
      <c r="C4" s="52"/>
      <c r="D4" s="52"/>
      <c r="E4" s="52"/>
      <c r="F4" s="52"/>
      <c r="G4" s="4">
        <v>1</v>
      </c>
      <c r="H4" s="4">
        <v>2</v>
      </c>
      <c r="I4" s="4">
        <v>3</v>
      </c>
      <c r="J4" s="4" t="s">
        <v>4</v>
      </c>
      <c r="K4" s="52"/>
      <c r="L4" s="52"/>
      <c r="M4" s="54"/>
    </row>
    <row r="5" spans="1:13" ht="16">
      <c r="A5" s="55" t="s">
        <v>90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8" t="s">
        <v>74</v>
      </c>
      <c r="B6" s="7" t="s">
        <v>597</v>
      </c>
      <c r="C6" s="7" t="s">
        <v>598</v>
      </c>
      <c r="D6" s="7" t="s">
        <v>599</v>
      </c>
      <c r="E6" s="7" t="s">
        <v>1182</v>
      </c>
      <c r="F6" s="7" t="s">
        <v>1113</v>
      </c>
      <c r="G6" s="18" t="s">
        <v>974</v>
      </c>
      <c r="H6" s="19" t="s">
        <v>277</v>
      </c>
      <c r="I6" s="19" t="s">
        <v>277</v>
      </c>
      <c r="J6" s="8"/>
      <c r="K6" s="8" t="str">
        <f>"27,5"</f>
        <v>27,5</v>
      </c>
      <c r="L6" s="8" t="str">
        <f>"31,1218"</f>
        <v>31,1218</v>
      </c>
      <c r="M6" s="7" t="s">
        <v>600</v>
      </c>
    </row>
    <row r="7" spans="1:13">
      <c r="B7" s="5" t="s">
        <v>75</v>
      </c>
    </row>
    <row r="8" spans="1:13" ht="16">
      <c r="A8" s="46" t="s">
        <v>131</v>
      </c>
      <c r="B8" s="46"/>
      <c r="C8" s="46"/>
      <c r="D8" s="46"/>
      <c r="E8" s="46"/>
      <c r="F8" s="46"/>
      <c r="G8" s="46"/>
      <c r="H8" s="46"/>
      <c r="I8" s="46"/>
      <c r="J8" s="46"/>
    </row>
    <row r="9" spans="1:13">
      <c r="A9" s="8" t="s">
        <v>74</v>
      </c>
      <c r="B9" s="7" t="s">
        <v>975</v>
      </c>
      <c r="C9" s="7" t="s">
        <v>1088</v>
      </c>
      <c r="D9" s="7" t="s">
        <v>976</v>
      </c>
      <c r="E9" s="7" t="s">
        <v>1183</v>
      </c>
      <c r="F9" s="7" t="s">
        <v>1151</v>
      </c>
      <c r="G9" s="18" t="s">
        <v>977</v>
      </c>
      <c r="H9" s="18" t="s">
        <v>961</v>
      </c>
      <c r="I9" s="19" t="s">
        <v>620</v>
      </c>
      <c r="J9" s="8"/>
      <c r="K9" s="8" t="str">
        <f>"25,0"</f>
        <v>25,0</v>
      </c>
      <c r="L9" s="8" t="str">
        <f>"23,1745"</f>
        <v>23,1745</v>
      </c>
      <c r="M9" s="7" t="s">
        <v>1106</v>
      </c>
    </row>
    <row r="10" spans="1:13">
      <c r="B10" s="5" t="s">
        <v>75</v>
      </c>
    </row>
    <row r="11" spans="1:13" ht="16">
      <c r="A11" s="46" t="s">
        <v>131</v>
      </c>
      <c r="B11" s="46"/>
      <c r="C11" s="46"/>
      <c r="D11" s="46"/>
      <c r="E11" s="46"/>
      <c r="F11" s="46"/>
      <c r="G11" s="46"/>
      <c r="H11" s="46"/>
      <c r="I11" s="46"/>
      <c r="J11" s="46"/>
    </row>
    <row r="12" spans="1:13">
      <c r="A12" s="8" t="s">
        <v>74</v>
      </c>
      <c r="B12" s="7" t="s">
        <v>643</v>
      </c>
      <c r="C12" s="7" t="s">
        <v>644</v>
      </c>
      <c r="D12" s="7" t="s">
        <v>645</v>
      </c>
      <c r="E12" s="7" t="s">
        <v>1182</v>
      </c>
      <c r="F12" s="7" t="s">
        <v>1113</v>
      </c>
      <c r="G12" s="19" t="s">
        <v>124</v>
      </c>
      <c r="H12" s="18" t="s">
        <v>96</v>
      </c>
      <c r="I12" s="19" t="s">
        <v>97</v>
      </c>
      <c r="J12" s="8"/>
      <c r="K12" s="8" t="str">
        <f>"50,0"</f>
        <v>50,0</v>
      </c>
      <c r="L12" s="8" t="str">
        <f>"37,8525"</f>
        <v>37,8525</v>
      </c>
      <c r="M12" s="7" t="s">
        <v>646</v>
      </c>
    </row>
    <row r="13" spans="1:13">
      <c r="B13" s="5" t="s">
        <v>75</v>
      </c>
    </row>
    <row r="14" spans="1:13" ht="16">
      <c r="A14" s="46" t="s">
        <v>158</v>
      </c>
      <c r="B14" s="46"/>
      <c r="C14" s="46"/>
      <c r="D14" s="46"/>
      <c r="E14" s="46"/>
      <c r="F14" s="46"/>
      <c r="G14" s="46"/>
      <c r="H14" s="46"/>
      <c r="I14" s="46"/>
      <c r="J14" s="46"/>
    </row>
    <row r="15" spans="1:13">
      <c r="A15" s="10" t="s">
        <v>74</v>
      </c>
      <c r="B15" s="9" t="s">
        <v>978</v>
      </c>
      <c r="C15" s="9" t="s">
        <v>1089</v>
      </c>
      <c r="D15" s="9" t="s">
        <v>979</v>
      </c>
      <c r="E15" s="9" t="s">
        <v>1184</v>
      </c>
      <c r="F15" s="9" t="s">
        <v>1113</v>
      </c>
      <c r="G15" s="21" t="s">
        <v>314</v>
      </c>
      <c r="H15" s="21" t="s">
        <v>315</v>
      </c>
      <c r="I15" s="21" t="s">
        <v>108</v>
      </c>
      <c r="J15" s="10"/>
      <c r="K15" s="10" t="str">
        <f>"47,5"</f>
        <v>47,5</v>
      </c>
      <c r="L15" s="10" t="str">
        <f>"33,5184"</f>
        <v>33,5184</v>
      </c>
      <c r="M15" s="9"/>
    </row>
    <row r="16" spans="1:13">
      <c r="A16" s="25" t="s">
        <v>267</v>
      </c>
      <c r="B16" s="24" t="s">
        <v>980</v>
      </c>
      <c r="C16" s="24" t="s">
        <v>1090</v>
      </c>
      <c r="D16" s="24" t="s">
        <v>981</v>
      </c>
      <c r="E16" s="24" t="s">
        <v>1184</v>
      </c>
      <c r="F16" s="24" t="s">
        <v>1113</v>
      </c>
      <c r="G16" s="26" t="s">
        <v>290</v>
      </c>
      <c r="H16" s="26" t="s">
        <v>124</v>
      </c>
      <c r="I16" s="27" t="s">
        <v>108</v>
      </c>
      <c r="J16" s="25"/>
      <c r="K16" s="25" t="str">
        <f>"45,0"</f>
        <v>45,0</v>
      </c>
      <c r="L16" s="25" t="str">
        <f>"31,8555"</f>
        <v>31,8555</v>
      </c>
      <c r="M16" s="24"/>
    </row>
    <row r="17" spans="1:13">
      <c r="A17" s="25" t="s">
        <v>74</v>
      </c>
      <c r="B17" s="24" t="s">
        <v>650</v>
      </c>
      <c r="C17" s="24" t="s">
        <v>1091</v>
      </c>
      <c r="D17" s="24" t="s">
        <v>459</v>
      </c>
      <c r="E17" s="24" t="s">
        <v>1185</v>
      </c>
      <c r="F17" s="24" t="s">
        <v>1141</v>
      </c>
      <c r="G17" s="26" t="s">
        <v>290</v>
      </c>
      <c r="H17" s="26" t="s">
        <v>108</v>
      </c>
      <c r="I17" s="27" t="s">
        <v>96</v>
      </c>
      <c r="J17" s="25"/>
      <c r="K17" s="25" t="str">
        <f>"47,5"</f>
        <v>47,5</v>
      </c>
      <c r="L17" s="25" t="str">
        <f>"33,1693"</f>
        <v>33,1693</v>
      </c>
      <c r="M17" s="24" t="s">
        <v>646</v>
      </c>
    </row>
    <row r="18" spans="1:13">
      <c r="A18" s="25" t="s">
        <v>74</v>
      </c>
      <c r="B18" s="24" t="s">
        <v>982</v>
      </c>
      <c r="C18" s="24" t="s">
        <v>983</v>
      </c>
      <c r="D18" s="24" t="s">
        <v>984</v>
      </c>
      <c r="E18" s="24" t="s">
        <v>1182</v>
      </c>
      <c r="F18" s="24" t="s">
        <v>1172</v>
      </c>
      <c r="G18" s="26" t="s">
        <v>124</v>
      </c>
      <c r="H18" s="26" t="s">
        <v>96</v>
      </c>
      <c r="I18" s="26" t="s">
        <v>98</v>
      </c>
      <c r="J18" s="25"/>
      <c r="K18" s="25" t="str">
        <f>"55,0"</f>
        <v>55,0</v>
      </c>
      <c r="L18" s="25" t="str">
        <f>"38,6458"</f>
        <v>38,6458</v>
      </c>
      <c r="M18" s="24"/>
    </row>
    <row r="19" spans="1:13">
      <c r="A19" s="25" t="s">
        <v>267</v>
      </c>
      <c r="B19" s="24" t="s">
        <v>985</v>
      </c>
      <c r="C19" s="24" t="s">
        <v>986</v>
      </c>
      <c r="D19" s="24" t="s">
        <v>962</v>
      </c>
      <c r="E19" s="24" t="s">
        <v>1182</v>
      </c>
      <c r="F19" s="24" t="s">
        <v>1173</v>
      </c>
      <c r="G19" s="26" t="s">
        <v>124</v>
      </c>
      <c r="H19" s="26" t="s">
        <v>96</v>
      </c>
      <c r="I19" s="26" t="s">
        <v>98</v>
      </c>
      <c r="J19" s="25"/>
      <c r="K19" s="25" t="str">
        <f>"55,0"</f>
        <v>55,0</v>
      </c>
      <c r="L19" s="25" t="str">
        <f>"38,5633"</f>
        <v>38,5633</v>
      </c>
      <c r="M19" s="24"/>
    </row>
    <row r="20" spans="1:13">
      <c r="A20" s="12" t="s">
        <v>74</v>
      </c>
      <c r="B20" s="11" t="s">
        <v>661</v>
      </c>
      <c r="C20" s="11" t="s">
        <v>662</v>
      </c>
      <c r="D20" s="11" t="s">
        <v>459</v>
      </c>
      <c r="E20" s="11" t="s">
        <v>1183</v>
      </c>
      <c r="F20" s="11" t="s">
        <v>1134</v>
      </c>
      <c r="G20" s="23" t="s">
        <v>96</v>
      </c>
      <c r="H20" s="23" t="s">
        <v>98</v>
      </c>
      <c r="I20" s="23" t="s">
        <v>275</v>
      </c>
      <c r="J20" s="12"/>
      <c r="K20" s="12" t="str">
        <f>"60,0"</f>
        <v>60,0</v>
      </c>
      <c r="L20" s="12" t="str">
        <f>"44,7471"</f>
        <v>44,7471</v>
      </c>
      <c r="M20" s="11"/>
    </row>
    <row r="21" spans="1:13">
      <c r="B21" s="5" t="s">
        <v>75</v>
      </c>
    </row>
    <row r="22" spans="1:13" ht="16">
      <c r="A22" s="46" t="s">
        <v>141</v>
      </c>
      <c r="B22" s="46"/>
      <c r="C22" s="46"/>
      <c r="D22" s="46"/>
      <c r="E22" s="46"/>
      <c r="F22" s="46"/>
      <c r="G22" s="46"/>
      <c r="H22" s="46"/>
      <c r="I22" s="46"/>
      <c r="J22" s="46"/>
    </row>
    <row r="23" spans="1:13">
      <c r="A23" s="10" t="s">
        <v>74</v>
      </c>
      <c r="B23" s="9" t="s">
        <v>987</v>
      </c>
      <c r="C23" s="9" t="s">
        <v>1092</v>
      </c>
      <c r="D23" s="9" t="s">
        <v>497</v>
      </c>
      <c r="E23" s="9" t="s">
        <v>1185</v>
      </c>
      <c r="F23" s="9" t="s">
        <v>1113</v>
      </c>
      <c r="G23" s="20" t="s">
        <v>124</v>
      </c>
      <c r="H23" s="21" t="s">
        <v>97</v>
      </c>
      <c r="I23" s="20" t="s">
        <v>98</v>
      </c>
      <c r="J23" s="10"/>
      <c r="K23" s="10" t="str">
        <f>"52,5"</f>
        <v>52,5</v>
      </c>
      <c r="L23" s="10" t="str">
        <f>"34,3613"</f>
        <v>34,3613</v>
      </c>
      <c r="M23" s="9" t="s">
        <v>988</v>
      </c>
    </row>
    <row r="24" spans="1:13">
      <c r="A24" s="25" t="s">
        <v>74</v>
      </c>
      <c r="B24" s="24" t="s">
        <v>989</v>
      </c>
      <c r="C24" s="24" t="s">
        <v>990</v>
      </c>
      <c r="D24" s="24" t="s">
        <v>991</v>
      </c>
      <c r="E24" s="24" t="s">
        <v>1182</v>
      </c>
      <c r="F24" s="24" t="s">
        <v>1113</v>
      </c>
      <c r="G24" s="26" t="s">
        <v>282</v>
      </c>
      <c r="H24" s="26" t="s">
        <v>149</v>
      </c>
      <c r="I24" s="26" t="s">
        <v>150</v>
      </c>
      <c r="J24" s="25"/>
      <c r="K24" s="25" t="str">
        <f>"75,0"</f>
        <v>75,0</v>
      </c>
      <c r="L24" s="25" t="str">
        <f>"48,8887"</f>
        <v>48,8887</v>
      </c>
      <c r="M24" s="24"/>
    </row>
    <row r="25" spans="1:13">
      <c r="A25" s="25" t="s">
        <v>267</v>
      </c>
      <c r="B25" s="24" t="s">
        <v>992</v>
      </c>
      <c r="C25" s="24" t="s">
        <v>993</v>
      </c>
      <c r="D25" s="24" t="s">
        <v>367</v>
      </c>
      <c r="E25" s="24" t="s">
        <v>1182</v>
      </c>
      <c r="F25" s="24" t="s">
        <v>1169</v>
      </c>
      <c r="G25" s="26" t="s">
        <v>97</v>
      </c>
      <c r="H25" s="26" t="s">
        <v>310</v>
      </c>
      <c r="I25" s="27" t="s">
        <v>275</v>
      </c>
      <c r="J25" s="25"/>
      <c r="K25" s="25" t="str">
        <f>"57,5"</f>
        <v>57,5</v>
      </c>
      <c r="L25" s="25" t="str">
        <f>"37,5417"</f>
        <v>37,5417</v>
      </c>
      <c r="M25" s="24"/>
    </row>
    <row r="26" spans="1:13">
      <c r="A26" s="25" t="s">
        <v>268</v>
      </c>
      <c r="B26" s="24" t="s">
        <v>994</v>
      </c>
      <c r="C26" s="24" t="s">
        <v>995</v>
      </c>
      <c r="D26" s="24" t="s">
        <v>672</v>
      </c>
      <c r="E26" s="24" t="s">
        <v>1182</v>
      </c>
      <c r="F26" s="24" t="s">
        <v>1174</v>
      </c>
      <c r="G26" s="26" t="s">
        <v>97</v>
      </c>
      <c r="H26" s="26" t="s">
        <v>98</v>
      </c>
      <c r="I26" s="27" t="s">
        <v>275</v>
      </c>
      <c r="J26" s="25"/>
      <c r="K26" s="25" t="str">
        <f>"55,0"</f>
        <v>55,0</v>
      </c>
      <c r="L26" s="25" t="str">
        <f>"36,0882"</f>
        <v>36,0882</v>
      </c>
      <c r="M26" s="24" t="s">
        <v>996</v>
      </c>
    </row>
    <row r="27" spans="1:13">
      <c r="A27" s="12" t="s">
        <v>270</v>
      </c>
      <c r="B27" s="11" t="s">
        <v>997</v>
      </c>
      <c r="C27" s="11" t="s">
        <v>998</v>
      </c>
      <c r="D27" s="11" t="s">
        <v>668</v>
      </c>
      <c r="E27" s="11" t="s">
        <v>1182</v>
      </c>
      <c r="F27" s="11" t="s">
        <v>1154</v>
      </c>
      <c r="G27" s="22" t="s">
        <v>98</v>
      </c>
      <c r="H27" s="23" t="s">
        <v>98</v>
      </c>
      <c r="I27" s="22" t="s">
        <v>275</v>
      </c>
      <c r="J27" s="12"/>
      <c r="K27" s="12" t="str">
        <f>"55,0"</f>
        <v>55,0</v>
      </c>
      <c r="L27" s="12" t="str">
        <f>"35,5080"</f>
        <v>35,5080</v>
      </c>
      <c r="M27" s="11"/>
    </row>
    <row r="28" spans="1:13">
      <c r="B28" s="5" t="s">
        <v>75</v>
      </c>
    </row>
    <row r="29" spans="1:13" ht="16">
      <c r="A29" s="46" t="s">
        <v>10</v>
      </c>
      <c r="B29" s="46"/>
      <c r="C29" s="46"/>
      <c r="D29" s="46"/>
      <c r="E29" s="46"/>
      <c r="F29" s="46"/>
      <c r="G29" s="46"/>
      <c r="H29" s="46"/>
      <c r="I29" s="46"/>
      <c r="J29" s="46"/>
    </row>
    <row r="30" spans="1:13">
      <c r="A30" s="10" t="s">
        <v>74</v>
      </c>
      <c r="B30" s="9" t="s">
        <v>999</v>
      </c>
      <c r="C30" s="9" t="s">
        <v>1093</v>
      </c>
      <c r="D30" s="9" t="s">
        <v>1000</v>
      </c>
      <c r="E30" s="9" t="s">
        <v>1185</v>
      </c>
      <c r="F30" s="9" t="s">
        <v>1175</v>
      </c>
      <c r="G30" s="21" t="s">
        <v>310</v>
      </c>
      <c r="H30" s="20" t="s">
        <v>129</v>
      </c>
      <c r="I30" s="20" t="s">
        <v>129</v>
      </c>
      <c r="J30" s="10"/>
      <c r="K30" s="10" t="str">
        <f>"57,5"</f>
        <v>57,5</v>
      </c>
      <c r="L30" s="10" t="str">
        <f>"36,4809"</f>
        <v>36,4809</v>
      </c>
      <c r="M30" s="9"/>
    </row>
    <row r="31" spans="1:13">
      <c r="A31" s="25" t="s">
        <v>74</v>
      </c>
      <c r="B31" s="24" t="s">
        <v>907</v>
      </c>
      <c r="C31" s="24" t="s">
        <v>908</v>
      </c>
      <c r="D31" s="24" t="s">
        <v>502</v>
      </c>
      <c r="E31" s="24" t="s">
        <v>1182</v>
      </c>
      <c r="F31" s="24" t="s">
        <v>1155</v>
      </c>
      <c r="G31" s="26" t="s">
        <v>310</v>
      </c>
      <c r="H31" s="26" t="s">
        <v>129</v>
      </c>
      <c r="I31" s="26" t="s">
        <v>130</v>
      </c>
      <c r="J31" s="25"/>
      <c r="K31" s="25" t="str">
        <f>"67,5"</f>
        <v>67,5</v>
      </c>
      <c r="L31" s="25" t="str">
        <f>"41,6374"</f>
        <v>41,6374</v>
      </c>
      <c r="M31" s="24"/>
    </row>
    <row r="32" spans="1:13">
      <c r="A32" s="25" t="s">
        <v>267</v>
      </c>
      <c r="B32" s="24" t="s">
        <v>903</v>
      </c>
      <c r="C32" s="24" t="s">
        <v>904</v>
      </c>
      <c r="D32" s="24" t="s">
        <v>372</v>
      </c>
      <c r="E32" s="24" t="s">
        <v>1182</v>
      </c>
      <c r="F32" s="24" t="s">
        <v>1169</v>
      </c>
      <c r="G32" s="26" t="s">
        <v>310</v>
      </c>
      <c r="H32" s="26" t="s">
        <v>276</v>
      </c>
      <c r="I32" s="27" t="s">
        <v>150</v>
      </c>
      <c r="J32" s="25"/>
      <c r="K32" s="25" t="str">
        <f>"65,0"</f>
        <v>65,0</v>
      </c>
      <c r="L32" s="25" t="str">
        <f>"40,6575"</f>
        <v>40,6575</v>
      </c>
      <c r="M32" s="24"/>
    </row>
    <row r="33" spans="1:13">
      <c r="A33" s="25" t="s">
        <v>268</v>
      </c>
      <c r="B33" s="24" t="s">
        <v>1001</v>
      </c>
      <c r="C33" s="24" t="s">
        <v>1002</v>
      </c>
      <c r="D33" s="24" t="s">
        <v>686</v>
      </c>
      <c r="E33" s="24" t="s">
        <v>1182</v>
      </c>
      <c r="F33" s="24" t="s">
        <v>1113</v>
      </c>
      <c r="G33" s="26" t="s">
        <v>275</v>
      </c>
      <c r="H33" s="26" t="s">
        <v>276</v>
      </c>
      <c r="I33" s="27" t="s">
        <v>282</v>
      </c>
      <c r="J33" s="25"/>
      <c r="K33" s="25" t="str">
        <f>"65,0"</f>
        <v>65,0</v>
      </c>
      <c r="L33" s="25" t="str">
        <f>"40,1505"</f>
        <v>40,1505</v>
      </c>
      <c r="M33" s="24" t="s">
        <v>1107</v>
      </c>
    </row>
    <row r="34" spans="1:13">
      <c r="A34" s="12" t="s">
        <v>270</v>
      </c>
      <c r="B34" s="11" t="s">
        <v>704</v>
      </c>
      <c r="C34" s="11" t="s">
        <v>705</v>
      </c>
      <c r="D34" s="11" t="s">
        <v>706</v>
      </c>
      <c r="E34" s="11" t="s">
        <v>1182</v>
      </c>
      <c r="F34" s="11" t="s">
        <v>1113</v>
      </c>
      <c r="G34" s="23" t="s">
        <v>275</v>
      </c>
      <c r="H34" s="22" t="s">
        <v>276</v>
      </c>
      <c r="I34" s="22" t="s">
        <v>276</v>
      </c>
      <c r="J34" s="12"/>
      <c r="K34" s="12" t="str">
        <f>"60,0"</f>
        <v>60,0</v>
      </c>
      <c r="L34" s="12" t="str">
        <f>"36,9180"</f>
        <v>36,9180</v>
      </c>
      <c r="M34" s="11"/>
    </row>
    <row r="35" spans="1:13">
      <c r="B35" s="5" t="s">
        <v>75</v>
      </c>
    </row>
    <row r="36" spans="1:13" ht="16">
      <c r="A36" s="46" t="s">
        <v>23</v>
      </c>
      <c r="B36" s="46"/>
      <c r="C36" s="46"/>
      <c r="D36" s="46"/>
      <c r="E36" s="46"/>
      <c r="F36" s="46"/>
      <c r="G36" s="46"/>
      <c r="H36" s="46"/>
      <c r="I36" s="46"/>
      <c r="J36" s="46"/>
    </row>
    <row r="37" spans="1:13">
      <c r="A37" s="8" t="s">
        <v>74</v>
      </c>
      <c r="B37" s="7" t="s">
        <v>1003</v>
      </c>
      <c r="C37" s="7" t="s">
        <v>1004</v>
      </c>
      <c r="D37" s="7" t="s">
        <v>1005</v>
      </c>
      <c r="E37" s="7" t="s">
        <v>1186</v>
      </c>
      <c r="F37" s="7" t="s">
        <v>1113</v>
      </c>
      <c r="G37" s="18" t="s">
        <v>129</v>
      </c>
      <c r="H37" s="18" t="s">
        <v>130</v>
      </c>
      <c r="I37" s="19" t="s">
        <v>282</v>
      </c>
      <c r="J37" s="8"/>
      <c r="K37" s="8" t="str">
        <f>"67,5"</f>
        <v>67,5</v>
      </c>
      <c r="L37" s="8" t="str">
        <f>"55,2882"</f>
        <v>55,2882</v>
      </c>
      <c r="M37" s="7"/>
    </row>
    <row r="38" spans="1:13">
      <c r="B38" s="5" t="s">
        <v>75</v>
      </c>
    </row>
    <row r="39" spans="1:13">
      <c r="B39" s="5" t="s">
        <v>75</v>
      </c>
    </row>
    <row r="41" spans="1:13" ht="18">
      <c r="B41" s="13" t="s">
        <v>60</v>
      </c>
      <c r="C41" s="13"/>
    </row>
    <row r="42" spans="1:13" ht="16">
      <c r="B42" s="14" t="s">
        <v>61</v>
      </c>
      <c r="C42" s="14"/>
    </row>
    <row r="43" spans="1:13" ht="14">
      <c r="B43" s="15"/>
      <c r="C43" s="16" t="s">
        <v>71</v>
      </c>
    </row>
    <row r="44" spans="1:13" ht="14">
      <c r="B44" s="17" t="s">
        <v>63</v>
      </c>
      <c r="C44" s="17" t="s">
        <v>64</v>
      </c>
      <c r="D44" s="17" t="s">
        <v>1012</v>
      </c>
      <c r="E44" s="17" t="s">
        <v>471</v>
      </c>
      <c r="F44" s="17" t="s">
        <v>472</v>
      </c>
    </row>
    <row r="45" spans="1:13">
      <c r="B45" s="5" t="s">
        <v>989</v>
      </c>
      <c r="C45" s="5" t="s">
        <v>71</v>
      </c>
      <c r="D45" s="6" t="s">
        <v>252</v>
      </c>
      <c r="E45" s="6" t="s">
        <v>150</v>
      </c>
      <c r="F45" s="6" t="s">
        <v>1006</v>
      </c>
    </row>
    <row r="46" spans="1:13">
      <c r="B46" s="5" t="s">
        <v>907</v>
      </c>
      <c r="C46" s="5" t="s">
        <v>71</v>
      </c>
      <c r="D46" s="6" t="s">
        <v>70</v>
      </c>
      <c r="E46" s="6" t="s">
        <v>130</v>
      </c>
      <c r="F46" s="6" t="s">
        <v>1007</v>
      </c>
    </row>
    <row r="47" spans="1:13">
      <c r="B47" s="5" t="s">
        <v>903</v>
      </c>
      <c r="C47" s="5" t="s">
        <v>71</v>
      </c>
      <c r="D47" s="6" t="s">
        <v>70</v>
      </c>
      <c r="E47" s="6" t="s">
        <v>276</v>
      </c>
      <c r="F47" s="6" t="s">
        <v>1008</v>
      </c>
    </row>
  </sheetData>
  <mergeCells count="18">
    <mergeCell ref="A1:M2"/>
    <mergeCell ref="A3:A4"/>
    <mergeCell ref="C3:C4"/>
    <mergeCell ref="D3:D4"/>
    <mergeCell ref="E3:E4"/>
    <mergeCell ref="F3:F4"/>
    <mergeCell ref="G3:J3"/>
    <mergeCell ref="A36:J36"/>
    <mergeCell ref="K3:K4"/>
    <mergeCell ref="L3:L4"/>
    <mergeCell ref="M3:M4"/>
    <mergeCell ref="A5:J5"/>
    <mergeCell ref="B3:B4"/>
    <mergeCell ref="A8:J8"/>
    <mergeCell ref="A11:J11"/>
    <mergeCell ref="A14:J14"/>
    <mergeCell ref="A22:J22"/>
    <mergeCell ref="A29:J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U79"/>
  <sheetViews>
    <sheetView topLeftCell="A34" workbookViewId="0">
      <selection activeCell="E62" sqref="E62"/>
    </sheetView>
  </sheetViews>
  <sheetFormatPr baseColWidth="10" defaultColWidth="9.1640625" defaultRowHeight="13"/>
  <cols>
    <col min="1" max="1" width="7.5" style="5" bestFit="1" customWidth="1"/>
    <col min="2" max="2" width="22.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25.33203125" style="5" customWidth="1"/>
    <col min="7" max="13" width="5.5" style="6" customWidth="1"/>
    <col min="14" max="14" width="4.83203125" style="6" customWidth="1"/>
    <col min="15" max="18" width="5.5" style="6" customWidth="1"/>
    <col min="19" max="19" width="7.83203125" style="6" bestFit="1" customWidth="1"/>
    <col min="20" max="20" width="8.5" style="6" bestFit="1" customWidth="1"/>
    <col min="21" max="21" width="25.1640625" style="5" bestFit="1" customWidth="1"/>
    <col min="22" max="16384" width="9.1640625" style="3"/>
  </cols>
  <sheetData>
    <row r="1" spans="1:21" s="2" customFormat="1" ht="29" customHeight="1">
      <c r="A1" s="57" t="s">
        <v>1040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60"/>
    </row>
    <row r="2" spans="1:21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4"/>
    </row>
    <row r="3" spans="1:21" s="1" customFormat="1" ht="12.75" customHeight="1">
      <c r="A3" s="65" t="s">
        <v>76</v>
      </c>
      <c r="B3" s="47" t="s">
        <v>0</v>
      </c>
      <c r="C3" s="67" t="s">
        <v>1180</v>
      </c>
      <c r="D3" s="67" t="s">
        <v>5</v>
      </c>
      <c r="E3" s="51" t="s">
        <v>1181</v>
      </c>
      <c r="F3" s="51" t="s">
        <v>6</v>
      </c>
      <c r="G3" s="51" t="s">
        <v>7</v>
      </c>
      <c r="H3" s="51"/>
      <c r="I3" s="51"/>
      <c r="J3" s="51"/>
      <c r="K3" s="51" t="s">
        <v>8</v>
      </c>
      <c r="L3" s="51"/>
      <c r="M3" s="51"/>
      <c r="N3" s="51"/>
      <c r="O3" s="51" t="s">
        <v>9</v>
      </c>
      <c r="P3" s="51"/>
      <c r="Q3" s="51"/>
      <c r="R3" s="51"/>
      <c r="S3" s="51" t="s">
        <v>1</v>
      </c>
      <c r="T3" s="51" t="s">
        <v>3</v>
      </c>
      <c r="U3" s="53" t="s">
        <v>2</v>
      </c>
    </row>
    <row r="4" spans="1:21" s="1" customFormat="1" ht="21" customHeight="1" thickBot="1">
      <c r="A4" s="66"/>
      <c r="B4" s="48"/>
      <c r="C4" s="52"/>
      <c r="D4" s="52"/>
      <c r="E4" s="52"/>
      <c r="F4" s="52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2"/>
      <c r="T4" s="52"/>
      <c r="U4" s="54"/>
    </row>
    <row r="5" spans="1:21" ht="16">
      <c r="A5" s="55" t="s">
        <v>90</v>
      </c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21">
      <c r="A6" s="8" t="s">
        <v>74</v>
      </c>
      <c r="B6" s="7" t="s">
        <v>91</v>
      </c>
      <c r="C6" s="7" t="s">
        <v>92</v>
      </c>
      <c r="D6" s="7" t="s">
        <v>93</v>
      </c>
      <c r="E6" s="7" t="s">
        <v>1182</v>
      </c>
      <c r="F6" s="7" t="s">
        <v>1113</v>
      </c>
      <c r="G6" s="18" t="s">
        <v>94</v>
      </c>
      <c r="H6" s="19" t="s">
        <v>95</v>
      </c>
      <c r="I6" s="19" t="s">
        <v>95</v>
      </c>
      <c r="J6" s="8"/>
      <c r="K6" s="18" t="s">
        <v>96</v>
      </c>
      <c r="L6" s="18" t="s">
        <v>97</v>
      </c>
      <c r="M6" s="19" t="s">
        <v>98</v>
      </c>
      <c r="N6" s="8"/>
      <c r="O6" s="18" t="s">
        <v>99</v>
      </c>
      <c r="P6" s="18" t="s">
        <v>100</v>
      </c>
      <c r="Q6" s="19" t="s">
        <v>17</v>
      </c>
      <c r="R6" s="8"/>
      <c r="S6" s="8" t="str">
        <f>"295,0"</f>
        <v>295,0</v>
      </c>
      <c r="T6" s="8" t="str">
        <f>"384,1785"</f>
        <v>384,1785</v>
      </c>
      <c r="U6" s="7" t="s">
        <v>139</v>
      </c>
    </row>
    <row r="7" spans="1:21">
      <c r="B7" s="5" t="s">
        <v>75</v>
      </c>
    </row>
    <row r="8" spans="1:21" ht="16">
      <c r="A8" s="46" t="s">
        <v>101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</row>
    <row r="9" spans="1:21">
      <c r="A9" s="8" t="s">
        <v>74</v>
      </c>
      <c r="B9" s="7" t="s">
        <v>102</v>
      </c>
      <c r="C9" s="7" t="s">
        <v>103</v>
      </c>
      <c r="D9" s="7" t="s">
        <v>104</v>
      </c>
      <c r="E9" s="7" t="s">
        <v>1182</v>
      </c>
      <c r="F9" s="7" t="s">
        <v>1123</v>
      </c>
      <c r="G9" s="18" t="s">
        <v>105</v>
      </c>
      <c r="H9" s="18" t="s">
        <v>106</v>
      </c>
      <c r="I9" s="18" t="s">
        <v>107</v>
      </c>
      <c r="J9" s="8"/>
      <c r="K9" s="18" t="s">
        <v>108</v>
      </c>
      <c r="L9" s="18" t="s">
        <v>96</v>
      </c>
      <c r="M9" s="18" t="s">
        <v>97</v>
      </c>
      <c r="N9" s="8"/>
      <c r="O9" s="18" t="s">
        <v>109</v>
      </c>
      <c r="P9" s="18" t="s">
        <v>110</v>
      </c>
      <c r="Q9" s="19" t="s">
        <v>111</v>
      </c>
      <c r="R9" s="8"/>
      <c r="S9" s="8" t="str">
        <f>"260,0"</f>
        <v>260,0</v>
      </c>
      <c r="T9" s="8" t="str">
        <f>"306,7740"</f>
        <v>306,7740</v>
      </c>
      <c r="U9" s="7" t="s">
        <v>1033</v>
      </c>
    </row>
    <row r="10" spans="1:21">
      <c r="B10" s="5" t="s">
        <v>75</v>
      </c>
    </row>
    <row r="11" spans="1:21" ht="16">
      <c r="A11" s="46" t="s">
        <v>112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</row>
    <row r="12" spans="1:21">
      <c r="A12" s="10" t="s">
        <v>74</v>
      </c>
      <c r="B12" s="9" t="s">
        <v>113</v>
      </c>
      <c r="C12" s="9" t="s">
        <v>114</v>
      </c>
      <c r="D12" s="9" t="s">
        <v>115</v>
      </c>
      <c r="E12" s="9" t="s">
        <v>1189</v>
      </c>
      <c r="F12" s="9" t="s">
        <v>1124</v>
      </c>
      <c r="G12" s="21" t="s">
        <v>94</v>
      </c>
      <c r="H12" s="21" t="s">
        <v>109</v>
      </c>
      <c r="I12" s="20" t="s">
        <v>116</v>
      </c>
      <c r="J12" s="10"/>
      <c r="K12" s="21" t="s">
        <v>105</v>
      </c>
      <c r="L12" s="21" t="s">
        <v>117</v>
      </c>
      <c r="M12" s="21" t="s">
        <v>106</v>
      </c>
      <c r="N12" s="10"/>
      <c r="O12" s="21" t="s">
        <v>94</v>
      </c>
      <c r="P12" s="21" t="s">
        <v>109</v>
      </c>
      <c r="Q12" s="21" t="s">
        <v>110</v>
      </c>
      <c r="R12" s="10"/>
      <c r="S12" s="10" t="str">
        <f>"312,5"</f>
        <v>312,5</v>
      </c>
      <c r="T12" s="10" t="str">
        <f>"349,3125"</f>
        <v>349,3125</v>
      </c>
      <c r="U12" s="9" t="s">
        <v>1034</v>
      </c>
    </row>
    <row r="13" spans="1:21">
      <c r="A13" s="25" t="s">
        <v>74</v>
      </c>
      <c r="B13" s="24" t="s">
        <v>118</v>
      </c>
      <c r="C13" s="24" t="s">
        <v>119</v>
      </c>
      <c r="D13" s="24" t="s">
        <v>120</v>
      </c>
      <c r="E13" s="24" t="s">
        <v>1182</v>
      </c>
      <c r="F13" s="24" t="s">
        <v>1113</v>
      </c>
      <c r="G13" s="26" t="s">
        <v>121</v>
      </c>
      <c r="H13" s="26" t="s">
        <v>122</v>
      </c>
      <c r="I13" s="27" t="s">
        <v>123</v>
      </c>
      <c r="J13" s="25"/>
      <c r="K13" s="26" t="s">
        <v>124</v>
      </c>
      <c r="L13" s="26" t="s">
        <v>96</v>
      </c>
      <c r="M13" s="27" t="s">
        <v>98</v>
      </c>
      <c r="N13" s="25"/>
      <c r="O13" s="26" t="s">
        <v>125</v>
      </c>
      <c r="P13" s="26" t="s">
        <v>17</v>
      </c>
      <c r="Q13" s="26" t="s">
        <v>18</v>
      </c>
      <c r="R13" s="25"/>
      <c r="S13" s="25" t="str">
        <f>"295,0"</f>
        <v>295,0</v>
      </c>
      <c r="T13" s="25" t="str">
        <f>"329,3085"</f>
        <v>329,3085</v>
      </c>
      <c r="U13" s="24" t="s">
        <v>1033</v>
      </c>
    </row>
    <row r="14" spans="1:21">
      <c r="A14" s="12" t="s">
        <v>267</v>
      </c>
      <c r="B14" s="11" t="s">
        <v>126</v>
      </c>
      <c r="C14" s="11" t="s">
        <v>127</v>
      </c>
      <c r="D14" s="11" t="s">
        <v>128</v>
      </c>
      <c r="E14" s="11" t="s">
        <v>1182</v>
      </c>
      <c r="F14" s="11" t="s">
        <v>1113</v>
      </c>
      <c r="G14" s="22" t="s">
        <v>105</v>
      </c>
      <c r="H14" s="23" t="s">
        <v>117</v>
      </c>
      <c r="I14" s="23" t="s">
        <v>121</v>
      </c>
      <c r="J14" s="12"/>
      <c r="K14" s="23" t="s">
        <v>129</v>
      </c>
      <c r="L14" s="22" t="s">
        <v>130</v>
      </c>
      <c r="M14" s="22" t="s">
        <v>130</v>
      </c>
      <c r="N14" s="12"/>
      <c r="O14" s="23" t="s">
        <v>95</v>
      </c>
      <c r="P14" s="22" t="s">
        <v>116</v>
      </c>
      <c r="Q14" s="22" t="s">
        <v>116</v>
      </c>
      <c r="R14" s="12"/>
      <c r="S14" s="12" t="str">
        <f>"260,0"</f>
        <v>260,0</v>
      </c>
      <c r="T14" s="12" t="str">
        <f>"292,5260"</f>
        <v>292,5260</v>
      </c>
      <c r="U14" s="11" t="s">
        <v>139</v>
      </c>
    </row>
    <row r="15" spans="1:21">
      <c r="B15" s="5" t="s">
        <v>75</v>
      </c>
    </row>
    <row r="16" spans="1:21" ht="16">
      <c r="A16" s="46" t="s">
        <v>131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</row>
    <row r="17" spans="1:21">
      <c r="A17" s="10" t="s">
        <v>74</v>
      </c>
      <c r="B17" s="9" t="s">
        <v>132</v>
      </c>
      <c r="C17" s="9" t="s">
        <v>133</v>
      </c>
      <c r="D17" s="9" t="s">
        <v>134</v>
      </c>
      <c r="E17" s="9" t="s">
        <v>1182</v>
      </c>
      <c r="F17" s="9" t="s">
        <v>1113</v>
      </c>
      <c r="G17" s="21" t="s">
        <v>135</v>
      </c>
      <c r="H17" s="21" t="s">
        <v>87</v>
      </c>
      <c r="I17" s="21" t="s">
        <v>136</v>
      </c>
      <c r="J17" s="10"/>
      <c r="K17" s="21" t="s">
        <v>122</v>
      </c>
      <c r="L17" s="21" t="s">
        <v>94</v>
      </c>
      <c r="M17" s="21" t="s">
        <v>110</v>
      </c>
      <c r="N17" s="10"/>
      <c r="O17" s="21" t="s">
        <v>137</v>
      </c>
      <c r="P17" s="21" t="s">
        <v>56</v>
      </c>
      <c r="Q17" s="21" t="s">
        <v>138</v>
      </c>
      <c r="R17" s="10"/>
      <c r="S17" s="10" t="str">
        <f>"468,5"</f>
        <v>468,5</v>
      </c>
      <c r="T17" s="10" t="str">
        <f>"500,7328"</f>
        <v>500,7328</v>
      </c>
      <c r="U17" s="9" t="s">
        <v>139</v>
      </c>
    </row>
    <row r="18" spans="1:21">
      <c r="A18" s="12" t="s">
        <v>74</v>
      </c>
      <c r="B18" s="11" t="s">
        <v>132</v>
      </c>
      <c r="C18" s="11" t="s">
        <v>140</v>
      </c>
      <c r="D18" s="11" t="s">
        <v>134</v>
      </c>
      <c r="E18" s="11" t="s">
        <v>1183</v>
      </c>
      <c r="F18" s="11" t="s">
        <v>1113</v>
      </c>
      <c r="G18" s="23" t="s">
        <v>135</v>
      </c>
      <c r="H18" s="23" t="s">
        <v>87</v>
      </c>
      <c r="I18" s="23" t="s">
        <v>136</v>
      </c>
      <c r="J18" s="12"/>
      <c r="K18" s="23" t="s">
        <v>122</v>
      </c>
      <c r="L18" s="23" t="s">
        <v>94</v>
      </c>
      <c r="M18" s="23" t="s">
        <v>110</v>
      </c>
      <c r="N18" s="12"/>
      <c r="O18" s="23" t="s">
        <v>137</v>
      </c>
      <c r="P18" s="23" t="s">
        <v>56</v>
      </c>
      <c r="Q18" s="23" t="s">
        <v>138</v>
      </c>
      <c r="R18" s="12"/>
      <c r="S18" s="12" t="str">
        <f>"468,5"</f>
        <v>468,5</v>
      </c>
      <c r="T18" s="12" t="str">
        <f>"503,2365"</f>
        <v>503,2365</v>
      </c>
      <c r="U18" s="11" t="s">
        <v>139</v>
      </c>
    </row>
    <row r="19" spans="1:21">
      <c r="B19" s="5" t="s">
        <v>75</v>
      </c>
    </row>
    <row r="20" spans="1:21" ht="16">
      <c r="A20" s="46" t="s">
        <v>141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</row>
    <row r="21" spans="1:21">
      <c r="A21" s="8" t="s">
        <v>74</v>
      </c>
      <c r="B21" s="7" t="s">
        <v>142</v>
      </c>
      <c r="C21" s="7" t="s">
        <v>143</v>
      </c>
      <c r="D21" s="7" t="s">
        <v>144</v>
      </c>
      <c r="E21" s="7" t="s">
        <v>1182</v>
      </c>
      <c r="F21" s="7" t="s">
        <v>1113</v>
      </c>
      <c r="G21" s="18" t="s">
        <v>21</v>
      </c>
      <c r="H21" s="18" t="s">
        <v>22</v>
      </c>
      <c r="I21" s="18" t="s">
        <v>80</v>
      </c>
      <c r="J21" s="18" t="s">
        <v>40</v>
      </c>
      <c r="K21" s="18" t="s">
        <v>110</v>
      </c>
      <c r="L21" s="18" t="s">
        <v>145</v>
      </c>
      <c r="M21" s="18" t="s">
        <v>99</v>
      </c>
      <c r="N21" s="8"/>
      <c r="O21" s="18" t="s">
        <v>16</v>
      </c>
      <c r="P21" s="18" t="s">
        <v>49</v>
      </c>
      <c r="Q21" s="18" t="s">
        <v>40</v>
      </c>
      <c r="R21" s="19" t="s">
        <v>36</v>
      </c>
      <c r="S21" s="8" t="str">
        <f>"582,5"</f>
        <v>582,5</v>
      </c>
      <c r="T21" s="8" t="str">
        <f>"544,8705"</f>
        <v>544,8705</v>
      </c>
      <c r="U21" s="7" t="s">
        <v>1035</v>
      </c>
    </row>
    <row r="22" spans="1:21">
      <c r="B22" s="5" t="s">
        <v>75</v>
      </c>
    </row>
    <row r="23" spans="1:21" ht="16">
      <c r="A23" s="46" t="s">
        <v>131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</row>
    <row r="24" spans="1:21">
      <c r="A24" s="10" t="s">
        <v>74</v>
      </c>
      <c r="B24" s="9" t="s">
        <v>146</v>
      </c>
      <c r="C24" s="9" t="s">
        <v>147</v>
      </c>
      <c r="D24" s="9" t="s">
        <v>148</v>
      </c>
      <c r="E24" s="9" t="s">
        <v>1189</v>
      </c>
      <c r="F24" s="9" t="s">
        <v>1124</v>
      </c>
      <c r="G24" s="21" t="s">
        <v>110</v>
      </c>
      <c r="H24" s="21" t="s">
        <v>111</v>
      </c>
      <c r="I24" s="21" t="s">
        <v>125</v>
      </c>
      <c r="J24" s="10"/>
      <c r="K24" s="21" t="s">
        <v>130</v>
      </c>
      <c r="L24" s="21" t="s">
        <v>149</v>
      </c>
      <c r="M24" s="21" t="s">
        <v>150</v>
      </c>
      <c r="N24" s="10"/>
      <c r="O24" s="21" t="s">
        <v>100</v>
      </c>
      <c r="P24" s="21" t="s">
        <v>81</v>
      </c>
      <c r="Q24" s="21" t="s">
        <v>18</v>
      </c>
      <c r="R24" s="10"/>
      <c r="S24" s="10" t="str">
        <f>"350,0"</f>
        <v>350,0</v>
      </c>
      <c r="T24" s="10" t="str">
        <f>"283,8850"</f>
        <v>283,8850</v>
      </c>
      <c r="U24" s="9" t="s">
        <v>1036</v>
      </c>
    </row>
    <row r="25" spans="1:21">
      <c r="A25" s="12" t="s">
        <v>74</v>
      </c>
      <c r="B25" s="11" t="s">
        <v>151</v>
      </c>
      <c r="C25" s="11" t="s">
        <v>152</v>
      </c>
      <c r="D25" s="11" t="s">
        <v>153</v>
      </c>
      <c r="E25" s="11" t="s">
        <v>1182</v>
      </c>
      <c r="F25" s="11" t="s">
        <v>1125</v>
      </c>
      <c r="G25" s="23" t="s">
        <v>154</v>
      </c>
      <c r="H25" s="23" t="s">
        <v>137</v>
      </c>
      <c r="I25" s="23" t="s">
        <v>20</v>
      </c>
      <c r="J25" s="12"/>
      <c r="K25" s="23" t="s">
        <v>110</v>
      </c>
      <c r="L25" s="23" t="s">
        <v>145</v>
      </c>
      <c r="M25" s="22" t="s">
        <v>155</v>
      </c>
      <c r="N25" s="12"/>
      <c r="O25" s="23" t="s">
        <v>20</v>
      </c>
      <c r="P25" s="23" t="s">
        <v>156</v>
      </c>
      <c r="Q25" s="22" t="s">
        <v>157</v>
      </c>
      <c r="R25" s="12"/>
      <c r="S25" s="12" t="str">
        <f>"515,0"</f>
        <v>515,0</v>
      </c>
      <c r="T25" s="12" t="str">
        <f>"399,4340"</f>
        <v>399,4340</v>
      </c>
      <c r="U25" s="11"/>
    </row>
    <row r="26" spans="1:21">
      <c r="B26" s="5" t="s">
        <v>75</v>
      </c>
    </row>
    <row r="27" spans="1:21" ht="16">
      <c r="A27" s="46" t="s">
        <v>158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</row>
    <row r="28" spans="1:21">
      <c r="A28" s="8" t="s">
        <v>74</v>
      </c>
      <c r="B28" s="7" t="s">
        <v>159</v>
      </c>
      <c r="C28" s="7" t="s">
        <v>160</v>
      </c>
      <c r="D28" s="7" t="s">
        <v>161</v>
      </c>
      <c r="E28" s="7" t="s">
        <v>1182</v>
      </c>
      <c r="F28" s="7" t="s">
        <v>1126</v>
      </c>
      <c r="G28" s="18" t="s">
        <v>86</v>
      </c>
      <c r="H28" s="18" t="s">
        <v>41</v>
      </c>
      <c r="I28" s="19" t="s">
        <v>162</v>
      </c>
      <c r="J28" s="8"/>
      <c r="K28" s="18" t="s">
        <v>163</v>
      </c>
      <c r="L28" s="19" t="s">
        <v>17</v>
      </c>
      <c r="M28" s="8"/>
      <c r="N28" s="8"/>
      <c r="O28" s="18" t="s">
        <v>41</v>
      </c>
      <c r="P28" s="18" t="s">
        <v>162</v>
      </c>
      <c r="Q28" s="19" t="s">
        <v>164</v>
      </c>
      <c r="R28" s="8"/>
      <c r="S28" s="8" t="str">
        <f>"645,0"</f>
        <v>645,0</v>
      </c>
      <c r="T28" s="8" t="str">
        <f>"459,6270"</f>
        <v>459,6270</v>
      </c>
      <c r="U28" s="7" t="s">
        <v>165</v>
      </c>
    </row>
    <row r="29" spans="1:21">
      <c r="B29" s="5" t="s">
        <v>75</v>
      </c>
    </row>
    <row r="30" spans="1:21" ht="16">
      <c r="A30" s="46" t="s">
        <v>141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</row>
    <row r="31" spans="1:21">
      <c r="A31" s="10" t="s">
        <v>74</v>
      </c>
      <c r="B31" s="9" t="s">
        <v>166</v>
      </c>
      <c r="C31" s="9" t="s">
        <v>167</v>
      </c>
      <c r="D31" s="9" t="s">
        <v>168</v>
      </c>
      <c r="E31" s="9" t="s">
        <v>1182</v>
      </c>
      <c r="F31" s="9" t="s">
        <v>1120</v>
      </c>
      <c r="G31" s="21" t="s">
        <v>16</v>
      </c>
      <c r="H31" s="21" t="s">
        <v>22</v>
      </c>
      <c r="I31" s="20" t="s">
        <v>49</v>
      </c>
      <c r="J31" s="10"/>
      <c r="K31" s="21" t="s">
        <v>163</v>
      </c>
      <c r="L31" s="21" t="s">
        <v>17</v>
      </c>
      <c r="M31" s="20" t="s">
        <v>169</v>
      </c>
      <c r="N31" s="10"/>
      <c r="O31" s="21" t="s">
        <v>37</v>
      </c>
      <c r="P31" s="21" t="s">
        <v>162</v>
      </c>
      <c r="Q31" s="21" t="s">
        <v>38</v>
      </c>
      <c r="R31" s="10"/>
      <c r="S31" s="10" t="str">
        <f>"620,0"</f>
        <v>620,0</v>
      </c>
      <c r="T31" s="10" t="str">
        <f>"417,1980"</f>
        <v>417,1980</v>
      </c>
      <c r="U31" s="9" t="s">
        <v>460</v>
      </c>
    </row>
    <row r="32" spans="1:21">
      <c r="A32" s="25" t="s">
        <v>267</v>
      </c>
      <c r="B32" s="24" t="s">
        <v>170</v>
      </c>
      <c r="C32" s="24" t="s">
        <v>171</v>
      </c>
      <c r="D32" s="24" t="s">
        <v>172</v>
      </c>
      <c r="E32" s="24" t="s">
        <v>1182</v>
      </c>
      <c r="F32" s="24" t="s">
        <v>1113</v>
      </c>
      <c r="G32" s="26" t="s">
        <v>15</v>
      </c>
      <c r="H32" s="26" t="s">
        <v>21</v>
      </c>
      <c r="I32" s="26" t="s">
        <v>16</v>
      </c>
      <c r="J32" s="25"/>
      <c r="K32" s="26" t="s">
        <v>19</v>
      </c>
      <c r="L32" s="26" t="s">
        <v>136</v>
      </c>
      <c r="M32" s="27" t="s">
        <v>154</v>
      </c>
      <c r="N32" s="25"/>
      <c r="O32" s="26" t="s">
        <v>173</v>
      </c>
      <c r="P32" s="27" t="s">
        <v>41</v>
      </c>
      <c r="Q32" s="27" t="s">
        <v>41</v>
      </c>
      <c r="R32" s="25"/>
      <c r="S32" s="25" t="str">
        <f>"610,0"</f>
        <v>610,0</v>
      </c>
      <c r="T32" s="25" t="str">
        <f>"408,9440"</f>
        <v>408,9440</v>
      </c>
      <c r="U32" s="24"/>
    </row>
    <row r="33" spans="1:21">
      <c r="A33" s="12" t="s">
        <v>74</v>
      </c>
      <c r="B33" s="11" t="s">
        <v>166</v>
      </c>
      <c r="C33" s="11" t="s">
        <v>174</v>
      </c>
      <c r="D33" s="11" t="s">
        <v>168</v>
      </c>
      <c r="E33" s="11" t="s">
        <v>1183</v>
      </c>
      <c r="F33" s="11" t="s">
        <v>1120</v>
      </c>
      <c r="G33" s="23" t="s">
        <v>16</v>
      </c>
      <c r="H33" s="23" t="s">
        <v>22</v>
      </c>
      <c r="I33" s="22" t="s">
        <v>49</v>
      </c>
      <c r="J33" s="12"/>
      <c r="K33" s="23" t="s">
        <v>163</v>
      </c>
      <c r="L33" s="23" t="s">
        <v>17</v>
      </c>
      <c r="M33" s="22" t="s">
        <v>169</v>
      </c>
      <c r="N33" s="12"/>
      <c r="O33" s="23" t="s">
        <v>37</v>
      </c>
      <c r="P33" s="23" t="s">
        <v>162</v>
      </c>
      <c r="Q33" s="23" t="s">
        <v>38</v>
      </c>
      <c r="R33" s="12"/>
      <c r="S33" s="12" t="str">
        <f>"620,0"</f>
        <v>620,0</v>
      </c>
      <c r="T33" s="12" t="str">
        <f>"435,5547"</f>
        <v>435,5547</v>
      </c>
      <c r="U33" s="11" t="s">
        <v>460</v>
      </c>
    </row>
    <row r="34" spans="1:21">
      <c r="B34" s="5" t="s">
        <v>75</v>
      </c>
    </row>
    <row r="35" spans="1:21" ht="16">
      <c r="A35" s="46" t="s">
        <v>10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</row>
    <row r="36" spans="1:21">
      <c r="A36" s="10" t="s">
        <v>74</v>
      </c>
      <c r="B36" s="9" t="s">
        <v>175</v>
      </c>
      <c r="C36" s="9" t="s">
        <v>176</v>
      </c>
      <c r="D36" s="9" t="s">
        <v>177</v>
      </c>
      <c r="E36" s="9" t="s">
        <v>1185</v>
      </c>
      <c r="F36" s="9" t="s">
        <v>1127</v>
      </c>
      <c r="G36" s="21" t="s">
        <v>16</v>
      </c>
      <c r="H36" s="21" t="s">
        <v>49</v>
      </c>
      <c r="I36" s="21" t="s">
        <v>178</v>
      </c>
      <c r="J36" s="10"/>
      <c r="K36" s="21" t="s">
        <v>81</v>
      </c>
      <c r="L36" s="20" t="s">
        <v>19</v>
      </c>
      <c r="M36" s="21" t="s">
        <v>19</v>
      </c>
      <c r="N36" s="10"/>
      <c r="O36" s="21" t="s">
        <v>162</v>
      </c>
      <c r="P36" s="21" t="s">
        <v>88</v>
      </c>
      <c r="Q36" s="21" t="s">
        <v>164</v>
      </c>
      <c r="R36" s="10"/>
      <c r="S36" s="10" t="str">
        <f>"652,5"</f>
        <v>652,5</v>
      </c>
      <c r="T36" s="10" t="str">
        <f>"418,9702"</f>
        <v>418,9702</v>
      </c>
      <c r="U36" s="9"/>
    </row>
    <row r="37" spans="1:21">
      <c r="A37" s="25" t="s">
        <v>74</v>
      </c>
      <c r="B37" s="24" t="s">
        <v>179</v>
      </c>
      <c r="C37" s="24" t="s">
        <v>180</v>
      </c>
      <c r="D37" s="24" t="s">
        <v>181</v>
      </c>
      <c r="E37" s="24" t="s">
        <v>1182</v>
      </c>
      <c r="F37" s="24" t="s">
        <v>1128</v>
      </c>
      <c r="G37" s="26" t="s">
        <v>82</v>
      </c>
      <c r="H37" s="26" t="s">
        <v>16</v>
      </c>
      <c r="I37" s="26" t="s">
        <v>49</v>
      </c>
      <c r="J37" s="25"/>
      <c r="K37" s="26" t="s">
        <v>39</v>
      </c>
      <c r="L37" s="26" t="s">
        <v>182</v>
      </c>
      <c r="M37" s="26" t="s">
        <v>137</v>
      </c>
      <c r="N37" s="25"/>
      <c r="O37" s="26" t="s">
        <v>21</v>
      </c>
      <c r="P37" s="26" t="s">
        <v>80</v>
      </c>
      <c r="Q37" s="26" t="s">
        <v>86</v>
      </c>
      <c r="R37" s="25"/>
      <c r="S37" s="25" t="str">
        <f>"630,0"</f>
        <v>630,0</v>
      </c>
      <c r="T37" s="25" t="str">
        <f>"407,6730"</f>
        <v>407,6730</v>
      </c>
      <c r="U37" s="24"/>
    </row>
    <row r="38" spans="1:21">
      <c r="A38" s="25" t="s">
        <v>267</v>
      </c>
      <c r="B38" s="24" t="s">
        <v>183</v>
      </c>
      <c r="C38" s="24" t="s">
        <v>184</v>
      </c>
      <c r="D38" s="24" t="s">
        <v>185</v>
      </c>
      <c r="E38" s="24" t="s">
        <v>1182</v>
      </c>
      <c r="F38" s="24" t="s">
        <v>1113</v>
      </c>
      <c r="G38" s="26" t="s">
        <v>14</v>
      </c>
      <c r="H38" s="26" t="s">
        <v>20</v>
      </c>
      <c r="I38" s="27" t="s">
        <v>82</v>
      </c>
      <c r="J38" s="25"/>
      <c r="K38" s="26" t="s">
        <v>81</v>
      </c>
      <c r="L38" s="27" t="s">
        <v>18</v>
      </c>
      <c r="M38" s="27" t="s">
        <v>18</v>
      </c>
      <c r="N38" s="25"/>
      <c r="O38" s="26" t="s">
        <v>20</v>
      </c>
      <c r="P38" s="27" t="s">
        <v>82</v>
      </c>
      <c r="Q38" s="27" t="s">
        <v>82</v>
      </c>
      <c r="R38" s="25"/>
      <c r="S38" s="25" t="str">
        <f>"525,0"</f>
        <v>525,0</v>
      </c>
      <c r="T38" s="25" t="str">
        <f>"342,4575"</f>
        <v>342,4575</v>
      </c>
      <c r="U38" s="24" t="s">
        <v>186</v>
      </c>
    </row>
    <row r="39" spans="1:21">
      <c r="A39" s="25" t="s">
        <v>268</v>
      </c>
      <c r="B39" s="24" t="s">
        <v>187</v>
      </c>
      <c r="C39" s="24" t="s">
        <v>188</v>
      </c>
      <c r="D39" s="24" t="s">
        <v>189</v>
      </c>
      <c r="E39" s="24" t="s">
        <v>1182</v>
      </c>
      <c r="F39" s="24" t="s">
        <v>1113</v>
      </c>
      <c r="G39" s="26" t="s">
        <v>17</v>
      </c>
      <c r="H39" s="26" t="s">
        <v>39</v>
      </c>
      <c r="I39" s="26" t="s">
        <v>55</v>
      </c>
      <c r="J39" s="25"/>
      <c r="K39" s="26" t="s">
        <v>125</v>
      </c>
      <c r="L39" s="27" t="s">
        <v>190</v>
      </c>
      <c r="M39" s="27" t="s">
        <v>190</v>
      </c>
      <c r="N39" s="25"/>
      <c r="O39" s="26" t="s">
        <v>14</v>
      </c>
      <c r="P39" s="26" t="s">
        <v>15</v>
      </c>
      <c r="Q39" s="27" t="s">
        <v>21</v>
      </c>
      <c r="R39" s="25"/>
      <c r="S39" s="25" t="str">
        <f>"490,0"</f>
        <v>490,0</v>
      </c>
      <c r="T39" s="25" t="str">
        <f>"313,8940"</f>
        <v>313,8940</v>
      </c>
      <c r="U39" s="24"/>
    </row>
    <row r="40" spans="1:21">
      <c r="A40" s="25" t="s">
        <v>74</v>
      </c>
      <c r="B40" s="24" t="s">
        <v>191</v>
      </c>
      <c r="C40" s="24" t="s">
        <v>192</v>
      </c>
      <c r="D40" s="24" t="s">
        <v>193</v>
      </c>
      <c r="E40" s="24" t="s">
        <v>1183</v>
      </c>
      <c r="F40" s="24" t="s">
        <v>1113</v>
      </c>
      <c r="G40" s="26" t="s">
        <v>16</v>
      </c>
      <c r="H40" s="26" t="s">
        <v>49</v>
      </c>
      <c r="I40" s="27" t="s">
        <v>178</v>
      </c>
      <c r="J40" s="25"/>
      <c r="K40" s="26" t="s">
        <v>111</v>
      </c>
      <c r="L40" s="26" t="s">
        <v>99</v>
      </c>
      <c r="M40" s="27" t="s">
        <v>163</v>
      </c>
      <c r="N40" s="25"/>
      <c r="O40" s="26" t="s">
        <v>16</v>
      </c>
      <c r="P40" s="26" t="s">
        <v>49</v>
      </c>
      <c r="Q40" s="25"/>
      <c r="R40" s="25"/>
      <c r="S40" s="25" t="str">
        <f>"570,0"</f>
        <v>570,0</v>
      </c>
      <c r="T40" s="25" t="str">
        <f>"385,5031"</f>
        <v>385,5031</v>
      </c>
      <c r="U40" s="24" t="s">
        <v>1037</v>
      </c>
    </row>
    <row r="41" spans="1:21">
      <c r="A41" s="12" t="s">
        <v>74</v>
      </c>
      <c r="B41" s="11" t="s">
        <v>194</v>
      </c>
      <c r="C41" s="11" t="s">
        <v>195</v>
      </c>
      <c r="D41" s="11" t="s">
        <v>196</v>
      </c>
      <c r="E41" s="11" t="s">
        <v>1186</v>
      </c>
      <c r="F41" s="11" t="s">
        <v>1113</v>
      </c>
      <c r="G41" s="23" t="s">
        <v>17</v>
      </c>
      <c r="H41" s="23" t="s">
        <v>18</v>
      </c>
      <c r="I41" s="23" t="s">
        <v>19</v>
      </c>
      <c r="J41" s="12"/>
      <c r="K41" s="23" t="s">
        <v>121</v>
      </c>
      <c r="L41" s="23" t="s">
        <v>107</v>
      </c>
      <c r="M41" s="23" t="s">
        <v>122</v>
      </c>
      <c r="N41" s="12"/>
      <c r="O41" s="23" t="s">
        <v>99</v>
      </c>
      <c r="P41" s="23" t="s">
        <v>17</v>
      </c>
      <c r="Q41" s="23" t="s">
        <v>18</v>
      </c>
      <c r="R41" s="12"/>
      <c r="S41" s="12" t="str">
        <f>"400,0"</f>
        <v>400,0</v>
      </c>
      <c r="T41" s="12" t="str">
        <f>"379,3188"</f>
        <v>379,3188</v>
      </c>
      <c r="U41" s="11" t="s">
        <v>139</v>
      </c>
    </row>
    <row r="42" spans="1:21">
      <c r="B42" s="5" t="s">
        <v>75</v>
      </c>
    </row>
    <row r="43" spans="1:21" ht="16">
      <c r="A43" s="46" t="s">
        <v>23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</row>
    <row r="44" spans="1:21">
      <c r="A44" s="10" t="s">
        <v>74</v>
      </c>
      <c r="B44" s="9" t="s">
        <v>197</v>
      </c>
      <c r="C44" s="9" t="s">
        <v>198</v>
      </c>
      <c r="D44" s="9" t="s">
        <v>199</v>
      </c>
      <c r="E44" s="9" t="s">
        <v>1182</v>
      </c>
      <c r="F44" s="9" t="s">
        <v>1113</v>
      </c>
      <c r="G44" s="21" t="s">
        <v>200</v>
      </c>
      <c r="H44" s="21" t="s">
        <v>201</v>
      </c>
      <c r="I44" s="21" t="s">
        <v>30</v>
      </c>
      <c r="J44" s="10"/>
      <c r="K44" s="21" t="s">
        <v>16</v>
      </c>
      <c r="L44" s="21" t="s">
        <v>22</v>
      </c>
      <c r="M44" s="20" t="s">
        <v>49</v>
      </c>
      <c r="N44" s="10"/>
      <c r="O44" s="21" t="s">
        <v>202</v>
      </c>
      <c r="P44" s="21" t="s">
        <v>203</v>
      </c>
      <c r="Q44" s="10"/>
      <c r="R44" s="10"/>
      <c r="S44" s="10" t="str">
        <f>"890,0"</f>
        <v>890,0</v>
      </c>
      <c r="T44" s="10" t="str">
        <f>"541,8320"</f>
        <v>541,8320</v>
      </c>
      <c r="U44" s="9"/>
    </row>
    <row r="45" spans="1:21">
      <c r="A45" s="25" t="s">
        <v>267</v>
      </c>
      <c r="B45" s="24" t="s">
        <v>204</v>
      </c>
      <c r="C45" s="24" t="s">
        <v>205</v>
      </c>
      <c r="D45" s="24" t="s">
        <v>206</v>
      </c>
      <c r="E45" s="24" t="s">
        <v>1182</v>
      </c>
      <c r="F45" s="24" t="s">
        <v>1113</v>
      </c>
      <c r="G45" s="26" t="s">
        <v>38</v>
      </c>
      <c r="H45" s="27" t="s">
        <v>207</v>
      </c>
      <c r="I45" s="26" t="s">
        <v>207</v>
      </c>
      <c r="J45" s="25"/>
      <c r="K45" s="26" t="s">
        <v>15</v>
      </c>
      <c r="L45" s="27" t="s">
        <v>156</v>
      </c>
      <c r="M45" s="27" t="s">
        <v>156</v>
      </c>
      <c r="N45" s="25"/>
      <c r="O45" s="26" t="s">
        <v>27</v>
      </c>
      <c r="P45" s="27" t="s">
        <v>208</v>
      </c>
      <c r="Q45" s="25"/>
      <c r="R45" s="25"/>
      <c r="S45" s="25" t="str">
        <f>"770,0"</f>
        <v>770,0</v>
      </c>
      <c r="T45" s="25" t="str">
        <f>"469,1610"</f>
        <v>469,1610</v>
      </c>
      <c r="U45" s="24"/>
    </row>
    <row r="46" spans="1:21">
      <c r="A46" s="25" t="s">
        <v>268</v>
      </c>
      <c r="B46" s="24" t="s">
        <v>209</v>
      </c>
      <c r="C46" s="24" t="s">
        <v>210</v>
      </c>
      <c r="D46" s="24" t="s">
        <v>211</v>
      </c>
      <c r="E46" s="24" t="s">
        <v>1182</v>
      </c>
      <c r="F46" s="24" t="s">
        <v>1129</v>
      </c>
      <c r="G46" s="26" t="s">
        <v>82</v>
      </c>
      <c r="H46" s="26" t="s">
        <v>22</v>
      </c>
      <c r="I46" s="27" t="s">
        <v>178</v>
      </c>
      <c r="J46" s="25"/>
      <c r="K46" s="26" t="s">
        <v>17</v>
      </c>
      <c r="L46" s="26" t="s">
        <v>18</v>
      </c>
      <c r="M46" s="27" t="s">
        <v>212</v>
      </c>
      <c r="N46" s="25"/>
      <c r="O46" s="26" t="s">
        <v>22</v>
      </c>
      <c r="P46" s="27" t="s">
        <v>36</v>
      </c>
      <c r="Q46" s="27" t="s">
        <v>36</v>
      </c>
      <c r="R46" s="25"/>
      <c r="S46" s="25" t="str">
        <f>"580,0"</f>
        <v>580,0</v>
      </c>
      <c r="T46" s="25" t="str">
        <f>"356,7000"</f>
        <v>356,7000</v>
      </c>
      <c r="U46" s="24"/>
    </row>
    <row r="47" spans="1:21">
      <c r="A47" s="12" t="s">
        <v>74</v>
      </c>
      <c r="B47" s="11" t="s">
        <v>213</v>
      </c>
      <c r="C47" s="11" t="s">
        <v>214</v>
      </c>
      <c r="D47" s="11" t="s">
        <v>211</v>
      </c>
      <c r="E47" s="11" t="s">
        <v>1183</v>
      </c>
      <c r="F47" s="11" t="s">
        <v>1113</v>
      </c>
      <c r="G47" s="23" t="s">
        <v>21</v>
      </c>
      <c r="H47" s="23" t="s">
        <v>49</v>
      </c>
      <c r="I47" s="22" t="s">
        <v>215</v>
      </c>
      <c r="J47" s="12"/>
      <c r="K47" s="23" t="s">
        <v>136</v>
      </c>
      <c r="L47" s="23" t="s">
        <v>55</v>
      </c>
      <c r="M47" s="22" t="s">
        <v>137</v>
      </c>
      <c r="N47" s="12"/>
      <c r="O47" s="23" t="s">
        <v>16</v>
      </c>
      <c r="P47" s="23" t="s">
        <v>178</v>
      </c>
      <c r="Q47" s="23" t="s">
        <v>86</v>
      </c>
      <c r="R47" s="12"/>
      <c r="S47" s="12" t="str">
        <f>"625,0"</f>
        <v>625,0</v>
      </c>
      <c r="T47" s="12" t="str">
        <f>"384,3750"</f>
        <v>384,3750</v>
      </c>
      <c r="U47" s="11"/>
    </row>
    <row r="48" spans="1:21">
      <c r="B48" s="5" t="s">
        <v>75</v>
      </c>
    </row>
    <row r="49" spans="1:21" ht="16">
      <c r="A49" s="46" t="s">
        <v>32</v>
      </c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</row>
    <row r="50" spans="1:21">
      <c r="A50" s="10" t="s">
        <v>74</v>
      </c>
      <c r="B50" s="9" t="s">
        <v>216</v>
      </c>
      <c r="C50" s="9" t="s">
        <v>217</v>
      </c>
      <c r="D50" s="9" t="s">
        <v>218</v>
      </c>
      <c r="E50" s="9" t="s">
        <v>1182</v>
      </c>
      <c r="F50" s="9" t="s">
        <v>1121</v>
      </c>
      <c r="G50" s="21" t="s">
        <v>49</v>
      </c>
      <c r="H50" s="21" t="s">
        <v>40</v>
      </c>
      <c r="I50" s="20" t="s">
        <v>36</v>
      </c>
      <c r="J50" s="10"/>
      <c r="K50" s="21" t="s">
        <v>137</v>
      </c>
      <c r="L50" s="20" t="s">
        <v>14</v>
      </c>
      <c r="M50" s="20" t="s">
        <v>14</v>
      </c>
      <c r="N50" s="10"/>
      <c r="O50" s="21" t="s">
        <v>57</v>
      </c>
      <c r="P50" s="21" t="s">
        <v>219</v>
      </c>
      <c r="Q50" s="20" t="s">
        <v>27</v>
      </c>
      <c r="R50" s="10"/>
      <c r="S50" s="10" t="str">
        <f>"695,0"</f>
        <v>695,0</v>
      </c>
      <c r="T50" s="10" t="str">
        <f>"414,4980"</f>
        <v>414,4980</v>
      </c>
      <c r="U50" s="9"/>
    </row>
    <row r="51" spans="1:21">
      <c r="A51" s="25" t="s">
        <v>267</v>
      </c>
      <c r="B51" s="24" t="s">
        <v>220</v>
      </c>
      <c r="C51" s="24" t="s">
        <v>221</v>
      </c>
      <c r="D51" s="24" t="s">
        <v>222</v>
      </c>
      <c r="E51" s="24" t="s">
        <v>1182</v>
      </c>
      <c r="F51" s="24" t="s">
        <v>1125</v>
      </c>
      <c r="G51" s="26" t="s">
        <v>223</v>
      </c>
      <c r="H51" s="26" t="s">
        <v>224</v>
      </c>
      <c r="I51" s="26" t="s">
        <v>225</v>
      </c>
      <c r="J51" s="25"/>
      <c r="K51" s="26" t="s">
        <v>19</v>
      </c>
      <c r="L51" s="27" t="s">
        <v>136</v>
      </c>
      <c r="M51" s="26" t="s">
        <v>136</v>
      </c>
      <c r="N51" s="25"/>
      <c r="O51" s="26" t="s">
        <v>224</v>
      </c>
      <c r="P51" s="26" t="s">
        <v>225</v>
      </c>
      <c r="Q51" s="25"/>
      <c r="R51" s="25"/>
      <c r="S51" s="25" t="str">
        <f>"667,5"</f>
        <v>667,5</v>
      </c>
      <c r="T51" s="25" t="str">
        <f>"394,7595"</f>
        <v>394,7595</v>
      </c>
      <c r="U51" s="24"/>
    </row>
    <row r="52" spans="1:21">
      <c r="A52" s="12" t="s">
        <v>269</v>
      </c>
      <c r="B52" s="11" t="s">
        <v>226</v>
      </c>
      <c r="C52" s="11" t="s">
        <v>227</v>
      </c>
      <c r="D52" s="11" t="s">
        <v>228</v>
      </c>
      <c r="E52" s="11" t="s">
        <v>1182</v>
      </c>
      <c r="F52" s="11" t="s">
        <v>1130</v>
      </c>
      <c r="G52" s="23" t="s">
        <v>16</v>
      </c>
      <c r="H52" s="23" t="s">
        <v>49</v>
      </c>
      <c r="I52" s="23" t="s">
        <v>40</v>
      </c>
      <c r="J52" s="12"/>
      <c r="K52" s="22" t="s">
        <v>137</v>
      </c>
      <c r="L52" s="22" t="s">
        <v>14</v>
      </c>
      <c r="M52" s="22" t="s">
        <v>14</v>
      </c>
      <c r="N52" s="12"/>
      <c r="O52" s="22"/>
      <c r="P52" s="12"/>
      <c r="Q52" s="12"/>
      <c r="R52" s="12"/>
      <c r="S52" s="32">
        <v>0</v>
      </c>
      <c r="T52" s="12" t="str">
        <f>"0,0000"</f>
        <v>0,0000</v>
      </c>
      <c r="U52" s="11" t="s">
        <v>1038</v>
      </c>
    </row>
    <row r="53" spans="1:21">
      <c r="B53" s="5" t="s">
        <v>75</v>
      </c>
    </row>
    <row r="54" spans="1:21" ht="16">
      <c r="A54" s="46" t="s">
        <v>229</v>
      </c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</row>
    <row r="55" spans="1:21">
      <c r="A55" s="10" t="s">
        <v>74</v>
      </c>
      <c r="B55" s="9" t="s">
        <v>230</v>
      </c>
      <c r="C55" s="9" t="s">
        <v>231</v>
      </c>
      <c r="D55" s="9" t="s">
        <v>232</v>
      </c>
      <c r="E55" s="9" t="s">
        <v>1182</v>
      </c>
      <c r="F55" s="9" t="s">
        <v>1113</v>
      </c>
      <c r="G55" s="21" t="s">
        <v>41</v>
      </c>
      <c r="H55" s="21" t="s">
        <v>38</v>
      </c>
      <c r="I55" s="21" t="s">
        <v>207</v>
      </c>
      <c r="J55" s="10"/>
      <c r="K55" s="21" t="s">
        <v>233</v>
      </c>
      <c r="L55" s="21" t="s">
        <v>82</v>
      </c>
      <c r="M55" s="20" t="s">
        <v>21</v>
      </c>
      <c r="N55" s="10"/>
      <c r="O55" s="21" t="s">
        <v>208</v>
      </c>
      <c r="P55" s="21" t="s">
        <v>30</v>
      </c>
      <c r="Q55" s="10"/>
      <c r="R55" s="10"/>
      <c r="S55" s="10" t="str">
        <f>"800,0"</f>
        <v>800,0</v>
      </c>
      <c r="T55" s="10" t="str">
        <f>"456,9600"</f>
        <v>456,9600</v>
      </c>
      <c r="U55" s="9" t="s">
        <v>1035</v>
      </c>
    </row>
    <row r="56" spans="1:21">
      <c r="A56" s="25" t="s">
        <v>267</v>
      </c>
      <c r="B56" s="24" t="s">
        <v>234</v>
      </c>
      <c r="C56" s="24" t="s">
        <v>235</v>
      </c>
      <c r="D56" s="24" t="s">
        <v>236</v>
      </c>
      <c r="E56" s="24" t="s">
        <v>1182</v>
      </c>
      <c r="F56" s="24" t="s">
        <v>1113</v>
      </c>
      <c r="G56" s="26" t="s">
        <v>37</v>
      </c>
      <c r="H56" s="26" t="s">
        <v>38</v>
      </c>
      <c r="I56" s="26" t="s">
        <v>88</v>
      </c>
      <c r="J56" s="25"/>
      <c r="K56" s="26" t="s">
        <v>20</v>
      </c>
      <c r="L56" s="26" t="s">
        <v>82</v>
      </c>
      <c r="M56" s="26" t="s">
        <v>21</v>
      </c>
      <c r="N56" s="25"/>
      <c r="O56" s="26" t="s">
        <v>88</v>
      </c>
      <c r="P56" s="26" t="s">
        <v>237</v>
      </c>
      <c r="Q56" s="26" t="s">
        <v>238</v>
      </c>
      <c r="R56" s="25"/>
      <c r="S56" s="25" t="str">
        <f>"770,0"</f>
        <v>770,0</v>
      </c>
      <c r="T56" s="25" t="str">
        <f>"440,9790"</f>
        <v>440,9790</v>
      </c>
      <c r="U56" s="24"/>
    </row>
    <row r="57" spans="1:21">
      <c r="A57" s="25" t="s">
        <v>268</v>
      </c>
      <c r="B57" s="24" t="s">
        <v>239</v>
      </c>
      <c r="C57" s="24" t="s">
        <v>240</v>
      </c>
      <c r="D57" s="24" t="s">
        <v>241</v>
      </c>
      <c r="E57" s="24" t="s">
        <v>1182</v>
      </c>
      <c r="F57" s="24" t="s">
        <v>1113</v>
      </c>
      <c r="G57" s="26" t="s">
        <v>173</v>
      </c>
      <c r="H57" s="26" t="s">
        <v>225</v>
      </c>
      <c r="I57" s="27" t="s">
        <v>162</v>
      </c>
      <c r="J57" s="25"/>
      <c r="K57" s="26" t="s">
        <v>87</v>
      </c>
      <c r="L57" s="26" t="s">
        <v>182</v>
      </c>
      <c r="M57" s="26" t="s">
        <v>137</v>
      </c>
      <c r="N57" s="25"/>
      <c r="O57" s="26" t="s">
        <v>38</v>
      </c>
      <c r="P57" s="26" t="s">
        <v>57</v>
      </c>
      <c r="Q57" s="27" t="s">
        <v>242</v>
      </c>
      <c r="R57" s="25"/>
      <c r="S57" s="25" t="str">
        <f>"707,5"</f>
        <v>707,5</v>
      </c>
      <c r="T57" s="25" t="str">
        <f>"409,0058"</f>
        <v>409,0058</v>
      </c>
      <c r="U57" s="24" t="s">
        <v>139</v>
      </c>
    </row>
    <row r="58" spans="1:21">
      <c r="A58" s="12" t="s">
        <v>270</v>
      </c>
      <c r="B58" s="11" t="s">
        <v>243</v>
      </c>
      <c r="C58" s="11" t="s">
        <v>244</v>
      </c>
      <c r="D58" s="11" t="s">
        <v>245</v>
      </c>
      <c r="E58" s="11" t="s">
        <v>1182</v>
      </c>
      <c r="F58" s="11" t="s">
        <v>1127</v>
      </c>
      <c r="G58" s="22" t="s">
        <v>36</v>
      </c>
      <c r="H58" s="22" t="s">
        <v>36</v>
      </c>
      <c r="I58" s="23" t="s">
        <v>36</v>
      </c>
      <c r="J58" s="12"/>
      <c r="K58" s="23" t="s">
        <v>14</v>
      </c>
      <c r="L58" s="23" t="s">
        <v>20</v>
      </c>
      <c r="M58" s="22" t="s">
        <v>15</v>
      </c>
      <c r="N58" s="12"/>
      <c r="O58" s="23" t="s">
        <v>41</v>
      </c>
      <c r="P58" s="23" t="s">
        <v>38</v>
      </c>
      <c r="Q58" s="22" t="s">
        <v>57</v>
      </c>
      <c r="R58" s="12"/>
      <c r="S58" s="12" t="str">
        <f>"695,0"</f>
        <v>695,0</v>
      </c>
      <c r="T58" s="12" t="str">
        <f>"403,1695"</f>
        <v>403,1695</v>
      </c>
      <c r="U58" s="11"/>
    </row>
    <row r="59" spans="1:21">
      <c r="B59" s="5" t="s">
        <v>75</v>
      </c>
    </row>
    <row r="60" spans="1:21" ht="16">
      <c r="A60" s="46" t="s">
        <v>50</v>
      </c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</row>
    <row r="61" spans="1:21">
      <c r="A61" s="8" t="s">
        <v>74</v>
      </c>
      <c r="B61" s="7" t="s">
        <v>246</v>
      </c>
      <c r="C61" s="7" t="s">
        <v>247</v>
      </c>
      <c r="D61" s="7" t="s">
        <v>248</v>
      </c>
      <c r="E61" s="7" t="s">
        <v>1182</v>
      </c>
      <c r="F61" s="7" t="s">
        <v>1128</v>
      </c>
      <c r="G61" s="18" t="s">
        <v>27</v>
      </c>
      <c r="H61" s="18" t="s">
        <v>28</v>
      </c>
      <c r="I61" s="18" t="s">
        <v>30</v>
      </c>
      <c r="J61" s="8"/>
      <c r="K61" s="18" t="s">
        <v>82</v>
      </c>
      <c r="L61" s="19" t="s">
        <v>16</v>
      </c>
      <c r="M61" s="8"/>
      <c r="N61" s="8"/>
      <c r="O61" s="18" t="s">
        <v>208</v>
      </c>
      <c r="P61" s="18" t="s">
        <v>30</v>
      </c>
      <c r="Q61" s="19" t="s">
        <v>202</v>
      </c>
      <c r="R61" s="8"/>
      <c r="S61" s="8" t="str">
        <f>"850,0"</f>
        <v>850,0</v>
      </c>
      <c r="T61" s="8" t="str">
        <f>"472,2600"</f>
        <v>472,2600</v>
      </c>
      <c r="U61" s="7"/>
    </row>
    <row r="62" spans="1:21">
      <c r="B62" s="5" t="s">
        <v>75</v>
      </c>
    </row>
    <row r="65" spans="2:6" ht="18">
      <c r="B65" s="13" t="s">
        <v>60</v>
      </c>
      <c r="C65" s="13"/>
    </row>
    <row r="66" spans="2:6" ht="16">
      <c r="B66" s="14" t="s">
        <v>249</v>
      </c>
      <c r="C66" s="14"/>
    </row>
    <row r="67" spans="2:6" ht="14">
      <c r="B67" s="15"/>
      <c r="C67" s="16" t="s">
        <v>71</v>
      </c>
    </row>
    <row r="68" spans="2:6" ht="14">
      <c r="B68" s="17" t="s">
        <v>63</v>
      </c>
      <c r="C68" s="17" t="s">
        <v>64</v>
      </c>
      <c r="D68" s="17" t="s">
        <v>1012</v>
      </c>
      <c r="E68" s="17" t="s">
        <v>65</v>
      </c>
      <c r="F68" s="17" t="s">
        <v>66</v>
      </c>
    </row>
    <row r="69" spans="2:6">
      <c r="B69" s="5" t="s">
        <v>142</v>
      </c>
      <c r="C69" s="5" t="s">
        <v>71</v>
      </c>
      <c r="D69" s="6" t="s">
        <v>252</v>
      </c>
      <c r="E69" s="6" t="s">
        <v>253</v>
      </c>
      <c r="F69" s="6" t="s">
        <v>254</v>
      </c>
    </row>
    <row r="70" spans="2:6">
      <c r="B70" s="5" t="s">
        <v>132</v>
      </c>
      <c r="C70" s="5" t="s">
        <v>71</v>
      </c>
      <c r="D70" s="6" t="s">
        <v>255</v>
      </c>
      <c r="E70" s="6" t="s">
        <v>256</v>
      </c>
      <c r="F70" s="6" t="s">
        <v>257</v>
      </c>
    </row>
    <row r="71" spans="2:6">
      <c r="B71" s="5" t="s">
        <v>91</v>
      </c>
      <c r="C71" s="5" t="s">
        <v>71</v>
      </c>
      <c r="D71" s="6" t="s">
        <v>258</v>
      </c>
      <c r="E71" s="6" t="s">
        <v>238</v>
      </c>
      <c r="F71" s="6" t="s">
        <v>259</v>
      </c>
    </row>
    <row r="73" spans="2:6" ht="16">
      <c r="B73" s="14" t="s">
        <v>61</v>
      </c>
      <c r="C73" s="14"/>
    </row>
    <row r="74" spans="2:6" ht="14">
      <c r="B74" s="15"/>
      <c r="C74" s="16" t="s">
        <v>71</v>
      </c>
    </row>
    <row r="75" spans="2:6" ht="14">
      <c r="B75" s="17" t="s">
        <v>63</v>
      </c>
      <c r="C75" s="17" t="s">
        <v>64</v>
      </c>
      <c r="D75" s="17" t="s">
        <v>1012</v>
      </c>
      <c r="E75" s="17" t="s">
        <v>65</v>
      </c>
      <c r="F75" s="17" t="s">
        <v>66</v>
      </c>
    </row>
    <row r="76" spans="2:6">
      <c r="B76" s="5" t="s">
        <v>197</v>
      </c>
      <c r="C76" s="5" t="s">
        <v>71</v>
      </c>
      <c r="D76" s="6" t="s">
        <v>73</v>
      </c>
      <c r="E76" s="6" t="s">
        <v>262</v>
      </c>
      <c r="F76" s="6" t="s">
        <v>263</v>
      </c>
    </row>
    <row r="77" spans="2:6">
      <c r="B77" s="5" t="s">
        <v>246</v>
      </c>
      <c r="C77" s="5" t="s">
        <v>71</v>
      </c>
      <c r="D77" s="6" t="s">
        <v>68</v>
      </c>
      <c r="E77" s="6" t="s">
        <v>69</v>
      </c>
      <c r="F77" s="6" t="s">
        <v>264</v>
      </c>
    </row>
    <row r="78" spans="2:6">
      <c r="B78" s="5" t="s">
        <v>204</v>
      </c>
      <c r="C78" s="5" t="s">
        <v>71</v>
      </c>
      <c r="D78" s="6" t="s">
        <v>73</v>
      </c>
      <c r="E78" s="6" t="s">
        <v>265</v>
      </c>
      <c r="F78" s="6" t="s">
        <v>266</v>
      </c>
    </row>
    <row r="79" spans="2:6">
      <c r="B79" s="5" t="s">
        <v>75</v>
      </c>
    </row>
  </sheetData>
  <mergeCells count="26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  <mergeCell ref="A5:R5"/>
    <mergeCell ref="B3:B4"/>
    <mergeCell ref="A60:R60"/>
    <mergeCell ref="A8:R8"/>
    <mergeCell ref="A11:R11"/>
    <mergeCell ref="A16:R16"/>
    <mergeCell ref="A20:R20"/>
    <mergeCell ref="A23:R23"/>
    <mergeCell ref="A27:R27"/>
    <mergeCell ref="A30:R30"/>
    <mergeCell ref="A35:R35"/>
    <mergeCell ref="A43:R43"/>
    <mergeCell ref="A49:R49"/>
    <mergeCell ref="A54:R5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8"/>
  <sheetViews>
    <sheetView workbookViewId="0">
      <selection activeCell="E18" sqref="E18"/>
    </sheetView>
  </sheetViews>
  <sheetFormatPr baseColWidth="10" defaultColWidth="9.1640625" defaultRowHeight="13"/>
  <cols>
    <col min="1" max="1" width="7.5" style="5" bestFit="1" customWidth="1"/>
    <col min="2" max="2" width="18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30.1640625" style="5" bestFit="1" customWidth="1"/>
    <col min="7" max="10" width="5.5" style="6" customWidth="1"/>
    <col min="11" max="11" width="11" style="6" customWidth="1"/>
    <col min="12" max="12" width="10.6640625" style="6" customWidth="1"/>
    <col min="13" max="13" width="25.83203125" style="5" bestFit="1" customWidth="1"/>
    <col min="14" max="16384" width="9.1640625" style="3"/>
  </cols>
  <sheetData>
    <row r="1" spans="1:13" s="2" customFormat="1" ht="29" customHeight="1">
      <c r="A1" s="57" t="s">
        <v>1058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76</v>
      </c>
      <c r="B3" s="47" t="s">
        <v>0</v>
      </c>
      <c r="C3" s="67" t="s">
        <v>1180</v>
      </c>
      <c r="D3" s="67" t="s">
        <v>5</v>
      </c>
      <c r="E3" s="51" t="s">
        <v>1181</v>
      </c>
      <c r="F3" s="51" t="s">
        <v>6</v>
      </c>
      <c r="G3" s="51" t="s">
        <v>1111</v>
      </c>
      <c r="H3" s="51"/>
      <c r="I3" s="51"/>
      <c r="J3" s="51"/>
      <c r="K3" s="51" t="s">
        <v>474</v>
      </c>
      <c r="L3" s="51" t="s">
        <v>3</v>
      </c>
      <c r="M3" s="53" t="s">
        <v>2</v>
      </c>
    </row>
    <row r="4" spans="1:13" s="1" customFormat="1" ht="21" customHeight="1" thickBot="1">
      <c r="A4" s="66"/>
      <c r="B4" s="48"/>
      <c r="C4" s="52"/>
      <c r="D4" s="52"/>
      <c r="E4" s="52"/>
      <c r="F4" s="52"/>
      <c r="G4" s="4">
        <v>1</v>
      </c>
      <c r="H4" s="4">
        <v>2</v>
      </c>
      <c r="I4" s="4">
        <v>3</v>
      </c>
      <c r="J4" s="4" t="s">
        <v>4</v>
      </c>
      <c r="K4" s="52"/>
      <c r="L4" s="52"/>
      <c r="M4" s="54"/>
    </row>
    <row r="5" spans="1:13" ht="16">
      <c r="A5" s="55" t="s">
        <v>141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10" t="s">
        <v>74</v>
      </c>
      <c r="B6" s="9" t="s">
        <v>963</v>
      </c>
      <c r="C6" s="9" t="s">
        <v>1094</v>
      </c>
      <c r="D6" s="9" t="s">
        <v>964</v>
      </c>
      <c r="E6" s="9" t="s">
        <v>1184</v>
      </c>
      <c r="F6" s="9" t="s">
        <v>1113</v>
      </c>
      <c r="G6" s="21" t="s">
        <v>97</v>
      </c>
      <c r="H6" s="21" t="s">
        <v>275</v>
      </c>
      <c r="I6" s="20" t="s">
        <v>129</v>
      </c>
      <c r="J6" s="10"/>
      <c r="K6" s="10" t="str">
        <f>"60,0"</f>
        <v>60,0</v>
      </c>
      <c r="L6" s="10" t="str">
        <f>"39,9510"</f>
        <v>39,9510</v>
      </c>
      <c r="M6" s="9" t="s">
        <v>1108</v>
      </c>
    </row>
    <row r="7" spans="1:13">
      <c r="A7" s="25" t="s">
        <v>74</v>
      </c>
      <c r="B7" s="24" t="s">
        <v>484</v>
      </c>
      <c r="C7" s="24" t="s">
        <v>485</v>
      </c>
      <c r="D7" s="24" t="s">
        <v>486</v>
      </c>
      <c r="E7" s="24" t="s">
        <v>1182</v>
      </c>
      <c r="F7" s="24" t="s">
        <v>1151</v>
      </c>
      <c r="G7" s="26" t="s">
        <v>282</v>
      </c>
      <c r="H7" s="26" t="s">
        <v>150</v>
      </c>
      <c r="I7" s="26" t="s">
        <v>341</v>
      </c>
      <c r="J7" s="25"/>
      <c r="K7" s="25" t="str">
        <f>"77,5"</f>
        <v>77,5</v>
      </c>
      <c r="L7" s="25" t="str">
        <f>"51,0686"</f>
        <v>51,0686</v>
      </c>
      <c r="M7" s="24"/>
    </row>
    <row r="8" spans="1:13">
      <c r="A8" s="12" t="s">
        <v>267</v>
      </c>
      <c r="B8" s="11" t="s">
        <v>965</v>
      </c>
      <c r="C8" s="11" t="s">
        <v>966</v>
      </c>
      <c r="D8" s="11" t="s">
        <v>967</v>
      </c>
      <c r="E8" s="11" t="s">
        <v>1182</v>
      </c>
      <c r="F8" s="11" t="s">
        <v>1176</v>
      </c>
      <c r="G8" s="23" t="s">
        <v>98</v>
      </c>
      <c r="H8" s="23" t="s">
        <v>275</v>
      </c>
      <c r="I8" s="22" t="s">
        <v>130</v>
      </c>
      <c r="J8" s="12"/>
      <c r="K8" s="12" t="str">
        <f>"60,0"</f>
        <v>60,0</v>
      </c>
      <c r="L8" s="12" t="str">
        <f>"39,4680"</f>
        <v>39,4680</v>
      </c>
      <c r="M8" s="11"/>
    </row>
    <row r="9" spans="1:13">
      <c r="B9" s="5" t="s">
        <v>75</v>
      </c>
    </row>
    <row r="10" spans="1:13" ht="16">
      <c r="A10" s="46" t="s">
        <v>10</v>
      </c>
      <c r="B10" s="46"/>
      <c r="C10" s="46"/>
      <c r="D10" s="46"/>
      <c r="E10" s="46"/>
      <c r="F10" s="46"/>
      <c r="G10" s="46"/>
      <c r="H10" s="46"/>
      <c r="I10" s="46"/>
      <c r="J10" s="46"/>
    </row>
    <row r="11" spans="1:13">
      <c r="A11" s="8" t="s">
        <v>74</v>
      </c>
      <c r="B11" s="7" t="s">
        <v>968</v>
      </c>
      <c r="C11" s="7" t="s">
        <v>969</v>
      </c>
      <c r="D11" s="7" t="s">
        <v>389</v>
      </c>
      <c r="E11" s="7" t="s">
        <v>1182</v>
      </c>
      <c r="F11" s="7" t="s">
        <v>1116</v>
      </c>
      <c r="G11" s="18" t="s">
        <v>149</v>
      </c>
      <c r="H11" s="18" t="s">
        <v>341</v>
      </c>
      <c r="I11" s="19" t="s">
        <v>105</v>
      </c>
      <c r="J11" s="8"/>
      <c r="K11" s="8" t="str">
        <f>"77,5"</f>
        <v>77,5</v>
      </c>
      <c r="L11" s="8" t="str">
        <f>"47,4765"</f>
        <v>47,4765</v>
      </c>
      <c r="M11" s="7"/>
    </row>
    <row r="12" spans="1:13">
      <c r="B12" s="5" t="s">
        <v>75</v>
      </c>
    </row>
    <row r="13" spans="1:13" ht="16">
      <c r="A13" s="46" t="s">
        <v>23</v>
      </c>
      <c r="B13" s="46"/>
      <c r="C13" s="46"/>
      <c r="D13" s="46"/>
      <c r="E13" s="46"/>
      <c r="F13" s="46"/>
      <c r="G13" s="46"/>
      <c r="H13" s="46"/>
      <c r="I13" s="46"/>
      <c r="J13" s="46"/>
    </row>
    <row r="14" spans="1:13">
      <c r="A14" s="8" t="s">
        <v>74</v>
      </c>
      <c r="B14" s="7" t="s">
        <v>970</v>
      </c>
      <c r="C14" s="7" t="s">
        <v>1095</v>
      </c>
      <c r="D14" s="7" t="s">
        <v>971</v>
      </c>
      <c r="E14" s="7" t="s">
        <v>1187</v>
      </c>
      <c r="F14" s="7" t="s">
        <v>1113</v>
      </c>
      <c r="G14" s="18" t="s">
        <v>277</v>
      </c>
      <c r="H14" s="18" t="s">
        <v>96</v>
      </c>
      <c r="I14" s="19" t="s">
        <v>310</v>
      </c>
      <c r="J14" s="8"/>
      <c r="K14" s="8" t="str">
        <f>"50,0"</f>
        <v>50,0</v>
      </c>
      <c r="L14" s="8" t="str">
        <f>"34,0667"</f>
        <v>34,0667</v>
      </c>
      <c r="M14" s="7" t="s">
        <v>1109</v>
      </c>
    </row>
    <row r="15" spans="1:13">
      <c r="B15" s="5" t="s">
        <v>75</v>
      </c>
    </row>
    <row r="16" spans="1:13" ht="16">
      <c r="A16" s="46" t="s">
        <v>42</v>
      </c>
      <c r="B16" s="46"/>
      <c r="C16" s="46"/>
      <c r="D16" s="46"/>
      <c r="E16" s="46"/>
      <c r="F16" s="46"/>
      <c r="G16" s="46"/>
      <c r="H16" s="46"/>
      <c r="I16" s="46"/>
      <c r="J16" s="46"/>
    </row>
    <row r="17" spans="1:13">
      <c r="A17" s="8" t="s">
        <v>74</v>
      </c>
      <c r="B17" s="7" t="s">
        <v>972</v>
      </c>
      <c r="C17" s="7" t="s">
        <v>1096</v>
      </c>
      <c r="D17" s="7" t="s">
        <v>973</v>
      </c>
      <c r="E17" s="7" t="s">
        <v>1183</v>
      </c>
      <c r="F17" s="7" t="s">
        <v>1113</v>
      </c>
      <c r="G17" s="18" t="s">
        <v>277</v>
      </c>
      <c r="H17" s="18" t="s">
        <v>315</v>
      </c>
      <c r="I17" s="18" t="s">
        <v>96</v>
      </c>
      <c r="J17" s="8"/>
      <c r="K17" s="8" t="str">
        <f>"50,0"</f>
        <v>50,0</v>
      </c>
      <c r="L17" s="8" t="str">
        <f>"28,8947"</f>
        <v>28,8947</v>
      </c>
      <c r="M17" s="7" t="s">
        <v>1110</v>
      </c>
    </row>
    <row r="18" spans="1:13">
      <c r="B18" s="5" t="s">
        <v>75</v>
      </c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10:J10"/>
    <mergeCell ref="A13:J13"/>
    <mergeCell ref="A16:J16"/>
    <mergeCell ref="B3:B4"/>
    <mergeCell ref="K3:K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U10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24.164062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0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18.33203125" style="5" bestFit="1" customWidth="1"/>
    <col min="22" max="16384" width="9.1640625" style="3"/>
  </cols>
  <sheetData>
    <row r="1" spans="1:21" s="2" customFormat="1" ht="29" customHeight="1">
      <c r="A1" s="57" t="s">
        <v>1041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60"/>
    </row>
    <row r="2" spans="1:21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4"/>
    </row>
    <row r="3" spans="1:21" s="1" customFormat="1" ht="12.75" customHeight="1">
      <c r="A3" s="65" t="s">
        <v>76</v>
      </c>
      <c r="B3" s="47" t="s">
        <v>0</v>
      </c>
      <c r="C3" s="67" t="s">
        <v>1180</v>
      </c>
      <c r="D3" s="67" t="s">
        <v>5</v>
      </c>
      <c r="E3" s="51" t="s">
        <v>1181</v>
      </c>
      <c r="F3" s="51" t="s">
        <v>6</v>
      </c>
      <c r="G3" s="51" t="s">
        <v>7</v>
      </c>
      <c r="H3" s="51"/>
      <c r="I3" s="51"/>
      <c r="J3" s="51"/>
      <c r="K3" s="51" t="s">
        <v>8</v>
      </c>
      <c r="L3" s="51"/>
      <c r="M3" s="51"/>
      <c r="N3" s="51"/>
      <c r="O3" s="51" t="s">
        <v>9</v>
      </c>
      <c r="P3" s="51"/>
      <c r="Q3" s="51"/>
      <c r="R3" s="51"/>
      <c r="S3" s="51" t="s">
        <v>1</v>
      </c>
      <c r="T3" s="51" t="s">
        <v>3</v>
      </c>
      <c r="U3" s="53" t="s">
        <v>2</v>
      </c>
    </row>
    <row r="4" spans="1:21" s="1" customFormat="1" ht="21" customHeight="1" thickBot="1">
      <c r="A4" s="66"/>
      <c r="B4" s="48"/>
      <c r="C4" s="52"/>
      <c r="D4" s="52"/>
      <c r="E4" s="52"/>
      <c r="F4" s="52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2"/>
      <c r="T4" s="52"/>
      <c r="U4" s="54"/>
    </row>
    <row r="5" spans="1:21" ht="16">
      <c r="A5" s="55" t="s">
        <v>23</v>
      </c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21">
      <c r="A6" s="8" t="s">
        <v>74</v>
      </c>
      <c r="B6" s="7" t="s">
        <v>77</v>
      </c>
      <c r="C6" s="7" t="s">
        <v>78</v>
      </c>
      <c r="D6" s="7" t="s">
        <v>79</v>
      </c>
      <c r="E6" s="7" t="s">
        <v>1182</v>
      </c>
      <c r="F6" s="7" t="s">
        <v>1131</v>
      </c>
      <c r="G6" s="18" t="s">
        <v>22</v>
      </c>
      <c r="H6" s="18" t="s">
        <v>80</v>
      </c>
      <c r="I6" s="19" t="s">
        <v>40</v>
      </c>
      <c r="J6" s="8"/>
      <c r="K6" s="18" t="s">
        <v>17</v>
      </c>
      <c r="L6" s="18" t="s">
        <v>81</v>
      </c>
      <c r="M6" s="18" t="s">
        <v>18</v>
      </c>
      <c r="N6" s="8"/>
      <c r="O6" s="18" t="s">
        <v>82</v>
      </c>
      <c r="P6" s="18" t="s">
        <v>16</v>
      </c>
      <c r="Q6" s="18" t="s">
        <v>29</v>
      </c>
      <c r="R6" s="8"/>
      <c r="S6" s="8" t="str">
        <f>"590,0"</f>
        <v>590,0</v>
      </c>
      <c r="T6" s="8" t="str">
        <f>"360,5490"</f>
        <v>360,5490</v>
      </c>
      <c r="U6" s="7" t="s">
        <v>1059</v>
      </c>
    </row>
    <row r="7" spans="1:21">
      <c r="B7" s="5" t="s">
        <v>75</v>
      </c>
    </row>
    <row r="8" spans="1:21" ht="16">
      <c r="A8" s="46" t="s">
        <v>32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</row>
    <row r="9" spans="1:21">
      <c r="A9" s="8" t="s">
        <v>74</v>
      </c>
      <c r="B9" s="7" t="s">
        <v>83</v>
      </c>
      <c r="C9" s="7" t="s">
        <v>84</v>
      </c>
      <c r="D9" s="7" t="s">
        <v>85</v>
      </c>
      <c r="E9" s="7" t="s">
        <v>1182</v>
      </c>
      <c r="F9" s="7" t="s">
        <v>1113</v>
      </c>
      <c r="G9" s="18" t="s">
        <v>49</v>
      </c>
      <c r="H9" s="18" t="s">
        <v>40</v>
      </c>
      <c r="I9" s="19" t="s">
        <v>86</v>
      </c>
      <c r="J9" s="8"/>
      <c r="K9" s="19" t="s">
        <v>17</v>
      </c>
      <c r="L9" s="18" t="s">
        <v>18</v>
      </c>
      <c r="M9" s="19" t="s">
        <v>87</v>
      </c>
      <c r="N9" s="8"/>
      <c r="O9" s="18" t="s">
        <v>40</v>
      </c>
      <c r="P9" s="18" t="s">
        <v>41</v>
      </c>
      <c r="Q9" s="18" t="s">
        <v>88</v>
      </c>
      <c r="R9" s="8"/>
      <c r="S9" s="8" t="str">
        <f>"650,0"</f>
        <v>650,0</v>
      </c>
      <c r="T9" s="8" t="str">
        <f>"384,2800"</f>
        <v>384,2800</v>
      </c>
      <c r="U9" s="7" t="s">
        <v>306</v>
      </c>
    </row>
    <row r="10" spans="1:21">
      <c r="B10" s="5" t="s">
        <v>75</v>
      </c>
    </row>
  </sheetData>
  <mergeCells count="15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8:R8"/>
    <mergeCell ref="B3:B4"/>
    <mergeCell ref="S3:S4"/>
    <mergeCell ref="T3:T4"/>
    <mergeCell ref="U3:U4"/>
    <mergeCell ref="A5:R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Лист5">
    <pageSetUpPr fitToPage="1"/>
  </sheetPr>
  <dimension ref="A1:U20"/>
  <sheetViews>
    <sheetView workbookViewId="0">
      <selection activeCell="E20" sqref="E20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6.5" style="5" bestFit="1" customWidth="1"/>
    <col min="4" max="4" width="21.5" style="5" bestFit="1" customWidth="1"/>
    <col min="5" max="5" width="10.5" style="5" bestFit="1" customWidth="1"/>
    <col min="6" max="6" width="25.1640625" style="5" customWidth="1"/>
    <col min="7" max="9" width="5.5" style="6" customWidth="1"/>
    <col min="10" max="10" width="4.83203125" style="6" customWidth="1"/>
    <col min="11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4.83203125" style="5" bestFit="1" customWidth="1"/>
    <col min="22" max="16384" width="9.1640625" style="3"/>
  </cols>
  <sheetData>
    <row r="1" spans="1:21" s="2" customFormat="1" ht="29" customHeight="1">
      <c r="A1" s="57" t="s">
        <v>1042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60"/>
    </row>
    <row r="2" spans="1:21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4"/>
    </row>
    <row r="3" spans="1:21" s="1" customFormat="1" ht="12.75" customHeight="1">
      <c r="A3" s="65" t="s">
        <v>76</v>
      </c>
      <c r="B3" s="47" t="s">
        <v>0</v>
      </c>
      <c r="C3" s="67" t="s">
        <v>1180</v>
      </c>
      <c r="D3" s="67" t="s">
        <v>5</v>
      </c>
      <c r="E3" s="51" t="s">
        <v>1181</v>
      </c>
      <c r="F3" s="51" t="s">
        <v>6</v>
      </c>
      <c r="G3" s="51" t="s">
        <v>7</v>
      </c>
      <c r="H3" s="51"/>
      <c r="I3" s="51"/>
      <c r="J3" s="51"/>
      <c r="K3" s="51" t="s">
        <v>8</v>
      </c>
      <c r="L3" s="51"/>
      <c r="M3" s="51"/>
      <c r="N3" s="51"/>
      <c r="O3" s="51" t="s">
        <v>9</v>
      </c>
      <c r="P3" s="51"/>
      <c r="Q3" s="51"/>
      <c r="R3" s="51"/>
      <c r="S3" s="51" t="s">
        <v>1</v>
      </c>
      <c r="T3" s="51" t="s">
        <v>3</v>
      </c>
      <c r="U3" s="53" t="s">
        <v>2</v>
      </c>
    </row>
    <row r="4" spans="1:21" s="1" customFormat="1" ht="21" customHeight="1" thickBot="1">
      <c r="A4" s="66"/>
      <c r="B4" s="48"/>
      <c r="C4" s="52"/>
      <c r="D4" s="52"/>
      <c r="E4" s="52"/>
      <c r="F4" s="52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2"/>
      <c r="T4" s="52"/>
      <c r="U4" s="54"/>
    </row>
    <row r="5" spans="1:21" ht="16">
      <c r="A5" s="55" t="s">
        <v>10</v>
      </c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21">
      <c r="A6" s="8" t="s">
        <v>74</v>
      </c>
      <c r="B6" s="7" t="s">
        <v>11</v>
      </c>
      <c r="C6" s="7" t="s">
        <v>12</v>
      </c>
      <c r="D6" s="7" t="s">
        <v>13</v>
      </c>
      <c r="E6" s="7" t="s">
        <v>1185</v>
      </c>
      <c r="F6" s="7" t="s">
        <v>1113</v>
      </c>
      <c r="G6" s="18" t="s">
        <v>14</v>
      </c>
      <c r="H6" s="18" t="s">
        <v>15</v>
      </c>
      <c r="I6" s="18" t="s">
        <v>16</v>
      </c>
      <c r="J6" s="8"/>
      <c r="K6" s="18" t="s">
        <v>17</v>
      </c>
      <c r="L6" s="18" t="s">
        <v>18</v>
      </c>
      <c r="M6" s="19" t="s">
        <v>19</v>
      </c>
      <c r="N6" s="8"/>
      <c r="O6" s="18" t="s">
        <v>20</v>
      </c>
      <c r="P6" s="18" t="s">
        <v>21</v>
      </c>
      <c r="Q6" s="18" t="s">
        <v>22</v>
      </c>
      <c r="R6" s="8"/>
      <c r="S6" s="8" t="str">
        <f>"575,0"</f>
        <v>575,0</v>
      </c>
      <c r="T6" s="8" t="str">
        <f>"368,7475"</f>
        <v>368,7475</v>
      </c>
      <c r="U6" s="7"/>
    </row>
    <row r="7" spans="1:21">
      <c r="B7" s="5" t="s">
        <v>75</v>
      </c>
    </row>
    <row r="8" spans="1:21" ht="16">
      <c r="A8" s="46" t="s">
        <v>23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</row>
    <row r="9" spans="1:21">
      <c r="A9" s="8" t="s">
        <v>74</v>
      </c>
      <c r="B9" s="7" t="s">
        <v>24</v>
      </c>
      <c r="C9" s="7" t="s">
        <v>25</v>
      </c>
      <c r="D9" s="7" t="s">
        <v>26</v>
      </c>
      <c r="E9" s="7" t="s">
        <v>1182</v>
      </c>
      <c r="F9" s="7" t="s">
        <v>1177</v>
      </c>
      <c r="G9" s="19" t="s">
        <v>27</v>
      </c>
      <c r="H9" s="19" t="s">
        <v>27</v>
      </c>
      <c r="I9" s="18" t="s">
        <v>28</v>
      </c>
      <c r="J9" s="8"/>
      <c r="K9" s="18" t="s">
        <v>16</v>
      </c>
      <c r="L9" s="19" t="s">
        <v>29</v>
      </c>
      <c r="M9" s="19" t="s">
        <v>29</v>
      </c>
      <c r="N9" s="8"/>
      <c r="O9" s="18" t="s">
        <v>28</v>
      </c>
      <c r="P9" s="18" t="s">
        <v>30</v>
      </c>
      <c r="Q9" s="19" t="s">
        <v>31</v>
      </c>
      <c r="R9" s="8"/>
      <c r="S9" s="8" t="str">
        <f>"850,0"</f>
        <v>850,0</v>
      </c>
      <c r="T9" s="8" t="str">
        <f>"518,5850"</f>
        <v>518,5850</v>
      </c>
      <c r="U9" s="7" t="s">
        <v>1065</v>
      </c>
    </row>
    <row r="10" spans="1:21">
      <c r="B10" s="5" t="s">
        <v>75</v>
      </c>
    </row>
    <row r="11" spans="1:21" ht="16">
      <c r="A11" s="46" t="s">
        <v>32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</row>
    <row r="12" spans="1:21">
      <c r="A12" s="8" t="s">
        <v>74</v>
      </c>
      <c r="B12" s="7" t="s">
        <v>33</v>
      </c>
      <c r="C12" s="7" t="s">
        <v>34</v>
      </c>
      <c r="D12" s="7" t="s">
        <v>35</v>
      </c>
      <c r="E12" s="7" t="s">
        <v>1182</v>
      </c>
      <c r="F12" s="7" t="s">
        <v>1132</v>
      </c>
      <c r="G12" s="18" t="s">
        <v>36</v>
      </c>
      <c r="H12" s="18" t="s">
        <v>37</v>
      </c>
      <c r="I12" s="18" t="s">
        <v>38</v>
      </c>
      <c r="J12" s="8"/>
      <c r="K12" s="18" t="s">
        <v>17</v>
      </c>
      <c r="L12" s="18" t="s">
        <v>18</v>
      </c>
      <c r="M12" s="18" t="s">
        <v>39</v>
      </c>
      <c r="N12" s="8"/>
      <c r="O12" s="18" t="s">
        <v>40</v>
      </c>
      <c r="P12" s="18" t="s">
        <v>36</v>
      </c>
      <c r="Q12" s="19" t="s">
        <v>41</v>
      </c>
      <c r="R12" s="8"/>
      <c r="S12" s="8" t="str">
        <f>"665,0"</f>
        <v>665,0</v>
      </c>
      <c r="T12" s="8" t="str">
        <f>"392,2170"</f>
        <v>392,2170</v>
      </c>
      <c r="U12" s="7" t="s">
        <v>1060</v>
      </c>
    </row>
    <row r="13" spans="1:21">
      <c r="B13" s="5" t="s">
        <v>75</v>
      </c>
    </row>
    <row r="14" spans="1:21" ht="16">
      <c r="A14" s="46" t="s">
        <v>42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</row>
    <row r="15" spans="1:21">
      <c r="A15" s="8" t="s">
        <v>74</v>
      </c>
      <c r="B15" s="7" t="s">
        <v>43</v>
      </c>
      <c r="C15" s="7" t="s">
        <v>44</v>
      </c>
      <c r="D15" s="7" t="s">
        <v>45</v>
      </c>
      <c r="E15" s="7" t="s">
        <v>1182</v>
      </c>
      <c r="F15" s="7" t="s">
        <v>1113</v>
      </c>
      <c r="G15" s="18" t="s">
        <v>46</v>
      </c>
      <c r="H15" s="19" t="s">
        <v>47</v>
      </c>
      <c r="I15" s="19" t="s">
        <v>48</v>
      </c>
      <c r="J15" s="8"/>
      <c r="K15" s="18" t="s">
        <v>49</v>
      </c>
      <c r="L15" s="18" t="s">
        <v>40</v>
      </c>
      <c r="M15" s="18" t="s">
        <v>36</v>
      </c>
      <c r="N15" s="8"/>
      <c r="O15" s="18" t="s">
        <v>46</v>
      </c>
      <c r="P15" s="19" t="s">
        <v>47</v>
      </c>
      <c r="Q15" s="8"/>
      <c r="R15" s="8"/>
      <c r="S15" s="8" t="str">
        <f>"960,0"</f>
        <v>960,0</v>
      </c>
      <c r="T15" s="8" t="str">
        <f>"537,0240"</f>
        <v>537,0240</v>
      </c>
      <c r="U15" s="7"/>
    </row>
    <row r="16" spans="1:21">
      <c r="B16" s="5" t="s">
        <v>75</v>
      </c>
    </row>
    <row r="17" spans="1:21" ht="16">
      <c r="A17" s="46" t="s">
        <v>50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</row>
    <row r="18" spans="1:21">
      <c r="A18" s="10" t="s">
        <v>74</v>
      </c>
      <c r="B18" s="9" t="s">
        <v>51</v>
      </c>
      <c r="C18" s="9" t="s">
        <v>52</v>
      </c>
      <c r="D18" s="9" t="s">
        <v>53</v>
      </c>
      <c r="E18" s="9" t="s">
        <v>1188</v>
      </c>
      <c r="F18" s="9" t="s">
        <v>1133</v>
      </c>
      <c r="G18" s="20" t="s">
        <v>46</v>
      </c>
      <c r="H18" s="21" t="s">
        <v>47</v>
      </c>
      <c r="I18" s="20" t="s">
        <v>54</v>
      </c>
      <c r="J18" s="10"/>
      <c r="K18" s="21" t="s">
        <v>55</v>
      </c>
      <c r="L18" s="21" t="s">
        <v>56</v>
      </c>
      <c r="M18" s="21" t="s">
        <v>20</v>
      </c>
      <c r="N18" s="20" t="s">
        <v>15</v>
      </c>
      <c r="O18" s="21" t="s">
        <v>57</v>
      </c>
      <c r="P18" s="10"/>
      <c r="Q18" s="10"/>
      <c r="R18" s="10"/>
      <c r="S18" s="10" t="str">
        <f>"850,0"</f>
        <v>850,0</v>
      </c>
      <c r="T18" s="10" t="str">
        <f>"469,9650"</f>
        <v>469,9650</v>
      </c>
      <c r="U18" s="9" t="s">
        <v>516</v>
      </c>
    </row>
    <row r="19" spans="1:21">
      <c r="A19" s="12" t="s">
        <v>74</v>
      </c>
      <c r="B19" s="11" t="s">
        <v>51</v>
      </c>
      <c r="C19" s="11" t="s">
        <v>58</v>
      </c>
      <c r="D19" s="11" t="s">
        <v>53</v>
      </c>
      <c r="E19" s="11" t="s">
        <v>1182</v>
      </c>
      <c r="F19" s="11" t="s">
        <v>1133</v>
      </c>
      <c r="G19" s="22" t="s">
        <v>46</v>
      </c>
      <c r="H19" s="23" t="s">
        <v>47</v>
      </c>
      <c r="I19" s="22" t="s">
        <v>54</v>
      </c>
      <c r="J19" s="12"/>
      <c r="K19" s="23" t="s">
        <v>55</v>
      </c>
      <c r="L19" s="23" t="s">
        <v>56</v>
      </c>
      <c r="M19" s="23" t="s">
        <v>20</v>
      </c>
      <c r="N19" s="22" t="s">
        <v>15</v>
      </c>
      <c r="O19" s="23" t="s">
        <v>57</v>
      </c>
      <c r="P19" s="22" t="s">
        <v>59</v>
      </c>
      <c r="Q19" s="12"/>
      <c r="R19" s="12"/>
      <c r="S19" s="12" t="str">
        <f>"850,0"</f>
        <v>850,0</v>
      </c>
      <c r="T19" s="12" t="str">
        <f>"469,9650"</f>
        <v>469,9650</v>
      </c>
      <c r="U19" s="11" t="s">
        <v>516</v>
      </c>
    </row>
    <row r="20" spans="1:21">
      <c r="B20" s="5" t="s">
        <v>75</v>
      </c>
    </row>
  </sheetData>
  <mergeCells count="18"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B3:B4"/>
    <mergeCell ref="A5:R5"/>
    <mergeCell ref="A8:R8"/>
    <mergeCell ref="A11:R11"/>
    <mergeCell ref="A14:R14"/>
    <mergeCell ref="A17:R17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Q33"/>
  <sheetViews>
    <sheetView workbookViewId="0">
      <selection activeCell="E32" sqref="E32"/>
    </sheetView>
  </sheetViews>
  <sheetFormatPr baseColWidth="10" defaultColWidth="9.1640625" defaultRowHeight="13"/>
  <cols>
    <col min="1" max="1" width="7.5" style="5" bestFit="1" customWidth="1"/>
    <col min="2" max="2" width="19.8320312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26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28" bestFit="1" customWidth="1"/>
    <col min="16" max="16" width="8.5" style="6" bestFit="1" customWidth="1"/>
    <col min="17" max="17" width="28.1640625" style="5" bestFit="1" customWidth="1"/>
    <col min="18" max="16384" width="9.1640625" style="3"/>
  </cols>
  <sheetData>
    <row r="1" spans="1:17" s="2" customFormat="1" ht="29" customHeight="1">
      <c r="A1" s="57" t="s">
        <v>1043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60"/>
    </row>
    <row r="2" spans="1:17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4"/>
    </row>
    <row r="3" spans="1:17" s="1" customFormat="1" ht="12.75" customHeight="1">
      <c r="A3" s="65" t="s">
        <v>76</v>
      </c>
      <c r="B3" s="47" t="s">
        <v>0</v>
      </c>
      <c r="C3" s="67" t="s">
        <v>1180</v>
      </c>
      <c r="D3" s="67" t="s">
        <v>5</v>
      </c>
      <c r="E3" s="51" t="s">
        <v>1181</v>
      </c>
      <c r="F3" s="51" t="s">
        <v>6</v>
      </c>
      <c r="G3" s="51" t="s">
        <v>8</v>
      </c>
      <c r="H3" s="51"/>
      <c r="I3" s="51"/>
      <c r="J3" s="51"/>
      <c r="K3" s="51" t="s">
        <v>9</v>
      </c>
      <c r="L3" s="51"/>
      <c r="M3" s="51"/>
      <c r="N3" s="51"/>
      <c r="O3" s="49" t="s">
        <v>1</v>
      </c>
      <c r="P3" s="51" t="s">
        <v>3</v>
      </c>
      <c r="Q3" s="53" t="s">
        <v>2</v>
      </c>
    </row>
    <row r="4" spans="1:17" s="1" customFormat="1" ht="21" customHeight="1" thickBot="1">
      <c r="A4" s="66"/>
      <c r="B4" s="48"/>
      <c r="C4" s="52"/>
      <c r="D4" s="52"/>
      <c r="E4" s="52"/>
      <c r="F4" s="52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0"/>
      <c r="P4" s="52"/>
      <c r="Q4" s="54"/>
    </row>
    <row r="5" spans="1:17" ht="16">
      <c r="A5" s="55" t="s">
        <v>101</v>
      </c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7">
      <c r="A6" s="8" t="s">
        <v>74</v>
      </c>
      <c r="B6" s="7" t="s">
        <v>938</v>
      </c>
      <c r="C6" s="7" t="s">
        <v>939</v>
      </c>
      <c r="D6" s="7" t="s">
        <v>940</v>
      </c>
      <c r="E6" s="7" t="s">
        <v>1189</v>
      </c>
      <c r="F6" s="7" t="s">
        <v>1134</v>
      </c>
      <c r="G6" s="18" t="s">
        <v>314</v>
      </c>
      <c r="H6" s="18" t="s">
        <v>315</v>
      </c>
      <c r="I6" s="19" t="s">
        <v>290</v>
      </c>
      <c r="J6" s="8"/>
      <c r="K6" s="18" t="s">
        <v>150</v>
      </c>
      <c r="L6" s="18" t="s">
        <v>278</v>
      </c>
      <c r="M6" s="19" t="s">
        <v>117</v>
      </c>
      <c r="N6" s="8"/>
      <c r="O6" s="29" t="str">
        <f>"120,0"</f>
        <v>120,0</v>
      </c>
      <c r="P6" s="8" t="str">
        <f>"146,5440"</f>
        <v>146,5440</v>
      </c>
      <c r="Q6" s="7" t="s">
        <v>1061</v>
      </c>
    </row>
    <row r="7" spans="1:17">
      <c r="B7" s="5" t="s">
        <v>75</v>
      </c>
    </row>
    <row r="8" spans="1:17" ht="16">
      <c r="A8" s="46" t="s">
        <v>112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spans="1:17">
      <c r="A9" s="8" t="s">
        <v>74</v>
      </c>
      <c r="B9" s="7" t="s">
        <v>941</v>
      </c>
      <c r="C9" s="7" t="s">
        <v>942</v>
      </c>
      <c r="D9" s="7" t="s">
        <v>309</v>
      </c>
      <c r="E9" s="7" t="s">
        <v>1182</v>
      </c>
      <c r="F9" s="7" t="s">
        <v>1113</v>
      </c>
      <c r="G9" s="18" t="s">
        <v>108</v>
      </c>
      <c r="H9" s="18" t="s">
        <v>96</v>
      </c>
      <c r="I9" s="19" t="s">
        <v>97</v>
      </c>
      <c r="J9" s="8"/>
      <c r="K9" s="18" t="s">
        <v>110</v>
      </c>
      <c r="L9" s="18" t="s">
        <v>111</v>
      </c>
      <c r="M9" s="19" t="s">
        <v>145</v>
      </c>
      <c r="N9" s="8"/>
      <c r="O9" s="29" t="str">
        <f>"170,0"</f>
        <v>170,0</v>
      </c>
      <c r="P9" s="8" t="str">
        <f>"192,7800"</f>
        <v>192,7800</v>
      </c>
      <c r="Q9" s="7" t="s">
        <v>1062</v>
      </c>
    </row>
    <row r="10" spans="1:17">
      <c r="B10" s="5" t="s">
        <v>75</v>
      </c>
    </row>
    <row r="11" spans="1:17" ht="16">
      <c r="A11" s="46" t="s">
        <v>131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</row>
    <row r="12" spans="1:17">
      <c r="A12" s="8" t="s">
        <v>74</v>
      </c>
      <c r="B12" s="7" t="s">
        <v>943</v>
      </c>
      <c r="C12" s="7" t="s">
        <v>944</v>
      </c>
      <c r="D12" s="7" t="s">
        <v>945</v>
      </c>
      <c r="E12" s="7" t="s">
        <v>1182</v>
      </c>
      <c r="F12" s="7" t="s">
        <v>1113</v>
      </c>
      <c r="G12" s="18" t="s">
        <v>310</v>
      </c>
      <c r="H12" s="19" t="s">
        <v>129</v>
      </c>
      <c r="I12" s="19" t="s">
        <v>129</v>
      </c>
      <c r="J12" s="8"/>
      <c r="K12" s="18" t="s">
        <v>286</v>
      </c>
      <c r="L12" s="18" t="s">
        <v>94</v>
      </c>
      <c r="M12" s="19" t="s">
        <v>109</v>
      </c>
      <c r="N12" s="8"/>
      <c r="O12" s="29" t="str">
        <f>"162,5"</f>
        <v>162,5</v>
      </c>
      <c r="P12" s="8" t="str">
        <f>"167,0988"</f>
        <v>167,0988</v>
      </c>
      <c r="Q12" s="7" t="s">
        <v>306</v>
      </c>
    </row>
    <row r="13" spans="1:17">
      <c r="B13" s="5" t="s">
        <v>75</v>
      </c>
    </row>
    <row r="14" spans="1:17" ht="16">
      <c r="A14" s="46" t="s">
        <v>158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</row>
    <row r="15" spans="1:17">
      <c r="A15" s="8" t="s">
        <v>74</v>
      </c>
      <c r="B15" s="7" t="s">
        <v>946</v>
      </c>
      <c r="C15" s="7" t="s">
        <v>947</v>
      </c>
      <c r="D15" s="7" t="s">
        <v>948</v>
      </c>
      <c r="E15" s="7" t="s">
        <v>1182</v>
      </c>
      <c r="F15" s="7" t="s">
        <v>1113</v>
      </c>
      <c r="G15" s="18" t="s">
        <v>315</v>
      </c>
      <c r="H15" s="19" t="s">
        <v>124</v>
      </c>
      <c r="I15" s="19" t="s">
        <v>124</v>
      </c>
      <c r="J15" s="8"/>
      <c r="K15" s="18" t="s">
        <v>110</v>
      </c>
      <c r="L15" s="18" t="s">
        <v>125</v>
      </c>
      <c r="M15" s="18" t="s">
        <v>163</v>
      </c>
      <c r="N15" s="8"/>
      <c r="O15" s="29" t="str">
        <f>"175,0"</f>
        <v>175,0</v>
      </c>
      <c r="P15" s="8" t="str">
        <f>"167,9300"</f>
        <v>167,9300</v>
      </c>
      <c r="Q15" s="7" t="s">
        <v>1063</v>
      </c>
    </row>
    <row r="16" spans="1:17">
      <c r="B16" s="5" t="s">
        <v>75</v>
      </c>
    </row>
    <row r="17" spans="1:17" ht="16">
      <c r="A17" s="46" t="s">
        <v>131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</row>
    <row r="18" spans="1:17">
      <c r="A18" s="8" t="s">
        <v>74</v>
      </c>
      <c r="B18" s="7" t="s">
        <v>949</v>
      </c>
      <c r="C18" s="7" t="s">
        <v>950</v>
      </c>
      <c r="D18" s="7" t="s">
        <v>951</v>
      </c>
      <c r="E18" s="7" t="s">
        <v>1188</v>
      </c>
      <c r="F18" s="7" t="s">
        <v>1113</v>
      </c>
      <c r="G18" s="18" t="s">
        <v>282</v>
      </c>
      <c r="H18" s="18" t="s">
        <v>150</v>
      </c>
      <c r="I18" s="18" t="s">
        <v>278</v>
      </c>
      <c r="J18" s="8"/>
      <c r="K18" s="18" t="s">
        <v>163</v>
      </c>
      <c r="L18" s="19" t="s">
        <v>169</v>
      </c>
      <c r="M18" s="19" t="s">
        <v>169</v>
      </c>
      <c r="N18" s="8"/>
      <c r="O18" s="29" t="str">
        <f>"215,0"</f>
        <v>215,0</v>
      </c>
      <c r="P18" s="8" t="str">
        <f>"175,3325"</f>
        <v>175,3325</v>
      </c>
      <c r="Q18" s="7" t="s">
        <v>1064</v>
      </c>
    </row>
    <row r="19" spans="1:17">
      <c r="B19" s="5" t="s">
        <v>75</v>
      </c>
    </row>
    <row r="20" spans="1:17" ht="16">
      <c r="A20" s="46" t="s">
        <v>158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</row>
    <row r="21" spans="1:17">
      <c r="A21" s="10" t="s">
        <v>74</v>
      </c>
      <c r="B21" s="9" t="s">
        <v>952</v>
      </c>
      <c r="C21" s="9" t="s">
        <v>953</v>
      </c>
      <c r="D21" s="9" t="s">
        <v>954</v>
      </c>
      <c r="E21" s="9" t="s">
        <v>1189</v>
      </c>
      <c r="F21" s="9" t="s">
        <v>1134</v>
      </c>
      <c r="G21" s="21" t="s">
        <v>275</v>
      </c>
      <c r="H21" s="20" t="s">
        <v>130</v>
      </c>
      <c r="I21" s="20" t="s">
        <v>130</v>
      </c>
      <c r="J21" s="10"/>
      <c r="K21" s="21" t="s">
        <v>99</v>
      </c>
      <c r="L21" s="21" t="s">
        <v>17</v>
      </c>
      <c r="M21" s="20" t="s">
        <v>81</v>
      </c>
      <c r="N21" s="10"/>
      <c r="O21" s="30" t="str">
        <f>"200,0"</f>
        <v>200,0</v>
      </c>
      <c r="P21" s="10" t="str">
        <f>"150,8800"</f>
        <v>150,8800</v>
      </c>
      <c r="Q21" s="9" t="s">
        <v>1061</v>
      </c>
    </row>
    <row r="22" spans="1:17">
      <c r="A22" s="12" t="s">
        <v>74</v>
      </c>
      <c r="B22" s="11" t="s">
        <v>955</v>
      </c>
      <c r="C22" s="11" t="s">
        <v>956</v>
      </c>
      <c r="D22" s="11" t="s">
        <v>957</v>
      </c>
      <c r="E22" s="11" t="s">
        <v>1185</v>
      </c>
      <c r="F22" s="11" t="s">
        <v>1113</v>
      </c>
      <c r="G22" s="23" t="s">
        <v>109</v>
      </c>
      <c r="H22" s="23" t="s">
        <v>319</v>
      </c>
      <c r="I22" s="23" t="s">
        <v>145</v>
      </c>
      <c r="J22" s="12"/>
      <c r="K22" s="23" t="s">
        <v>154</v>
      </c>
      <c r="L22" s="23" t="s">
        <v>137</v>
      </c>
      <c r="M22" s="23" t="s">
        <v>359</v>
      </c>
      <c r="N22" s="12"/>
      <c r="O22" s="32" t="str">
        <f>"305,0"</f>
        <v>305,0</v>
      </c>
      <c r="P22" s="12" t="str">
        <f>"222,6500"</f>
        <v>222,6500</v>
      </c>
      <c r="Q22" s="11" t="s">
        <v>1061</v>
      </c>
    </row>
    <row r="23" spans="1:17">
      <c r="B23" s="5" t="s">
        <v>75</v>
      </c>
    </row>
    <row r="24" spans="1:17" ht="16">
      <c r="A24" s="46" t="s">
        <v>10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</row>
    <row r="25" spans="1:17">
      <c r="A25" s="8" t="s">
        <v>74</v>
      </c>
      <c r="B25" s="7" t="s">
        <v>395</v>
      </c>
      <c r="C25" s="7" t="s">
        <v>396</v>
      </c>
      <c r="D25" s="7" t="s">
        <v>397</v>
      </c>
      <c r="E25" s="7" t="s">
        <v>1183</v>
      </c>
      <c r="F25" s="7" t="s">
        <v>1113</v>
      </c>
      <c r="G25" s="18" t="s">
        <v>81</v>
      </c>
      <c r="H25" s="18" t="s">
        <v>18</v>
      </c>
      <c r="I25" s="18" t="s">
        <v>19</v>
      </c>
      <c r="J25" s="8"/>
      <c r="K25" s="18" t="s">
        <v>22</v>
      </c>
      <c r="L25" s="18" t="s">
        <v>178</v>
      </c>
      <c r="M25" s="18" t="s">
        <v>40</v>
      </c>
      <c r="N25" s="8"/>
      <c r="O25" s="29" t="str">
        <f>"385,0"</f>
        <v>385,0</v>
      </c>
      <c r="P25" s="8" t="str">
        <f>"247,7094"</f>
        <v>247,7094</v>
      </c>
      <c r="Q25" s="7"/>
    </row>
    <row r="26" spans="1:17">
      <c r="B26" s="5" t="s">
        <v>75</v>
      </c>
    </row>
    <row r="27" spans="1:17" ht="16">
      <c r="A27" s="46" t="s">
        <v>23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</row>
    <row r="28" spans="1:17">
      <c r="A28" s="8" t="s">
        <v>74</v>
      </c>
      <c r="B28" s="7" t="s">
        <v>412</v>
      </c>
      <c r="C28" s="7" t="s">
        <v>413</v>
      </c>
      <c r="D28" s="7" t="s">
        <v>408</v>
      </c>
      <c r="E28" s="7" t="s">
        <v>1182</v>
      </c>
      <c r="F28" s="7" t="s">
        <v>1113</v>
      </c>
      <c r="G28" s="18" t="s">
        <v>17</v>
      </c>
      <c r="H28" s="18" t="s">
        <v>81</v>
      </c>
      <c r="I28" s="19" t="s">
        <v>135</v>
      </c>
      <c r="J28" s="8"/>
      <c r="K28" s="18" t="s">
        <v>16</v>
      </c>
      <c r="L28" s="18" t="s">
        <v>80</v>
      </c>
      <c r="M28" s="19" t="s">
        <v>178</v>
      </c>
      <c r="N28" s="8"/>
      <c r="O28" s="29" t="str">
        <f>"367,5"</f>
        <v>367,5</v>
      </c>
      <c r="P28" s="8" t="str">
        <f>"224,2853"</f>
        <v>224,2853</v>
      </c>
      <c r="Q28" s="7"/>
    </row>
    <row r="29" spans="1:17">
      <c r="B29" s="5" t="s">
        <v>75</v>
      </c>
    </row>
    <row r="30" spans="1:17" ht="16">
      <c r="A30" s="46" t="s">
        <v>32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1" spans="1:17">
      <c r="A31" s="10" t="s">
        <v>74</v>
      </c>
      <c r="B31" s="9" t="s">
        <v>958</v>
      </c>
      <c r="C31" s="9" t="s">
        <v>959</v>
      </c>
      <c r="D31" s="9" t="s">
        <v>960</v>
      </c>
      <c r="E31" s="9" t="s">
        <v>1188</v>
      </c>
      <c r="F31" s="9" t="s">
        <v>1113</v>
      </c>
      <c r="G31" s="21" t="s">
        <v>17</v>
      </c>
      <c r="H31" s="21" t="s">
        <v>81</v>
      </c>
      <c r="I31" s="21" t="s">
        <v>18</v>
      </c>
      <c r="J31" s="10"/>
      <c r="K31" s="21" t="s">
        <v>49</v>
      </c>
      <c r="L31" s="21" t="s">
        <v>40</v>
      </c>
      <c r="M31" s="20" t="s">
        <v>36</v>
      </c>
      <c r="N31" s="10"/>
      <c r="O31" s="30" t="str">
        <f>"380,0"</f>
        <v>380,0</v>
      </c>
      <c r="P31" s="10" t="str">
        <f>"226,1000"</f>
        <v>226,1000</v>
      </c>
      <c r="Q31" s="9"/>
    </row>
    <row r="32" spans="1:17">
      <c r="A32" s="12" t="s">
        <v>269</v>
      </c>
      <c r="B32" s="11" t="s">
        <v>426</v>
      </c>
      <c r="C32" s="11" t="s">
        <v>427</v>
      </c>
      <c r="D32" s="11" t="s">
        <v>428</v>
      </c>
      <c r="E32" s="11" t="s">
        <v>1182</v>
      </c>
      <c r="F32" s="11" t="s">
        <v>1115</v>
      </c>
      <c r="G32" s="22" t="s">
        <v>212</v>
      </c>
      <c r="H32" s="22" t="s">
        <v>212</v>
      </c>
      <c r="I32" s="22" t="s">
        <v>212</v>
      </c>
      <c r="J32" s="12"/>
      <c r="K32" s="22"/>
      <c r="L32" s="12"/>
      <c r="M32" s="12"/>
      <c r="N32" s="12"/>
      <c r="O32" s="32">
        <v>0</v>
      </c>
      <c r="P32" s="12" t="str">
        <f>"0,0000"</f>
        <v>0,0000</v>
      </c>
      <c r="Q32" s="11" t="s">
        <v>1017</v>
      </c>
    </row>
    <row r="33" spans="2:2">
      <c r="B33" s="5" t="s">
        <v>75</v>
      </c>
    </row>
  </sheetData>
  <mergeCells count="21"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27:N27"/>
    <mergeCell ref="A30:N30"/>
    <mergeCell ref="B3:B4"/>
    <mergeCell ref="A8:N8"/>
    <mergeCell ref="A11:N11"/>
    <mergeCell ref="A14:N14"/>
    <mergeCell ref="A17:N17"/>
    <mergeCell ref="A20:N20"/>
    <mergeCell ref="A24:N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13"/>
  <sheetViews>
    <sheetView workbookViewId="0">
      <selection activeCell="E13" sqref="E13"/>
    </sheetView>
  </sheetViews>
  <sheetFormatPr baseColWidth="10" defaultColWidth="9.1640625" defaultRowHeight="13"/>
  <cols>
    <col min="1" max="1" width="7.5" style="5" bestFit="1" customWidth="1"/>
    <col min="2" max="2" width="21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4.83203125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24.5" style="5" customWidth="1"/>
    <col min="18" max="16384" width="9.1640625" style="3"/>
  </cols>
  <sheetData>
    <row r="1" spans="1:17" s="2" customFormat="1" ht="29" customHeight="1">
      <c r="A1" s="57" t="s">
        <v>1044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60"/>
    </row>
    <row r="2" spans="1:17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4"/>
    </row>
    <row r="3" spans="1:17" s="1" customFormat="1" ht="12.75" customHeight="1">
      <c r="A3" s="65" t="s">
        <v>76</v>
      </c>
      <c r="B3" s="47" t="s">
        <v>0</v>
      </c>
      <c r="C3" s="67" t="s">
        <v>1180</v>
      </c>
      <c r="D3" s="67" t="s">
        <v>5</v>
      </c>
      <c r="E3" s="51" t="s">
        <v>1181</v>
      </c>
      <c r="F3" s="51" t="s">
        <v>6</v>
      </c>
      <c r="G3" s="51" t="s">
        <v>8</v>
      </c>
      <c r="H3" s="51"/>
      <c r="I3" s="51"/>
      <c r="J3" s="51"/>
      <c r="K3" s="51" t="s">
        <v>9</v>
      </c>
      <c r="L3" s="51"/>
      <c r="M3" s="51"/>
      <c r="N3" s="51"/>
      <c r="O3" s="51" t="s">
        <v>1</v>
      </c>
      <c r="P3" s="51" t="s">
        <v>3</v>
      </c>
      <c r="Q3" s="53" t="s">
        <v>2</v>
      </c>
    </row>
    <row r="4" spans="1:17" s="1" customFormat="1" ht="21" customHeight="1" thickBot="1">
      <c r="A4" s="66"/>
      <c r="B4" s="48"/>
      <c r="C4" s="52"/>
      <c r="D4" s="52"/>
      <c r="E4" s="52"/>
      <c r="F4" s="52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2"/>
      <c r="P4" s="52"/>
      <c r="Q4" s="54"/>
    </row>
    <row r="5" spans="1:17" ht="16">
      <c r="A5" s="55" t="s">
        <v>23</v>
      </c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7">
      <c r="A6" s="10" t="s">
        <v>74</v>
      </c>
      <c r="B6" s="9" t="s">
        <v>197</v>
      </c>
      <c r="C6" s="9" t="s">
        <v>198</v>
      </c>
      <c r="D6" s="9" t="s">
        <v>199</v>
      </c>
      <c r="E6" s="9" t="s">
        <v>1182</v>
      </c>
      <c r="F6" s="9" t="s">
        <v>1113</v>
      </c>
      <c r="G6" s="21" t="s">
        <v>16</v>
      </c>
      <c r="H6" s="21" t="s">
        <v>22</v>
      </c>
      <c r="I6" s="20" t="s">
        <v>49</v>
      </c>
      <c r="J6" s="10"/>
      <c r="K6" s="21" t="s">
        <v>202</v>
      </c>
      <c r="L6" s="21" t="s">
        <v>203</v>
      </c>
      <c r="M6" s="10"/>
      <c r="N6" s="10"/>
      <c r="O6" s="10" t="str">
        <f>"565,0"</f>
        <v>565,0</v>
      </c>
      <c r="P6" s="10" t="str">
        <f>"343,9720"</f>
        <v>343,9720</v>
      </c>
      <c r="Q6" s="9"/>
    </row>
    <row r="7" spans="1:17">
      <c r="A7" s="25" t="s">
        <v>267</v>
      </c>
      <c r="B7" s="24" t="s">
        <v>24</v>
      </c>
      <c r="C7" s="24" t="s">
        <v>25</v>
      </c>
      <c r="D7" s="24" t="s">
        <v>26</v>
      </c>
      <c r="E7" s="24" t="s">
        <v>1182</v>
      </c>
      <c r="F7" s="24" t="s">
        <v>1177</v>
      </c>
      <c r="G7" s="26" t="s">
        <v>16</v>
      </c>
      <c r="H7" s="27" t="s">
        <v>29</v>
      </c>
      <c r="I7" s="27" t="s">
        <v>29</v>
      </c>
      <c r="J7" s="25"/>
      <c r="K7" s="26" t="s">
        <v>28</v>
      </c>
      <c r="L7" s="26" t="s">
        <v>30</v>
      </c>
      <c r="M7" s="27" t="s">
        <v>31</v>
      </c>
      <c r="N7" s="25"/>
      <c r="O7" s="25" t="str">
        <f>"535,0"</f>
        <v>535,0</v>
      </c>
      <c r="P7" s="25" t="str">
        <f>"326,4035"</f>
        <v>326,4035</v>
      </c>
      <c r="Q7" s="24" t="s">
        <v>1065</v>
      </c>
    </row>
    <row r="8" spans="1:17">
      <c r="A8" s="12" t="s">
        <v>268</v>
      </c>
      <c r="B8" s="11" t="s">
        <v>931</v>
      </c>
      <c r="C8" s="11" t="s">
        <v>932</v>
      </c>
      <c r="D8" s="11" t="s">
        <v>731</v>
      </c>
      <c r="E8" s="11" t="s">
        <v>1182</v>
      </c>
      <c r="F8" s="11" t="s">
        <v>1113</v>
      </c>
      <c r="G8" s="23" t="s">
        <v>14</v>
      </c>
      <c r="H8" s="23" t="s">
        <v>56</v>
      </c>
      <c r="I8" s="12"/>
      <c r="J8" s="12"/>
      <c r="K8" s="23" t="s">
        <v>38</v>
      </c>
      <c r="L8" s="23" t="s">
        <v>164</v>
      </c>
      <c r="M8" s="12"/>
      <c r="N8" s="12"/>
      <c r="O8" s="12" t="str">
        <f>"457,5"</f>
        <v>457,5</v>
      </c>
      <c r="P8" s="12" t="str">
        <f>"278,9835"</f>
        <v>278,9835</v>
      </c>
      <c r="Q8" s="11" t="s">
        <v>1066</v>
      </c>
    </row>
    <row r="9" spans="1:17">
      <c r="B9" s="5" t="s">
        <v>75</v>
      </c>
    </row>
    <row r="10" spans="1:17" ht="16">
      <c r="A10" s="46" t="s">
        <v>32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</row>
    <row r="11" spans="1:17">
      <c r="A11" s="10" t="s">
        <v>74</v>
      </c>
      <c r="B11" s="9" t="s">
        <v>933</v>
      </c>
      <c r="C11" s="9" t="s">
        <v>816</v>
      </c>
      <c r="D11" s="9" t="s">
        <v>934</v>
      </c>
      <c r="E11" s="9" t="s">
        <v>1182</v>
      </c>
      <c r="F11" s="9" t="s">
        <v>1135</v>
      </c>
      <c r="G11" s="21" t="s">
        <v>359</v>
      </c>
      <c r="H11" s="21" t="s">
        <v>379</v>
      </c>
      <c r="I11" s="20" t="s">
        <v>21</v>
      </c>
      <c r="J11" s="10"/>
      <c r="K11" s="21" t="s">
        <v>822</v>
      </c>
      <c r="L11" s="21" t="s">
        <v>238</v>
      </c>
      <c r="M11" s="21" t="s">
        <v>200</v>
      </c>
      <c r="N11" s="10"/>
      <c r="O11" s="10" t="str">
        <f>"502,5"</f>
        <v>502,5</v>
      </c>
      <c r="P11" s="10" t="str">
        <f>"296,8267"</f>
        <v>296,8267</v>
      </c>
      <c r="Q11" s="9"/>
    </row>
    <row r="12" spans="1:17">
      <c r="A12" s="12" t="s">
        <v>267</v>
      </c>
      <c r="B12" s="11" t="s">
        <v>935</v>
      </c>
      <c r="C12" s="11" t="s">
        <v>936</v>
      </c>
      <c r="D12" s="11" t="s">
        <v>937</v>
      </c>
      <c r="E12" s="11" t="s">
        <v>1182</v>
      </c>
      <c r="F12" s="11" t="s">
        <v>1113</v>
      </c>
      <c r="G12" s="23" t="s">
        <v>18</v>
      </c>
      <c r="H12" s="22" t="s">
        <v>39</v>
      </c>
      <c r="I12" s="22" t="s">
        <v>154</v>
      </c>
      <c r="J12" s="12"/>
      <c r="K12" s="23" t="s">
        <v>162</v>
      </c>
      <c r="L12" s="22" t="s">
        <v>88</v>
      </c>
      <c r="M12" s="22" t="s">
        <v>88</v>
      </c>
      <c r="N12" s="12"/>
      <c r="O12" s="12" t="str">
        <f>"410,0"</f>
        <v>410,0</v>
      </c>
      <c r="P12" s="12" t="str">
        <f>"243,4990"</f>
        <v>243,4990</v>
      </c>
      <c r="Q12" s="11"/>
    </row>
    <row r="13" spans="1:17">
      <c r="B13" s="5" t="s">
        <v>75</v>
      </c>
    </row>
  </sheetData>
  <mergeCells count="14">
    <mergeCell ref="A1:Q2"/>
    <mergeCell ref="A3:A4"/>
    <mergeCell ref="C3:C4"/>
    <mergeCell ref="D3:D4"/>
    <mergeCell ref="E3:E4"/>
    <mergeCell ref="F3:F4"/>
    <mergeCell ref="G3:J3"/>
    <mergeCell ref="K3:N3"/>
    <mergeCell ref="A10:N10"/>
    <mergeCell ref="B3:B4"/>
    <mergeCell ref="O3:O4"/>
    <mergeCell ref="P3:P4"/>
    <mergeCell ref="Q3:Q4"/>
    <mergeCell ref="A5:N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M132"/>
  <sheetViews>
    <sheetView topLeftCell="A67" workbookViewId="0">
      <selection activeCell="E103" sqref="E103"/>
    </sheetView>
  </sheetViews>
  <sheetFormatPr baseColWidth="10" defaultColWidth="9.1640625" defaultRowHeight="13"/>
  <cols>
    <col min="1" max="1" width="7.5" style="5" bestFit="1" customWidth="1"/>
    <col min="2" max="2" width="22.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22.1640625" style="5" bestFit="1" customWidth="1"/>
    <col min="7" max="9" width="5.5" style="6" customWidth="1"/>
    <col min="10" max="10" width="4.83203125" style="6" customWidth="1"/>
    <col min="11" max="11" width="10.5" style="28" bestFit="1" customWidth="1"/>
    <col min="12" max="12" width="8.5" style="6" bestFit="1" customWidth="1"/>
    <col min="13" max="13" width="29.6640625" style="5" bestFit="1" customWidth="1"/>
    <col min="14" max="16384" width="9.1640625" style="3"/>
  </cols>
  <sheetData>
    <row r="1" spans="1:13" s="2" customFormat="1" ht="29" customHeight="1">
      <c r="A1" s="57" t="s">
        <v>1045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76</v>
      </c>
      <c r="B3" s="47" t="s">
        <v>0</v>
      </c>
      <c r="C3" s="67" t="s">
        <v>1180</v>
      </c>
      <c r="D3" s="67" t="s">
        <v>5</v>
      </c>
      <c r="E3" s="51" t="s">
        <v>1181</v>
      </c>
      <c r="F3" s="51" t="s">
        <v>6</v>
      </c>
      <c r="G3" s="51" t="s">
        <v>8</v>
      </c>
      <c r="H3" s="51"/>
      <c r="I3" s="51"/>
      <c r="J3" s="51"/>
      <c r="K3" s="49" t="s">
        <v>474</v>
      </c>
      <c r="L3" s="51" t="s">
        <v>3</v>
      </c>
      <c r="M3" s="53" t="s">
        <v>2</v>
      </c>
    </row>
    <row r="4" spans="1:13" s="1" customFormat="1" ht="21" customHeight="1" thickBot="1">
      <c r="A4" s="66"/>
      <c r="B4" s="48"/>
      <c r="C4" s="52"/>
      <c r="D4" s="52"/>
      <c r="E4" s="52"/>
      <c r="F4" s="52"/>
      <c r="G4" s="4">
        <v>1</v>
      </c>
      <c r="H4" s="4">
        <v>2</v>
      </c>
      <c r="I4" s="4">
        <v>3</v>
      </c>
      <c r="J4" s="4" t="s">
        <v>4</v>
      </c>
      <c r="K4" s="50"/>
      <c r="L4" s="52"/>
      <c r="M4" s="54"/>
    </row>
    <row r="5" spans="1:13" ht="16">
      <c r="A5" s="55" t="s">
        <v>90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10" t="s">
        <v>74</v>
      </c>
      <c r="B6" s="9" t="s">
        <v>586</v>
      </c>
      <c r="C6" s="9" t="s">
        <v>587</v>
      </c>
      <c r="D6" s="9" t="s">
        <v>588</v>
      </c>
      <c r="E6" s="9" t="s">
        <v>1189</v>
      </c>
      <c r="F6" s="9" t="s">
        <v>1118</v>
      </c>
      <c r="G6" s="21" t="s">
        <v>97</v>
      </c>
      <c r="H6" s="21" t="s">
        <v>310</v>
      </c>
      <c r="I6" s="21" t="s">
        <v>275</v>
      </c>
      <c r="J6" s="10"/>
      <c r="K6" s="30" t="str">
        <f>"60,0"</f>
        <v>60,0</v>
      </c>
      <c r="L6" s="10" t="str">
        <f>"75,9240"</f>
        <v>75,9240</v>
      </c>
      <c r="M6" s="9" t="s">
        <v>1067</v>
      </c>
    </row>
    <row r="7" spans="1:13">
      <c r="A7" s="25" t="s">
        <v>74</v>
      </c>
      <c r="B7" s="24" t="s">
        <v>589</v>
      </c>
      <c r="C7" s="24" t="s">
        <v>590</v>
      </c>
      <c r="D7" s="24" t="s">
        <v>591</v>
      </c>
      <c r="E7" s="24" t="s">
        <v>1185</v>
      </c>
      <c r="F7" s="24" t="s">
        <v>592</v>
      </c>
      <c r="G7" s="26" t="s">
        <v>96</v>
      </c>
      <c r="H7" s="26" t="s">
        <v>97</v>
      </c>
      <c r="I7" s="27" t="s">
        <v>98</v>
      </c>
      <c r="J7" s="25"/>
      <c r="K7" s="31" t="str">
        <f>"52,5"</f>
        <v>52,5</v>
      </c>
      <c r="L7" s="25" t="str">
        <f>"66,5333"</f>
        <v>66,5333</v>
      </c>
      <c r="M7" s="24" t="s">
        <v>1068</v>
      </c>
    </row>
    <row r="8" spans="1:13">
      <c r="A8" s="25" t="s">
        <v>74</v>
      </c>
      <c r="B8" s="24" t="s">
        <v>593</v>
      </c>
      <c r="C8" s="24" t="s">
        <v>594</v>
      </c>
      <c r="D8" s="24" t="s">
        <v>595</v>
      </c>
      <c r="E8" s="24" t="s">
        <v>1182</v>
      </c>
      <c r="F8" s="24" t="s">
        <v>1113</v>
      </c>
      <c r="G8" s="26" t="s">
        <v>108</v>
      </c>
      <c r="H8" s="26" t="s">
        <v>96</v>
      </c>
      <c r="I8" s="27" t="s">
        <v>97</v>
      </c>
      <c r="J8" s="25"/>
      <c r="K8" s="31" t="str">
        <f>"50,0"</f>
        <v>50,0</v>
      </c>
      <c r="L8" s="25" t="str">
        <f>"64,9200"</f>
        <v>64,9200</v>
      </c>
      <c r="M8" s="24" t="s">
        <v>596</v>
      </c>
    </row>
    <row r="9" spans="1:13">
      <c r="A9" s="12" t="s">
        <v>267</v>
      </c>
      <c r="B9" s="11" t="s">
        <v>597</v>
      </c>
      <c r="C9" s="11" t="s">
        <v>598</v>
      </c>
      <c r="D9" s="11" t="s">
        <v>599</v>
      </c>
      <c r="E9" s="11" t="s">
        <v>1182</v>
      </c>
      <c r="F9" s="11" t="s">
        <v>1113</v>
      </c>
      <c r="G9" s="23" t="s">
        <v>108</v>
      </c>
      <c r="H9" s="22" t="s">
        <v>96</v>
      </c>
      <c r="I9" s="22" t="s">
        <v>96</v>
      </c>
      <c r="J9" s="12"/>
      <c r="K9" s="32" t="str">
        <f>"47,5"</f>
        <v>47,5</v>
      </c>
      <c r="L9" s="12" t="str">
        <f>"60,4675"</f>
        <v>60,4675</v>
      </c>
      <c r="M9" s="11" t="s">
        <v>600</v>
      </c>
    </row>
    <row r="10" spans="1:13">
      <c r="B10" s="5" t="s">
        <v>75</v>
      </c>
    </row>
    <row r="11" spans="1:13" ht="16">
      <c r="A11" s="46" t="s">
        <v>101</v>
      </c>
      <c r="B11" s="46"/>
      <c r="C11" s="46"/>
      <c r="D11" s="46"/>
      <c r="E11" s="46"/>
      <c r="F11" s="46"/>
      <c r="G11" s="46"/>
      <c r="H11" s="46"/>
      <c r="I11" s="46"/>
      <c r="J11" s="46"/>
    </row>
    <row r="12" spans="1:13">
      <c r="A12" s="8" t="s">
        <v>74</v>
      </c>
      <c r="B12" s="7" t="s">
        <v>601</v>
      </c>
      <c r="C12" s="7" t="s">
        <v>602</v>
      </c>
      <c r="D12" s="7" t="s">
        <v>603</v>
      </c>
      <c r="E12" s="7" t="s">
        <v>1182</v>
      </c>
      <c r="F12" s="7" t="s">
        <v>1121</v>
      </c>
      <c r="G12" s="18" t="s">
        <v>130</v>
      </c>
      <c r="H12" s="18" t="s">
        <v>149</v>
      </c>
      <c r="I12" s="19" t="s">
        <v>150</v>
      </c>
      <c r="J12" s="8"/>
      <c r="K12" s="29" t="str">
        <f>"72,5"</f>
        <v>72,5</v>
      </c>
      <c r="L12" s="8" t="str">
        <f>"86,2750"</f>
        <v>86,2750</v>
      </c>
      <c r="M12" s="7" t="s">
        <v>1069</v>
      </c>
    </row>
    <row r="13" spans="1:13">
      <c r="B13" s="5" t="s">
        <v>75</v>
      </c>
    </row>
    <row r="14" spans="1:13" ht="16">
      <c r="A14" s="46" t="s">
        <v>112</v>
      </c>
      <c r="B14" s="46"/>
      <c r="C14" s="46"/>
      <c r="D14" s="46"/>
      <c r="E14" s="46"/>
      <c r="F14" s="46"/>
      <c r="G14" s="46"/>
      <c r="H14" s="46"/>
      <c r="I14" s="46"/>
      <c r="J14" s="46"/>
    </row>
    <row r="15" spans="1:13">
      <c r="A15" s="10" t="s">
        <v>74</v>
      </c>
      <c r="B15" s="9" t="s">
        <v>604</v>
      </c>
      <c r="C15" s="9" t="s">
        <v>605</v>
      </c>
      <c r="D15" s="9" t="s">
        <v>606</v>
      </c>
      <c r="E15" s="9" t="s">
        <v>1188</v>
      </c>
      <c r="F15" s="9" t="s">
        <v>1136</v>
      </c>
      <c r="G15" s="21" t="s">
        <v>108</v>
      </c>
      <c r="H15" s="20" t="s">
        <v>97</v>
      </c>
      <c r="I15" s="21" t="s">
        <v>97</v>
      </c>
      <c r="J15" s="10"/>
      <c r="K15" s="30" t="str">
        <f>"52,5"</f>
        <v>52,5</v>
      </c>
      <c r="L15" s="10" t="str">
        <f>"59,1465"</f>
        <v>59,1465</v>
      </c>
      <c r="M15" s="9" t="s">
        <v>728</v>
      </c>
    </row>
    <row r="16" spans="1:13">
      <c r="A16" s="25" t="s">
        <v>74</v>
      </c>
      <c r="B16" s="24" t="s">
        <v>607</v>
      </c>
      <c r="C16" s="24" t="s">
        <v>608</v>
      </c>
      <c r="D16" s="24" t="s">
        <v>609</v>
      </c>
      <c r="E16" s="24" t="s">
        <v>1182</v>
      </c>
      <c r="F16" s="24" t="s">
        <v>1137</v>
      </c>
      <c r="G16" s="26" t="s">
        <v>282</v>
      </c>
      <c r="H16" s="26" t="s">
        <v>149</v>
      </c>
      <c r="I16" s="27" t="s">
        <v>150</v>
      </c>
      <c r="J16" s="25"/>
      <c r="K16" s="31" t="str">
        <f>"72,5"</f>
        <v>72,5</v>
      </c>
      <c r="L16" s="25" t="str">
        <f>"81,4610"</f>
        <v>81,4610</v>
      </c>
      <c r="M16" s="24"/>
    </row>
    <row r="17" spans="1:13">
      <c r="A17" s="25" t="s">
        <v>267</v>
      </c>
      <c r="B17" s="24" t="s">
        <v>610</v>
      </c>
      <c r="C17" s="24" t="s">
        <v>611</v>
      </c>
      <c r="D17" s="24" t="s">
        <v>612</v>
      </c>
      <c r="E17" s="24" t="s">
        <v>1182</v>
      </c>
      <c r="F17" s="24" t="s">
        <v>1113</v>
      </c>
      <c r="G17" s="26" t="s">
        <v>108</v>
      </c>
      <c r="H17" s="26" t="s">
        <v>97</v>
      </c>
      <c r="I17" s="27" t="s">
        <v>310</v>
      </c>
      <c r="J17" s="25"/>
      <c r="K17" s="31" t="str">
        <f>"52,5"</f>
        <v>52,5</v>
      </c>
      <c r="L17" s="25" t="str">
        <f>"59,4563"</f>
        <v>59,4563</v>
      </c>
      <c r="M17" s="24" t="s">
        <v>613</v>
      </c>
    </row>
    <row r="18" spans="1:13">
      <c r="A18" s="12" t="s">
        <v>74</v>
      </c>
      <c r="B18" s="11" t="s">
        <v>614</v>
      </c>
      <c r="C18" s="11" t="s">
        <v>615</v>
      </c>
      <c r="D18" s="11" t="s">
        <v>616</v>
      </c>
      <c r="E18" s="11" t="s">
        <v>1187</v>
      </c>
      <c r="F18" s="11" t="s">
        <v>1118</v>
      </c>
      <c r="G18" s="23" t="s">
        <v>108</v>
      </c>
      <c r="H18" s="23" t="s">
        <v>96</v>
      </c>
      <c r="I18" s="22" t="s">
        <v>97</v>
      </c>
      <c r="J18" s="12"/>
      <c r="K18" s="32" t="str">
        <f>"50,0"</f>
        <v>50,0</v>
      </c>
      <c r="L18" s="12" t="str">
        <f>"68,7189"</f>
        <v>68,7189</v>
      </c>
      <c r="M18" s="11" t="s">
        <v>1070</v>
      </c>
    </row>
    <row r="19" spans="1:13">
      <c r="B19" s="5" t="s">
        <v>75</v>
      </c>
    </row>
    <row r="20" spans="1:13" ht="16">
      <c r="A20" s="46" t="s">
        <v>131</v>
      </c>
      <c r="B20" s="46"/>
      <c r="C20" s="46"/>
      <c r="D20" s="46"/>
      <c r="E20" s="46"/>
      <c r="F20" s="46"/>
      <c r="G20" s="46"/>
      <c r="H20" s="46"/>
      <c r="I20" s="46"/>
      <c r="J20" s="46"/>
    </row>
    <row r="21" spans="1:13">
      <c r="A21" s="8" t="s">
        <v>74</v>
      </c>
      <c r="B21" s="7" t="s">
        <v>617</v>
      </c>
      <c r="C21" s="7" t="s">
        <v>618</v>
      </c>
      <c r="D21" s="7" t="s">
        <v>619</v>
      </c>
      <c r="E21" s="7" t="s">
        <v>1182</v>
      </c>
      <c r="F21" s="7" t="s">
        <v>1138</v>
      </c>
      <c r="G21" s="18" t="s">
        <v>620</v>
      </c>
      <c r="H21" s="18" t="s">
        <v>621</v>
      </c>
      <c r="I21" s="18" t="s">
        <v>315</v>
      </c>
      <c r="J21" s="8"/>
      <c r="K21" s="29" t="str">
        <f>"40,0"</f>
        <v>40,0</v>
      </c>
      <c r="L21" s="8" t="str">
        <f>"42,4520"</f>
        <v>42,4520</v>
      </c>
      <c r="M21" s="7" t="s">
        <v>613</v>
      </c>
    </row>
    <row r="22" spans="1:13">
      <c r="B22" s="5" t="s">
        <v>75</v>
      </c>
    </row>
    <row r="23" spans="1:13" ht="16">
      <c r="A23" s="46" t="s">
        <v>158</v>
      </c>
      <c r="B23" s="46"/>
      <c r="C23" s="46"/>
      <c r="D23" s="46"/>
      <c r="E23" s="46"/>
      <c r="F23" s="46"/>
      <c r="G23" s="46"/>
      <c r="H23" s="46"/>
      <c r="I23" s="46"/>
      <c r="J23" s="46"/>
    </row>
    <row r="24" spans="1:13">
      <c r="A24" s="10" t="s">
        <v>74</v>
      </c>
      <c r="B24" s="9" t="s">
        <v>622</v>
      </c>
      <c r="C24" s="9" t="s">
        <v>623</v>
      </c>
      <c r="D24" s="9" t="s">
        <v>624</v>
      </c>
      <c r="E24" s="9" t="s">
        <v>1182</v>
      </c>
      <c r="F24" s="9" t="s">
        <v>1117</v>
      </c>
      <c r="G24" s="20" t="s">
        <v>117</v>
      </c>
      <c r="H24" s="21" t="s">
        <v>121</v>
      </c>
      <c r="I24" s="21" t="s">
        <v>107</v>
      </c>
      <c r="J24" s="10"/>
      <c r="K24" s="30" t="str">
        <f>"92,5"</f>
        <v>92,5</v>
      </c>
      <c r="L24" s="10" t="str">
        <f>"90,1135"</f>
        <v>90,1135</v>
      </c>
      <c r="M24" s="9" t="s">
        <v>301</v>
      </c>
    </row>
    <row r="25" spans="1:13">
      <c r="A25" s="12" t="s">
        <v>74</v>
      </c>
      <c r="B25" s="11" t="s">
        <v>625</v>
      </c>
      <c r="C25" s="11" t="s">
        <v>626</v>
      </c>
      <c r="D25" s="11" t="s">
        <v>349</v>
      </c>
      <c r="E25" s="11" t="s">
        <v>1186</v>
      </c>
      <c r="F25" s="11" t="s">
        <v>1118</v>
      </c>
      <c r="G25" s="23" t="s">
        <v>124</v>
      </c>
      <c r="H25" s="22" t="s">
        <v>96</v>
      </c>
      <c r="I25" s="23" t="s">
        <v>96</v>
      </c>
      <c r="J25" s="12"/>
      <c r="K25" s="32" t="str">
        <f>"50,0"</f>
        <v>50,0</v>
      </c>
      <c r="L25" s="12" t="str">
        <f>"66,5574"</f>
        <v>66,5574</v>
      </c>
      <c r="M25" s="11" t="s">
        <v>1071</v>
      </c>
    </row>
    <row r="26" spans="1:13">
      <c r="B26" s="5" t="s">
        <v>75</v>
      </c>
    </row>
    <row r="27" spans="1:13" ht="16">
      <c r="A27" s="46" t="s">
        <v>90</v>
      </c>
      <c r="B27" s="46"/>
      <c r="C27" s="46"/>
      <c r="D27" s="46"/>
      <c r="E27" s="46"/>
      <c r="F27" s="46"/>
      <c r="G27" s="46"/>
      <c r="H27" s="46"/>
      <c r="I27" s="46"/>
      <c r="J27" s="46"/>
    </row>
    <row r="28" spans="1:13">
      <c r="A28" s="8" t="s">
        <v>74</v>
      </c>
      <c r="B28" s="7" t="s">
        <v>627</v>
      </c>
      <c r="C28" s="7" t="s">
        <v>628</v>
      </c>
      <c r="D28" s="7" t="s">
        <v>629</v>
      </c>
      <c r="E28" s="7" t="s">
        <v>1189</v>
      </c>
      <c r="F28" s="7" t="s">
        <v>1121</v>
      </c>
      <c r="G28" s="18" t="s">
        <v>315</v>
      </c>
      <c r="H28" s="18" t="s">
        <v>124</v>
      </c>
      <c r="I28" s="19" t="s">
        <v>96</v>
      </c>
      <c r="J28" s="8"/>
      <c r="K28" s="29" t="str">
        <f>"45,0"</f>
        <v>45,0</v>
      </c>
      <c r="L28" s="8" t="str">
        <f>"46,6515"</f>
        <v>46,6515</v>
      </c>
      <c r="M28" s="7" t="s">
        <v>1072</v>
      </c>
    </row>
    <row r="29" spans="1:13">
      <c r="B29" s="5" t="s">
        <v>75</v>
      </c>
    </row>
    <row r="30" spans="1:13" ht="16">
      <c r="A30" s="46" t="s">
        <v>112</v>
      </c>
      <c r="B30" s="46"/>
      <c r="C30" s="46"/>
      <c r="D30" s="46"/>
      <c r="E30" s="46"/>
      <c r="F30" s="46"/>
      <c r="G30" s="46"/>
      <c r="H30" s="46"/>
      <c r="I30" s="46"/>
      <c r="J30" s="46"/>
    </row>
    <row r="31" spans="1:13">
      <c r="A31" s="10" t="s">
        <v>74</v>
      </c>
      <c r="B31" s="9" t="s">
        <v>630</v>
      </c>
      <c r="C31" s="9" t="s">
        <v>631</v>
      </c>
      <c r="D31" s="9" t="s">
        <v>606</v>
      </c>
      <c r="E31" s="9" t="s">
        <v>1189</v>
      </c>
      <c r="F31" s="9" t="s">
        <v>1139</v>
      </c>
      <c r="G31" s="21" t="s">
        <v>105</v>
      </c>
      <c r="H31" s="20" t="s">
        <v>106</v>
      </c>
      <c r="I31" s="20" t="s">
        <v>106</v>
      </c>
      <c r="J31" s="10"/>
      <c r="K31" s="30" t="str">
        <f>"82,5"</f>
        <v>82,5</v>
      </c>
      <c r="L31" s="10" t="str">
        <f>"71,2387"</f>
        <v>71,2387</v>
      </c>
      <c r="M31" s="9" t="s">
        <v>1073</v>
      </c>
    </row>
    <row r="32" spans="1:13">
      <c r="A32" s="25" t="s">
        <v>267</v>
      </c>
      <c r="B32" s="24" t="s">
        <v>632</v>
      </c>
      <c r="C32" s="24" t="s">
        <v>633</v>
      </c>
      <c r="D32" s="24" t="s">
        <v>634</v>
      </c>
      <c r="E32" s="24" t="s">
        <v>1189</v>
      </c>
      <c r="F32" s="24" t="s">
        <v>1140</v>
      </c>
      <c r="G32" s="26" t="s">
        <v>150</v>
      </c>
      <c r="H32" s="27" t="s">
        <v>278</v>
      </c>
      <c r="I32" s="27" t="s">
        <v>278</v>
      </c>
      <c r="J32" s="25"/>
      <c r="K32" s="31" t="str">
        <f>"75,0"</f>
        <v>75,0</v>
      </c>
      <c r="L32" s="25" t="str">
        <f>"67,3425"</f>
        <v>67,3425</v>
      </c>
      <c r="M32" s="24" t="s">
        <v>1074</v>
      </c>
    </row>
    <row r="33" spans="1:13">
      <c r="A33" s="12" t="s">
        <v>269</v>
      </c>
      <c r="B33" s="11" t="s">
        <v>635</v>
      </c>
      <c r="C33" s="11" t="s">
        <v>636</v>
      </c>
      <c r="D33" s="11" t="s">
        <v>637</v>
      </c>
      <c r="E33" s="11" t="s">
        <v>1182</v>
      </c>
      <c r="F33" s="11" t="s">
        <v>1113</v>
      </c>
      <c r="G33" s="22" t="s">
        <v>117</v>
      </c>
      <c r="H33" s="22" t="s">
        <v>106</v>
      </c>
      <c r="I33" s="22" t="s">
        <v>106</v>
      </c>
      <c r="J33" s="12"/>
      <c r="K33" s="32">
        <v>0</v>
      </c>
      <c r="L33" s="12" t="str">
        <f>"0,0000"</f>
        <v>0,0000</v>
      </c>
      <c r="M33" s="11"/>
    </row>
    <row r="34" spans="1:13">
      <c r="B34" s="5" t="s">
        <v>75</v>
      </c>
    </row>
    <row r="35" spans="1:13" ht="16">
      <c r="A35" s="46" t="s">
        <v>131</v>
      </c>
      <c r="B35" s="46"/>
      <c r="C35" s="46"/>
      <c r="D35" s="46"/>
      <c r="E35" s="46"/>
      <c r="F35" s="46"/>
      <c r="G35" s="46"/>
      <c r="H35" s="46"/>
      <c r="I35" s="46"/>
      <c r="J35" s="46"/>
    </row>
    <row r="36" spans="1:13">
      <c r="A36" s="10" t="s">
        <v>74</v>
      </c>
      <c r="B36" s="9" t="s">
        <v>638</v>
      </c>
      <c r="C36" s="9" t="s">
        <v>639</v>
      </c>
      <c r="D36" s="9" t="s">
        <v>640</v>
      </c>
      <c r="E36" s="9" t="s">
        <v>1189</v>
      </c>
      <c r="F36" s="9" t="s">
        <v>1118</v>
      </c>
      <c r="G36" s="21" t="s">
        <v>278</v>
      </c>
      <c r="H36" s="21" t="s">
        <v>117</v>
      </c>
      <c r="I36" s="20" t="s">
        <v>121</v>
      </c>
      <c r="J36" s="10"/>
      <c r="K36" s="30" t="str">
        <f>"85,0"</f>
        <v>85,0</v>
      </c>
      <c r="L36" s="10" t="str">
        <f>"66,9885"</f>
        <v>66,9885</v>
      </c>
      <c r="M36" s="9" t="s">
        <v>1071</v>
      </c>
    </row>
    <row r="37" spans="1:13">
      <c r="A37" s="25" t="s">
        <v>74</v>
      </c>
      <c r="B37" s="24" t="s">
        <v>641</v>
      </c>
      <c r="C37" s="24" t="s">
        <v>642</v>
      </c>
      <c r="D37" s="24" t="s">
        <v>452</v>
      </c>
      <c r="E37" s="24" t="s">
        <v>1182</v>
      </c>
      <c r="F37" s="24" t="s">
        <v>1113</v>
      </c>
      <c r="G37" s="27" t="s">
        <v>95</v>
      </c>
      <c r="H37" s="26" t="s">
        <v>116</v>
      </c>
      <c r="I37" s="26" t="s">
        <v>110</v>
      </c>
      <c r="J37" s="25"/>
      <c r="K37" s="31" t="str">
        <f>"115,0"</f>
        <v>115,0</v>
      </c>
      <c r="L37" s="25" t="str">
        <f>"91,1030"</f>
        <v>91,1030</v>
      </c>
      <c r="M37" s="24" t="s">
        <v>1075</v>
      </c>
    </row>
    <row r="38" spans="1:13">
      <c r="A38" s="12" t="s">
        <v>267</v>
      </c>
      <c r="B38" s="11" t="s">
        <v>643</v>
      </c>
      <c r="C38" s="11" t="s">
        <v>644</v>
      </c>
      <c r="D38" s="11" t="s">
        <v>645</v>
      </c>
      <c r="E38" s="11" t="s">
        <v>1182</v>
      </c>
      <c r="F38" s="11" t="s">
        <v>1113</v>
      </c>
      <c r="G38" s="23" t="s">
        <v>123</v>
      </c>
      <c r="H38" s="22" t="s">
        <v>95</v>
      </c>
      <c r="I38" s="23" t="s">
        <v>95</v>
      </c>
      <c r="J38" s="12"/>
      <c r="K38" s="32" t="str">
        <f>"107,5"</f>
        <v>107,5</v>
      </c>
      <c r="L38" s="12" t="str">
        <f>"83,7855"</f>
        <v>83,7855</v>
      </c>
      <c r="M38" s="11" t="s">
        <v>646</v>
      </c>
    </row>
    <row r="39" spans="1:13">
      <c r="B39" s="5" t="s">
        <v>75</v>
      </c>
    </row>
    <row r="40" spans="1:13" ht="16">
      <c r="A40" s="46" t="s">
        <v>158</v>
      </c>
      <c r="B40" s="46"/>
      <c r="C40" s="46"/>
      <c r="D40" s="46"/>
      <c r="E40" s="46"/>
      <c r="F40" s="46"/>
      <c r="G40" s="46"/>
      <c r="H40" s="46"/>
      <c r="I40" s="46"/>
      <c r="J40" s="46"/>
    </row>
    <row r="41" spans="1:13">
      <c r="A41" s="10" t="s">
        <v>74</v>
      </c>
      <c r="B41" s="9" t="s">
        <v>647</v>
      </c>
      <c r="C41" s="9" t="s">
        <v>648</v>
      </c>
      <c r="D41" s="9" t="s">
        <v>649</v>
      </c>
      <c r="E41" s="9" t="s">
        <v>1189</v>
      </c>
      <c r="F41" s="9" t="s">
        <v>1118</v>
      </c>
      <c r="G41" s="21" t="s">
        <v>282</v>
      </c>
      <c r="H41" s="20" t="s">
        <v>150</v>
      </c>
      <c r="I41" s="20" t="s">
        <v>150</v>
      </c>
      <c r="J41" s="10"/>
      <c r="K41" s="30" t="str">
        <f>"70,0"</f>
        <v>70,0</v>
      </c>
      <c r="L41" s="10" t="str">
        <f>"50,8970"</f>
        <v>50,8970</v>
      </c>
      <c r="M41" s="9" t="s">
        <v>1071</v>
      </c>
    </row>
    <row r="42" spans="1:13">
      <c r="A42" s="25" t="s">
        <v>269</v>
      </c>
      <c r="B42" s="24" t="s">
        <v>650</v>
      </c>
      <c r="C42" s="24" t="s">
        <v>651</v>
      </c>
      <c r="D42" s="24" t="s">
        <v>459</v>
      </c>
      <c r="E42" s="24" t="s">
        <v>1185</v>
      </c>
      <c r="F42" s="24" t="s">
        <v>1141</v>
      </c>
      <c r="G42" s="27" t="s">
        <v>116</v>
      </c>
      <c r="H42" s="27" t="s">
        <v>319</v>
      </c>
      <c r="I42" s="27" t="s">
        <v>319</v>
      </c>
      <c r="J42" s="25"/>
      <c r="K42" s="31">
        <v>0</v>
      </c>
      <c r="L42" s="25" t="str">
        <f>"0,0000"</f>
        <v>0,0000</v>
      </c>
      <c r="M42" s="24" t="s">
        <v>646</v>
      </c>
    </row>
    <row r="43" spans="1:13">
      <c r="A43" s="25" t="s">
        <v>74</v>
      </c>
      <c r="B43" s="24" t="s">
        <v>652</v>
      </c>
      <c r="C43" s="24" t="s">
        <v>653</v>
      </c>
      <c r="D43" s="24" t="s">
        <v>654</v>
      </c>
      <c r="E43" s="24" t="s">
        <v>1182</v>
      </c>
      <c r="F43" s="24" t="s">
        <v>1117</v>
      </c>
      <c r="G43" s="26" t="s">
        <v>99</v>
      </c>
      <c r="H43" s="26" t="s">
        <v>163</v>
      </c>
      <c r="I43" s="27" t="s">
        <v>17</v>
      </c>
      <c r="J43" s="25"/>
      <c r="K43" s="31" t="str">
        <f>"135,0"</f>
        <v>135,0</v>
      </c>
      <c r="L43" s="25" t="str">
        <f>"96,9165"</f>
        <v>96,9165</v>
      </c>
      <c r="M43" s="24"/>
    </row>
    <row r="44" spans="1:13">
      <c r="A44" s="25" t="s">
        <v>267</v>
      </c>
      <c r="B44" s="24" t="s">
        <v>655</v>
      </c>
      <c r="C44" s="24" t="s">
        <v>656</v>
      </c>
      <c r="D44" s="24" t="s">
        <v>657</v>
      </c>
      <c r="E44" s="24" t="s">
        <v>1182</v>
      </c>
      <c r="F44" s="24" t="s">
        <v>1113</v>
      </c>
      <c r="G44" s="26" t="s">
        <v>125</v>
      </c>
      <c r="H44" s="26" t="s">
        <v>163</v>
      </c>
      <c r="I44" s="27" t="s">
        <v>17</v>
      </c>
      <c r="J44" s="25"/>
      <c r="K44" s="31" t="str">
        <f>"135,0"</f>
        <v>135,0</v>
      </c>
      <c r="L44" s="25" t="str">
        <f>"96,5520"</f>
        <v>96,5520</v>
      </c>
      <c r="M44" s="24"/>
    </row>
    <row r="45" spans="1:13">
      <c r="A45" s="25" t="s">
        <v>268</v>
      </c>
      <c r="B45" s="24" t="s">
        <v>658</v>
      </c>
      <c r="C45" s="24" t="s">
        <v>659</v>
      </c>
      <c r="D45" s="24" t="s">
        <v>331</v>
      </c>
      <c r="E45" s="24" t="s">
        <v>1182</v>
      </c>
      <c r="F45" s="24" t="s">
        <v>1113</v>
      </c>
      <c r="G45" s="26" t="s">
        <v>94</v>
      </c>
      <c r="H45" s="26" t="s">
        <v>116</v>
      </c>
      <c r="I45" s="26" t="s">
        <v>319</v>
      </c>
      <c r="J45" s="25"/>
      <c r="K45" s="31" t="str">
        <f>"117,5"</f>
        <v>117,5</v>
      </c>
      <c r="L45" s="25" t="str">
        <f>"84,7645"</f>
        <v>84,7645</v>
      </c>
      <c r="M45" s="24" t="s">
        <v>660</v>
      </c>
    </row>
    <row r="46" spans="1:13">
      <c r="A46" s="25" t="s">
        <v>74</v>
      </c>
      <c r="B46" s="24" t="s">
        <v>655</v>
      </c>
      <c r="C46" s="24" t="s">
        <v>357</v>
      </c>
      <c r="D46" s="24" t="s">
        <v>657</v>
      </c>
      <c r="E46" s="24" t="s">
        <v>1183</v>
      </c>
      <c r="F46" s="24" t="s">
        <v>1113</v>
      </c>
      <c r="G46" s="26" t="s">
        <v>125</v>
      </c>
      <c r="H46" s="26" t="s">
        <v>163</v>
      </c>
      <c r="I46" s="27" t="s">
        <v>17</v>
      </c>
      <c r="J46" s="25"/>
      <c r="K46" s="31" t="str">
        <f>"135,0"</f>
        <v>135,0</v>
      </c>
      <c r="L46" s="25" t="str">
        <f>"97,9037"</f>
        <v>97,9037</v>
      </c>
      <c r="M46" s="24"/>
    </row>
    <row r="47" spans="1:13">
      <c r="A47" s="12" t="s">
        <v>267</v>
      </c>
      <c r="B47" s="11" t="s">
        <v>661</v>
      </c>
      <c r="C47" s="11" t="s">
        <v>662</v>
      </c>
      <c r="D47" s="11" t="s">
        <v>459</v>
      </c>
      <c r="E47" s="11" t="s">
        <v>1183</v>
      </c>
      <c r="F47" s="11" t="s">
        <v>1134</v>
      </c>
      <c r="G47" s="23" t="s">
        <v>319</v>
      </c>
      <c r="H47" s="23" t="s">
        <v>145</v>
      </c>
      <c r="I47" s="22" t="s">
        <v>155</v>
      </c>
      <c r="J47" s="12"/>
      <c r="K47" s="32" t="str">
        <f>"122,5"</f>
        <v>122,5</v>
      </c>
      <c r="L47" s="12" t="str">
        <f>"95,3569"</f>
        <v>95,3569</v>
      </c>
      <c r="M47" s="11"/>
    </row>
    <row r="48" spans="1:13">
      <c r="B48" s="5" t="s">
        <v>75</v>
      </c>
    </row>
    <row r="49" spans="1:13" ht="16">
      <c r="A49" s="46" t="s">
        <v>141</v>
      </c>
      <c r="B49" s="46"/>
      <c r="C49" s="46"/>
      <c r="D49" s="46"/>
      <c r="E49" s="46"/>
      <c r="F49" s="46"/>
      <c r="G49" s="46"/>
      <c r="H49" s="46"/>
      <c r="I49" s="46"/>
      <c r="J49" s="46"/>
    </row>
    <row r="50" spans="1:13">
      <c r="A50" s="10" t="s">
        <v>74</v>
      </c>
      <c r="B50" s="9" t="s">
        <v>663</v>
      </c>
      <c r="C50" s="9" t="s">
        <v>664</v>
      </c>
      <c r="D50" s="9" t="s">
        <v>665</v>
      </c>
      <c r="E50" s="9" t="s">
        <v>1188</v>
      </c>
      <c r="F50" s="9" t="s">
        <v>1118</v>
      </c>
      <c r="G50" s="21" t="s">
        <v>81</v>
      </c>
      <c r="H50" s="21" t="s">
        <v>18</v>
      </c>
      <c r="I50" s="20" t="s">
        <v>212</v>
      </c>
      <c r="J50" s="10"/>
      <c r="K50" s="30" t="str">
        <f>"150,0"</f>
        <v>150,0</v>
      </c>
      <c r="L50" s="10" t="str">
        <f>"103,9950"</f>
        <v>103,9950</v>
      </c>
      <c r="M50" s="9" t="s">
        <v>1071</v>
      </c>
    </row>
    <row r="51" spans="1:13">
      <c r="A51" s="25" t="s">
        <v>267</v>
      </c>
      <c r="B51" s="24" t="s">
        <v>666</v>
      </c>
      <c r="C51" s="24" t="s">
        <v>667</v>
      </c>
      <c r="D51" s="24" t="s">
        <v>668</v>
      </c>
      <c r="E51" s="24" t="s">
        <v>1188</v>
      </c>
      <c r="F51" s="24" t="s">
        <v>1142</v>
      </c>
      <c r="G51" s="27" t="s">
        <v>122</v>
      </c>
      <c r="H51" s="27" t="s">
        <v>123</v>
      </c>
      <c r="I51" s="26" t="s">
        <v>123</v>
      </c>
      <c r="J51" s="25"/>
      <c r="K51" s="31" t="str">
        <f>"100,0"</f>
        <v>100,0</v>
      </c>
      <c r="L51" s="25" t="str">
        <f>"67,0900"</f>
        <v>67,0900</v>
      </c>
      <c r="M51" s="24" t="s">
        <v>669</v>
      </c>
    </row>
    <row r="52" spans="1:13">
      <c r="A52" s="25" t="s">
        <v>74</v>
      </c>
      <c r="B52" s="24" t="s">
        <v>670</v>
      </c>
      <c r="C52" s="24" t="s">
        <v>671</v>
      </c>
      <c r="D52" s="24" t="s">
        <v>672</v>
      </c>
      <c r="E52" s="24" t="s">
        <v>1182</v>
      </c>
      <c r="F52" s="24" t="s">
        <v>1143</v>
      </c>
      <c r="G52" s="26" t="s">
        <v>212</v>
      </c>
      <c r="H52" s="27" t="s">
        <v>19</v>
      </c>
      <c r="I52" s="27" t="s">
        <v>19</v>
      </c>
      <c r="J52" s="25"/>
      <c r="K52" s="31" t="str">
        <f>"152,5"</f>
        <v>152,5</v>
      </c>
      <c r="L52" s="25" t="str">
        <f>"103,8678"</f>
        <v>103,8678</v>
      </c>
      <c r="M52" s="24" t="s">
        <v>1076</v>
      </c>
    </row>
    <row r="53" spans="1:13">
      <c r="A53" s="25" t="s">
        <v>267</v>
      </c>
      <c r="B53" s="24" t="s">
        <v>663</v>
      </c>
      <c r="C53" s="24" t="s">
        <v>673</v>
      </c>
      <c r="D53" s="24" t="s">
        <v>665</v>
      </c>
      <c r="E53" s="24" t="s">
        <v>1182</v>
      </c>
      <c r="F53" s="24" t="s">
        <v>1118</v>
      </c>
      <c r="G53" s="26" t="s">
        <v>81</v>
      </c>
      <c r="H53" s="26" t="s">
        <v>18</v>
      </c>
      <c r="I53" s="27" t="s">
        <v>212</v>
      </c>
      <c r="J53" s="25"/>
      <c r="K53" s="31" t="str">
        <f>"150,0"</f>
        <v>150,0</v>
      </c>
      <c r="L53" s="25" t="str">
        <f>"103,9950"</f>
        <v>103,9950</v>
      </c>
      <c r="M53" s="24" t="s">
        <v>1071</v>
      </c>
    </row>
    <row r="54" spans="1:13">
      <c r="A54" s="25" t="s">
        <v>268</v>
      </c>
      <c r="B54" s="24" t="s">
        <v>674</v>
      </c>
      <c r="C54" s="24" t="s">
        <v>675</v>
      </c>
      <c r="D54" s="24" t="s">
        <v>676</v>
      </c>
      <c r="E54" s="24" t="s">
        <v>1182</v>
      </c>
      <c r="F54" s="24" t="s">
        <v>1113</v>
      </c>
      <c r="G54" s="26" t="s">
        <v>111</v>
      </c>
      <c r="H54" s="26" t="s">
        <v>155</v>
      </c>
      <c r="I54" s="26" t="s">
        <v>99</v>
      </c>
      <c r="J54" s="25"/>
      <c r="K54" s="31" t="str">
        <f>"130,0"</f>
        <v>130,0</v>
      </c>
      <c r="L54" s="25" t="str">
        <f>"89,1020"</f>
        <v>89,1020</v>
      </c>
      <c r="M54" s="24" t="s">
        <v>563</v>
      </c>
    </row>
    <row r="55" spans="1:13">
      <c r="A55" s="25" t="s">
        <v>74</v>
      </c>
      <c r="B55" s="24" t="s">
        <v>677</v>
      </c>
      <c r="C55" s="24" t="s">
        <v>678</v>
      </c>
      <c r="D55" s="24" t="s">
        <v>367</v>
      </c>
      <c r="E55" s="24" t="s">
        <v>1183</v>
      </c>
      <c r="F55" s="24" t="s">
        <v>1140</v>
      </c>
      <c r="G55" s="26" t="s">
        <v>99</v>
      </c>
      <c r="H55" s="26" t="s">
        <v>17</v>
      </c>
      <c r="I55" s="27" t="s">
        <v>81</v>
      </c>
      <c r="J55" s="25"/>
      <c r="K55" s="31" t="str">
        <f>"140,0"</f>
        <v>140,0</v>
      </c>
      <c r="L55" s="25" t="str">
        <f>"95,3805"</f>
        <v>95,3805</v>
      </c>
      <c r="M55" s="24" t="s">
        <v>1074</v>
      </c>
    </row>
    <row r="56" spans="1:13">
      <c r="A56" s="25" t="s">
        <v>267</v>
      </c>
      <c r="B56" s="24" t="s">
        <v>679</v>
      </c>
      <c r="C56" s="24" t="s">
        <v>680</v>
      </c>
      <c r="D56" s="24" t="s">
        <v>681</v>
      </c>
      <c r="E56" s="24" t="s">
        <v>1183</v>
      </c>
      <c r="F56" s="24" t="s">
        <v>1117</v>
      </c>
      <c r="G56" s="26" t="s">
        <v>110</v>
      </c>
      <c r="H56" s="26" t="s">
        <v>319</v>
      </c>
      <c r="I56" s="27" t="s">
        <v>111</v>
      </c>
      <c r="J56" s="25"/>
      <c r="K56" s="31" t="str">
        <f>"117,5"</f>
        <v>117,5</v>
      </c>
      <c r="L56" s="25" t="str">
        <f>"80,5897"</f>
        <v>80,5897</v>
      </c>
      <c r="M56" s="24"/>
    </row>
    <row r="57" spans="1:13">
      <c r="A57" s="12" t="s">
        <v>269</v>
      </c>
      <c r="B57" s="11" t="s">
        <v>682</v>
      </c>
      <c r="C57" s="11" t="s">
        <v>683</v>
      </c>
      <c r="D57" s="11" t="s">
        <v>681</v>
      </c>
      <c r="E57" s="11" t="s">
        <v>1183</v>
      </c>
      <c r="F57" s="11" t="s">
        <v>1113</v>
      </c>
      <c r="G57" s="22" t="s">
        <v>17</v>
      </c>
      <c r="H57" s="22" t="s">
        <v>17</v>
      </c>
      <c r="I57" s="22" t="s">
        <v>17</v>
      </c>
      <c r="J57" s="12"/>
      <c r="K57" s="32">
        <v>0</v>
      </c>
      <c r="L57" s="12" t="str">
        <f>"0,0000"</f>
        <v>0,0000</v>
      </c>
      <c r="M57" s="11"/>
    </row>
    <row r="58" spans="1:13">
      <c r="B58" s="5" t="s">
        <v>75</v>
      </c>
    </row>
    <row r="59" spans="1:13" ht="16">
      <c r="A59" s="46" t="s">
        <v>10</v>
      </c>
      <c r="B59" s="46"/>
      <c r="C59" s="46"/>
      <c r="D59" s="46"/>
      <c r="E59" s="46"/>
      <c r="F59" s="46"/>
      <c r="G59" s="46"/>
      <c r="H59" s="46"/>
      <c r="I59" s="46"/>
      <c r="J59" s="46"/>
    </row>
    <row r="60" spans="1:13">
      <c r="A60" s="10" t="s">
        <v>74</v>
      </c>
      <c r="B60" s="9" t="s">
        <v>684</v>
      </c>
      <c r="C60" s="9" t="s">
        <v>685</v>
      </c>
      <c r="D60" s="9" t="s">
        <v>686</v>
      </c>
      <c r="E60" s="9" t="s">
        <v>1185</v>
      </c>
      <c r="F60" s="9" t="s">
        <v>1113</v>
      </c>
      <c r="G60" s="21" t="s">
        <v>99</v>
      </c>
      <c r="H60" s="20" t="s">
        <v>190</v>
      </c>
      <c r="I60" s="21" t="s">
        <v>190</v>
      </c>
      <c r="J60" s="10"/>
      <c r="K60" s="30" t="str">
        <f>"132,5"</f>
        <v>132,5</v>
      </c>
      <c r="L60" s="10" t="str">
        <f>"85,3300"</f>
        <v>85,3300</v>
      </c>
      <c r="M60" s="9"/>
    </row>
    <row r="61" spans="1:13">
      <c r="A61" s="25" t="s">
        <v>74</v>
      </c>
      <c r="B61" s="24" t="s">
        <v>687</v>
      </c>
      <c r="C61" s="24" t="s">
        <v>688</v>
      </c>
      <c r="D61" s="24" t="s">
        <v>689</v>
      </c>
      <c r="E61" s="24" t="s">
        <v>1182</v>
      </c>
      <c r="F61" s="24" t="s">
        <v>1144</v>
      </c>
      <c r="G61" s="26" t="s">
        <v>19</v>
      </c>
      <c r="H61" s="27" t="s">
        <v>39</v>
      </c>
      <c r="I61" s="25"/>
      <c r="J61" s="25"/>
      <c r="K61" s="31" t="str">
        <f>"155,0"</f>
        <v>155,0</v>
      </c>
      <c r="L61" s="25" t="str">
        <f>"99,5720"</f>
        <v>99,5720</v>
      </c>
      <c r="M61" s="24" t="s">
        <v>690</v>
      </c>
    </row>
    <row r="62" spans="1:13">
      <c r="A62" s="25" t="s">
        <v>267</v>
      </c>
      <c r="B62" s="24" t="s">
        <v>691</v>
      </c>
      <c r="C62" s="24" t="s">
        <v>692</v>
      </c>
      <c r="D62" s="24" t="s">
        <v>693</v>
      </c>
      <c r="E62" s="24" t="s">
        <v>1182</v>
      </c>
      <c r="F62" s="24" t="s">
        <v>1113</v>
      </c>
      <c r="G62" s="26" t="s">
        <v>163</v>
      </c>
      <c r="H62" s="26" t="s">
        <v>81</v>
      </c>
      <c r="I62" s="26" t="s">
        <v>212</v>
      </c>
      <c r="J62" s="25"/>
      <c r="K62" s="31" t="str">
        <f>"152,5"</f>
        <v>152,5</v>
      </c>
      <c r="L62" s="25" t="str">
        <f>"98,6218"</f>
        <v>98,6218</v>
      </c>
      <c r="M62" s="24"/>
    </row>
    <row r="63" spans="1:13">
      <c r="A63" s="25" t="s">
        <v>268</v>
      </c>
      <c r="B63" s="24" t="s">
        <v>694</v>
      </c>
      <c r="C63" s="24" t="s">
        <v>695</v>
      </c>
      <c r="D63" s="24" t="s">
        <v>696</v>
      </c>
      <c r="E63" s="24" t="s">
        <v>1182</v>
      </c>
      <c r="F63" s="24" t="s">
        <v>1121</v>
      </c>
      <c r="G63" s="26" t="s">
        <v>135</v>
      </c>
      <c r="H63" s="27" t="s">
        <v>212</v>
      </c>
      <c r="I63" s="26" t="s">
        <v>212</v>
      </c>
      <c r="J63" s="25"/>
      <c r="K63" s="31" t="str">
        <f>"152,5"</f>
        <v>152,5</v>
      </c>
      <c r="L63" s="25" t="str">
        <f>"98,1490"</f>
        <v>98,1490</v>
      </c>
      <c r="M63" s="24" t="s">
        <v>697</v>
      </c>
    </row>
    <row r="64" spans="1:13">
      <c r="A64" s="25" t="s">
        <v>270</v>
      </c>
      <c r="B64" s="24" t="s">
        <v>698</v>
      </c>
      <c r="C64" s="24" t="s">
        <v>699</v>
      </c>
      <c r="D64" s="24" t="s">
        <v>689</v>
      </c>
      <c r="E64" s="24" t="s">
        <v>1182</v>
      </c>
      <c r="F64" s="24" t="s">
        <v>1145</v>
      </c>
      <c r="G64" s="26" t="s">
        <v>81</v>
      </c>
      <c r="H64" s="26" t="s">
        <v>212</v>
      </c>
      <c r="I64" s="27" t="s">
        <v>87</v>
      </c>
      <c r="J64" s="25"/>
      <c r="K64" s="31" t="str">
        <f>"152,5"</f>
        <v>152,5</v>
      </c>
      <c r="L64" s="25" t="str">
        <f>"97,9660"</f>
        <v>97,9660</v>
      </c>
      <c r="M64" s="24" t="s">
        <v>700</v>
      </c>
    </row>
    <row r="65" spans="1:13">
      <c r="A65" s="25" t="s">
        <v>449</v>
      </c>
      <c r="B65" s="24" t="s">
        <v>701</v>
      </c>
      <c r="C65" s="24" t="s">
        <v>702</v>
      </c>
      <c r="D65" s="24" t="s">
        <v>703</v>
      </c>
      <c r="E65" s="24" t="s">
        <v>1182</v>
      </c>
      <c r="F65" s="24" t="s">
        <v>1113</v>
      </c>
      <c r="G65" s="26" t="s">
        <v>169</v>
      </c>
      <c r="H65" s="26" t="s">
        <v>18</v>
      </c>
      <c r="I65" s="27" t="s">
        <v>39</v>
      </c>
      <c r="J65" s="25"/>
      <c r="K65" s="31" t="str">
        <f>"150,0"</f>
        <v>150,0</v>
      </c>
      <c r="L65" s="25" t="str">
        <f>"98,5500"</f>
        <v>98,5500</v>
      </c>
      <c r="M65" s="24"/>
    </row>
    <row r="66" spans="1:13">
      <c r="A66" s="25" t="s">
        <v>583</v>
      </c>
      <c r="B66" s="24" t="s">
        <v>704</v>
      </c>
      <c r="C66" s="24" t="s">
        <v>705</v>
      </c>
      <c r="D66" s="24" t="s">
        <v>706</v>
      </c>
      <c r="E66" s="24" t="s">
        <v>1182</v>
      </c>
      <c r="F66" s="24" t="s">
        <v>1113</v>
      </c>
      <c r="G66" s="26" t="s">
        <v>163</v>
      </c>
      <c r="H66" s="27" t="s">
        <v>17</v>
      </c>
      <c r="I66" s="27" t="s">
        <v>17</v>
      </c>
      <c r="J66" s="25"/>
      <c r="K66" s="31" t="str">
        <f>"135,0"</f>
        <v>135,0</v>
      </c>
      <c r="L66" s="25" t="str">
        <f>"86,6295"</f>
        <v>86,6295</v>
      </c>
      <c r="M66" s="24"/>
    </row>
    <row r="67" spans="1:13">
      <c r="A67" s="25" t="s">
        <v>269</v>
      </c>
      <c r="B67" s="24" t="s">
        <v>707</v>
      </c>
      <c r="C67" s="24" t="s">
        <v>708</v>
      </c>
      <c r="D67" s="24" t="s">
        <v>196</v>
      </c>
      <c r="E67" s="24" t="s">
        <v>1182</v>
      </c>
      <c r="F67" s="24" t="s">
        <v>1117</v>
      </c>
      <c r="G67" s="27" t="s">
        <v>155</v>
      </c>
      <c r="H67" s="27" t="s">
        <v>155</v>
      </c>
      <c r="I67" s="27" t="s">
        <v>190</v>
      </c>
      <c r="J67" s="25"/>
      <c r="K67" s="31">
        <v>0</v>
      </c>
      <c r="L67" s="25" t="str">
        <f>"0,0000"</f>
        <v>0,0000</v>
      </c>
      <c r="M67" s="24"/>
    </row>
    <row r="68" spans="1:13">
      <c r="A68" s="12" t="s">
        <v>74</v>
      </c>
      <c r="B68" s="11" t="s">
        <v>709</v>
      </c>
      <c r="C68" s="11" t="s">
        <v>710</v>
      </c>
      <c r="D68" s="11" t="s">
        <v>711</v>
      </c>
      <c r="E68" s="11" t="s">
        <v>1183</v>
      </c>
      <c r="F68" s="11" t="s">
        <v>1146</v>
      </c>
      <c r="G68" s="23" t="s">
        <v>109</v>
      </c>
      <c r="H68" s="23" t="s">
        <v>111</v>
      </c>
      <c r="I68" s="22" t="s">
        <v>155</v>
      </c>
      <c r="J68" s="12"/>
      <c r="K68" s="32" t="str">
        <f>"120,0"</f>
        <v>120,0</v>
      </c>
      <c r="L68" s="12" t="str">
        <f>"88,5541"</f>
        <v>88,5541</v>
      </c>
      <c r="M68" s="11"/>
    </row>
    <row r="69" spans="1:13">
      <c r="B69" s="5" t="s">
        <v>75</v>
      </c>
    </row>
    <row r="70" spans="1:13" ht="16">
      <c r="A70" s="46" t="s">
        <v>23</v>
      </c>
      <c r="B70" s="46"/>
      <c r="C70" s="46"/>
      <c r="D70" s="46"/>
      <c r="E70" s="46"/>
      <c r="F70" s="46"/>
      <c r="G70" s="46"/>
      <c r="H70" s="46"/>
      <c r="I70" s="46"/>
      <c r="J70" s="46"/>
    </row>
    <row r="71" spans="1:13">
      <c r="A71" s="10" t="s">
        <v>74</v>
      </c>
      <c r="B71" s="9" t="s">
        <v>712</v>
      </c>
      <c r="C71" s="9" t="s">
        <v>713</v>
      </c>
      <c r="D71" s="9" t="s">
        <v>714</v>
      </c>
      <c r="E71" s="9" t="s">
        <v>1189</v>
      </c>
      <c r="F71" s="9" t="s">
        <v>1117</v>
      </c>
      <c r="G71" s="21" t="s">
        <v>109</v>
      </c>
      <c r="H71" s="21" t="s">
        <v>111</v>
      </c>
      <c r="I71" s="20" t="s">
        <v>155</v>
      </c>
      <c r="J71" s="10"/>
      <c r="K71" s="30" t="str">
        <f>"120,0"</f>
        <v>120,0</v>
      </c>
      <c r="L71" s="10" t="str">
        <f>"75,0840"</f>
        <v>75,0840</v>
      </c>
      <c r="M71" s="9"/>
    </row>
    <row r="72" spans="1:13">
      <c r="A72" s="25" t="s">
        <v>267</v>
      </c>
      <c r="B72" s="24" t="s">
        <v>715</v>
      </c>
      <c r="C72" s="24" t="s">
        <v>716</v>
      </c>
      <c r="D72" s="24" t="s">
        <v>717</v>
      </c>
      <c r="E72" s="24" t="s">
        <v>1189</v>
      </c>
      <c r="F72" s="24" t="s">
        <v>1147</v>
      </c>
      <c r="G72" s="26" t="s">
        <v>305</v>
      </c>
      <c r="H72" s="26" t="s">
        <v>109</v>
      </c>
      <c r="I72" s="26" t="s">
        <v>116</v>
      </c>
      <c r="J72" s="25"/>
      <c r="K72" s="31" t="str">
        <f>"112,5"</f>
        <v>112,5</v>
      </c>
      <c r="L72" s="25" t="str">
        <f>"70,4250"</f>
        <v>70,4250</v>
      </c>
      <c r="M72" s="24" t="s">
        <v>1077</v>
      </c>
    </row>
    <row r="73" spans="1:13">
      <c r="A73" s="25" t="s">
        <v>74</v>
      </c>
      <c r="B73" s="24" t="s">
        <v>718</v>
      </c>
      <c r="C73" s="24" t="s">
        <v>719</v>
      </c>
      <c r="D73" s="24" t="s">
        <v>720</v>
      </c>
      <c r="E73" s="24" t="s">
        <v>1188</v>
      </c>
      <c r="F73" s="24" t="s">
        <v>1118</v>
      </c>
      <c r="G73" s="26" t="s">
        <v>19</v>
      </c>
      <c r="H73" s="26" t="s">
        <v>136</v>
      </c>
      <c r="I73" s="27" t="s">
        <v>154</v>
      </c>
      <c r="J73" s="25"/>
      <c r="K73" s="31" t="str">
        <f>"162,5"</f>
        <v>162,5</v>
      </c>
      <c r="L73" s="25" t="str">
        <f>"100,1163"</f>
        <v>100,1163</v>
      </c>
      <c r="M73" s="24" t="s">
        <v>1071</v>
      </c>
    </row>
    <row r="74" spans="1:13">
      <c r="A74" s="25" t="s">
        <v>74</v>
      </c>
      <c r="B74" s="24" t="s">
        <v>718</v>
      </c>
      <c r="C74" s="24" t="s">
        <v>721</v>
      </c>
      <c r="D74" s="24" t="s">
        <v>720</v>
      </c>
      <c r="E74" s="24" t="s">
        <v>1182</v>
      </c>
      <c r="F74" s="24" t="s">
        <v>1118</v>
      </c>
      <c r="G74" s="26" t="s">
        <v>19</v>
      </c>
      <c r="H74" s="26" t="s">
        <v>136</v>
      </c>
      <c r="I74" s="27" t="s">
        <v>154</v>
      </c>
      <c r="J74" s="25"/>
      <c r="K74" s="31" t="str">
        <f>"162,5"</f>
        <v>162,5</v>
      </c>
      <c r="L74" s="25" t="str">
        <f>"100,1163"</f>
        <v>100,1163</v>
      </c>
      <c r="M74" s="24" t="s">
        <v>1071</v>
      </c>
    </row>
    <row r="75" spans="1:13">
      <c r="A75" s="25" t="s">
        <v>267</v>
      </c>
      <c r="B75" s="24" t="s">
        <v>722</v>
      </c>
      <c r="C75" s="24" t="s">
        <v>723</v>
      </c>
      <c r="D75" s="24" t="s">
        <v>524</v>
      </c>
      <c r="E75" s="24" t="s">
        <v>1182</v>
      </c>
      <c r="F75" s="24" t="s">
        <v>1118</v>
      </c>
      <c r="G75" s="27" t="s">
        <v>212</v>
      </c>
      <c r="H75" s="26" t="s">
        <v>212</v>
      </c>
      <c r="I75" s="27" t="s">
        <v>19</v>
      </c>
      <c r="J75" s="25"/>
      <c r="K75" s="31" t="str">
        <f>"152,5"</f>
        <v>152,5</v>
      </c>
      <c r="L75" s="25" t="str">
        <f>"93,2690"</f>
        <v>93,2690</v>
      </c>
      <c r="M75" s="24" t="s">
        <v>1071</v>
      </c>
    </row>
    <row r="76" spans="1:13">
      <c r="A76" s="25" t="s">
        <v>268</v>
      </c>
      <c r="B76" s="24" t="s">
        <v>724</v>
      </c>
      <c r="C76" s="24" t="s">
        <v>725</v>
      </c>
      <c r="D76" s="24" t="s">
        <v>26</v>
      </c>
      <c r="E76" s="24" t="s">
        <v>1182</v>
      </c>
      <c r="F76" s="24" t="s">
        <v>1148</v>
      </c>
      <c r="G76" s="27" t="s">
        <v>18</v>
      </c>
      <c r="H76" s="26" t="s">
        <v>18</v>
      </c>
      <c r="I76" s="27" t="s">
        <v>136</v>
      </c>
      <c r="J76" s="25"/>
      <c r="K76" s="31" t="str">
        <f>"150,0"</f>
        <v>150,0</v>
      </c>
      <c r="L76" s="25" t="str">
        <f>"91,5150"</f>
        <v>91,5150</v>
      </c>
      <c r="M76" s="24" t="s">
        <v>1078</v>
      </c>
    </row>
    <row r="77" spans="1:13">
      <c r="A77" s="25" t="s">
        <v>269</v>
      </c>
      <c r="B77" s="24" t="s">
        <v>726</v>
      </c>
      <c r="C77" s="24" t="s">
        <v>727</v>
      </c>
      <c r="D77" s="24" t="s">
        <v>405</v>
      </c>
      <c r="E77" s="24" t="s">
        <v>1182</v>
      </c>
      <c r="F77" s="24" t="s">
        <v>1113</v>
      </c>
      <c r="G77" s="27" t="s">
        <v>135</v>
      </c>
      <c r="H77" s="27" t="s">
        <v>135</v>
      </c>
      <c r="I77" s="27" t="s">
        <v>135</v>
      </c>
      <c r="J77" s="25"/>
      <c r="K77" s="31">
        <v>0</v>
      </c>
      <c r="L77" s="25" t="str">
        <f>"0,0000"</f>
        <v>0,0000</v>
      </c>
      <c r="M77" s="24" t="s">
        <v>728</v>
      </c>
    </row>
    <row r="78" spans="1:13">
      <c r="A78" s="25" t="s">
        <v>74</v>
      </c>
      <c r="B78" s="24" t="s">
        <v>419</v>
      </c>
      <c r="C78" s="24" t="s">
        <v>420</v>
      </c>
      <c r="D78" s="24" t="s">
        <v>421</v>
      </c>
      <c r="E78" s="24" t="s">
        <v>1183</v>
      </c>
      <c r="F78" s="24" t="s">
        <v>1113</v>
      </c>
      <c r="G78" s="26" t="s">
        <v>81</v>
      </c>
      <c r="H78" s="26" t="s">
        <v>18</v>
      </c>
      <c r="I78" s="26" t="s">
        <v>19</v>
      </c>
      <c r="J78" s="25"/>
      <c r="K78" s="31" t="str">
        <f>"155,0"</f>
        <v>155,0</v>
      </c>
      <c r="L78" s="25" t="str">
        <f>"99,2051"</f>
        <v>99,2051</v>
      </c>
      <c r="M78" s="24" t="s">
        <v>563</v>
      </c>
    </row>
    <row r="79" spans="1:13">
      <c r="A79" s="25" t="s">
        <v>267</v>
      </c>
      <c r="B79" s="24" t="s">
        <v>729</v>
      </c>
      <c r="C79" s="24" t="s">
        <v>730</v>
      </c>
      <c r="D79" s="24" t="s">
        <v>731</v>
      </c>
      <c r="E79" s="24" t="s">
        <v>1183</v>
      </c>
      <c r="F79" s="24" t="s">
        <v>1113</v>
      </c>
      <c r="G79" s="26" t="s">
        <v>190</v>
      </c>
      <c r="H79" s="26" t="s">
        <v>17</v>
      </c>
      <c r="I79" s="27" t="s">
        <v>169</v>
      </c>
      <c r="J79" s="25"/>
      <c r="K79" s="31" t="str">
        <f>"140,0"</f>
        <v>140,0</v>
      </c>
      <c r="L79" s="25" t="str">
        <f>"85,3720"</f>
        <v>85,3720</v>
      </c>
      <c r="M79" s="24" t="s">
        <v>748</v>
      </c>
    </row>
    <row r="80" spans="1:13">
      <c r="A80" s="25" t="s">
        <v>74</v>
      </c>
      <c r="B80" s="24" t="s">
        <v>478</v>
      </c>
      <c r="C80" s="24" t="s">
        <v>732</v>
      </c>
      <c r="D80" s="24" t="s">
        <v>411</v>
      </c>
      <c r="E80" s="24" t="s">
        <v>1187</v>
      </c>
      <c r="F80" s="24" t="s">
        <v>1149</v>
      </c>
      <c r="G80" s="26" t="s">
        <v>16</v>
      </c>
      <c r="H80" s="26" t="s">
        <v>22</v>
      </c>
      <c r="I80" s="25"/>
      <c r="J80" s="25"/>
      <c r="K80" s="31" t="str">
        <f>"215,0"</f>
        <v>215,0</v>
      </c>
      <c r="L80" s="25" t="str">
        <f>"171,3285"</f>
        <v>171,3285</v>
      </c>
      <c r="M80" s="24" t="s">
        <v>306</v>
      </c>
    </row>
    <row r="81" spans="1:13">
      <c r="A81" s="12" t="s">
        <v>269</v>
      </c>
      <c r="B81" s="11" t="s">
        <v>733</v>
      </c>
      <c r="C81" s="11" t="s">
        <v>734</v>
      </c>
      <c r="D81" s="11" t="s">
        <v>524</v>
      </c>
      <c r="E81" s="11" t="s">
        <v>1187</v>
      </c>
      <c r="F81" s="11" t="s">
        <v>1113</v>
      </c>
      <c r="G81" s="22" t="s">
        <v>18</v>
      </c>
      <c r="H81" s="22" t="s">
        <v>18</v>
      </c>
      <c r="I81" s="22" t="s">
        <v>18</v>
      </c>
      <c r="J81" s="12"/>
      <c r="K81" s="32">
        <v>0</v>
      </c>
      <c r="L81" s="12" t="str">
        <f>"0,0000"</f>
        <v>0,0000</v>
      </c>
      <c r="M81" s="11"/>
    </row>
    <row r="82" spans="1:13">
      <c r="B82" s="5" t="s">
        <v>75</v>
      </c>
    </row>
    <row r="83" spans="1:13" ht="16">
      <c r="A83" s="46" t="s">
        <v>32</v>
      </c>
      <c r="B83" s="46"/>
      <c r="C83" s="46"/>
      <c r="D83" s="46"/>
      <c r="E83" s="46"/>
      <c r="F83" s="46"/>
      <c r="G83" s="46"/>
      <c r="H83" s="46"/>
      <c r="I83" s="46"/>
      <c r="J83" s="46"/>
    </row>
    <row r="84" spans="1:13">
      <c r="A84" s="10" t="s">
        <v>74</v>
      </c>
      <c r="B84" s="9" t="s">
        <v>735</v>
      </c>
      <c r="C84" s="9" t="s">
        <v>736</v>
      </c>
      <c r="D84" s="9" t="s">
        <v>737</v>
      </c>
      <c r="E84" s="9" t="s">
        <v>1182</v>
      </c>
      <c r="F84" s="9" t="s">
        <v>1139</v>
      </c>
      <c r="G84" s="20" t="s">
        <v>137</v>
      </c>
      <c r="H84" s="21" t="s">
        <v>137</v>
      </c>
      <c r="I84" s="20" t="s">
        <v>359</v>
      </c>
      <c r="J84" s="10"/>
      <c r="K84" s="30" t="str">
        <f>"175,0"</f>
        <v>175,0</v>
      </c>
      <c r="L84" s="10" t="str">
        <f>"103,1275"</f>
        <v>103,1275</v>
      </c>
      <c r="M84" s="9" t="s">
        <v>1079</v>
      </c>
    </row>
    <row r="85" spans="1:13">
      <c r="A85" s="25" t="s">
        <v>267</v>
      </c>
      <c r="B85" s="24" t="s">
        <v>738</v>
      </c>
      <c r="C85" s="24" t="s">
        <v>739</v>
      </c>
      <c r="D85" s="24" t="s">
        <v>740</v>
      </c>
      <c r="E85" s="24" t="s">
        <v>1182</v>
      </c>
      <c r="F85" s="24" t="s">
        <v>1113</v>
      </c>
      <c r="G85" s="26" t="s">
        <v>154</v>
      </c>
      <c r="H85" s="26" t="s">
        <v>364</v>
      </c>
      <c r="I85" s="27" t="s">
        <v>137</v>
      </c>
      <c r="J85" s="25"/>
      <c r="K85" s="31" t="str">
        <f>"172,5"</f>
        <v>172,5</v>
      </c>
      <c r="L85" s="25" t="str">
        <f>"103,0170"</f>
        <v>103,0170</v>
      </c>
      <c r="M85" s="24"/>
    </row>
    <row r="86" spans="1:13">
      <c r="A86" s="25" t="s">
        <v>268</v>
      </c>
      <c r="B86" s="24" t="s">
        <v>741</v>
      </c>
      <c r="C86" s="24" t="s">
        <v>742</v>
      </c>
      <c r="D86" s="24" t="s">
        <v>35</v>
      </c>
      <c r="E86" s="24" t="s">
        <v>1182</v>
      </c>
      <c r="F86" s="24" t="s">
        <v>1113</v>
      </c>
      <c r="G86" s="26" t="s">
        <v>182</v>
      </c>
      <c r="H86" s="27" t="s">
        <v>55</v>
      </c>
      <c r="I86" s="27" t="s">
        <v>55</v>
      </c>
      <c r="J86" s="25"/>
      <c r="K86" s="31" t="str">
        <f>"167,5"</f>
        <v>167,5</v>
      </c>
      <c r="L86" s="25" t="str">
        <f>"98,7915"</f>
        <v>98,7915</v>
      </c>
      <c r="M86" s="24"/>
    </row>
    <row r="87" spans="1:13">
      <c r="A87" s="25" t="s">
        <v>270</v>
      </c>
      <c r="B87" s="24" t="s">
        <v>743</v>
      </c>
      <c r="C87" s="24" t="s">
        <v>744</v>
      </c>
      <c r="D87" s="24" t="s">
        <v>745</v>
      </c>
      <c r="E87" s="24" t="s">
        <v>1182</v>
      </c>
      <c r="F87" s="24" t="s">
        <v>1113</v>
      </c>
      <c r="G87" s="26" t="s">
        <v>87</v>
      </c>
      <c r="H87" s="26" t="s">
        <v>136</v>
      </c>
      <c r="I87" s="27" t="s">
        <v>182</v>
      </c>
      <c r="J87" s="25"/>
      <c r="K87" s="31" t="str">
        <f>"162,5"</f>
        <v>162,5</v>
      </c>
      <c r="L87" s="25" t="str">
        <f>"96,3625"</f>
        <v>96,3625</v>
      </c>
      <c r="M87" s="24"/>
    </row>
    <row r="88" spans="1:13">
      <c r="A88" s="25" t="s">
        <v>449</v>
      </c>
      <c r="B88" s="24" t="s">
        <v>746</v>
      </c>
      <c r="C88" s="24" t="s">
        <v>247</v>
      </c>
      <c r="D88" s="24" t="s">
        <v>747</v>
      </c>
      <c r="E88" s="24" t="s">
        <v>1182</v>
      </c>
      <c r="F88" s="24" t="s">
        <v>1113</v>
      </c>
      <c r="G88" s="26" t="s">
        <v>100</v>
      </c>
      <c r="H88" s="26" t="s">
        <v>81</v>
      </c>
      <c r="I88" s="26" t="s">
        <v>18</v>
      </c>
      <c r="J88" s="25"/>
      <c r="K88" s="31" t="str">
        <f>"150,0"</f>
        <v>150,0</v>
      </c>
      <c r="L88" s="25" t="str">
        <f>"88,5750"</f>
        <v>88,5750</v>
      </c>
      <c r="M88" s="24" t="s">
        <v>748</v>
      </c>
    </row>
    <row r="89" spans="1:13">
      <c r="A89" s="25" t="s">
        <v>583</v>
      </c>
      <c r="B89" s="24" t="s">
        <v>749</v>
      </c>
      <c r="C89" s="24" t="s">
        <v>750</v>
      </c>
      <c r="D89" s="24" t="s">
        <v>751</v>
      </c>
      <c r="E89" s="24" t="s">
        <v>1182</v>
      </c>
      <c r="F89" s="24" t="s">
        <v>1150</v>
      </c>
      <c r="G89" s="26" t="s">
        <v>110</v>
      </c>
      <c r="H89" s="26" t="s">
        <v>111</v>
      </c>
      <c r="I89" s="27" t="s">
        <v>125</v>
      </c>
      <c r="J89" s="25"/>
      <c r="K89" s="31" t="str">
        <f>"120,0"</f>
        <v>120,0</v>
      </c>
      <c r="L89" s="25" t="str">
        <f>"71,1120"</f>
        <v>71,1120</v>
      </c>
      <c r="M89" s="24" t="s">
        <v>306</v>
      </c>
    </row>
    <row r="90" spans="1:13">
      <c r="A90" s="25" t="s">
        <v>269</v>
      </c>
      <c r="B90" s="24" t="s">
        <v>752</v>
      </c>
      <c r="C90" s="24" t="s">
        <v>753</v>
      </c>
      <c r="D90" s="24" t="s">
        <v>754</v>
      </c>
      <c r="E90" s="24" t="s">
        <v>1182</v>
      </c>
      <c r="F90" s="24" t="s">
        <v>1117</v>
      </c>
      <c r="G90" s="27" t="s">
        <v>111</v>
      </c>
      <c r="H90" s="27" t="s">
        <v>111</v>
      </c>
      <c r="I90" s="27" t="s">
        <v>111</v>
      </c>
      <c r="J90" s="25"/>
      <c r="K90" s="31">
        <v>0</v>
      </c>
      <c r="L90" s="25" t="str">
        <f>"0,0000"</f>
        <v>0,0000</v>
      </c>
      <c r="M90" s="24"/>
    </row>
    <row r="91" spans="1:13">
      <c r="A91" s="25" t="s">
        <v>74</v>
      </c>
      <c r="B91" s="24" t="s">
        <v>755</v>
      </c>
      <c r="C91" s="24" t="s">
        <v>756</v>
      </c>
      <c r="D91" s="24" t="s">
        <v>747</v>
      </c>
      <c r="E91" s="24" t="s">
        <v>1183</v>
      </c>
      <c r="F91" s="24" t="s">
        <v>1115</v>
      </c>
      <c r="G91" s="26" t="s">
        <v>14</v>
      </c>
      <c r="H91" s="26" t="s">
        <v>56</v>
      </c>
      <c r="I91" s="27" t="s">
        <v>233</v>
      </c>
      <c r="J91" s="25"/>
      <c r="K91" s="31" t="str">
        <f>"185,0"</f>
        <v>185,0</v>
      </c>
      <c r="L91" s="25" t="str">
        <f>"123,6625"</f>
        <v>123,6625</v>
      </c>
      <c r="M91" s="24" t="s">
        <v>1080</v>
      </c>
    </row>
    <row r="92" spans="1:13">
      <c r="A92" s="12" t="s">
        <v>267</v>
      </c>
      <c r="B92" s="11" t="s">
        <v>757</v>
      </c>
      <c r="C92" s="11" t="s">
        <v>758</v>
      </c>
      <c r="D92" s="11" t="s">
        <v>759</v>
      </c>
      <c r="E92" s="11" t="s">
        <v>1183</v>
      </c>
      <c r="F92" s="11" t="s">
        <v>1113</v>
      </c>
      <c r="G92" s="23" t="s">
        <v>18</v>
      </c>
      <c r="H92" s="23" t="s">
        <v>19</v>
      </c>
      <c r="I92" s="23" t="s">
        <v>39</v>
      </c>
      <c r="J92" s="12"/>
      <c r="K92" s="32" t="str">
        <f>"160,0"</f>
        <v>160,0</v>
      </c>
      <c r="L92" s="12" t="str">
        <f>"98,0630"</f>
        <v>98,0630</v>
      </c>
      <c r="M92" s="11" t="s">
        <v>748</v>
      </c>
    </row>
    <row r="93" spans="1:13">
      <c r="B93" s="5" t="s">
        <v>75</v>
      </c>
    </row>
    <row r="94" spans="1:13" ht="16">
      <c r="A94" s="46" t="s">
        <v>229</v>
      </c>
      <c r="B94" s="46"/>
      <c r="C94" s="46"/>
      <c r="D94" s="46"/>
      <c r="E94" s="46"/>
      <c r="F94" s="46"/>
      <c r="G94" s="46"/>
      <c r="H94" s="46"/>
      <c r="I94" s="46"/>
      <c r="J94" s="46"/>
    </row>
    <row r="95" spans="1:13">
      <c r="A95" s="10" t="s">
        <v>74</v>
      </c>
      <c r="B95" s="9" t="s">
        <v>760</v>
      </c>
      <c r="C95" s="9" t="s">
        <v>761</v>
      </c>
      <c r="D95" s="9" t="s">
        <v>762</v>
      </c>
      <c r="E95" s="9" t="s">
        <v>1182</v>
      </c>
      <c r="F95" s="9" t="s">
        <v>1139</v>
      </c>
      <c r="G95" s="21" t="s">
        <v>56</v>
      </c>
      <c r="H95" s="21" t="s">
        <v>379</v>
      </c>
      <c r="I95" s="20" t="s">
        <v>82</v>
      </c>
      <c r="J95" s="10"/>
      <c r="K95" s="30" t="str">
        <f>"192,5"</f>
        <v>192,5</v>
      </c>
      <c r="L95" s="10" t="str">
        <f>"112,4007"</f>
        <v>112,4007</v>
      </c>
      <c r="M95" s="9"/>
    </row>
    <row r="96" spans="1:13">
      <c r="A96" s="25" t="s">
        <v>267</v>
      </c>
      <c r="B96" s="24" t="s">
        <v>763</v>
      </c>
      <c r="C96" s="24" t="s">
        <v>764</v>
      </c>
      <c r="D96" s="24" t="s">
        <v>765</v>
      </c>
      <c r="E96" s="24" t="s">
        <v>1182</v>
      </c>
      <c r="F96" s="24" t="s">
        <v>1113</v>
      </c>
      <c r="G96" s="26" t="s">
        <v>20</v>
      </c>
      <c r="H96" s="27" t="s">
        <v>82</v>
      </c>
      <c r="I96" s="27" t="s">
        <v>82</v>
      </c>
      <c r="J96" s="25"/>
      <c r="K96" s="31" t="str">
        <f>"190,0"</f>
        <v>190,0</v>
      </c>
      <c r="L96" s="25" t="str">
        <f>"109,1360"</f>
        <v>109,1360</v>
      </c>
      <c r="M96" s="24"/>
    </row>
    <row r="97" spans="1:13">
      <c r="A97" s="25" t="s">
        <v>268</v>
      </c>
      <c r="B97" s="24" t="s">
        <v>766</v>
      </c>
      <c r="C97" s="24" t="s">
        <v>767</v>
      </c>
      <c r="D97" s="24" t="s">
        <v>768</v>
      </c>
      <c r="E97" s="24" t="s">
        <v>1182</v>
      </c>
      <c r="F97" s="24" t="s">
        <v>1113</v>
      </c>
      <c r="G97" s="26" t="s">
        <v>137</v>
      </c>
      <c r="H97" s="26" t="s">
        <v>359</v>
      </c>
      <c r="I97" s="27" t="s">
        <v>233</v>
      </c>
      <c r="J97" s="25"/>
      <c r="K97" s="31" t="str">
        <f>"182,5"</f>
        <v>182,5</v>
      </c>
      <c r="L97" s="25" t="str">
        <f>"104,4265"</f>
        <v>104,4265</v>
      </c>
      <c r="M97" s="24" t="s">
        <v>139</v>
      </c>
    </row>
    <row r="98" spans="1:13">
      <c r="A98" s="25" t="s">
        <v>270</v>
      </c>
      <c r="B98" s="24" t="s">
        <v>769</v>
      </c>
      <c r="C98" s="24" t="s">
        <v>770</v>
      </c>
      <c r="D98" s="24" t="s">
        <v>771</v>
      </c>
      <c r="E98" s="24" t="s">
        <v>1182</v>
      </c>
      <c r="F98" s="24" t="s">
        <v>1113</v>
      </c>
      <c r="G98" s="26" t="s">
        <v>137</v>
      </c>
      <c r="H98" s="27" t="s">
        <v>378</v>
      </c>
      <c r="I98" s="26" t="s">
        <v>378</v>
      </c>
      <c r="J98" s="25"/>
      <c r="K98" s="31" t="str">
        <f>"177,5"</f>
        <v>177,5</v>
      </c>
      <c r="L98" s="25" t="str">
        <f>"101,4767"</f>
        <v>101,4767</v>
      </c>
      <c r="M98" s="24" t="s">
        <v>596</v>
      </c>
    </row>
    <row r="99" spans="1:13">
      <c r="A99" s="25" t="s">
        <v>74</v>
      </c>
      <c r="B99" s="24" t="s">
        <v>772</v>
      </c>
      <c r="C99" s="24" t="s">
        <v>773</v>
      </c>
      <c r="D99" s="24" t="s">
        <v>774</v>
      </c>
      <c r="E99" s="24" t="s">
        <v>1183</v>
      </c>
      <c r="F99" s="24" t="s">
        <v>1113</v>
      </c>
      <c r="G99" s="26" t="s">
        <v>39</v>
      </c>
      <c r="H99" s="26" t="s">
        <v>55</v>
      </c>
      <c r="I99" s="27" t="s">
        <v>378</v>
      </c>
      <c r="J99" s="25"/>
      <c r="K99" s="31" t="str">
        <f>"170,0"</f>
        <v>170,0</v>
      </c>
      <c r="L99" s="25" t="str">
        <f>"105,5394"</f>
        <v>105,5394</v>
      </c>
      <c r="M99" s="24"/>
    </row>
    <row r="100" spans="1:13">
      <c r="A100" s="25" t="s">
        <v>267</v>
      </c>
      <c r="B100" s="24" t="s">
        <v>775</v>
      </c>
      <c r="C100" s="24" t="s">
        <v>776</v>
      </c>
      <c r="D100" s="24" t="s">
        <v>777</v>
      </c>
      <c r="E100" s="24" t="s">
        <v>1183</v>
      </c>
      <c r="F100" s="24" t="s">
        <v>1113</v>
      </c>
      <c r="G100" s="26" t="s">
        <v>17</v>
      </c>
      <c r="H100" s="27" t="s">
        <v>81</v>
      </c>
      <c r="I100" s="27" t="s">
        <v>81</v>
      </c>
      <c r="J100" s="25"/>
      <c r="K100" s="31" t="str">
        <f>"140,0"</f>
        <v>140,0</v>
      </c>
      <c r="L100" s="25" t="str">
        <f>"86,4470"</f>
        <v>86,4470</v>
      </c>
      <c r="M100" s="24" t="s">
        <v>1022</v>
      </c>
    </row>
    <row r="101" spans="1:13">
      <c r="A101" s="25" t="s">
        <v>269</v>
      </c>
      <c r="B101" s="24" t="s">
        <v>778</v>
      </c>
      <c r="C101" s="24" t="s">
        <v>779</v>
      </c>
      <c r="D101" s="24" t="s">
        <v>780</v>
      </c>
      <c r="E101" s="24" t="s">
        <v>1183</v>
      </c>
      <c r="F101" s="24" t="s">
        <v>1113</v>
      </c>
      <c r="G101" s="27" t="s">
        <v>212</v>
      </c>
      <c r="H101" s="27" t="s">
        <v>212</v>
      </c>
      <c r="I101" s="27" t="s">
        <v>212</v>
      </c>
      <c r="J101" s="25"/>
      <c r="K101" s="31">
        <v>0</v>
      </c>
      <c r="L101" s="25" t="str">
        <f>"0,0000"</f>
        <v>0,0000</v>
      </c>
      <c r="M101" s="24"/>
    </row>
    <row r="102" spans="1:13">
      <c r="A102" s="12" t="s">
        <v>74</v>
      </c>
      <c r="B102" s="11" t="s">
        <v>781</v>
      </c>
      <c r="C102" s="11" t="s">
        <v>782</v>
      </c>
      <c r="D102" s="11" t="s">
        <v>783</v>
      </c>
      <c r="E102" s="11" t="s">
        <v>1186</v>
      </c>
      <c r="F102" s="11" t="s">
        <v>1113</v>
      </c>
      <c r="G102" s="23" t="s">
        <v>17</v>
      </c>
      <c r="H102" s="23" t="s">
        <v>18</v>
      </c>
      <c r="I102" s="23" t="s">
        <v>19</v>
      </c>
      <c r="J102" s="12"/>
      <c r="K102" s="32" t="str">
        <f>"155,0"</f>
        <v>155,0</v>
      </c>
      <c r="L102" s="12" t="str">
        <f>"142,1490"</f>
        <v>142,1490</v>
      </c>
      <c r="M102" s="11"/>
    </row>
    <row r="103" spans="1:13">
      <c r="B103" s="5" t="s">
        <v>75</v>
      </c>
    </row>
    <row r="106" spans="1:13" ht="18">
      <c r="B106" s="13" t="s">
        <v>60</v>
      </c>
      <c r="C106" s="13"/>
    </row>
    <row r="107" spans="1:13" ht="16">
      <c r="B107" s="14" t="s">
        <v>249</v>
      </c>
      <c r="C107" s="14"/>
    </row>
    <row r="108" spans="1:13" ht="14">
      <c r="B108" s="15"/>
      <c r="C108" s="16" t="s">
        <v>71</v>
      </c>
    </row>
    <row r="109" spans="1:13" ht="14">
      <c r="B109" s="17" t="s">
        <v>63</v>
      </c>
      <c r="C109" s="17" t="s">
        <v>64</v>
      </c>
      <c r="D109" s="17" t="s">
        <v>1012</v>
      </c>
      <c r="E109" s="17" t="s">
        <v>471</v>
      </c>
      <c r="F109" s="17" t="s">
        <v>66</v>
      </c>
    </row>
    <row r="110" spans="1:13">
      <c r="B110" s="5" t="s">
        <v>622</v>
      </c>
      <c r="C110" s="5" t="s">
        <v>71</v>
      </c>
      <c r="D110" s="6" t="s">
        <v>444</v>
      </c>
      <c r="E110" s="6" t="s">
        <v>107</v>
      </c>
      <c r="F110" s="6" t="s">
        <v>784</v>
      </c>
    </row>
    <row r="111" spans="1:13">
      <c r="B111" s="5" t="s">
        <v>601</v>
      </c>
      <c r="C111" s="5" t="s">
        <v>71</v>
      </c>
      <c r="D111" s="6" t="s">
        <v>440</v>
      </c>
      <c r="E111" s="6" t="s">
        <v>149</v>
      </c>
      <c r="F111" s="6" t="s">
        <v>785</v>
      </c>
    </row>
    <row r="112" spans="1:13">
      <c r="B112" s="5" t="s">
        <v>607</v>
      </c>
      <c r="C112" s="5" t="s">
        <v>71</v>
      </c>
      <c r="D112" s="6" t="s">
        <v>251</v>
      </c>
      <c r="E112" s="6" t="s">
        <v>149</v>
      </c>
      <c r="F112" s="6" t="s">
        <v>786</v>
      </c>
    </row>
    <row r="114" spans="2:6" ht="16">
      <c r="B114" s="14" t="s">
        <v>61</v>
      </c>
      <c r="C114" s="14"/>
    </row>
    <row r="115" spans="2:6" ht="14">
      <c r="B115" s="15"/>
      <c r="C115" s="16" t="s">
        <v>62</v>
      </c>
    </row>
    <row r="116" spans="2:6" ht="14">
      <c r="B116" s="17" t="s">
        <v>63</v>
      </c>
      <c r="C116" s="17" t="s">
        <v>64</v>
      </c>
      <c r="D116" s="17" t="s">
        <v>1012</v>
      </c>
      <c r="E116" s="17" t="s">
        <v>471</v>
      </c>
      <c r="F116" s="17" t="s">
        <v>66</v>
      </c>
    </row>
    <row r="117" spans="2:6">
      <c r="B117" s="5" t="s">
        <v>663</v>
      </c>
      <c r="C117" s="5" t="s">
        <v>67</v>
      </c>
      <c r="D117" s="6" t="s">
        <v>252</v>
      </c>
      <c r="E117" s="6" t="s">
        <v>18</v>
      </c>
      <c r="F117" s="6" t="s">
        <v>788</v>
      </c>
    </row>
    <row r="118" spans="2:6">
      <c r="B118" s="5" t="s">
        <v>718</v>
      </c>
      <c r="C118" s="5" t="s">
        <v>67</v>
      </c>
      <c r="D118" s="6" t="s">
        <v>73</v>
      </c>
      <c r="E118" s="6" t="s">
        <v>136</v>
      </c>
      <c r="F118" s="6" t="s">
        <v>789</v>
      </c>
    </row>
    <row r="119" spans="2:6">
      <c r="B119" s="5" t="s">
        <v>712</v>
      </c>
      <c r="C119" s="5" t="s">
        <v>250</v>
      </c>
      <c r="D119" s="6" t="s">
        <v>73</v>
      </c>
      <c r="E119" s="6" t="s">
        <v>111</v>
      </c>
      <c r="F119" s="6" t="s">
        <v>790</v>
      </c>
    </row>
    <row r="120" spans="2:6">
      <c r="D120" s="6"/>
      <c r="E120" s="6"/>
      <c r="F120" s="6"/>
    </row>
    <row r="121" spans="2:6" ht="14">
      <c r="B121" s="15"/>
      <c r="C121" s="16" t="s">
        <v>71</v>
      </c>
    </row>
    <row r="122" spans="2:6" ht="14">
      <c r="B122" s="17" t="s">
        <v>63</v>
      </c>
      <c r="C122" s="17" t="s">
        <v>64</v>
      </c>
      <c r="D122" s="17" t="s">
        <v>1012</v>
      </c>
      <c r="E122" s="17" t="s">
        <v>471</v>
      </c>
      <c r="F122" s="17" t="s">
        <v>66</v>
      </c>
    </row>
    <row r="123" spans="2:6">
      <c r="B123" s="5" t="s">
        <v>760</v>
      </c>
      <c r="C123" s="5" t="s">
        <v>71</v>
      </c>
      <c r="D123" s="6" t="s">
        <v>441</v>
      </c>
      <c r="E123" s="6" t="s">
        <v>379</v>
      </c>
      <c r="F123" s="6" t="s">
        <v>791</v>
      </c>
    </row>
    <row r="124" spans="2:6">
      <c r="B124" s="5" t="s">
        <v>763</v>
      </c>
      <c r="C124" s="5" t="s">
        <v>71</v>
      </c>
      <c r="D124" s="6" t="s">
        <v>441</v>
      </c>
      <c r="E124" s="6" t="s">
        <v>20</v>
      </c>
      <c r="F124" s="6" t="s">
        <v>792</v>
      </c>
    </row>
    <row r="125" spans="2:6">
      <c r="B125" s="5" t="s">
        <v>766</v>
      </c>
      <c r="C125" s="5" t="s">
        <v>71</v>
      </c>
      <c r="D125" s="6" t="s">
        <v>441</v>
      </c>
      <c r="E125" s="6" t="s">
        <v>359</v>
      </c>
      <c r="F125" s="6" t="s">
        <v>793</v>
      </c>
    </row>
    <row r="127" spans="2:6" ht="14">
      <c r="B127" s="15"/>
      <c r="C127" s="16" t="s">
        <v>260</v>
      </c>
    </row>
    <row r="128" spans="2:6" ht="14">
      <c r="B128" s="17" t="s">
        <v>63</v>
      </c>
      <c r="C128" s="17" t="s">
        <v>64</v>
      </c>
      <c r="D128" s="17" t="s">
        <v>1012</v>
      </c>
      <c r="E128" s="17" t="s">
        <v>471</v>
      </c>
      <c r="F128" s="17" t="s">
        <v>66</v>
      </c>
    </row>
    <row r="129" spans="2:6">
      <c r="B129" s="5" t="s">
        <v>478</v>
      </c>
      <c r="C129" s="5" t="s">
        <v>473</v>
      </c>
      <c r="D129" s="6" t="s">
        <v>73</v>
      </c>
      <c r="E129" s="6" t="s">
        <v>22</v>
      </c>
      <c r="F129" s="6" t="s">
        <v>794</v>
      </c>
    </row>
    <row r="130" spans="2:6">
      <c r="B130" s="5" t="s">
        <v>781</v>
      </c>
      <c r="C130" s="5" t="s">
        <v>787</v>
      </c>
      <c r="D130" s="6" t="s">
        <v>441</v>
      </c>
      <c r="E130" s="6" t="s">
        <v>19</v>
      </c>
      <c r="F130" s="6" t="s">
        <v>795</v>
      </c>
    </row>
    <row r="131" spans="2:6">
      <c r="B131" s="5" t="s">
        <v>755</v>
      </c>
      <c r="C131" s="5" t="s">
        <v>261</v>
      </c>
      <c r="D131" s="6" t="s">
        <v>89</v>
      </c>
      <c r="E131" s="6" t="s">
        <v>56</v>
      </c>
      <c r="F131" s="6" t="s">
        <v>796</v>
      </c>
    </row>
    <row r="132" spans="2:6">
      <c r="B132" s="5" t="s">
        <v>75</v>
      </c>
    </row>
  </sheetData>
  <mergeCells count="25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94:J94"/>
    <mergeCell ref="B3:B4"/>
    <mergeCell ref="A35:J35"/>
    <mergeCell ref="A40:J40"/>
    <mergeCell ref="A49:J49"/>
    <mergeCell ref="A59:J59"/>
    <mergeCell ref="A70:J70"/>
    <mergeCell ref="A83:J83"/>
    <mergeCell ref="A11:J11"/>
    <mergeCell ref="A14:J14"/>
    <mergeCell ref="A20:J20"/>
    <mergeCell ref="A23:J23"/>
    <mergeCell ref="A27:J27"/>
    <mergeCell ref="A30:J3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M72"/>
  <sheetViews>
    <sheetView topLeftCell="A25" workbookViewId="0">
      <selection activeCell="E56" sqref="E56"/>
    </sheetView>
  </sheetViews>
  <sheetFormatPr baseColWidth="10" defaultColWidth="9.1640625" defaultRowHeight="13"/>
  <cols>
    <col min="1" max="1" width="7.5" style="5" bestFit="1" customWidth="1"/>
    <col min="2" max="2" width="20.16406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30.1640625" style="5" bestFit="1" customWidth="1"/>
    <col min="7" max="9" width="5.5" style="6" customWidth="1"/>
    <col min="10" max="10" width="4.83203125" style="6" customWidth="1"/>
    <col min="11" max="11" width="10.5" style="28" bestFit="1" customWidth="1"/>
    <col min="12" max="12" width="8.5" style="6" bestFit="1" customWidth="1"/>
    <col min="13" max="13" width="24.1640625" style="5" bestFit="1" customWidth="1"/>
    <col min="14" max="16384" width="9.1640625" style="3"/>
  </cols>
  <sheetData>
    <row r="1" spans="1:13" s="2" customFormat="1" ht="29" customHeight="1">
      <c r="A1" s="57" t="s">
        <v>1046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76</v>
      </c>
      <c r="B3" s="47" t="s">
        <v>0</v>
      </c>
      <c r="C3" s="67" t="s">
        <v>1180</v>
      </c>
      <c r="D3" s="67" t="s">
        <v>5</v>
      </c>
      <c r="E3" s="51" t="s">
        <v>1181</v>
      </c>
      <c r="F3" s="51" t="s">
        <v>6</v>
      </c>
      <c r="G3" s="51" t="s">
        <v>8</v>
      </c>
      <c r="H3" s="51"/>
      <c r="I3" s="51"/>
      <c r="J3" s="51"/>
      <c r="K3" s="49" t="s">
        <v>474</v>
      </c>
      <c r="L3" s="51" t="s">
        <v>3</v>
      </c>
      <c r="M3" s="53" t="s">
        <v>2</v>
      </c>
    </row>
    <row r="4" spans="1:13" s="1" customFormat="1" ht="21" customHeight="1" thickBot="1">
      <c r="A4" s="66"/>
      <c r="B4" s="48"/>
      <c r="C4" s="52"/>
      <c r="D4" s="52"/>
      <c r="E4" s="52"/>
      <c r="F4" s="52"/>
      <c r="G4" s="4">
        <v>1</v>
      </c>
      <c r="H4" s="4">
        <v>2</v>
      </c>
      <c r="I4" s="4">
        <v>3</v>
      </c>
      <c r="J4" s="4" t="s">
        <v>4</v>
      </c>
      <c r="K4" s="50"/>
      <c r="L4" s="52"/>
      <c r="M4" s="54"/>
    </row>
    <row r="5" spans="1:13" ht="16">
      <c r="A5" s="55" t="s">
        <v>158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8" t="s">
        <v>74</v>
      </c>
      <c r="B6" s="7" t="s">
        <v>457</v>
      </c>
      <c r="C6" s="7" t="s">
        <v>483</v>
      </c>
      <c r="D6" s="7" t="s">
        <v>459</v>
      </c>
      <c r="E6" s="7" t="s">
        <v>1187</v>
      </c>
      <c r="F6" s="7" t="s">
        <v>1120</v>
      </c>
      <c r="G6" s="18" t="s">
        <v>182</v>
      </c>
      <c r="H6" s="18" t="s">
        <v>364</v>
      </c>
      <c r="I6" s="18" t="s">
        <v>137</v>
      </c>
      <c r="J6" s="8"/>
      <c r="K6" s="29" t="str">
        <f>"175,0"</f>
        <v>175,0</v>
      </c>
      <c r="L6" s="8" t="str">
        <f>"152,5256"</f>
        <v>152,5256</v>
      </c>
      <c r="M6" s="7" t="s">
        <v>460</v>
      </c>
    </row>
    <row r="7" spans="1:13">
      <c r="B7" s="5" t="s">
        <v>75</v>
      </c>
    </row>
    <row r="8" spans="1:13" ht="16">
      <c r="A8" s="46" t="s">
        <v>141</v>
      </c>
      <c r="B8" s="46"/>
      <c r="C8" s="46"/>
      <c r="D8" s="46"/>
      <c r="E8" s="46"/>
      <c r="F8" s="46"/>
      <c r="G8" s="46"/>
      <c r="H8" s="46"/>
      <c r="I8" s="46"/>
      <c r="J8" s="46"/>
    </row>
    <row r="9" spans="1:13">
      <c r="A9" s="10" t="s">
        <v>74</v>
      </c>
      <c r="B9" s="9" t="s">
        <v>484</v>
      </c>
      <c r="C9" s="9" t="s">
        <v>485</v>
      </c>
      <c r="D9" s="9" t="s">
        <v>486</v>
      </c>
      <c r="E9" s="9" t="s">
        <v>1182</v>
      </c>
      <c r="F9" s="9" t="s">
        <v>1151</v>
      </c>
      <c r="G9" s="21" t="s">
        <v>55</v>
      </c>
      <c r="H9" s="21" t="s">
        <v>14</v>
      </c>
      <c r="I9" s="21" t="s">
        <v>56</v>
      </c>
      <c r="J9" s="10"/>
      <c r="K9" s="30" t="str">
        <f>"185,0"</f>
        <v>185,0</v>
      </c>
      <c r="L9" s="10" t="str">
        <f>"126,5030"</f>
        <v>126,5030</v>
      </c>
      <c r="M9" s="9"/>
    </row>
    <row r="10" spans="1:13">
      <c r="A10" s="25" t="s">
        <v>267</v>
      </c>
      <c r="B10" s="24" t="s">
        <v>487</v>
      </c>
      <c r="C10" s="24" t="s">
        <v>488</v>
      </c>
      <c r="D10" s="24" t="s">
        <v>489</v>
      </c>
      <c r="E10" s="24" t="s">
        <v>1182</v>
      </c>
      <c r="F10" s="24" t="s">
        <v>1152</v>
      </c>
      <c r="G10" s="27" t="s">
        <v>154</v>
      </c>
      <c r="H10" s="26" t="s">
        <v>154</v>
      </c>
      <c r="I10" s="26" t="s">
        <v>137</v>
      </c>
      <c r="J10" s="25"/>
      <c r="K10" s="31" t="str">
        <f>"175,0"</f>
        <v>175,0</v>
      </c>
      <c r="L10" s="25" t="str">
        <f>"117,8450"</f>
        <v>117,8450</v>
      </c>
      <c r="M10" s="24"/>
    </row>
    <row r="11" spans="1:13">
      <c r="A11" s="25" t="s">
        <v>268</v>
      </c>
      <c r="B11" s="24" t="s">
        <v>490</v>
      </c>
      <c r="C11" s="24" t="s">
        <v>491</v>
      </c>
      <c r="D11" s="24" t="s">
        <v>367</v>
      </c>
      <c r="E11" s="24" t="s">
        <v>1182</v>
      </c>
      <c r="F11" s="24" t="s">
        <v>1113</v>
      </c>
      <c r="G11" s="26" t="s">
        <v>81</v>
      </c>
      <c r="H11" s="26" t="s">
        <v>18</v>
      </c>
      <c r="I11" s="26" t="s">
        <v>19</v>
      </c>
      <c r="J11" s="25"/>
      <c r="K11" s="31" t="str">
        <f>"155,0"</f>
        <v>155,0</v>
      </c>
      <c r="L11" s="25" t="str">
        <f>"105,0745"</f>
        <v>105,0745</v>
      </c>
      <c r="M11" s="24" t="s">
        <v>748</v>
      </c>
    </row>
    <row r="12" spans="1:13">
      <c r="A12" s="25" t="s">
        <v>270</v>
      </c>
      <c r="B12" s="24" t="s">
        <v>492</v>
      </c>
      <c r="C12" s="24" t="s">
        <v>493</v>
      </c>
      <c r="D12" s="24" t="s">
        <v>494</v>
      </c>
      <c r="E12" s="24" t="s">
        <v>1182</v>
      </c>
      <c r="F12" s="24" t="s">
        <v>1130</v>
      </c>
      <c r="G12" s="26" t="s">
        <v>18</v>
      </c>
      <c r="H12" s="27" t="s">
        <v>19</v>
      </c>
      <c r="I12" s="27" t="s">
        <v>19</v>
      </c>
      <c r="J12" s="25"/>
      <c r="K12" s="31" t="str">
        <f>"150,0"</f>
        <v>150,0</v>
      </c>
      <c r="L12" s="25" t="str">
        <f>"101,6100"</f>
        <v>101,6100</v>
      </c>
      <c r="M12" s="24"/>
    </row>
    <row r="13" spans="1:13">
      <c r="A13" s="12" t="s">
        <v>449</v>
      </c>
      <c r="B13" s="11" t="s">
        <v>495</v>
      </c>
      <c r="C13" s="11" t="s">
        <v>496</v>
      </c>
      <c r="D13" s="11" t="s">
        <v>497</v>
      </c>
      <c r="E13" s="11" t="s">
        <v>1182</v>
      </c>
      <c r="F13" s="11" t="s">
        <v>1117</v>
      </c>
      <c r="G13" s="23" t="s">
        <v>169</v>
      </c>
      <c r="H13" s="23" t="s">
        <v>135</v>
      </c>
      <c r="I13" s="22" t="s">
        <v>19</v>
      </c>
      <c r="J13" s="12"/>
      <c r="K13" s="32" t="str">
        <f>"147,5"</f>
        <v>147,5</v>
      </c>
      <c r="L13" s="12" t="str">
        <f>"100,2262"</f>
        <v>100,2262</v>
      </c>
      <c r="M13" s="11" t="s">
        <v>1081</v>
      </c>
    </row>
    <row r="14" spans="1:13">
      <c r="B14" s="5" t="s">
        <v>75</v>
      </c>
    </row>
    <row r="15" spans="1:13" ht="16">
      <c r="A15" s="46" t="s">
        <v>10</v>
      </c>
      <c r="B15" s="46"/>
      <c r="C15" s="46"/>
      <c r="D15" s="46"/>
      <c r="E15" s="46"/>
      <c r="F15" s="46"/>
      <c r="G15" s="46"/>
      <c r="H15" s="46"/>
      <c r="I15" s="46"/>
      <c r="J15" s="46"/>
    </row>
    <row r="16" spans="1:13">
      <c r="A16" s="10" t="s">
        <v>74</v>
      </c>
      <c r="B16" s="9" t="s">
        <v>498</v>
      </c>
      <c r="C16" s="9" t="s">
        <v>499</v>
      </c>
      <c r="D16" s="9" t="s">
        <v>382</v>
      </c>
      <c r="E16" s="9" t="s">
        <v>1182</v>
      </c>
      <c r="F16" s="9" t="s">
        <v>1113</v>
      </c>
      <c r="G16" s="21" t="s">
        <v>379</v>
      </c>
      <c r="H16" s="21" t="s">
        <v>82</v>
      </c>
      <c r="I16" s="21" t="s">
        <v>21</v>
      </c>
      <c r="J16" s="10"/>
      <c r="K16" s="30" t="str">
        <f>"205,0"</f>
        <v>205,0</v>
      </c>
      <c r="L16" s="10" t="str">
        <f>"131,1590"</f>
        <v>131,1590</v>
      </c>
      <c r="M16" s="9" t="s">
        <v>1033</v>
      </c>
    </row>
    <row r="17" spans="1:13">
      <c r="A17" s="25" t="s">
        <v>267</v>
      </c>
      <c r="B17" s="24" t="s">
        <v>500</v>
      </c>
      <c r="C17" s="24" t="s">
        <v>501</v>
      </c>
      <c r="D17" s="24" t="s">
        <v>502</v>
      </c>
      <c r="E17" s="24" t="s">
        <v>1182</v>
      </c>
      <c r="F17" s="24" t="s">
        <v>1116</v>
      </c>
      <c r="G17" s="26" t="s">
        <v>379</v>
      </c>
      <c r="H17" s="27" t="s">
        <v>82</v>
      </c>
      <c r="I17" s="27" t="s">
        <v>82</v>
      </c>
      <c r="J17" s="25"/>
      <c r="K17" s="31" t="str">
        <f>"192,5"</f>
        <v>192,5</v>
      </c>
      <c r="L17" s="25" t="str">
        <f>"123,8160"</f>
        <v>123,8160</v>
      </c>
      <c r="M17" s="24" t="s">
        <v>1082</v>
      </c>
    </row>
    <row r="18" spans="1:13">
      <c r="A18" s="25" t="s">
        <v>268</v>
      </c>
      <c r="B18" s="24" t="s">
        <v>179</v>
      </c>
      <c r="C18" s="24" t="s">
        <v>180</v>
      </c>
      <c r="D18" s="24" t="s">
        <v>181</v>
      </c>
      <c r="E18" s="24" t="s">
        <v>1182</v>
      </c>
      <c r="F18" s="24" t="s">
        <v>1128</v>
      </c>
      <c r="G18" s="26" t="s">
        <v>39</v>
      </c>
      <c r="H18" s="26" t="s">
        <v>137</v>
      </c>
      <c r="I18" s="25"/>
      <c r="J18" s="25"/>
      <c r="K18" s="31" t="str">
        <f>"175,0"</f>
        <v>175,0</v>
      </c>
      <c r="L18" s="25" t="str">
        <f>"113,2425"</f>
        <v>113,2425</v>
      </c>
      <c r="M18" s="24"/>
    </row>
    <row r="19" spans="1:13">
      <c r="A19" s="12" t="s">
        <v>74</v>
      </c>
      <c r="B19" s="11" t="s">
        <v>503</v>
      </c>
      <c r="C19" s="11" t="s">
        <v>504</v>
      </c>
      <c r="D19" s="11" t="s">
        <v>505</v>
      </c>
      <c r="E19" s="11" t="s">
        <v>1187</v>
      </c>
      <c r="F19" s="11" t="s">
        <v>1153</v>
      </c>
      <c r="G19" s="23" t="s">
        <v>109</v>
      </c>
      <c r="H19" s="23" t="s">
        <v>111</v>
      </c>
      <c r="I19" s="23" t="s">
        <v>99</v>
      </c>
      <c r="J19" s="12"/>
      <c r="K19" s="32" t="str">
        <f>"130,0"</f>
        <v>130,0</v>
      </c>
      <c r="L19" s="12" t="str">
        <f>"110,5576"</f>
        <v>110,5576</v>
      </c>
      <c r="M19" s="11"/>
    </row>
    <row r="20" spans="1:13">
      <c r="B20" s="5" t="s">
        <v>75</v>
      </c>
    </row>
    <row r="21" spans="1:13" ht="16">
      <c r="A21" s="46" t="s">
        <v>23</v>
      </c>
      <c r="B21" s="46"/>
      <c r="C21" s="46"/>
      <c r="D21" s="46"/>
      <c r="E21" s="46"/>
      <c r="F21" s="46"/>
      <c r="G21" s="46"/>
      <c r="H21" s="46"/>
      <c r="I21" s="46"/>
      <c r="J21" s="46"/>
    </row>
    <row r="22" spans="1:13">
      <c r="A22" s="10" t="s">
        <v>74</v>
      </c>
      <c r="B22" s="33" t="s">
        <v>506</v>
      </c>
      <c r="C22" s="9" t="s">
        <v>507</v>
      </c>
      <c r="D22" s="9" t="s">
        <v>508</v>
      </c>
      <c r="E22" s="9" t="s">
        <v>1182</v>
      </c>
      <c r="F22" s="9" t="s">
        <v>1190</v>
      </c>
      <c r="G22" s="21" t="s">
        <v>49</v>
      </c>
      <c r="H22" s="21" t="s">
        <v>40</v>
      </c>
      <c r="I22" s="20" t="s">
        <v>36</v>
      </c>
      <c r="J22" s="10"/>
      <c r="K22" s="30" t="str">
        <f>"230,0"</f>
        <v>230,0</v>
      </c>
      <c r="L22" s="10" t="str">
        <f>"145,0840"</f>
        <v>145,0840</v>
      </c>
      <c r="M22" s="9"/>
    </row>
    <row r="23" spans="1:13">
      <c r="A23" s="25" t="s">
        <v>267</v>
      </c>
      <c r="B23" s="34" t="s">
        <v>509</v>
      </c>
      <c r="C23" s="24" t="s">
        <v>510</v>
      </c>
      <c r="D23" s="24" t="s">
        <v>199</v>
      </c>
      <c r="E23" s="24" t="s">
        <v>1182</v>
      </c>
      <c r="F23" s="24" t="s">
        <v>1113</v>
      </c>
      <c r="G23" s="26" t="s">
        <v>16</v>
      </c>
      <c r="H23" s="26" t="s">
        <v>49</v>
      </c>
      <c r="I23" s="26" t="s">
        <v>178</v>
      </c>
      <c r="J23" s="25"/>
      <c r="K23" s="31" t="str">
        <f>"225,0"</f>
        <v>225,0</v>
      </c>
      <c r="L23" s="25" t="str">
        <f>"136,9800"</f>
        <v>136,9800</v>
      </c>
      <c r="M23" s="24"/>
    </row>
    <row r="24" spans="1:13">
      <c r="A24" s="25" t="s">
        <v>268</v>
      </c>
      <c r="B24" s="34" t="s">
        <v>24</v>
      </c>
      <c r="C24" s="24" t="s">
        <v>25</v>
      </c>
      <c r="D24" s="24" t="s">
        <v>26</v>
      </c>
      <c r="E24" s="24" t="s">
        <v>1182</v>
      </c>
      <c r="F24" s="24" t="s">
        <v>1177</v>
      </c>
      <c r="G24" s="26" t="s">
        <v>373</v>
      </c>
      <c r="H24" s="26" t="s">
        <v>22</v>
      </c>
      <c r="I24" s="26" t="s">
        <v>49</v>
      </c>
      <c r="J24" s="25"/>
      <c r="K24" s="31" t="str">
        <f>"220,0"</f>
        <v>220,0</v>
      </c>
      <c r="L24" s="25" t="str">
        <f>"134,2220"</f>
        <v>134,2220</v>
      </c>
      <c r="M24" s="24" t="s">
        <v>1065</v>
      </c>
    </row>
    <row r="25" spans="1:13">
      <c r="A25" s="25" t="s">
        <v>270</v>
      </c>
      <c r="B25" s="34" t="s">
        <v>511</v>
      </c>
      <c r="C25" s="24" t="s">
        <v>512</v>
      </c>
      <c r="D25" s="24" t="s">
        <v>199</v>
      </c>
      <c r="E25" s="24" t="s">
        <v>1182</v>
      </c>
      <c r="F25" s="24" t="s">
        <v>1118</v>
      </c>
      <c r="G25" s="26" t="s">
        <v>56</v>
      </c>
      <c r="H25" s="26" t="s">
        <v>379</v>
      </c>
      <c r="I25" s="27" t="s">
        <v>82</v>
      </c>
      <c r="J25" s="25"/>
      <c r="K25" s="31" t="str">
        <f>"192,5"</f>
        <v>192,5</v>
      </c>
      <c r="L25" s="25" t="str">
        <f>"117,1940"</f>
        <v>117,1940</v>
      </c>
      <c r="M25" s="24"/>
    </row>
    <row r="26" spans="1:13">
      <c r="A26" s="25" t="s">
        <v>449</v>
      </c>
      <c r="B26" s="34" t="s">
        <v>513</v>
      </c>
      <c r="C26" s="24" t="s">
        <v>514</v>
      </c>
      <c r="D26" s="24" t="s">
        <v>515</v>
      </c>
      <c r="E26" s="24" t="s">
        <v>1182</v>
      </c>
      <c r="F26" s="24" t="s">
        <v>1117</v>
      </c>
      <c r="G26" s="26" t="s">
        <v>14</v>
      </c>
      <c r="H26" s="26" t="s">
        <v>20</v>
      </c>
      <c r="I26" s="27" t="s">
        <v>15</v>
      </c>
      <c r="J26" s="25"/>
      <c r="K26" s="31" t="str">
        <f>"190,0"</f>
        <v>190,0</v>
      </c>
      <c r="L26" s="25" t="str">
        <f>"117,5340"</f>
        <v>117,5340</v>
      </c>
      <c r="M26" s="24" t="s">
        <v>516</v>
      </c>
    </row>
    <row r="27" spans="1:13">
      <c r="A27" s="25" t="s">
        <v>583</v>
      </c>
      <c r="B27" s="34" t="s">
        <v>517</v>
      </c>
      <c r="C27" s="24" t="s">
        <v>518</v>
      </c>
      <c r="D27" s="24" t="s">
        <v>411</v>
      </c>
      <c r="E27" s="24" t="s">
        <v>1182</v>
      </c>
      <c r="F27" s="24" t="s">
        <v>1154</v>
      </c>
      <c r="G27" s="26" t="s">
        <v>55</v>
      </c>
      <c r="H27" s="26" t="s">
        <v>14</v>
      </c>
      <c r="I27" s="26" t="s">
        <v>20</v>
      </c>
      <c r="J27" s="25"/>
      <c r="K27" s="31" t="str">
        <f>"190,0"</f>
        <v>190,0</v>
      </c>
      <c r="L27" s="25" t="str">
        <f>"116,7360"</f>
        <v>116,7360</v>
      </c>
      <c r="M27" s="24" t="s">
        <v>1083</v>
      </c>
    </row>
    <row r="28" spans="1:13">
      <c r="A28" s="25" t="s">
        <v>584</v>
      </c>
      <c r="B28" s="34" t="s">
        <v>519</v>
      </c>
      <c r="C28" s="24" t="s">
        <v>520</v>
      </c>
      <c r="D28" s="24" t="s">
        <v>521</v>
      </c>
      <c r="E28" s="24" t="s">
        <v>1182</v>
      </c>
      <c r="F28" s="24" t="s">
        <v>1130</v>
      </c>
      <c r="G28" s="26" t="s">
        <v>378</v>
      </c>
      <c r="H28" s="26" t="s">
        <v>56</v>
      </c>
      <c r="I28" s="26" t="s">
        <v>20</v>
      </c>
      <c r="J28" s="25"/>
      <c r="K28" s="31" t="str">
        <f>"190,0"</f>
        <v>190,0</v>
      </c>
      <c r="L28" s="25" t="str">
        <f>"116,2420"</f>
        <v>116,2420</v>
      </c>
      <c r="M28" s="24" t="s">
        <v>1038</v>
      </c>
    </row>
    <row r="29" spans="1:13">
      <c r="A29" s="25" t="s">
        <v>585</v>
      </c>
      <c r="B29" s="34" t="s">
        <v>522</v>
      </c>
      <c r="C29" s="24" t="s">
        <v>523</v>
      </c>
      <c r="D29" s="24" t="s">
        <v>524</v>
      </c>
      <c r="E29" s="24" t="s">
        <v>1182</v>
      </c>
      <c r="F29" s="24" t="s">
        <v>1113</v>
      </c>
      <c r="G29" s="26" t="s">
        <v>39</v>
      </c>
      <c r="H29" s="26" t="s">
        <v>154</v>
      </c>
      <c r="I29" s="26" t="s">
        <v>182</v>
      </c>
      <c r="J29" s="25"/>
      <c r="K29" s="31" t="str">
        <f>"167,5"</f>
        <v>167,5</v>
      </c>
      <c r="L29" s="25" t="str">
        <f>"102,4430"</f>
        <v>102,4430</v>
      </c>
      <c r="M29" s="24"/>
    </row>
    <row r="30" spans="1:13">
      <c r="A30" s="25" t="s">
        <v>74</v>
      </c>
      <c r="B30" s="34" t="s">
        <v>525</v>
      </c>
      <c r="C30" s="24" t="s">
        <v>526</v>
      </c>
      <c r="D30" s="24" t="s">
        <v>527</v>
      </c>
      <c r="E30" s="24" t="s">
        <v>1183</v>
      </c>
      <c r="F30" s="24" t="s">
        <v>1113</v>
      </c>
      <c r="G30" s="26" t="s">
        <v>14</v>
      </c>
      <c r="H30" s="26" t="s">
        <v>20</v>
      </c>
      <c r="I30" s="26" t="s">
        <v>82</v>
      </c>
      <c r="J30" s="25"/>
      <c r="K30" s="31" t="str">
        <f>"200,0"</f>
        <v>200,0</v>
      </c>
      <c r="L30" s="25" t="str">
        <f>"124,5598"</f>
        <v>124,5598</v>
      </c>
      <c r="M30" s="24"/>
    </row>
    <row r="31" spans="1:13">
      <c r="A31" s="25" t="s">
        <v>267</v>
      </c>
      <c r="B31" s="34" t="s">
        <v>511</v>
      </c>
      <c r="C31" s="24" t="s">
        <v>528</v>
      </c>
      <c r="D31" s="24" t="s">
        <v>199</v>
      </c>
      <c r="E31" s="24" t="s">
        <v>1183</v>
      </c>
      <c r="F31" s="24" t="s">
        <v>1118</v>
      </c>
      <c r="G31" s="26" t="s">
        <v>56</v>
      </c>
      <c r="H31" s="26" t="s">
        <v>379</v>
      </c>
      <c r="I31" s="27" t="s">
        <v>82</v>
      </c>
      <c r="J31" s="25"/>
      <c r="K31" s="31" t="str">
        <f>"192,5"</f>
        <v>192,5</v>
      </c>
      <c r="L31" s="25" t="str">
        <f>"130,5541"</f>
        <v>130,5541</v>
      </c>
      <c r="M31" s="24"/>
    </row>
    <row r="32" spans="1:13">
      <c r="A32" s="25" t="s">
        <v>268</v>
      </c>
      <c r="B32" s="34" t="s">
        <v>529</v>
      </c>
      <c r="C32" s="24" t="s">
        <v>530</v>
      </c>
      <c r="D32" s="24" t="s">
        <v>531</v>
      </c>
      <c r="E32" s="24" t="s">
        <v>1183</v>
      </c>
      <c r="F32" s="24" t="s">
        <v>1155</v>
      </c>
      <c r="G32" s="26" t="s">
        <v>137</v>
      </c>
      <c r="H32" s="26" t="s">
        <v>14</v>
      </c>
      <c r="I32" s="26" t="s">
        <v>56</v>
      </c>
      <c r="J32" s="25"/>
      <c r="K32" s="31" t="str">
        <f>"185,0"</f>
        <v>185,0</v>
      </c>
      <c r="L32" s="25" t="str">
        <f>"113,4235"</f>
        <v>113,4235</v>
      </c>
      <c r="M32" s="24" t="s">
        <v>1084</v>
      </c>
    </row>
    <row r="33" spans="1:13">
      <c r="A33" s="12" t="s">
        <v>74</v>
      </c>
      <c r="B33" s="35" t="s">
        <v>532</v>
      </c>
      <c r="C33" s="11" t="s">
        <v>533</v>
      </c>
      <c r="D33" s="11" t="s">
        <v>534</v>
      </c>
      <c r="E33" s="11" t="s">
        <v>1186</v>
      </c>
      <c r="F33" s="11" t="s">
        <v>1156</v>
      </c>
      <c r="G33" s="23" t="s">
        <v>111</v>
      </c>
      <c r="H33" s="23" t="s">
        <v>125</v>
      </c>
      <c r="I33" s="22" t="s">
        <v>99</v>
      </c>
      <c r="J33" s="12"/>
      <c r="K33" s="32" t="str">
        <f>"125,0"</f>
        <v>125,0</v>
      </c>
      <c r="L33" s="12" t="str">
        <f>"117,7919"</f>
        <v>117,7919</v>
      </c>
      <c r="M33" s="11"/>
    </row>
    <row r="34" spans="1:13">
      <c r="B34" s="5" t="s">
        <v>75</v>
      </c>
    </row>
    <row r="35" spans="1:13" ht="16">
      <c r="A35" s="46" t="s">
        <v>32</v>
      </c>
      <c r="B35" s="46"/>
      <c r="C35" s="46"/>
      <c r="D35" s="46"/>
      <c r="E35" s="46"/>
      <c r="F35" s="46"/>
      <c r="G35" s="46"/>
      <c r="H35" s="46"/>
      <c r="I35" s="46"/>
      <c r="J35" s="46"/>
    </row>
    <row r="36" spans="1:13">
      <c r="A36" s="10" t="s">
        <v>74</v>
      </c>
      <c r="B36" s="9" t="s">
        <v>535</v>
      </c>
      <c r="C36" s="9" t="s">
        <v>536</v>
      </c>
      <c r="D36" s="9" t="s">
        <v>537</v>
      </c>
      <c r="E36" s="9" t="s">
        <v>1182</v>
      </c>
      <c r="F36" s="9" t="s">
        <v>1157</v>
      </c>
      <c r="G36" s="21" t="s">
        <v>379</v>
      </c>
      <c r="H36" s="21" t="s">
        <v>538</v>
      </c>
      <c r="I36" s="20" t="s">
        <v>82</v>
      </c>
      <c r="J36" s="10"/>
      <c r="K36" s="30" t="str">
        <f>"197,5"</f>
        <v>197,5</v>
      </c>
      <c r="L36" s="10" t="str">
        <f>"116,4657"</f>
        <v>116,4657</v>
      </c>
      <c r="M36" s="9"/>
    </row>
    <row r="37" spans="1:13">
      <c r="A37" s="25" t="s">
        <v>267</v>
      </c>
      <c r="B37" s="24" t="s">
        <v>539</v>
      </c>
      <c r="C37" s="24" t="s">
        <v>540</v>
      </c>
      <c r="D37" s="24" t="s">
        <v>541</v>
      </c>
      <c r="E37" s="24" t="s">
        <v>1182</v>
      </c>
      <c r="F37" s="24" t="s">
        <v>1158</v>
      </c>
      <c r="G37" s="26" t="s">
        <v>14</v>
      </c>
      <c r="H37" s="26" t="s">
        <v>20</v>
      </c>
      <c r="I37" s="27" t="s">
        <v>538</v>
      </c>
      <c r="J37" s="25"/>
      <c r="K37" s="31" t="str">
        <f>"190,0"</f>
        <v>190,0</v>
      </c>
      <c r="L37" s="25" t="str">
        <f>"112,5370"</f>
        <v>112,5370</v>
      </c>
      <c r="M37" s="24"/>
    </row>
    <row r="38" spans="1:13">
      <c r="A38" s="25" t="s">
        <v>268</v>
      </c>
      <c r="B38" s="24" t="s">
        <v>542</v>
      </c>
      <c r="C38" s="24" t="s">
        <v>543</v>
      </c>
      <c r="D38" s="24" t="s">
        <v>544</v>
      </c>
      <c r="E38" s="24" t="s">
        <v>1182</v>
      </c>
      <c r="F38" s="24" t="s">
        <v>1159</v>
      </c>
      <c r="G38" s="26" t="s">
        <v>56</v>
      </c>
      <c r="H38" s="27" t="s">
        <v>20</v>
      </c>
      <c r="I38" s="27" t="s">
        <v>20</v>
      </c>
      <c r="J38" s="25"/>
      <c r="K38" s="31" t="str">
        <f>"185,0"</f>
        <v>185,0</v>
      </c>
      <c r="L38" s="25" t="str">
        <f>"110,7780"</f>
        <v>110,7780</v>
      </c>
      <c r="M38" s="24" t="s">
        <v>1021</v>
      </c>
    </row>
    <row r="39" spans="1:13">
      <c r="A39" s="25" t="s">
        <v>270</v>
      </c>
      <c r="B39" s="24" t="s">
        <v>545</v>
      </c>
      <c r="C39" s="24" t="s">
        <v>546</v>
      </c>
      <c r="D39" s="24" t="s">
        <v>547</v>
      </c>
      <c r="E39" s="24" t="s">
        <v>1182</v>
      </c>
      <c r="F39" s="24" t="s">
        <v>1113</v>
      </c>
      <c r="G39" s="26" t="s">
        <v>359</v>
      </c>
      <c r="H39" s="27" t="s">
        <v>233</v>
      </c>
      <c r="I39" s="27" t="s">
        <v>233</v>
      </c>
      <c r="J39" s="25"/>
      <c r="K39" s="31" t="str">
        <f>"182,5"</f>
        <v>182,5</v>
      </c>
      <c r="L39" s="25" t="str">
        <f>"108,1860"</f>
        <v>108,1860</v>
      </c>
      <c r="M39" s="24"/>
    </row>
    <row r="40" spans="1:13">
      <c r="A40" s="25" t="s">
        <v>449</v>
      </c>
      <c r="B40" s="24" t="s">
        <v>548</v>
      </c>
      <c r="C40" s="24" t="s">
        <v>549</v>
      </c>
      <c r="D40" s="24" t="s">
        <v>550</v>
      </c>
      <c r="E40" s="24" t="s">
        <v>1182</v>
      </c>
      <c r="F40" s="24" t="s">
        <v>1113</v>
      </c>
      <c r="G40" s="27" t="s">
        <v>55</v>
      </c>
      <c r="H40" s="26" t="s">
        <v>378</v>
      </c>
      <c r="I40" s="27" t="s">
        <v>359</v>
      </c>
      <c r="J40" s="25"/>
      <c r="K40" s="31" t="str">
        <f>"177,5"</f>
        <v>177,5</v>
      </c>
      <c r="L40" s="25" t="str">
        <f>"106,5000"</f>
        <v>106,5000</v>
      </c>
      <c r="M40" s="24"/>
    </row>
    <row r="41" spans="1:13">
      <c r="A41" s="25" t="s">
        <v>583</v>
      </c>
      <c r="B41" s="24" t="s">
        <v>551</v>
      </c>
      <c r="C41" s="24" t="s">
        <v>552</v>
      </c>
      <c r="D41" s="24" t="s">
        <v>553</v>
      </c>
      <c r="E41" s="24" t="s">
        <v>1182</v>
      </c>
      <c r="F41" s="24" t="s">
        <v>1121</v>
      </c>
      <c r="G41" s="27" t="s">
        <v>18</v>
      </c>
      <c r="H41" s="26" t="s">
        <v>18</v>
      </c>
      <c r="I41" s="26" t="s">
        <v>39</v>
      </c>
      <c r="J41" s="25"/>
      <c r="K41" s="31" t="str">
        <f>"160,0"</f>
        <v>160,0</v>
      </c>
      <c r="L41" s="25" t="str">
        <f>"97,1840"</f>
        <v>97,1840</v>
      </c>
      <c r="M41" s="24" t="s">
        <v>1085</v>
      </c>
    </row>
    <row r="42" spans="1:13">
      <c r="A42" s="12" t="s">
        <v>74</v>
      </c>
      <c r="B42" s="11" t="s">
        <v>554</v>
      </c>
      <c r="C42" s="11" t="s">
        <v>555</v>
      </c>
      <c r="D42" s="11" t="s">
        <v>556</v>
      </c>
      <c r="E42" s="11" t="s">
        <v>1183</v>
      </c>
      <c r="F42" s="11" t="s">
        <v>1156</v>
      </c>
      <c r="G42" s="23" t="s">
        <v>39</v>
      </c>
      <c r="H42" s="23" t="s">
        <v>154</v>
      </c>
      <c r="I42" s="22" t="s">
        <v>55</v>
      </c>
      <c r="J42" s="12"/>
      <c r="K42" s="32" t="str">
        <f>"165,0"</f>
        <v>165,0</v>
      </c>
      <c r="L42" s="12" t="str">
        <f>"113,4875"</f>
        <v>113,4875</v>
      </c>
      <c r="M42" s="11"/>
    </row>
    <row r="43" spans="1:13">
      <c r="B43" s="5" t="s">
        <v>75</v>
      </c>
    </row>
    <row r="44" spans="1:13" ht="16">
      <c r="A44" s="46" t="s">
        <v>229</v>
      </c>
      <c r="B44" s="46"/>
      <c r="C44" s="46"/>
      <c r="D44" s="46"/>
      <c r="E44" s="46"/>
      <c r="F44" s="46"/>
      <c r="G44" s="46"/>
      <c r="H44" s="46"/>
      <c r="I44" s="46"/>
      <c r="J44" s="46"/>
    </row>
    <row r="45" spans="1:13">
      <c r="A45" s="10" t="s">
        <v>74</v>
      </c>
      <c r="B45" s="9" t="s">
        <v>557</v>
      </c>
      <c r="C45" s="9" t="s">
        <v>558</v>
      </c>
      <c r="D45" s="9" t="s">
        <v>559</v>
      </c>
      <c r="E45" s="9" t="s">
        <v>1183</v>
      </c>
      <c r="F45" s="9" t="s">
        <v>1139</v>
      </c>
      <c r="G45" s="21" t="s">
        <v>82</v>
      </c>
      <c r="H45" s="20" t="s">
        <v>16</v>
      </c>
      <c r="I45" s="20" t="s">
        <v>16</v>
      </c>
      <c r="J45" s="10"/>
      <c r="K45" s="30" t="str">
        <f>"200,0"</f>
        <v>200,0</v>
      </c>
      <c r="L45" s="10" t="str">
        <f>"132,8289"</f>
        <v>132,8289</v>
      </c>
      <c r="M45" s="9" t="s">
        <v>1086</v>
      </c>
    </row>
    <row r="46" spans="1:13">
      <c r="A46" s="12" t="s">
        <v>74</v>
      </c>
      <c r="B46" s="11" t="s">
        <v>560</v>
      </c>
      <c r="C46" s="11" t="s">
        <v>561</v>
      </c>
      <c r="D46" s="11" t="s">
        <v>562</v>
      </c>
      <c r="E46" s="11" t="s">
        <v>1187</v>
      </c>
      <c r="F46" s="11" t="s">
        <v>1113</v>
      </c>
      <c r="G46" s="23" t="s">
        <v>14</v>
      </c>
      <c r="H46" s="23" t="s">
        <v>20</v>
      </c>
      <c r="I46" s="22" t="s">
        <v>15</v>
      </c>
      <c r="J46" s="12"/>
      <c r="K46" s="32" t="str">
        <f>"190,0"</f>
        <v>190,0</v>
      </c>
      <c r="L46" s="12" t="str">
        <f>"145,1067"</f>
        <v>145,1067</v>
      </c>
      <c r="M46" s="11" t="s">
        <v>563</v>
      </c>
    </row>
    <row r="47" spans="1:13">
      <c r="B47" s="5" t="s">
        <v>75</v>
      </c>
    </row>
    <row r="48" spans="1:13" ht="16">
      <c r="A48" s="46" t="s">
        <v>42</v>
      </c>
      <c r="B48" s="46"/>
      <c r="C48" s="46"/>
      <c r="D48" s="46"/>
      <c r="E48" s="46"/>
      <c r="F48" s="46"/>
      <c r="G48" s="46"/>
      <c r="H48" s="46"/>
      <c r="I48" s="46"/>
      <c r="J48" s="46"/>
    </row>
    <row r="49" spans="1:13">
      <c r="A49" s="10" t="s">
        <v>74</v>
      </c>
      <c r="B49" s="9" t="s">
        <v>564</v>
      </c>
      <c r="C49" s="9" t="s">
        <v>565</v>
      </c>
      <c r="D49" s="9" t="s">
        <v>566</v>
      </c>
      <c r="E49" s="9" t="s">
        <v>1185</v>
      </c>
      <c r="F49" s="9" t="s">
        <v>1142</v>
      </c>
      <c r="G49" s="21" t="s">
        <v>154</v>
      </c>
      <c r="H49" s="21" t="s">
        <v>137</v>
      </c>
      <c r="I49" s="21" t="s">
        <v>359</v>
      </c>
      <c r="J49" s="10"/>
      <c r="K49" s="30" t="str">
        <f>"182,5"</f>
        <v>182,5</v>
      </c>
      <c r="L49" s="10" t="str">
        <f>"103,6418"</f>
        <v>103,6418</v>
      </c>
      <c r="M49" s="9" t="s">
        <v>1087</v>
      </c>
    </row>
    <row r="50" spans="1:13">
      <c r="A50" s="25" t="s">
        <v>74</v>
      </c>
      <c r="B50" s="24" t="s">
        <v>567</v>
      </c>
      <c r="C50" s="24" t="s">
        <v>568</v>
      </c>
      <c r="D50" s="24" t="s">
        <v>569</v>
      </c>
      <c r="E50" s="24" t="s">
        <v>1182</v>
      </c>
      <c r="F50" s="24" t="s">
        <v>1113</v>
      </c>
      <c r="G50" s="26" t="s">
        <v>16</v>
      </c>
      <c r="H50" s="26" t="s">
        <v>22</v>
      </c>
      <c r="I50" s="27" t="s">
        <v>49</v>
      </c>
      <c r="J50" s="25"/>
      <c r="K50" s="31" t="str">
        <f>"215,0"</f>
        <v>215,0</v>
      </c>
      <c r="L50" s="25" t="str">
        <f>"121,1740"</f>
        <v>121,1740</v>
      </c>
      <c r="M50" s="24"/>
    </row>
    <row r="51" spans="1:13">
      <c r="A51" s="25" t="s">
        <v>269</v>
      </c>
      <c r="B51" s="24" t="s">
        <v>570</v>
      </c>
      <c r="C51" s="24" t="s">
        <v>571</v>
      </c>
      <c r="D51" s="24" t="s">
        <v>572</v>
      </c>
      <c r="E51" s="24" t="s">
        <v>1182</v>
      </c>
      <c r="F51" s="24" t="s">
        <v>1134</v>
      </c>
      <c r="G51" s="27" t="s">
        <v>20</v>
      </c>
      <c r="H51" s="27" t="s">
        <v>20</v>
      </c>
      <c r="I51" s="27" t="s">
        <v>20</v>
      </c>
      <c r="J51" s="25"/>
      <c r="K51" s="31">
        <v>0</v>
      </c>
      <c r="L51" s="25" t="str">
        <f>"0,0000"</f>
        <v>0,0000</v>
      </c>
      <c r="M51" s="24"/>
    </row>
    <row r="52" spans="1:13">
      <c r="A52" s="12" t="s">
        <v>74</v>
      </c>
      <c r="B52" s="11" t="s">
        <v>567</v>
      </c>
      <c r="C52" s="11" t="s">
        <v>573</v>
      </c>
      <c r="D52" s="11" t="s">
        <v>569</v>
      </c>
      <c r="E52" s="11" t="s">
        <v>1183</v>
      </c>
      <c r="F52" s="11" t="s">
        <v>1113</v>
      </c>
      <c r="G52" s="23" t="s">
        <v>16</v>
      </c>
      <c r="H52" s="23" t="s">
        <v>22</v>
      </c>
      <c r="I52" s="22" t="s">
        <v>49</v>
      </c>
      <c r="J52" s="12"/>
      <c r="K52" s="32" t="str">
        <f>"215,0"</f>
        <v>215,0</v>
      </c>
      <c r="L52" s="12" t="str">
        <f>"134,9878"</f>
        <v>134,9878</v>
      </c>
      <c r="M52" s="11"/>
    </row>
    <row r="53" spans="1:13">
      <c r="B53" s="5" t="s">
        <v>75</v>
      </c>
    </row>
    <row r="54" spans="1:13" ht="16">
      <c r="A54" s="46" t="s">
        <v>50</v>
      </c>
      <c r="B54" s="46"/>
      <c r="C54" s="46"/>
      <c r="D54" s="46"/>
      <c r="E54" s="46"/>
      <c r="F54" s="46"/>
      <c r="G54" s="46"/>
      <c r="H54" s="46"/>
      <c r="I54" s="46"/>
      <c r="J54" s="46"/>
    </row>
    <row r="55" spans="1:13">
      <c r="A55" s="8" t="s">
        <v>74</v>
      </c>
      <c r="B55" s="7" t="s">
        <v>574</v>
      </c>
      <c r="C55" s="7" t="s">
        <v>575</v>
      </c>
      <c r="D55" s="7" t="s">
        <v>576</v>
      </c>
      <c r="E55" s="7" t="s">
        <v>1182</v>
      </c>
      <c r="F55" s="7" t="s">
        <v>1113</v>
      </c>
      <c r="G55" s="18" t="s">
        <v>178</v>
      </c>
      <c r="H55" s="19" t="s">
        <v>40</v>
      </c>
      <c r="I55" s="18" t="s">
        <v>40</v>
      </c>
      <c r="J55" s="8"/>
      <c r="K55" s="29" t="str">
        <f>"230,0"</f>
        <v>230,0</v>
      </c>
      <c r="L55" s="8" t="str">
        <f>"126,6150"</f>
        <v>126,6150</v>
      </c>
      <c r="M55" s="7" t="s">
        <v>139</v>
      </c>
    </row>
    <row r="56" spans="1:13">
      <c r="B56" s="5" t="s">
        <v>75</v>
      </c>
    </row>
    <row r="59" spans="1:13" ht="18">
      <c r="B59" s="13" t="s">
        <v>60</v>
      </c>
      <c r="C59" s="13"/>
    </row>
    <row r="60" spans="1:13" ht="16">
      <c r="B60" s="14" t="s">
        <v>61</v>
      </c>
      <c r="C60" s="14"/>
    </row>
    <row r="61" spans="1:13" ht="14">
      <c r="B61" s="15"/>
      <c r="C61" s="16" t="s">
        <v>71</v>
      </c>
    </row>
    <row r="62" spans="1:13" ht="14">
      <c r="B62" s="17" t="s">
        <v>63</v>
      </c>
      <c r="C62" s="17" t="s">
        <v>64</v>
      </c>
      <c r="D62" s="17" t="s">
        <v>1012</v>
      </c>
      <c r="E62" s="17" t="s">
        <v>471</v>
      </c>
      <c r="F62" s="17" t="s">
        <v>66</v>
      </c>
    </row>
    <row r="63" spans="1:13">
      <c r="B63" s="5" t="s">
        <v>506</v>
      </c>
      <c r="C63" s="5" t="s">
        <v>71</v>
      </c>
      <c r="D63" s="6" t="s">
        <v>73</v>
      </c>
      <c r="E63" s="6" t="s">
        <v>40</v>
      </c>
      <c r="F63" s="6" t="s">
        <v>577</v>
      </c>
    </row>
    <row r="64" spans="1:13">
      <c r="B64" s="5" t="s">
        <v>509</v>
      </c>
      <c r="C64" s="5" t="s">
        <v>71</v>
      </c>
      <c r="D64" s="6" t="s">
        <v>73</v>
      </c>
      <c r="E64" s="6" t="s">
        <v>178</v>
      </c>
      <c r="F64" s="6" t="s">
        <v>578</v>
      </c>
    </row>
    <row r="65" spans="2:6">
      <c r="B65" s="5" t="s">
        <v>24</v>
      </c>
      <c r="C65" s="5" t="s">
        <v>71</v>
      </c>
      <c r="D65" s="6" t="s">
        <v>73</v>
      </c>
      <c r="E65" s="6" t="s">
        <v>49</v>
      </c>
      <c r="F65" s="6" t="s">
        <v>579</v>
      </c>
    </row>
    <row r="67" spans="2:6" ht="14">
      <c r="B67" s="15"/>
      <c r="C67" s="16" t="s">
        <v>260</v>
      </c>
    </row>
    <row r="68" spans="2:6" ht="14">
      <c r="B68" s="17" t="s">
        <v>63</v>
      </c>
      <c r="C68" s="17" t="s">
        <v>64</v>
      </c>
      <c r="D68" s="17" t="s">
        <v>1012</v>
      </c>
      <c r="E68" s="17" t="s">
        <v>471</v>
      </c>
      <c r="F68" s="17" t="s">
        <v>66</v>
      </c>
    </row>
    <row r="69" spans="2:6">
      <c r="B69" s="5" t="s">
        <v>457</v>
      </c>
      <c r="C69" s="5" t="s">
        <v>473</v>
      </c>
      <c r="D69" s="6" t="s">
        <v>444</v>
      </c>
      <c r="E69" s="6" t="s">
        <v>137</v>
      </c>
      <c r="F69" s="6" t="s">
        <v>580</v>
      </c>
    </row>
    <row r="70" spans="2:6">
      <c r="B70" s="5" t="s">
        <v>560</v>
      </c>
      <c r="C70" s="5" t="s">
        <v>473</v>
      </c>
      <c r="D70" s="6" t="s">
        <v>441</v>
      </c>
      <c r="E70" s="6" t="s">
        <v>20</v>
      </c>
      <c r="F70" s="6" t="s">
        <v>581</v>
      </c>
    </row>
    <row r="71" spans="2:6">
      <c r="B71" s="5" t="s">
        <v>567</v>
      </c>
      <c r="C71" s="5" t="s">
        <v>261</v>
      </c>
      <c r="D71" s="6" t="s">
        <v>72</v>
      </c>
      <c r="E71" s="6" t="s">
        <v>22</v>
      </c>
      <c r="F71" s="6" t="s">
        <v>582</v>
      </c>
    </row>
    <row r="72" spans="2:6">
      <c r="B72" s="5" t="s">
        <v>75</v>
      </c>
    </row>
  </sheetData>
  <mergeCells count="19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54:J54"/>
    <mergeCell ref="B3:B4"/>
    <mergeCell ref="A8:J8"/>
    <mergeCell ref="A15:J15"/>
    <mergeCell ref="A21:J21"/>
    <mergeCell ref="A35:J35"/>
    <mergeCell ref="A44:J44"/>
    <mergeCell ref="A48:J48"/>
  </mergeCells>
  <phoneticPr fontId="8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M10"/>
  <sheetViews>
    <sheetView workbookViewId="0">
      <selection activeCell="E10" sqref="E10"/>
    </sheetView>
  </sheetViews>
  <sheetFormatPr baseColWidth="10" defaultColWidth="9.1640625" defaultRowHeight="13"/>
  <cols>
    <col min="1" max="1" width="7.5" style="5" bestFit="1" customWidth="1"/>
    <col min="2" max="2" width="20.66406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0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9.6640625" style="5" customWidth="1"/>
    <col min="14" max="16384" width="9.1640625" style="3"/>
  </cols>
  <sheetData>
    <row r="1" spans="1:13" s="2" customFormat="1" ht="29" customHeight="1">
      <c r="A1" s="57" t="s">
        <v>1047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s="2" customFormat="1" ht="62" customHeight="1" thickBot="1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s="1" customFormat="1" ht="12.75" customHeight="1">
      <c r="A3" s="65" t="s">
        <v>76</v>
      </c>
      <c r="B3" s="47" t="s">
        <v>0</v>
      </c>
      <c r="C3" s="67" t="s">
        <v>1180</v>
      </c>
      <c r="D3" s="67" t="s">
        <v>5</v>
      </c>
      <c r="E3" s="51" t="s">
        <v>1181</v>
      </c>
      <c r="F3" s="51" t="s">
        <v>6</v>
      </c>
      <c r="G3" s="51" t="s">
        <v>8</v>
      </c>
      <c r="H3" s="51"/>
      <c r="I3" s="51"/>
      <c r="J3" s="51"/>
      <c r="K3" s="51" t="s">
        <v>474</v>
      </c>
      <c r="L3" s="51" t="s">
        <v>3</v>
      </c>
      <c r="M3" s="53" t="s">
        <v>2</v>
      </c>
    </row>
    <row r="4" spans="1:13" s="1" customFormat="1" ht="21" customHeight="1" thickBot="1">
      <c r="A4" s="66"/>
      <c r="B4" s="48"/>
      <c r="C4" s="52"/>
      <c r="D4" s="52"/>
      <c r="E4" s="52"/>
      <c r="F4" s="52"/>
      <c r="G4" s="4">
        <v>1</v>
      </c>
      <c r="H4" s="4">
        <v>2</v>
      </c>
      <c r="I4" s="4">
        <v>3</v>
      </c>
      <c r="J4" s="4" t="s">
        <v>4</v>
      </c>
      <c r="K4" s="52"/>
      <c r="L4" s="52"/>
      <c r="M4" s="54"/>
    </row>
    <row r="5" spans="1:13" ht="16">
      <c r="A5" s="55" t="s">
        <v>141</v>
      </c>
      <c r="B5" s="55"/>
      <c r="C5" s="56"/>
      <c r="D5" s="56"/>
      <c r="E5" s="56"/>
      <c r="F5" s="56"/>
      <c r="G5" s="56"/>
      <c r="H5" s="56"/>
      <c r="I5" s="56"/>
      <c r="J5" s="56"/>
    </row>
    <row r="6" spans="1:13">
      <c r="A6" s="8" t="s">
        <v>74</v>
      </c>
      <c r="B6" s="7" t="s">
        <v>797</v>
      </c>
      <c r="C6" s="7" t="s">
        <v>798</v>
      </c>
      <c r="D6" s="7" t="s">
        <v>799</v>
      </c>
      <c r="E6" s="7" t="s">
        <v>1186</v>
      </c>
      <c r="F6" s="7" t="s">
        <v>1160</v>
      </c>
      <c r="G6" s="18" t="s">
        <v>190</v>
      </c>
      <c r="H6" s="19" t="s">
        <v>17</v>
      </c>
      <c r="I6" s="18" t="s">
        <v>17</v>
      </c>
      <c r="J6" s="8"/>
      <c r="K6" s="8" t="str">
        <f>"140,0"</f>
        <v>140,0</v>
      </c>
      <c r="L6" s="8" t="str">
        <f>"130,2941"</f>
        <v>130,2941</v>
      </c>
      <c r="M6" s="7"/>
    </row>
    <row r="7" spans="1:13">
      <c r="B7" s="5" t="s">
        <v>75</v>
      </c>
    </row>
    <row r="8" spans="1:13" ht="16">
      <c r="A8" s="46" t="s">
        <v>23</v>
      </c>
      <c r="B8" s="46"/>
      <c r="C8" s="46"/>
      <c r="D8" s="46"/>
      <c r="E8" s="46"/>
      <c r="F8" s="46"/>
      <c r="G8" s="46"/>
      <c r="H8" s="46"/>
      <c r="I8" s="46"/>
      <c r="J8" s="46"/>
    </row>
    <row r="9" spans="1:13">
      <c r="A9" s="8" t="s">
        <v>269</v>
      </c>
      <c r="B9" s="7" t="s">
        <v>800</v>
      </c>
      <c r="C9" s="7" t="s">
        <v>801</v>
      </c>
      <c r="D9" s="7" t="s">
        <v>802</v>
      </c>
      <c r="E9" s="7" t="s">
        <v>1182</v>
      </c>
      <c r="F9" s="7" t="s">
        <v>1160</v>
      </c>
      <c r="G9" s="19" t="s">
        <v>41</v>
      </c>
      <c r="H9" s="19" t="s">
        <v>37</v>
      </c>
      <c r="I9" s="19" t="s">
        <v>162</v>
      </c>
      <c r="J9" s="8"/>
      <c r="K9" s="29">
        <v>0</v>
      </c>
      <c r="L9" s="8" t="str">
        <f>"0,0000"</f>
        <v>0,0000</v>
      </c>
      <c r="M9" s="7"/>
    </row>
    <row r="10" spans="1:13">
      <c r="B10" s="5" t="s">
        <v>75</v>
      </c>
    </row>
  </sheetData>
  <mergeCells count="13">
    <mergeCell ref="A1:M2"/>
    <mergeCell ref="A3:A4"/>
    <mergeCell ref="C3:C4"/>
    <mergeCell ref="D3:D4"/>
    <mergeCell ref="E3:E4"/>
    <mergeCell ref="F3:F4"/>
    <mergeCell ref="G3:J3"/>
    <mergeCell ref="A8:J8"/>
    <mergeCell ref="B3:B4"/>
    <mergeCell ref="K3:K4"/>
    <mergeCell ref="L3:L4"/>
    <mergeCell ref="M3:M4"/>
    <mergeCell ref="A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WRPF ПЛ без экипировки ДК</vt:lpstr>
      <vt:lpstr>WRPF ПЛ без экипировки</vt:lpstr>
      <vt:lpstr>WRPF ПЛ в бинтах ДК</vt:lpstr>
      <vt:lpstr>WRPF ПЛ в бинтах</vt:lpstr>
      <vt:lpstr>WRPF Двоеборье без экип ДК</vt:lpstr>
      <vt:lpstr>WRPF Двоеборье без экип</vt:lpstr>
      <vt:lpstr>WRPF Жим лежа без экип ДК</vt:lpstr>
      <vt:lpstr>WRPF Жим лежа без экип</vt:lpstr>
      <vt:lpstr>WEPF Жим однослой</vt:lpstr>
      <vt:lpstr>WEPF Жим софт однопетельная ДК</vt:lpstr>
      <vt:lpstr>WEPF Жим софт однопетельная</vt:lpstr>
      <vt:lpstr>WEPF Жим софт многопетельнаяДК</vt:lpstr>
      <vt:lpstr>WEPF Жим софт многопетельная</vt:lpstr>
      <vt:lpstr>WRPF Военный жим ДК</vt:lpstr>
      <vt:lpstr>WRPF Военный жим</vt:lpstr>
      <vt:lpstr>WRPF Жим СФО</vt:lpstr>
      <vt:lpstr>WRPF Тяга без экипировки ДК</vt:lpstr>
      <vt:lpstr>WRPF Тяга без экипировки</vt:lpstr>
      <vt:lpstr>WRPF Подъем на бицепс ДК</vt:lpstr>
      <vt:lpstr>WRPF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2022-04-25T15:45:55Z</dcterms:modified>
</cp:coreProperties>
</file>